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caitlin.hannahan\Desktop\"/>
    </mc:Choice>
  </mc:AlternateContent>
  <xr:revisionPtr revIDLastSave="0" documentId="8_{7CFFE0B4-0380-4449-9EF7-13A1ADDC1A05}" xr6:coauthVersionLast="45" xr6:coauthVersionMax="45" xr10:uidLastSave="{00000000-0000-0000-0000-000000000000}"/>
  <bookViews>
    <workbookView xWindow="-110" yWindow="-110" windowWidth="19420" windowHeight="10420" tabRatio="725" xr2:uid="{00000000-000D-0000-FFFF-FFFF00000000}"/>
  </bookViews>
  <sheets>
    <sheet name="Budget Global" sheetId="28" r:id="rId1"/>
    <sheet name="Budget Recapitulatif PMOs" sheetId="26" r:id="rId2"/>
    <sheet name="UNHABITAT" sheetId="16" r:id="rId3"/>
    <sheet name="SFCG" sheetId="29" r:id="rId4"/>
    <sheet name="MERCY COPRS" sheetId="8" r:id="rId5"/>
    <sheet name="ACIAR" sheetId="22" r:id="rId6"/>
    <sheet name="OIM" sheetId="17" r:id="rId7"/>
    <sheet name="CARITAS" sheetId="19" r:id="rId8"/>
    <sheet name="COOPI" sheetId="30" r:id="rId9"/>
    <sheet name="Expense per agency" sheetId="31" r:id="rId10"/>
    <sheet name="Budget tous PMO" sheetId="27" r:id="rId11"/>
  </sheets>
  <externalReferences>
    <externalReference r:id="rId12"/>
    <externalReference r:id="rId13"/>
    <externalReference r:id="rId14"/>
    <externalReference r:id="rId15"/>
    <externalReference r:id="rId16"/>
    <externalReference r:id="rId17"/>
  </externalReferences>
  <definedNames>
    <definedName name="_xlnm._FilterDatabase" localSheetId="0" hidden="1">'Budget Global'!$A$10:$X$233</definedName>
    <definedName name="_xlnm._FilterDatabase" localSheetId="7" hidden="1">CARITAS!$A$1:$X$114</definedName>
    <definedName name="_xlnm._FilterDatabase" localSheetId="8" hidden="1">COOPI!#REF!</definedName>
    <definedName name="_xlnm._FilterDatabase" localSheetId="3" hidden="1">SFCG!$A$9:$Y$136</definedName>
    <definedName name="categorie">[1]Budget_Detaille!$A$141:$A$147</definedName>
    <definedName name="catégorie">[2]Budget_Detaille!$A$103:$A$106</definedName>
    <definedName name="categories">#REF!</definedName>
    <definedName name="catégories">[2]Budget_Detaille!$A$103:$A$106</definedName>
    <definedName name="o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4" i="28" l="1"/>
  <c r="H34" i="28"/>
  <c r="H606" i="28"/>
  <c r="H614" i="28" s="1"/>
  <c r="O614" i="28"/>
  <c r="M614" i="28"/>
  <c r="O602" i="28"/>
  <c r="M682" i="28"/>
  <c r="M683" i="28"/>
  <c r="M684" i="28"/>
  <c r="M685" i="28"/>
  <c r="M686" i="28"/>
  <c r="M687" i="28"/>
  <c r="M688" i="28"/>
  <c r="M689" i="28"/>
  <c r="M690" i="28"/>
  <c r="M691" i="28"/>
  <c r="M692" i="28"/>
  <c r="M693" i="28"/>
  <c r="M694" i="28"/>
  <c r="M695" i="28"/>
  <c r="M696" i="28"/>
  <c r="H682" i="28"/>
  <c r="H683" i="28"/>
  <c r="H684" i="28"/>
  <c r="H685" i="28"/>
  <c r="H686" i="28"/>
  <c r="H687" i="28"/>
  <c r="H688" i="28"/>
  <c r="H689" i="28"/>
  <c r="H690" i="28"/>
  <c r="H691" i="28"/>
  <c r="H692" i="28"/>
  <c r="H693" i="28"/>
  <c r="H694" i="28"/>
  <c r="H695" i="28"/>
  <c r="H696" i="28"/>
  <c r="M681" i="28"/>
  <c r="H681" i="28"/>
  <c r="M633" i="28"/>
  <c r="H633" i="28"/>
  <c r="M635" i="28"/>
  <c r="H635" i="28"/>
  <c r="H634" i="28"/>
  <c r="M524" i="28"/>
  <c r="M525" i="28"/>
  <c r="M526" i="28"/>
  <c r="M527" i="28"/>
  <c r="M528" i="28"/>
  <c r="M529" i="28"/>
  <c r="M530" i="28"/>
  <c r="M531" i="28"/>
  <c r="M532" i="28"/>
  <c r="M533" i="28"/>
  <c r="M534" i="28"/>
  <c r="M535" i="28"/>
  <c r="M536" i="28"/>
  <c r="M537" i="28"/>
  <c r="M538" i="28"/>
  <c r="M539" i="28"/>
  <c r="M540" i="28"/>
  <c r="M541" i="28"/>
  <c r="M542" i="28"/>
  <c r="M543" i="28"/>
  <c r="M544" i="28"/>
  <c r="M545" i="28"/>
  <c r="M546" i="28"/>
  <c r="M547" i="28"/>
  <c r="M548" i="28"/>
  <c r="M549" i="28"/>
  <c r="M550" i="28"/>
  <c r="M551" i="28"/>
  <c r="M552" i="28"/>
  <c r="M553" i="28"/>
  <c r="M554" i="28"/>
  <c r="M555" i="28"/>
  <c r="M556" i="28"/>
  <c r="M557" i="28"/>
  <c r="M558" i="28"/>
  <c r="M559" i="28"/>
  <c r="M560" i="28"/>
  <c r="M561" i="28"/>
  <c r="M562" i="28"/>
  <c r="M563" i="28"/>
  <c r="M564" i="28"/>
  <c r="M565" i="28"/>
  <c r="M566" i="28"/>
  <c r="M567" i="28"/>
  <c r="M568" i="28"/>
  <c r="M569" i="28"/>
  <c r="M570" i="28"/>
  <c r="M571" i="28"/>
  <c r="M572" i="28"/>
  <c r="M573" i="28"/>
  <c r="H527" i="28"/>
  <c r="H528" i="28"/>
  <c r="H529" i="28"/>
  <c r="H530" i="28"/>
  <c r="H531" i="28"/>
  <c r="H532" i="28"/>
  <c r="H533" i="28"/>
  <c r="H534" i="28"/>
  <c r="H535" i="28"/>
  <c r="H536" i="28"/>
  <c r="H537" i="28"/>
  <c r="H538" i="28"/>
  <c r="H539" i="28"/>
  <c r="H540" i="28"/>
  <c r="H541" i="28"/>
  <c r="H542" i="28"/>
  <c r="H543" i="28"/>
  <c r="H544" i="28"/>
  <c r="H545" i="28"/>
  <c r="H546" i="28"/>
  <c r="H547" i="28"/>
  <c r="H548" i="28"/>
  <c r="H549" i="28"/>
  <c r="H550" i="28"/>
  <c r="H551" i="28"/>
  <c r="H552" i="28"/>
  <c r="H553" i="28"/>
  <c r="H554" i="28"/>
  <c r="H555" i="28"/>
  <c r="H556" i="28"/>
  <c r="H557" i="28"/>
  <c r="H558" i="28"/>
  <c r="H559" i="28"/>
  <c r="H560" i="28"/>
  <c r="H561" i="28"/>
  <c r="H562" i="28"/>
  <c r="H563" i="28"/>
  <c r="H564" i="28"/>
  <c r="H565" i="28"/>
  <c r="H566" i="28"/>
  <c r="H567" i="28"/>
  <c r="H568" i="28"/>
  <c r="H569" i="28"/>
  <c r="H570" i="28"/>
  <c r="H571" i="28"/>
  <c r="H572" i="28"/>
  <c r="H573" i="28"/>
  <c r="H525" i="28"/>
  <c r="H526" i="28"/>
  <c r="H524" i="28"/>
  <c r="M339" i="28"/>
  <c r="M338" i="28"/>
  <c r="M337" i="28"/>
  <c r="M336" i="28"/>
  <c r="M335" i="28"/>
  <c r="M334" i="28"/>
  <c r="M333" i="28"/>
  <c r="M332" i="28"/>
  <c r="M331" i="28"/>
  <c r="M330" i="28"/>
  <c r="H339" i="28"/>
  <c r="H338" i="28"/>
  <c r="H337" i="28"/>
  <c r="H336" i="28"/>
  <c r="H335" i="28"/>
  <c r="H334" i="28"/>
  <c r="H333" i="28"/>
  <c r="H332" i="28"/>
  <c r="H331" i="28"/>
  <c r="H330" i="28"/>
  <c r="M328" i="28"/>
  <c r="M327" i="28"/>
  <c r="M326" i="28"/>
  <c r="M325" i="28"/>
  <c r="M324" i="28"/>
  <c r="M323" i="28"/>
  <c r="M322" i="28"/>
  <c r="M321" i="28"/>
  <c r="M320" i="28"/>
  <c r="H328" i="28"/>
  <c r="H327" i="28"/>
  <c r="H326" i="28"/>
  <c r="H325" i="28"/>
  <c r="H324" i="28"/>
  <c r="H323" i="28"/>
  <c r="H322" i="28"/>
  <c r="H321" i="28"/>
  <c r="H320" i="28"/>
  <c r="H318" i="28"/>
  <c r="H317" i="28"/>
  <c r="H316" i="28"/>
  <c r="M316" i="28" s="1"/>
  <c r="H315" i="28"/>
  <c r="M315" i="28" s="1"/>
  <c r="H314" i="28"/>
  <c r="M314" i="28" s="1"/>
  <c r="H313" i="28"/>
  <c r="M313" i="28" s="1"/>
  <c r="H312" i="28"/>
  <c r="M312" i="28" s="1"/>
  <c r="H311" i="28"/>
  <c r="M311" i="28" s="1"/>
  <c r="H310" i="28"/>
  <c r="H309" i="28"/>
  <c r="H308" i="28"/>
  <c r="M308" i="28" s="1"/>
  <c r="H307" i="28"/>
  <c r="M307" i="28" s="1"/>
  <c r="H306" i="28"/>
  <c r="M306" i="28" s="1"/>
  <c r="H305" i="28"/>
  <c r="M305" i="28" s="1"/>
  <c r="M318" i="28"/>
  <c r="M317" i="28"/>
  <c r="M310" i="28"/>
  <c r="M309" i="28"/>
  <c r="M303" i="28"/>
  <c r="M302" i="28"/>
  <c r="M301" i="28"/>
  <c r="M300" i="28"/>
  <c r="M299" i="28"/>
  <c r="M298" i="28"/>
  <c r="M297" i="28"/>
  <c r="M296" i="28"/>
  <c r="M295" i="28"/>
  <c r="H303" i="28"/>
  <c r="H302" i="28"/>
  <c r="H301" i="28"/>
  <c r="H300" i="28"/>
  <c r="H299" i="28"/>
  <c r="H298" i="28"/>
  <c r="H297" i="28"/>
  <c r="H296" i="28"/>
  <c r="H295" i="28"/>
  <c r="H287" i="28"/>
  <c r="H288" i="28"/>
  <c r="H289" i="28"/>
  <c r="M289" i="28" s="1"/>
  <c r="H290" i="28"/>
  <c r="H291" i="28"/>
  <c r="M291" i="28" s="1"/>
  <c r="H292" i="28"/>
  <c r="M292" i="28" s="1"/>
  <c r="H293" i="28"/>
  <c r="M293" i="28" s="1"/>
  <c r="M290" i="28"/>
  <c r="M287" i="28"/>
  <c r="M288" i="28"/>
  <c r="M286" i="28"/>
  <c r="H286" i="28"/>
  <c r="O93" i="28"/>
  <c r="O14" i="28"/>
  <c r="M201" i="28"/>
  <c r="O198" i="28"/>
  <c r="O28" i="19"/>
  <c r="E70" i="8"/>
  <c r="E69" i="8"/>
  <c r="E68" i="8"/>
  <c r="E57" i="8"/>
  <c r="E47" i="8"/>
  <c r="E32" i="8"/>
  <c r="E22" i="8"/>
  <c r="P120" i="22" l="1"/>
  <c r="P19" i="31" l="1"/>
  <c r="P12" i="31"/>
  <c r="O126" i="19"/>
  <c r="S711" i="28"/>
  <c r="S600" i="28"/>
  <c r="S591" i="28"/>
  <c r="O492" i="28"/>
  <c r="P492" i="28"/>
  <c r="Q492" i="28"/>
  <c r="R492" i="28"/>
  <c r="O478" i="28"/>
  <c r="O479" i="28" s="1"/>
  <c r="P478" i="28"/>
  <c r="Q478" i="28"/>
  <c r="R478" i="28"/>
  <c r="P479" i="28"/>
  <c r="Q479" i="28"/>
  <c r="R479" i="28"/>
  <c r="S478" i="28"/>
  <c r="O469" i="28"/>
  <c r="P469" i="28"/>
  <c r="Q469" i="28"/>
  <c r="R469" i="28"/>
  <c r="S469" i="28"/>
  <c r="O416" i="28"/>
  <c r="P416" i="28"/>
  <c r="Q416" i="28"/>
  <c r="R416" i="28"/>
  <c r="O294" i="28"/>
  <c r="S294" i="28"/>
  <c r="O281" i="28"/>
  <c r="P281" i="28"/>
  <c r="Q281" i="28"/>
  <c r="R281" i="28"/>
  <c r="O268" i="28"/>
  <c r="P268" i="28"/>
  <c r="Q268" i="28"/>
  <c r="R268" i="28"/>
  <c r="S268" i="28"/>
  <c r="P232" i="28"/>
  <c r="R232" i="28"/>
  <c r="S232" i="28"/>
  <c r="P228" i="28"/>
  <c r="R228" i="28"/>
  <c r="S228" i="28"/>
  <c r="S219" i="28"/>
  <c r="P213" i="28"/>
  <c r="R213" i="28"/>
  <c r="S213" i="28"/>
  <c r="P207" i="28"/>
  <c r="Q207" i="28"/>
  <c r="R207" i="28"/>
  <c r="R203" i="28"/>
  <c r="P197" i="28"/>
  <c r="R197" i="28"/>
  <c r="P190" i="28"/>
  <c r="R190" i="28"/>
  <c r="P184" i="28"/>
  <c r="Q184" i="28"/>
  <c r="R184" i="28"/>
  <c r="S184" i="28"/>
  <c r="P167" i="28"/>
  <c r="Q167" i="28"/>
  <c r="R167" i="28"/>
  <c r="S157" i="28"/>
  <c r="P157" i="28"/>
  <c r="Q157" i="28"/>
  <c r="R157" i="28"/>
  <c r="P149" i="28"/>
  <c r="R149" i="28"/>
  <c r="P145" i="28"/>
  <c r="R145" i="28"/>
  <c r="P134" i="28"/>
  <c r="R134" i="28"/>
  <c r="P127" i="28"/>
  <c r="R127" i="28"/>
  <c r="P122" i="28"/>
  <c r="R122" i="28"/>
  <c r="P118" i="28"/>
  <c r="R118" i="28"/>
  <c r="P106" i="28"/>
  <c r="R106" i="28"/>
  <c r="P94" i="28"/>
  <c r="R94" i="28"/>
  <c r="P76" i="28"/>
  <c r="R76" i="28"/>
  <c r="Q681" i="28"/>
  <c r="S681" i="28"/>
  <c r="Q682" i="28"/>
  <c r="S682" i="28"/>
  <c r="Q683" i="28"/>
  <c r="S683" i="28"/>
  <c r="Q684" i="28"/>
  <c r="S684" i="28"/>
  <c r="Q685" i="28"/>
  <c r="S685" i="28"/>
  <c r="Q686" i="28"/>
  <c r="S686" i="28"/>
  <c r="Q687" i="28"/>
  <c r="S687" i="28"/>
  <c r="Q688" i="28"/>
  <c r="Q689" i="28"/>
  <c r="S689" i="28"/>
  <c r="Q690" i="28"/>
  <c r="S690" i="28"/>
  <c r="Q691" i="28"/>
  <c r="S691" i="28"/>
  <c r="Q692" i="28"/>
  <c r="S692" i="28"/>
  <c r="Q693" i="28"/>
  <c r="S693" i="28"/>
  <c r="Q694" i="28"/>
  <c r="S694" i="28"/>
  <c r="Q695" i="28"/>
  <c r="S695" i="28"/>
  <c r="Q696" i="28"/>
  <c r="S696" i="28"/>
  <c r="H697" i="28"/>
  <c r="M697" i="28"/>
  <c r="O697" i="28" s="1"/>
  <c r="Q697" i="28" s="1"/>
  <c r="S697" i="28"/>
  <c r="S172" i="28"/>
  <c r="S167" i="28"/>
  <c r="S122" i="28"/>
  <c r="S127" i="28"/>
  <c r="S628" i="28"/>
  <c r="T78" i="22"/>
  <c r="P78" i="22"/>
  <c r="S703" i="28"/>
  <c r="S702" i="28"/>
  <c r="S639" i="28"/>
  <c r="S640" i="28"/>
  <c r="S641" i="28"/>
  <c r="S642" i="28"/>
  <c r="S643" i="28"/>
  <c r="S644" i="28"/>
  <c r="S645" i="28"/>
  <c r="S646" i="28"/>
  <c r="S647" i="28"/>
  <c r="S638" i="28"/>
  <c r="S622" i="28"/>
  <c r="S623" i="28"/>
  <c r="S621" i="28"/>
  <c r="S611" i="28"/>
  <c r="S585" i="28"/>
  <c r="S586" i="28"/>
  <c r="S587" i="28"/>
  <c r="S588" i="28"/>
  <c r="S589" i="28"/>
  <c r="S584" i="28"/>
  <c r="S471" i="28"/>
  <c r="S472" i="28"/>
  <c r="S473" i="28"/>
  <c r="S474" i="28"/>
  <c r="S475" i="28"/>
  <c r="S476" i="28"/>
  <c r="S477" i="28"/>
  <c r="S470" i="28"/>
  <c r="S453" i="28"/>
  <c r="S454" i="28"/>
  <c r="S455" i="28"/>
  <c r="S456" i="28"/>
  <c r="S457" i="28"/>
  <c r="S458" i="28"/>
  <c r="S459" i="28"/>
  <c r="S460" i="28"/>
  <c r="S461" i="28"/>
  <c r="S462" i="28"/>
  <c r="S463" i="28"/>
  <c r="S464" i="28"/>
  <c r="S465" i="28"/>
  <c r="S466" i="28"/>
  <c r="S467" i="28"/>
  <c r="S468" i="28"/>
  <c r="S452" i="28"/>
  <c r="S447" i="28"/>
  <c r="S448" i="28"/>
  <c r="S449" i="28"/>
  <c r="S450" i="28"/>
  <c r="S446" i="28"/>
  <c r="S420" i="28"/>
  <c r="S421" i="28"/>
  <c r="S422" i="28"/>
  <c r="S423" i="28"/>
  <c r="S424" i="28"/>
  <c r="S425" i="28"/>
  <c r="S426" i="28"/>
  <c r="S427" i="28"/>
  <c r="S428" i="28"/>
  <c r="S429" i="28"/>
  <c r="S430" i="28"/>
  <c r="S431" i="28"/>
  <c r="S432" i="28"/>
  <c r="S433" i="28"/>
  <c r="S434" i="28"/>
  <c r="S435" i="28"/>
  <c r="S436" i="28"/>
  <c r="S437" i="28"/>
  <c r="S438" i="28"/>
  <c r="S439" i="28"/>
  <c r="S440" i="28"/>
  <c r="S441" i="28"/>
  <c r="S442" i="28"/>
  <c r="S443" i="28"/>
  <c r="S419" i="28"/>
  <c r="S634" i="28"/>
  <c r="S635" i="28"/>
  <c r="S633" i="28"/>
  <c r="S606" i="28"/>
  <c r="S605" i="28"/>
  <c r="S573" i="28"/>
  <c r="S560" i="28"/>
  <c r="S561" i="28"/>
  <c r="S562" i="28"/>
  <c r="S563" i="28"/>
  <c r="S564" i="28"/>
  <c r="S565" i="28"/>
  <c r="S566" i="28"/>
  <c r="S567" i="28"/>
  <c r="S568" i="28"/>
  <c r="S569" i="28"/>
  <c r="S570" i="28"/>
  <c r="S571" i="28"/>
  <c r="S559" i="28"/>
  <c r="S556" i="28"/>
  <c r="S557" i="28"/>
  <c r="S555" i="28"/>
  <c r="S548" i="28"/>
  <c r="S549" i="28"/>
  <c r="S550" i="28"/>
  <c r="S551" i="28"/>
  <c r="S552" i="28"/>
  <c r="S553" i="28"/>
  <c r="S547" i="28"/>
  <c r="S542" i="28"/>
  <c r="S543" i="28"/>
  <c r="S544" i="28"/>
  <c r="S545" i="28"/>
  <c r="S541" i="28"/>
  <c r="S539" i="28"/>
  <c r="S538" i="28"/>
  <c r="S525" i="28"/>
  <c r="S526" i="28"/>
  <c r="S527" i="28"/>
  <c r="S528" i="28"/>
  <c r="S529" i="28"/>
  <c r="S530" i="28"/>
  <c r="S531" i="28"/>
  <c r="S532" i="28"/>
  <c r="S533" i="28"/>
  <c r="S534" i="28"/>
  <c r="S535" i="28"/>
  <c r="S536" i="28"/>
  <c r="S524" i="28"/>
  <c r="S331" i="28"/>
  <c r="S332" i="28"/>
  <c r="S333" i="28"/>
  <c r="S334" i="28"/>
  <c r="S335" i="28"/>
  <c r="S336" i="28"/>
  <c r="S337" i="28"/>
  <c r="S338" i="28"/>
  <c r="S339" i="28"/>
  <c r="S330" i="28"/>
  <c r="S321" i="28"/>
  <c r="S322" i="28"/>
  <c r="S323" i="28"/>
  <c r="S324" i="28"/>
  <c r="S325" i="28"/>
  <c r="S326" i="28"/>
  <c r="S327" i="28"/>
  <c r="S328" i="28"/>
  <c r="S320" i="28"/>
  <c r="S306" i="28"/>
  <c r="S307" i="28"/>
  <c r="S308" i="28"/>
  <c r="S309" i="28"/>
  <c r="S310" i="28"/>
  <c r="S311" i="28"/>
  <c r="S312" i="28"/>
  <c r="S313" i="28"/>
  <c r="S314" i="28"/>
  <c r="S315" i="28"/>
  <c r="S316" i="28"/>
  <c r="S317" i="28"/>
  <c r="S318" i="28"/>
  <c r="S305" i="28"/>
  <c r="S296" i="28"/>
  <c r="S297" i="28"/>
  <c r="S298" i="28"/>
  <c r="S299" i="28"/>
  <c r="S300" i="28"/>
  <c r="S301" i="28"/>
  <c r="S302" i="28"/>
  <c r="S303" i="28"/>
  <c r="S295" i="28"/>
  <c r="S286" i="28"/>
  <c r="S287" i="28"/>
  <c r="S288" i="28"/>
  <c r="S289" i="28"/>
  <c r="S290" i="28"/>
  <c r="S291" i="28"/>
  <c r="S292" i="28"/>
  <c r="S293" i="28"/>
  <c r="S285" i="28"/>
  <c r="H679" i="28"/>
  <c r="H674" i="28"/>
  <c r="H675" i="28"/>
  <c r="H676" i="28"/>
  <c r="H677" i="28"/>
  <c r="H678" i="28"/>
  <c r="M674" i="28"/>
  <c r="M675" i="28"/>
  <c r="M676" i="28"/>
  <c r="M677" i="28"/>
  <c r="M678" i="28"/>
  <c r="M679" i="28"/>
  <c r="S674" i="28"/>
  <c r="S675" i="28"/>
  <c r="S676" i="28"/>
  <c r="S677" i="28"/>
  <c r="S678" i="28"/>
  <c r="S679" i="28"/>
  <c r="S673" i="28"/>
  <c r="M673" i="28"/>
  <c r="H673" i="28"/>
  <c r="S632" i="28"/>
  <c r="S631" i="28"/>
  <c r="M632" i="28"/>
  <c r="M631" i="28"/>
  <c r="H632" i="28"/>
  <c r="H631" i="28"/>
  <c r="S672" i="28"/>
  <c r="M672" i="28"/>
  <c r="H672" i="28"/>
  <c r="S618" i="28"/>
  <c r="M618" i="28"/>
  <c r="H618" i="28"/>
  <c r="S604" i="28"/>
  <c r="M604" i="28"/>
  <c r="H604" i="28"/>
  <c r="M595" i="28"/>
  <c r="M594" i="28"/>
  <c r="S595" i="28"/>
  <c r="S594" i="28"/>
  <c r="H595" i="28"/>
  <c r="H594" i="28"/>
  <c r="S513" i="28"/>
  <c r="S514" i="28"/>
  <c r="S515" i="28"/>
  <c r="S516" i="28"/>
  <c r="S517" i="28"/>
  <c r="S518" i="28"/>
  <c r="S519" i="28"/>
  <c r="S520" i="28"/>
  <c r="S521" i="28"/>
  <c r="S522" i="28"/>
  <c r="S523" i="28"/>
  <c r="M513" i="28"/>
  <c r="M514" i="28"/>
  <c r="M515" i="28"/>
  <c r="M516" i="28"/>
  <c r="M517" i="28"/>
  <c r="M518" i="28"/>
  <c r="M519" i="28"/>
  <c r="M520" i="28"/>
  <c r="M521" i="28"/>
  <c r="M522" i="28"/>
  <c r="M523" i="28"/>
  <c r="H513" i="28"/>
  <c r="H514" i="28"/>
  <c r="H515" i="28"/>
  <c r="H516" i="28"/>
  <c r="H517" i="28"/>
  <c r="H518" i="28"/>
  <c r="H519" i="28"/>
  <c r="H520" i="28"/>
  <c r="H521" i="28"/>
  <c r="H522" i="28"/>
  <c r="H523" i="28"/>
  <c r="S512" i="28"/>
  <c r="M512" i="28"/>
  <c r="H512" i="28"/>
  <c r="S279" i="28"/>
  <c r="S280" i="28"/>
  <c r="S278" i="28"/>
  <c r="M279" i="28"/>
  <c r="M280" i="28"/>
  <c r="M278" i="28"/>
  <c r="H279" i="28"/>
  <c r="H280" i="28"/>
  <c r="H278" i="28"/>
  <c r="H274" i="28"/>
  <c r="H275" i="28"/>
  <c r="H276" i="28"/>
  <c r="H277" i="28"/>
  <c r="M274" i="28"/>
  <c r="M275" i="28"/>
  <c r="M276" i="28"/>
  <c r="M277" i="28"/>
  <c r="S274" i="28"/>
  <c r="S275" i="28"/>
  <c r="S276" i="28"/>
  <c r="S277" i="28"/>
  <c r="S273" i="28"/>
  <c r="M273" i="28"/>
  <c r="H273" i="28"/>
  <c r="H270" i="28"/>
  <c r="H271" i="28"/>
  <c r="H272" i="28"/>
  <c r="M270" i="28"/>
  <c r="M271" i="28"/>
  <c r="M272" i="28"/>
  <c r="M269" i="28"/>
  <c r="S270" i="28"/>
  <c r="S271" i="28"/>
  <c r="S272" i="28"/>
  <c r="S269" i="28"/>
  <c r="H269" i="28"/>
  <c r="S230" i="28"/>
  <c r="S231" i="28"/>
  <c r="S229" i="28"/>
  <c r="H230" i="28"/>
  <c r="H231" i="28"/>
  <c r="M230" i="28"/>
  <c r="M231" i="28"/>
  <c r="M229" i="28"/>
  <c r="H229" i="28"/>
  <c r="S226" i="28"/>
  <c r="S227" i="28"/>
  <c r="S225" i="28"/>
  <c r="H226" i="28"/>
  <c r="H227" i="28"/>
  <c r="M226" i="28"/>
  <c r="M227" i="28"/>
  <c r="M225" i="28"/>
  <c r="H225" i="28"/>
  <c r="S221" i="28"/>
  <c r="S220" i="28"/>
  <c r="H221" i="28"/>
  <c r="M221" i="28"/>
  <c r="M220" i="28"/>
  <c r="H220" i="28"/>
  <c r="S215" i="28"/>
  <c r="S216" i="28"/>
  <c r="S217" i="28"/>
  <c r="S218" i="28"/>
  <c r="S214" i="28"/>
  <c r="H215" i="28"/>
  <c r="H216" i="28"/>
  <c r="H217" i="28"/>
  <c r="H218" i="28"/>
  <c r="M215" i="28"/>
  <c r="M216" i="28"/>
  <c r="M217" i="28"/>
  <c r="M218" i="28"/>
  <c r="M214" i="28"/>
  <c r="H214" i="28"/>
  <c r="M210" i="28"/>
  <c r="O210" i="28" s="1"/>
  <c r="P12" i="29"/>
  <c r="M13" i="29"/>
  <c r="M211" i="28" s="1"/>
  <c r="M14" i="29"/>
  <c r="M212" i="28" s="1"/>
  <c r="H211" i="28"/>
  <c r="H212" i="28"/>
  <c r="S211" i="28"/>
  <c r="S212" i="28"/>
  <c r="S210" i="28"/>
  <c r="H210" i="28"/>
  <c r="M698" i="28"/>
  <c r="M699" i="28"/>
  <c r="M700" i="28"/>
  <c r="M701" i="28"/>
  <c r="H698" i="28"/>
  <c r="H699" i="28"/>
  <c r="H700" i="28"/>
  <c r="H701" i="28"/>
  <c r="S698" i="28"/>
  <c r="S699" i="28"/>
  <c r="S700" i="28"/>
  <c r="S701" i="28"/>
  <c r="S636" i="28"/>
  <c r="S637" i="28"/>
  <c r="M637" i="28"/>
  <c r="M636" i="28"/>
  <c r="H637" i="28"/>
  <c r="H636" i="28"/>
  <c r="S620" i="28"/>
  <c r="S619" i="28"/>
  <c r="H620" i="28"/>
  <c r="H619" i="28"/>
  <c r="S608" i="28"/>
  <c r="S609" i="28"/>
  <c r="S610" i="28"/>
  <c r="S607" i="28"/>
  <c r="H608" i="28"/>
  <c r="H609" i="28"/>
  <c r="H610" i="28"/>
  <c r="H607" i="28"/>
  <c r="M597" i="28"/>
  <c r="S597" i="28"/>
  <c r="S596" i="28"/>
  <c r="M596" i="28"/>
  <c r="H597" i="28"/>
  <c r="H596" i="28"/>
  <c r="S575" i="28"/>
  <c r="S576" i="28"/>
  <c r="S577" i="28"/>
  <c r="S578" i="28"/>
  <c r="S579" i="28"/>
  <c r="S580" i="28"/>
  <c r="S581" i="28"/>
  <c r="S582" i="28"/>
  <c r="S583" i="28"/>
  <c r="M575" i="28"/>
  <c r="M576" i="28"/>
  <c r="M577" i="28"/>
  <c r="M578" i="28"/>
  <c r="M579" i="28"/>
  <c r="M580" i="28"/>
  <c r="M581" i="28"/>
  <c r="M582" i="28"/>
  <c r="M583" i="28"/>
  <c r="H575" i="28"/>
  <c r="H576" i="28"/>
  <c r="H577" i="28"/>
  <c r="H578" i="28"/>
  <c r="H579" i="28"/>
  <c r="H580" i="28"/>
  <c r="H581" i="28"/>
  <c r="H582" i="28"/>
  <c r="H583" i="28"/>
  <c r="S574" i="28"/>
  <c r="M574" i="28"/>
  <c r="H574" i="28"/>
  <c r="M366" i="28"/>
  <c r="M367" i="28"/>
  <c r="M368" i="28"/>
  <c r="M369" i="28"/>
  <c r="M370" i="28"/>
  <c r="M371" i="28"/>
  <c r="M372" i="28"/>
  <c r="M373" i="28"/>
  <c r="M374" i="28"/>
  <c r="M375" i="28"/>
  <c r="M376" i="28"/>
  <c r="M377" i="28"/>
  <c r="M378" i="28"/>
  <c r="M379" i="28"/>
  <c r="M380" i="28"/>
  <c r="H366" i="28"/>
  <c r="H367" i="28"/>
  <c r="H368" i="28"/>
  <c r="H369" i="28"/>
  <c r="H370" i="28"/>
  <c r="H371" i="28"/>
  <c r="H372" i="28"/>
  <c r="H373" i="28"/>
  <c r="H374" i="28"/>
  <c r="H375" i="28"/>
  <c r="H376" i="28"/>
  <c r="H377" i="28"/>
  <c r="H378" i="28"/>
  <c r="H379" i="28"/>
  <c r="H380" i="28"/>
  <c r="S366" i="28"/>
  <c r="S367" i="28"/>
  <c r="S368" i="28"/>
  <c r="S369" i="28"/>
  <c r="S370" i="28"/>
  <c r="S371" i="28"/>
  <c r="S372" i="28"/>
  <c r="S373" i="28"/>
  <c r="S374" i="28"/>
  <c r="S375" i="28"/>
  <c r="S376" i="28"/>
  <c r="S377" i="28"/>
  <c r="S378" i="28"/>
  <c r="S379" i="28"/>
  <c r="S380" i="28"/>
  <c r="S365" i="28"/>
  <c r="M365" i="28"/>
  <c r="H365" i="28"/>
  <c r="H362" i="28"/>
  <c r="M362" i="28"/>
  <c r="S362" i="28"/>
  <c r="S361" i="28"/>
  <c r="M361" i="28"/>
  <c r="H361" i="28"/>
  <c r="M355" i="28"/>
  <c r="M356" i="28"/>
  <c r="M357" i="28"/>
  <c r="M358" i="28"/>
  <c r="M359" i="28"/>
  <c r="S355" i="28"/>
  <c r="S356" i="28"/>
  <c r="S357" i="28"/>
  <c r="S358" i="28"/>
  <c r="S359" i="28"/>
  <c r="S354" i="28"/>
  <c r="M354" i="28"/>
  <c r="H355" i="28"/>
  <c r="H356" i="28"/>
  <c r="H357" i="28"/>
  <c r="H358" i="28"/>
  <c r="H359" i="28"/>
  <c r="H354" i="28"/>
  <c r="S343" i="28"/>
  <c r="S344" i="28"/>
  <c r="S345" i="28"/>
  <c r="S346" i="28"/>
  <c r="S347" i="28"/>
  <c r="S348" i="28"/>
  <c r="S349" i="28"/>
  <c r="S350" i="28"/>
  <c r="S351" i="28"/>
  <c r="S342" i="28"/>
  <c r="H343" i="28"/>
  <c r="H344" i="28"/>
  <c r="H345" i="28"/>
  <c r="H346" i="28"/>
  <c r="H347" i="28"/>
  <c r="H348" i="28"/>
  <c r="H349" i="28"/>
  <c r="H350" i="28"/>
  <c r="H351" i="28"/>
  <c r="H342" i="28"/>
  <c r="S205" i="28"/>
  <c r="S206" i="28"/>
  <c r="S204" i="28"/>
  <c r="M205" i="28"/>
  <c r="M206" i="28"/>
  <c r="M204" i="28"/>
  <c r="H205" i="28"/>
  <c r="H206" i="28"/>
  <c r="H204" i="28"/>
  <c r="S199" i="28"/>
  <c r="S200" i="28"/>
  <c r="S201" i="28"/>
  <c r="S202" i="28"/>
  <c r="S198" i="28"/>
  <c r="M202" i="28"/>
  <c r="H199" i="28"/>
  <c r="H200" i="28"/>
  <c r="H201" i="28"/>
  <c r="H202" i="28"/>
  <c r="H198" i="28"/>
  <c r="S192" i="28"/>
  <c r="S193" i="28"/>
  <c r="S194" i="28"/>
  <c r="S195" i="28"/>
  <c r="S196" i="28"/>
  <c r="S191" i="28"/>
  <c r="H192" i="28"/>
  <c r="H193" i="28"/>
  <c r="H194" i="28"/>
  <c r="H195" i="28"/>
  <c r="H196" i="28"/>
  <c r="H191" i="28"/>
  <c r="S186" i="28"/>
  <c r="S187" i="28"/>
  <c r="S188" i="28"/>
  <c r="S189" i="28"/>
  <c r="S185" i="28"/>
  <c r="M186" i="28"/>
  <c r="M187" i="28"/>
  <c r="M188" i="28"/>
  <c r="M189" i="28"/>
  <c r="M185" i="28"/>
  <c r="H186" i="28"/>
  <c r="H187" i="28"/>
  <c r="H188" i="28"/>
  <c r="H189" i="28"/>
  <c r="H185" i="28"/>
  <c r="S182" i="28"/>
  <c r="S183" i="28"/>
  <c r="S181" i="28"/>
  <c r="H182" i="28"/>
  <c r="H183" i="28"/>
  <c r="H181" i="28"/>
  <c r="R208" i="28" l="1"/>
  <c r="R178" i="28"/>
  <c r="P178" i="28"/>
  <c r="R282" i="28"/>
  <c r="R107" i="28"/>
  <c r="P282" i="28"/>
  <c r="R128" i="28"/>
  <c r="R493" i="28" s="1"/>
  <c r="P107" i="28"/>
  <c r="P128" i="28"/>
  <c r="O594" i="28"/>
  <c r="S658" i="28" l="1"/>
  <c r="S659" i="28"/>
  <c r="S660" i="28"/>
  <c r="S661" i="28"/>
  <c r="S662" i="28"/>
  <c r="S663" i="28"/>
  <c r="S657" i="28"/>
  <c r="S627" i="28"/>
  <c r="S616" i="28"/>
  <c r="N158" i="17"/>
  <c r="S602" i="28"/>
  <c r="S507" i="28"/>
  <c r="S508" i="28"/>
  <c r="S509" i="28"/>
  <c r="S510" i="28"/>
  <c r="S511" i="28"/>
  <c r="M506" i="28"/>
  <c r="M505" i="28"/>
  <c r="M504" i="28"/>
  <c r="M503" i="28"/>
  <c r="M502" i="28"/>
  <c r="O502" i="28" s="1"/>
  <c r="S503" i="28"/>
  <c r="S504" i="28"/>
  <c r="W504" i="28" s="1"/>
  <c r="S505" i="28"/>
  <c r="S506" i="28"/>
  <c r="H504" i="28"/>
  <c r="O504" i="28" s="1"/>
  <c r="Q504" i="28" s="1"/>
  <c r="H502" i="28"/>
  <c r="H503" i="28"/>
  <c r="H505" i="28"/>
  <c r="H506" i="28"/>
  <c r="S502" i="28"/>
  <c r="S266" i="28"/>
  <c r="S267" i="28"/>
  <c r="S262" i="28"/>
  <c r="S263" i="28"/>
  <c r="S264" i="28"/>
  <c r="S265" i="28"/>
  <c r="S261" i="28"/>
  <c r="S253" i="28"/>
  <c r="S254" i="28"/>
  <c r="S255" i="28"/>
  <c r="S256" i="28"/>
  <c r="S257" i="28"/>
  <c r="S258" i="28"/>
  <c r="S259" i="28"/>
  <c r="S252" i="28"/>
  <c r="S250" i="28"/>
  <c r="S251" i="28"/>
  <c r="S244" i="28"/>
  <c r="S245" i="28"/>
  <c r="S246" i="28"/>
  <c r="S247" i="28"/>
  <c r="S248" i="28"/>
  <c r="S249" i="28"/>
  <c r="S243" i="28"/>
  <c r="S242" i="28"/>
  <c r="S241" i="28"/>
  <c r="S240" i="28"/>
  <c r="S238" i="28"/>
  <c r="S236" i="28"/>
  <c r="S237" i="28"/>
  <c r="S235" i="28"/>
  <c r="M140" i="28"/>
  <c r="S175" i="28"/>
  <c r="S170" i="28"/>
  <c r="S169" i="28"/>
  <c r="S165" i="28"/>
  <c r="S166" i="28"/>
  <c r="S164" i="28"/>
  <c r="S163" i="28"/>
  <c r="S161" i="28"/>
  <c r="S160" i="28"/>
  <c r="S156" i="28"/>
  <c r="S155" i="28"/>
  <c r="S154" i="28"/>
  <c r="S152" i="28"/>
  <c r="S151" i="28"/>
  <c r="S147" i="28"/>
  <c r="S146" i="28"/>
  <c r="S141" i="28"/>
  <c r="S142" i="28"/>
  <c r="S143" i="28"/>
  <c r="S144" i="28"/>
  <c r="S140" i="28"/>
  <c r="S137" i="28"/>
  <c r="S133" i="28"/>
  <c r="S132" i="28"/>
  <c r="S131" i="28"/>
  <c r="M131" i="28"/>
  <c r="H131" i="28"/>
  <c r="S705" i="28"/>
  <c r="S704" i="28"/>
  <c r="S648" i="28"/>
  <c r="S612" i="28"/>
  <c r="S593" i="28"/>
  <c r="S497" i="28"/>
  <c r="S498" i="28"/>
  <c r="S499" i="28"/>
  <c r="S500" i="28"/>
  <c r="S496" i="28"/>
  <c r="S482" i="28"/>
  <c r="S483" i="28"/>
  <c r="S484" i="28"/>
  <c r="S485" i="28"/>
  <c r="S486" i="28"/>
  <c r="S487" i="28"/>
  <c r="S488" i="28"/>
  <c r="S489" i="28"/>
  <c r="S490" i="28"/>
  <c r="S491" i="28"/>
  <c r="S481" i="28"/>
  <c r="S124" i="28"/>
  <c r="S125" i="28"/>
  <c r="S126" i="28"/>
  <c r="S123" i="28"/>
  <c r="S120" i="28"/>
  <c r="S121" i="28"/>
  <c r="S119" i="28"/>
  <c r="S111" i="28"/>
  <c r="S112" i="28"/>
  <c r="S113" i="28"/>
  <c r="S114" i="28"/>
  <c r="S115" i="28"/>
  <c r="S116" i="28"/>
  <c r="S117" i="28"/>
  <c r="S110" i="28"/>
  <c r="H110" i="28"/>
  <c r="H27" i="16"/>
  <c r="S105" i="28"/>
  <c r="S104" i="28"/>
  <c r="S103" i="28"/>
  <c r="S102" i="28"/>
  <c r="S101" i="28"/>
  <c r="S93" i="28"/>
  <c r="M93" i="28"/>
  <c r="H93" i="28"/>
  <c r="S67" i="28"/>
  <c r="S68" i="28"/>
  <c r="S69" i="28"/>
  <c r="S70" i="28"/>
  <c r="S71" i="28"/>
  <c r="S72" i="28"/>
  <c r="S73" i="28"/>
  <c r="S74" i="28"/>
  <c r="S75" i="28"/>
  <c r="M75" i="28"/>
  <c r="M67" i="28"/>
  <c r="M68" i="28"/>
  <c r="M69" i="28"/>
  <c r="M70" i="28"/>
  <c r="M71" i="28"/>
  <c r="M72" i="28"/>
  <c r="M73" i="28"/>
  <c r="M74" i="28"/>
  <c r="H75" i="28"/>
  <c r="H67" i="28"/>
  <c r="H68" i="28"/>
  <c r="H69" i="28"/>
  <c r="H70" i="28"/>
  <c r="H71" i="28"/>
  <c r="H72" i="28"/>
  <c r="H73" i="28"/>
  <c r="H74" i="28"/>
  <c r="S66" i="28"/>
  <c r="M66" i="28"/>
  <c r="H66" i="28"/>
  <c r="S100" i="28"/>
  <c r="S96" i="28"/>
  <c r="S97" i="28"/>
  <c r="S98" i="28"/>
  <c r="S99" i="28"/>
  <c r="S95" i="28"/>
  <c r="S92" i="28"/>
  <c r="S88" i="28"/>
  <c r="S89" i="28"/>
  <c r="S90" i="28"/>
  <c r="S91" i="28"/>
  <c r="S87" i="28"/>
  <c r="S83" i="28"/>
  <c r="S84" i="28"/>
  <c r="S85" i="28"/>
  <c r="S86" i="28"/>
  <c r="S82" i="28"/>
  <c r="S78" i="28"/>
  <c r="S79" i="28"/>
  <c r="S80" i="28"/>
  <c r="S81" i="28"/>
  <c r="S77" i="28"/>
  <c r="S65" i="28"/>
  <c r="S62" i="28"/>
  <c r="S63" i="28"/>
  <c r="S64" i="28"/>
  <c r="S61" i="28"/>
  <c r="S58" i="28"/>
  <c r="S59" i="28"/>
  <c r="S60" i="28"/>
  <c r="S57" i="28"/>
  <c r="S53" i="28"/>
  <c r="S54" i="28"/>
  <c r="S55" i="28"/>
  <c r="S56" i="28"/>
  <c r="S52" i="28"/>
  <c r="S46" i="28"/>
  <c r="S47" i="28"/>
  <c r="S48" i="28"/>
  <c r="S49" i="28"/>
  <c r="S45" i="28"/>
  <c r="S41" i="28"/>
  <c r="S42" i="28"/>
  <c r="S43" i="28"/>
  <c r="S44" i="28"/>
  <c r="S40" i="28"/>
  <c r="S36" i="28"/>
  <c r="S37" i="28"/>
  <c r="S38" i="28"/>
  <c r="S39" i="28"/>
  <c r="S35" i="28"/>
  <c r="S30" i="28"/>
  <c r="S31" i="28"/>
  <c r="S32" i="28"/>
  <c r="S33" i="28"/>
  <c r="S29" i="28"/>
  <c r="S25" i="28"/>
  <c r="S26" i="28"/>
  <c r="S27" i="28"/>
  <c r="S28" i="28"/>
  <c r="S24" i="28"/>
  <c r="S20" i="28"/>
  <c r="S21" i="28"/>
  <c r="S22" i="28"/>
  <c r="S23" i="28"/>
  <c r="S19" i="28"/>
  <c r="S15" i="28"/>
  <c r="S16" i="28"/>
  <c r="S17" i="28"/>
  <c r="S18" i="28"/>
  <c r="S14" i="28"/>
  <c r="S403" i="28"/>
  <c r="S401" i="28"/>
  <c r="S402" i="28"/>
  <c r="S400" i="28"/>
  <c r="S396" i="28"/>
  <c r="S397" i="28"/>
  <c r="S398" i="28"/>
  <c r="S399" i="28"/>
  <c r="S395" i="28"/>
  <c r="S391" i="28"/>
  <c r="S392" i="28"/>
  <c r="S393" i="28"/>
  <c r="S394" i="28"/>
  <c r="S390" i="28"/>
  <c r="S384" i="28"/>
  <c r="S383" i="28"/>
  <c r="S386" i="28"/>
  <c r="S387" i="28"/>
  <c r="S388" i="28"/>
  <c r="S389" i="28"/>
  <c r="S385" i="28"/>
  <c r="S414" i="28"/>
  <c r="S413" i="28"/>
  <c r="S412" i="28"/>
  <c r="S411" i="28"/>
  <c r="S410" i="28"/>
  <c r="S408" i="28"/>
  <c r="S409" i="28"/>
  <c r="S407" i="28"/>
  <c r="S406" i="28"/>
  <c r="S405" i="28"/>
  <c r="S590" i="28"/>
  <c r="S599" i="28"/>
  <c r="S613" i="28"/>
  <c r="S624" i="28"/>
  <c r="S649" i="28"/>
  <c r="S706" i="28"/>
  <c r="M414" i="28"/>
  <c r="M413" i="28"/>
  <c r="M412" i="28"/>
  <c r="M410" i="28"/>
  <c r="M411" i="28"/>
  <c r="M408" i="28"/>
  <c r="M409" i="28"/>
  <c r="M407" i="28"/>
  <c r="H406" i="28"/>
  <c r="H405" i="28"/>
  <c r="H401" i="28"/>
  <c r="H402" i="28"/>
  <c r="H403" i="28"/>
  <c r="H400" i="28"/>
  <c r="M401" i="28"/>
  <c r="M402" i="28"/>
  <c r="M403" i="28"/>
  <c r="M400" i="28"/>
  <c r="M396" i="28"/>
  <c r="M397" i="28"/>
  <c r="M398" i="28"/>
  <c r="M399" i="28"/>
  <c r="M395" i="28"/>
  <c r="H396" i="28"/>
  <c r="H397" i="28"/>
  <c r="H398" i="28"/>
  <c r="H399" i="28"/>
  <c r="H395" i="28"/>
  <c r="M391" i="28"/>
  <c r="M392" i="28"/>
  <c r="M393" i="28"/>
  <c r="M394" i="28"/>
  <c r="M390" i="28"/>
  <c r="H391" i="28"/>
  <c r="H392" i="28"/>
  <c r="H393" i="28"/>
  <c r="H394" i="28"/>
  <c r="H390" i="28"/>
  <c r="M386" i="28"/>
  <c r="M387" i="28"/>
  <c r="M388" i="28"/>
  <c r="M389" i="28"/>
  <c r="M385" i="28"/>
  <c r="H386" i="28"/>
  <c r="H387" i="28"/>
  <c r="H388" i="28"/>
  <c r="H389" i="28"/>
  <c r="H385" i="28"/>
  <c r="H384" i="28"/>
  <c r="H383" i="28"/>
  <c r="H96" i="28"/>
  <c r="H97" i="28"/>
  <c r="H98" i="28"/>
  <c r="H99" i="28"/>
  <c r="H95" i="28"/>
  <c r="H83" i="28"/>
  <c r="H84" i="28"/>
  <c r="H85" i="28"/>
  <c r="H86" i="28"/>
  <c r="M83" i="28"/>
  <c r="M84" i="28"/>
  <c r="M85" i="28"/>
  <c r="M86" i="28"/>
  <c r="M82" i="28"/>
  <c r="H82" i="28"/>
  <c r="M78" i="28"/>
  <c r="M79" i="28"/>
  <c r="M80" i="28"/>
  <c r="M81" i="28"/>
  <c r="H78" i="28"/>
  <c r="H79" i="28"/>
  <c r="H80" i="28"/>
  <c r="H81" i="28"/>
  <c r="M77" i="28"/>
  <c r="H77" i="28"/>
  <c r="M65" i="28"/>
  <c r="H65" i="28"/>
  <c r="M62" i="28"/>
  <c r="M63" i="28"/>
  <c r="M64" i="28"/>
  <c r="M61" i="28"/>
  <c r="H62" i="28"/>
  <c r="H63" i="28"/>
  <c r="H64" i="28"/>
  <c r="H61" i="28"/>
  <c r="M58" i="28"/>
  <c r="M59" i="28"/>
  <c r="M60" i="28"/>
  <c r="M57" i="28"/>
  <c r="H58" i="28"/>
  <c r="H59" i="28"/>
  <c r="H60" i="28"/>
  <c r="H57" i="28"/>
  <c r="M53" i="28"/>
  <c r="M54" i="28"/>
  <c r="M55" i="28"/>
  <c r="M56" i="28"/>
  <c r="M52" i="28"/>
  <c r="H53" i="28"/>
  <c r="H54" i="28"/>
  <c r="H55" i="28"/>
  <c r="H56" i="28"/>
  <c r="H52" i="28"/>
  <c r="H40" i="28"/>
  <c r="M36" i="28"/>
  <c r="M37" i="28"/>
  <c r="M38" i="28"/>
  <c r="M39" i="28"/>
  <c r="H36" i="28"/>
  <c r="H37" i="28"/>
  <c r="H38" i="28"/>
  <c r="H39" i="28"/>
  <c r="M35" i="28"/>
  <c r="H35" i="28"/>
  <c r="M30" i="28"/>
  <c r="M31" i="28"/>
  <c r="M32" i="28"/>
  <c r="M33" i="28"/>
  <c r="M29" i="28"/>
  <c r="H30" i="28"/>
  <c r="H31" i="28"/>
  <c r="H32" i="28"/>
  <c r="H33" i="28"/>
  <c r="H29" i="28"/>
  <c r="H24" i="28"/>
  <c r="M25" i="28"/>
  <c r="M26" i="28"/>
  <c r="M27" i="28"/>
  <c r="M28" i="28"/>
  <c r="M24" i="28"/>
  <c r="H25" i="28"/>
  <c r="H26" i="28"/>
  <c r="H27" i="28"/>
  <c r="H28" i="28"/>
  <c r="O131" i="28" l="1"/>
  <c r="M76" i="28"/>
  <c r="T504" i="28"/>
  <c r="B33" i="26"/>
  <c r="D33" i="26" l="1"/>
  <c r="F33" i="26"/>
  <c r="C12" i="31"/>
  <c r="E12" i="31"/>
  <c r="G12" i="31"/>
  <c r="C13" i="31"/>
  <c r="E13" i="31"/>
  <c r="G13" i="31"/>
  <c r="C14" i="31"/>
  <c r="E14" i="31"/>
  <c r="G14" i="31"/>
  <c r="C15" i="31"/>
  <c r="E15" i="31"/>
  <c r="G15" i="31"/>
  <c r="C16" i="31"/>
  <c r="E16" i="31"/>
  <c r="G16" i="31"/>
  <c r="C17" i="31"/>
  <c r="G17" i="31"/>
  <c r="B32" i="26"/>
  <c r="D31" i="26"/>
  <c r="F31" i="26"/>
  <c r="B31" i="26"/>
  <c r="B29" i="26"/>
  <c r="D28" i="26"/>
  <c r="C37" i="26"/>
  <c r="X44" i="26"/>
  <c r="V44" i="26"/>
  <c r="X43" i="26"/>
  <c r="S44" i="26"/>
  <c r="Q44" i="26"/>
  <c r="S43" i="26"/>
  <c r="Q43" i="26"/>
  <c r="I44" i="26"/>
  <c r="I43" i="26"/>
  <c r="G44" i="26"/>
  <c r="G43" i="26"/>
  <c r="B16" i="26"/>
  <c r="C16" i="26" s="1"/>
  <c r="B15" i="26"/>
  <c r="C15" i="26" s="1"/>
  <c r="B14" i="26"/>
  <c r="C14" i="26" s="1"/>
  <c r="B13" i="26"/>
  <c r="C13" i="26" s="1"/>
  <c r="B12" i="26"/>
  <c r="C12" i="26" s="1"/>
  <c r="B11" i="26"/>
  <c r="C11" i="26" s="1"/>
  <c r="B10" i="26"/>
  <c r="C10" i="26" s="1"/>
  <c r="J17" i="27"/>
  <c r="K18" i="27" l="1"/>
  <c r="D13" i="26" l="1"/>
  <c r="O10" i="27"/>
  <c r="M11" i="27"/>
  <c r="O37" i="27"/>
  <c r="M37" i="27"/>
  <c r="K37" i="27"/>
  <c r="H37" i="27"/>
  <c r="F37" i="27"/>
  <c r="D37" i="27"/>
  <c r="B37" i="27"/>
  <c r="O36" i="27"/>
  <c r="M36" i="27"/>
  <c r="K36" i="27"/>
  <c r="H36" i="27"/>
  <c r="F36" i="27"/>
  <c r="D36" i="27"/>
  <c r="D38" i="27" s="1"/>
  <c r="B36" i="27"/>
  <c r="O35" i="27"/>
  <c r="M35" i="27"/>
  <c r="K35" i="27"/>
  <c r="H35" i="27"/>
  <c r="H38" i="27" s="1"/>
  <c r="F35" i="27"/>
  <c r="D35" i="27"/>
  <c r="B35" i="27"/>
  <c r="B38" i="27" s="1"/>
  <c r="C29" i="27"/>
  <c r="C30" i="27" s="1"/>
  <c r="B29" i="27"/>
  <c r="B30" i="27" s="1"/>
  <c r="L17" i="27"/>
  <c r="K17" i="27"/>
  <c r="I17" i="27"/>
  <c r="H17" i="27"/>
  <c r="E17" i="27"/>
  <c r="O16" i="27"/>
  <c r="D16" i="26" s="1"/>
  <c r="F16" i="27"/>
  <c r="G16" i="27" s="1"/>
  <c r="C16" i="27"/>
  <c r="D16" i="27" s="1"/>
  <c r="N16" i="27" s="1"/>
  <c r="O15" i="27"/>
  <c r="F15" i="27"/>
  <c r="G15" i="27" s="1"/>
  <c r="B15" i="27"/>
  <c r="C15" i="27" s="1"/>
  <c r="O14" i="27"/>
  <c r="D14" i="26" s="1"/>
  <c r="F14" i="27"/>
  <c r="G14" i="27" s="1"/>
  <c r="C14" i="27"/>
  <c r="M14" i="27" s="1"/>
  <c r="B14" i="27"/>
  <c r="D14" i="27" s="1"/>
  <c r="N14" i="27" s="1"/>
  <c r="O13" i="27"/>
  <c r="G13" i="27"/>
  <c r="F13" i="27"/>
  <c r="M13" i="27" s="1"/>
  <c r="P13" i="27" s="1"/>
  <c r="D13" i="27"/>
  <c r="N13" i="27" s="1"/>
  <c r="C13" i="27"/>
  <c r="M12" i="27"/>
  <c r="G12" i="27"/>
  <c r="F12" i="27"/>
  <c r="D12" i="27"/>
  <c r="N12" i="27" s="1"/>
  <c r="C12" i="27"/>
  <c r="O11" i="27"/>
  <c r="D11" i="26" s="1"/>
  <c r="G11" i="27"/>
  <c r="F11" i="27"/>
  <c r="C11" i="27"/>
  <c r="D11" i="27" s="1"/>
  <c r="N11" i="27" s="1"/>
  <c r="F10" i="27"/>
  <c r="F17" i="27" s="1"/>
  <c r="B10" i="27"/>
  <c r="C10" i="27" s="1"/>
  <c r="M10" i="27" s="1"/>
  <c r="K13" i="31"/>
  <c r="K17" i="31"/>
  <c r="K16" i="31"/>
  <c r="K14" i="31"/>
  <c r="X131" i="29"/>
  <c r="T131" i="29"/>
  <c r="K18" i="31" s="1"/>
  <c r="N131" i="29"/>
  <c r="K130" i="29"/>
  <c r="M130" i="29" s="1"/>
  <c r="H130" i="29"/>
  <c r="M129" i="29"/>
  <c r="H129" i="29"/>
  <c r="P129" i="29" s="1"/>
  <c r="K128" i="29"/>
  <c r="M128" i="29" s="1"/>
  <c r="P128" i="29" s="1"/>
  <c r="H128" i="29"/>
  <c r="K127" i="29"/>
  <c r="M127" i="29" s="1"/>
  <c r="H127" i="29"/>
  <c r="P127" i="29" s="1"/>
  <c r="K126" i="29"/>
  <c r="M126" i="29" s="1"/>
  <c r="H126" i="29"/>
  <c r="K125" i="29"/>
  <c r="M125" i="29" s="1"/>
  <c r="H125" i="29"/>
  <c r="K124" i="29"/>
  <c r="M124" i="29" s="1"/>
  <c r="H124" i="29"/>
  <c r="X118" i="29"/>
  <c r="T118" i="29"/>
  <c r="N118" i="29"/>
  <c r="K117" i="29"/>
  <c r="M117" i="29" s="1"/>
  <c r="H117" i="29"/>
  <c r="K116" i="29"/>
  <c r="M116" i="29" s="1"/>
  <c r="H116" i="29"/>
  <c r="X114" i="29"/>
  <c r="T114" i="29"/>
  <c r="N114" i="29"/>
  <c r="K113" i="29"/>
  <c r="M113" i="29" s="1"/>
  <c r="H113" i="29"/>
  <c r="K112" i="29"/>
  <c r="M112" i="29" s="1"/>
  <c r="H112" i="29"/>
  <c r="X110" i="29"/>
  <c r="T110" i="29"/>
  <c r="N110" i="29"/>
  <c r="H109" i="29"/>
  <c r="K108" i="29"/>
  <c r="M108" i="29" s="1"/>
  <c r="M110" i="29" s="1"/>
  <c r="H108" i="29"/>
  <c r="X106" i="29"/>
  <c r="T106" i="29"/>
  <c r="N106" i="29"/>
  <c r="K105" i="29"/>
  <c r="M105" i="29" s="1"/>
  <c r="H105" i="29"/>
  <c r="K104" i="29"/>
  <c r="M104" i="29" s="1"/>
  <c r="H104" i="29"/>
  <c r="X102" i="29"/>
  <c r="T102" i="29"/>
  <c r="N102" i="29"/>
  <c r="K100" i="29"/>
  <c r="M100" i="29" s="1"/>
  <c r="P100" i="29" s="1"/>
  <c r="H100" i="29"/>
  <c r="K99" i="29"/>
  <c r="M99" i="29" s="1"/>
  <c r="H99" i="29"/>
  <c r="K98" i="29"/>
  <c r="M98" i="29" s="1"/>
  <c r="H98" i="29"/>
  <c r="K97" i="29"/>
  <c r="M97" i="29" s="1"/>
  <c r="H97" i="29"/>
  <c r="K96" i="29"/>
  <c r="M96" i="29" s="1"/>
  <c r="H96" i="29"/>
  <c r="K95" i="29"/>
  <c r="M95" i="29" s="1"/>
  <c r="H95" i="29"/>
  <c r="K94" i="29"/>
  <c r="M94" i="29" s="1"/>
  <c r="H94" i="29"/>
  <c r="K93" i="29"/>
  <c r="M93" i="29" s="1"/>
  <c r="H93" i="29"/>
  <c r="K92" i="29"/>
  <c r="M92" i="29" s="1"/>
  <c r="P92" i="29" s="1"/>
  <c r="H92" i="29"/>
  <c r="M91" i="29"/>
  <c r="H91" i="29"/>
  <c r="K90" i="29"/>
  <c r="M90" i="29" s="1"/>
  <c r="H90" i="29"/>
  <c r="K89" i="29"/>
  <c r="M89" i="29" s="1"/>
  <c r="H89" i="29"/>
  <c r="M84" i="29"/>
  <c r="H84" i="29"/>
  <c r="M76" i="29"/>
  <c r="H76" i="29"/>
  <c r="M69" i="29"/>
  <c r="H69" i="29"/>
  <c r="M61" i="29"/>
  <c r="H61" i="29"/>
  <c r="X51" i="29"/>
  <c r="T51" i="29"/>
  <c r="N51" i="29"/>
  <c r="K50" i="29"/>
  <c r="M50" i="29" s="1"/>
  <c r="H50" i="29"/>
  <c r="K49" i="29"/>
  <c r="M49" i="29" s="1"/>
  <c r="H49" i="29"/>
  <c r="K48" i="29"/>
  <c r="M48" i="29" s="1"/>
  <c r="H48" i="29"/>
  <c r="X47" i="29"/>
  <c r="T47" i="29"/>
  <c r="N47" i="29"/>
  <c r="H46" i="29"/>
  <c r="M45" i="29"/>
  <c r="H45" i="29"/>
  <c r="M44" i="29"/>
  <c r="H44" i="29"/>
  <c r="P44" i="29" s="1"/>
  <c r="M43" i="29"/>
  <c r="H43" i="29"/>
  <c r="M42" i="29"/>
  <c r="H42" i="29"/>
  <c r="M41" i="29"/>
  <c r="H41" i="29"/>
  <c r="X40" i="29"/>
  <c r="T40" i="29"/>
  <c r="N40" i="29"/>
  <c r="K39" i="29"/>
  <c r="M39" i="29" s="1"/>
  <c r="H39" i="29"/>
  <c r="K38" i="29"/>
  <c r="M38" i="29" s="1"/>
  <c r="H38" i="29"/>
  <c r="K37" i="29"/>
  <c r="M37" i="29" s="1"/>
  <c r="H37" i="29"/>
  <c r="K36" i="29"/>
  <c r="M36" i="29" s="1"/>
  <c r="H36" i="29"/>
  <c r="X35" i="29"/>
  <c r="T35" i="29"/>
  <c r="N35" i="29"/>
  <c r="K34" i="29"/>
  <c r="M34" i="29" s="1"/>
  <c r="H34" i="29"/>
  <c r="K33" i="29"/>
  <c r="M33" i="29" s="1"/>
  <c r="H33" i="29"/>
  <c r="K32" i="29"/>
  <c r="M32" i="29" s="1"/>
  <c r="H32" i="29"/>
  <c r="X31" i="29"/>
  <c r="T31" i="29"/>
  <c r="N31" i="29"/>
  <c r="M30" i="29"/>
  <c r="H30" i="29"/>
  <c r="M29" i="29"/>
  <c r="M31" i="29" s="1"/>
  <c r="H29" i="29"/>
  <c r="M28" i="29"/>
  <c r="H28" i="29"/>
  <c r="X25" i="29"/>
  <c r="T25" i="29"/>
  <c r="K12" i="31" s="1"/>
  <c r="N25" i="29"/>
  <c r="H24" i="29"/>
  <c r="K23" i="29"/>
  <c r="M23" i="29" s="1"/>
  <c r="H23" i="29"/>
  <c r="K22" i="29"/>
  <c r="M22" i="29" s="1"/>
  <c r="H22" i="29"/>
  <c r="X21" i="29"/>
  <c r="T21" i="29"/>
  <c r="N21" i="29"/>
  <c r="K20" i="29"/>
  <c r="M20" i="29" s="1"/>
  <c r="H20" i="29"/>
  <c r="K19" i="29"/>
  <c r="M19" i="29" s="1"/>
  <c r="H19" i="29"/>
  <c r="U18" i="29"/>
  <c r="K18" i="29"/>
  <c r="M18" i="29" s="1"/>
  <c r="P18" i="29" s="1"/>
  <c r="H18" i="29"/>
  <c r="K17" i="29"/>
  <c r="M17" i="29" s="1"/>
  <c r="H17" i="29"/>
  <c r="K16" i="29"/>
  <c r="M16" i="29" s="1"/>
  <c r="H16" i="29"/>
  <c r="X15" i="29"/>
  <c r="T15" i="29"/>
  <c r="K15" i="31" s="1"/>
  <c r="N15" i="29"/>
  <c r="N26" i="29" s="1"/>
  <c r="H14" i="29"/>
  <c r="K13" i="29"/>
  <c r="H13" i="29"/>
  <c r="M12" i="29"/>
  <c r="H12" i="29"/>
  <c r="S128" i="19"/>
  <c r="I20" i="31" s="1"/>
  <c r="P128" i="19"/>
  <c r="P126" i="19"/>
  <c r="W123" i="19"/>
  <c r="S123" i="19"/>
  <c r="M123" i="19"/>
  <c r="H123" i="19"/>
  <c r="O123" i="19" s="1"/>
  <c r="S122" i="19"/>
  <c r="W122" i="19" s="1"/>
  <c r="O122" i="19"/>
  <c r="T122" i="19" s="1"/>
  <c r="M122" i="19"/>
  <c r="H122" i="19"/>
  <c r="W121" i="19"/>
  <c r="S121" i="19"/>
  <c r="M121" i="19"/>
  <c r="M124" i="19" s="1"/>
  <c r="H121" i="19"/>
  <c r="O121" i="19" s="1"/>
  <c r="Q121" i="19" s="1"/>
  <c r="S120" i="19"/>
  <c r="W120" i="19" s="1"/>
  <c r="M120" i="19"/>
  <c r="H120" i="19"/>
  <c r="O120" i="19" s="1"/>
  <c r="S119" i="19"/>
  <c r="W119" i="19" s="1"/>
  <c r="O119" i="19"/>
  <c r="O124" i="19" s="1"/>
  <c r="H119" i="19"/>
  <c r="H124" i="19" s="1"/>
  <c r="W117" i="19"/>
  <c r="Q117" i="19"/>
  <c r="O117" i="19"/>
  <c r="M117" i="19"/>
  <c r="H117" i="19"/>
  <c r="S112" i="19"/>
  <c r="S113" i="19" s="1"/>
  <c r="M112" i="19"/>
  <c r="H112" i="19"/>
  <c r="O112" i="19" s="1"/>
  <c r="Q112" i="19" s="1"/>
  <c r="W111" i="19"/>
  <c r="S111" i="19"/>
  <c r="M111" i="19"/>
  <c r="M113" i="19" s="1"/>
  <c r="H111" i="19"/>
  <c r="O111" i="19" s="1"/>
  <c r="Q109" i="19"/>
  <c r="S108" i="19"/>
  <c r="W108" i="19" s="1"/>
  <c r="H108" i="19"/>
  <c r="H109" i="19" s="1"/>
  <c r="S107" i="19"/>
  <c r="W107" i="19" s="1"/>
  <c r="H107" i="19"/>
  <c r="O107" i="19" s="1"/>
  <c r="U105" i="19"/>
  <c r="T104" i="19"/>
  <c r="S104" i="19"/>
  <c r="W104" i="19" s="1"/>
  <c r="O104" i="19"/>
  <c r="Q104" i="19" s="1"/>
  <c r="M104" i="19"/>
  <c r="H104" i="19"/>
  <c r="S103" i="19"/>
  <c r="W103" i="19" s="1"/>
  <c r="M103" i="19"/>
  <c r="M105" i="19" s="1"/>
  <c r="H103" i="19"/>
  <c r="O103" i="19" s="1"/>
  <c r="Q103" i="19" s="1"/>
  <c r="W102" i="19"/>
  <c r="S102" i="19"/>
  <c r="T102" i="19" s="1"/>
  <c r="Q102" i="19"/>
  <c r="O102" i="19"/>
  <c r="H102" i="19"/>
  <c r="W101" i="19"/>
  <c r="S101" i="19"/>
  <c r="H101" i="19"/>
  <c r="H105" i="19" s="1"/>
  <c r="U99" i="19"/>
  <c r="U109" i="19" s="1"/>
  <c r="M99" i="19"/>
  <c r="S98" i="19"/>
  <c r="W98" i="19" s="1"/>
  <c r="M98" i="19"/>
  <c r="H98" i="19"/>
  <c r="H99" i="19" s="1"/>
  <c r="S97" i="19"/>
  <c r="W97" i="19" s="1"/>
  <c r="O97" i="19"/>
  <c r="Q97" i="19" s="1"/>
  <c r="M97" i="19"/>
  <c r="H97" i="19"/>
  <c r="U95" i="19"/>
  <c r="W94" i="19"/>
  <c r="S94" i="19"/>
  <c r="T94" i="19" s="1"/>
  <c r="J94" i="19"/>
  <c r="M94" i="19" s="1"/>
  <c r="H94" i="19"/>
  <c r="O94" i="19" s="1"/>
  <c r="E94" i="19"/>
  <c r="S93" i="19"/>
  <c r="T93" i="19" s="1"/>
  <c r="J93" i="19"/>
  <c r="M93" i="19" s="1"/>
  <c r="H93" i="19"/>
  <c r="O93" i="19" s="1"/>
  <c r="E93" i="19"/>
  <c r="S92" i="19"/>
  <c r="W92" i="19" s="1"/>
  <c r="M92" i="19"/>
  <c r="J92" i="19"/>
  <c r="E92" i="19"/>
  <c r="H92" i="19" s="1"/>
  <c r="O92" i="19" s="1"/>
  <c r="P92" i="19" s="1"/>
  <c r="S91" i="19"/>
  <c r="W91" i="19" s="1"/>
  <c r="O91" i="19"/>
  <c r="M91" i="19"/>
  <c r="J91" i="19"/>
  <c r="H91" i="19"/>
  <c r="E91" i="19"/>
  <c r="S90" i="19"/>
  <c r="T90" i="19" s="1"/>
  <c r="M90" i="19"/>
  <c r="H90" i="19"/>
  <c r="O90" i="19" s="1"/>
  <c r="Q90" i="19" s="1"/>
  <c r="S89" i="19"/>
  <c r="W89" i="19" s="1"/>
  <c r="M89" i="19"/>
  <c r="J89" i="19"/>
  <c r="E89" i="19"/>
  <c r="H89" i="19" s="1"/>
  <c r="O89" i="19" s="1"/>
  <c r="S88" i="19"/>
  <c r="W88" i="19" s="1"/>
  <c r="O88" i="19"/>
  <c r="T88" i="19" s="1"/>
  <c r="M88" i="19"/>
  <c r="H88" i="19"/>
  <c r="W87" i="19"/>
  <c r="S87" i="19"/>
  <c r="M87" i="19"/>
  <c r="H87" i="19"/>
  <c r="O87" i="19" s="1"/>
  <c r="P87" i="19" s="1"/>
  <c r="S86" i="19"/>
  <c r="W86" i="19" s="1"/>
  <c r="J86" i="19"/>
  <c r="M86" i="19" s="1"/>
  <c r="H86" i="19"/>
  <c r="E86" i="19"/>
  <c r="W85" i="19"/>
  <c r="S85" i="19"/>
  <c r="M85" i="19"/>
  <c r="J85" i="19"/>
  <c r="E85" i="19"/>
  <c r="H85" i="19" s="1"/>
  <c r="U81" i="19"/>
  <c r="U80" i="19"/>
  <c r="U82" i="19" s="1"/>
  <c r="S79" i="19"/>
  <c r="W79" i="19" s="1"/>
  <c r="O79" i="19"/>
  <c r="Q79" i="19" s="1"/>
  <c r="P79" i="19" s="1"/>
  <c r="M79" i="19"/>
  <c r="H79" i="19"/>
  <c r="S78" i="19"/>
  <c r="W78" i="19" s="1"/>
  <c r="M78" i="19"/>
  <c r="H78" i="19"/>
  <c r="O78" i="19" s="1"/>
  <c r="Q78" i="19" s="1"/>
  <c r="W77" i="19"/>
  <c r="S77" i="19"/>
  <c r="M77" i="19"/>
  <c r="J77" i="19"/>
  <c r="H77" i="19"/>
  <c r="O77" i="19" s="1"/>
  <c r="S76" i="19"/>
  <c r="W76" i="19" s="1"/>
  <c r="J76" i="19"/>
  <c r="M76" i="19" s="1"/>
  <c r="H76" i="19"/>
  <c r="S75" i="19"/>
  <c r="W75" i="19" s="1"/>
  <c r="M75" i="19"/>
  <c r="O75" i="19" s="1"/>
  <c r="H75" i="19"/>
  <c r="S74" i="19"/>
  <c r="W74" i="19" s="1"/>
  <c r="M74" i="19"/>
  <c r="O74" i="19" s="1"/>
  <c r="H74" i="19"/>
  <c r="S73" i="19"/>
  <c r="W73" i="19" s="1"/>
  <c r="O73" i="19"/>
  <c r="Q73" i="19" s="1"/>
  <c r="M73" i="19"/>
  <c r="H73" i="19"/>
  <c r="F73" i="19"/>
  <c r="S72" i="19"/>
  <c r="W72" i="19" s="1"/>
  <c r="S71" i="19"/>
  <c r="W71" i="19" s="1"/>
  <c r="O71" i="19"/>
  <c r="Q71" i="19" s="1"/>
  <c r="M71" i="19"/>
  <c r="H71" i="19"/>
  <c r="W70" i="19"/>
  <c r="S70" i="19"/>
  <c r="M70" i="19"/>
  <c r="H70" i="19"/>
  <c r="O70" i="19" s="1"/>
  <c r="T69" i="19"/>
  <c r="S69" i="19"/>
  <c r="W69" i="19" s="1"/>
  <c r="O69" i="19"/>
  <c r="Q69" i="19" s="1"/>
  <c r="M69" i="19"/>
  <c r="H69" i="19"/>
  <c r="W68" i="19"/>
  <c r="S67" i="19"/>
  <c r="W67" i="19" s="1"/>
  <c r="M67" i="19"/>
  <c r="H67" i="19"/>
  <c r="O67" i="19" s="1"/>
  <c r="S66" i="19"/>
  <c r="W66" i="19" s="1"/>
  <c r="M66" i="19"/>
  <c r="H66" i="19"/>
  <c r="H80" i="19" s="1"/>
  <c r="I80" i="19" s="1"/>
  <c r="S65" i="19"/>
  <c r="W65" i="19" s="1"/>
  <c r="O65" i="19"/>
  <c r="Q65" i="19" s="1"/>
  <c r="M65" i="19"/>
  <c r="H65" i="19"/>
  <c r="S64" i="19"/>
  <c r="M64" i="19"/>
  <c r="H64" i="19"/>
  <c r="O64" i="19" s="1"/>
  <c r="Q62" i="19"/>
  <c r="I62" i="19"/>
  <c r="S61" i="19"/>
  <c r="W61" i="19" s="1"/>
  <c r="M61" i="19"/>
  <c r="H61" i="19"/>
  <c r="H62" i="19" s="1"/>
  <c r="S60" i="19"/>
  <c r="W60" i="19" s="1"/>
  <c r="W62" i="19" s="1"/>
  <c r="O60" i="19"/>
  <c r="P60" i="19" s="1"/>
  <c r="M60" i="19"/>
  <c r="M62" i="19" s="1"/>
  <c r="H60" i="19"/>
  <c r="S58" i="19"/>
  <c r="W58" i="19" s="1"/>
  <c r="O58" i="19"/>
  <c r="T58" i="19" s="1"/>
  <c r="M58" i="19"/>
  <c r="M59" i="19" s="1"/>
  <c r="K58" i="19"/>
  <c r="H58" i="19"/>
  <c r="W57" i="19"/>
  <c r="M57" i="19"/>
  <c r="H57" i="19"/>
  <c r="S56" i="19"/>
  <c r="W56" i="19" s="1"/>
  <c r="O56" i="19"/>
  <c r="Q56" i="19" s="1"/>
  <c r="M56" i="19"/>
  <c r="H56" i="19"/>
  <c r="W55" i="19"/>
  <c r="M55" i="19"/>
  <c r="H55" i="19"/>
  <c r="H59" i="19" s="1"/>
  <c r="I59" i="19" s="1"/>
  <c r="S54" i="19"/>
  <c r="T54" i="19" s="1"/>
  <c r="O54" i="19"/>
  <c r="Q54" i="19" s="1"/>
  <c r="M54" i="19"/>
  <c r="H54" i="19"/>
  <c r="S53" i="19"/>
  <c r="M53" i="19"/>
  <c r="H53" i="19"/>
  <c r="O53" i="19" s="1"/>
  <c r="U51" i="19"/>
  <c r="U59" i="19" s="1"/>
  <c r="U62" i="19" s="1"/>
  <c r="M51" i="19"/>
  <c r="S50" i="19"/>
  <c r="T50" i="19" s="1"/>
  <c r="N50" i="19"/>
  <c r="H50" i="19"/>
  <c r="O50" i="19" s="1"/>
  <c r="Q50" i="19" s="1"/>
  <c r="E50" i="19"/>
  <c r="S49" i="19"/>
  <c r="W49" i="19" s="1"/>
  <c r="N49" i="19"/>
  <c r="H49" i="19"/>
  <c r="O49" i="19" s="1"/>
  <c r="Q49" i="19" s="1"/>
  <c r="G49" i="19"/>
  <c r="S48" i="19"/>
  <c r="T48" i="19" s="1"/>
  <c r="N48" i="19"/>
  <c r="H48" i="19"/>
  <c r="O48" i="19" s="1"/>
  <c r="Q48" i="19" s="1"/>
  <c r="E48" i="19"/>
  <c r="S47" i="19"/>
  <c r="W47" i="19" s="1"/>
  <c r="W46" i="19"/>
  <c r="S46" i="19"/>
  <c r="T46" i="19" s="1"/>
  <c r="Q46" i="19"/>
  <c r="O46" i="19"/>
  <c r="N46" i="19"/>
  <c r="H46" i="19"/>
  <c r="S45" i="19"/>
  <c r="I17" i="31" s="1"/>
  <c r="O45" i="19"/>
  <c r="T45" i="19" s="1"/>
  <c r="N45" i="19"/>
  <c r="H45" i="19"/>
  <c r="S44" i="19"/>
  <c r="W44" i="19" s="1"/>
  <c r="N44" i="19"/>
  <c r="H44" i="19"/>
  <c r="O44" i="19" s="1"/>
  <c r="Q44" i="19" s="1"/>
  <c r="S43" i="19"/>
  <c r="W43" i="19" s="1"/>
  <c r="N43" i="19"/>
  <c r="H43" i="19"/>
  <c r="O43" i="19" s="1"/>
  <c r="W42" i="19"/>
  <c r="S42" i="19"/>
  <c r="T42" i="19" s="1"/>
  <c r="O42" i="19"/>
  <c r="Q42" i="19" s="1"/>
  <c r="N42" i="19"/>
  <c r="H42" i="19"/>
  <c r="S41" i="19"/>
  <c r="W41" i="19" s="1"/>
  <c r="N41" i="19"/>
  <c r="N51" i="19" s="1"/>
  <c r="H41" i="19"/>
  <c r="H51" i="19" s="1"/>
  <c r="L39" i="19"/>
  <c r="K39" i="19"/>
  <c r="J39" i="19"/>
  <c r="Q38" i="19"/>
  <c r="H38" i="19"/>
  <c r="S37" i="19"/>
  <c r="W37" i="19" s="1"/>
  <c r="O37" i="19"/>
  <c r="H37" i="19"/>
  <c r="S36" i="19"/>
  <c r="W36" i="19" s="1"/>
  <c r="H36" i="19"/>
  <c r="O36" i="19" s="1"/>
  <c r="S35" i="19"/>
  <c r="S38" i="19" s="1"/>
  <c r="M35" i="19"/>
  <c r="O35" i="19" s="1"/>
  <c r="H35" i="19"/>
  <c r="S33" i="19"/>
  <c r="W33" i="19" s="1"/>
  <c r="N33" i="19"/>
  <c r="M33" i="19"/>
  <c r="H33" i="19"/>
  <c r="O33" i="19" s="1"/>
  <c r="S32" i="19"/>
  <c r="W32" i="19" s="1"/>
  <c r="O32" i="19"/>
  <c r="M32" i="19"/>
  <c r="I32" i="19"/>
  <c r="H32" i="19"/>
  <c r="S31" i="19"/>
  <c r="W31" i="19" s="1"/>
  <c r="M31" i="19"/>
  <c r="O31" i="19" s="1"/>
  <c r="H31" i="19"/>
  <c r="S30" i="19"/>
  <c r="T30" i="19" s="1"/>
  <c r="O30" i="19"/>
  <c r="M30" i="19"/>
  <c r="H30" i="19"/>
  <c r="W29" i="19"/>
  <c r="S29" i="19"/>
  <c r="S34" i="19" s="1"/>
  <c r="M29" i="19"/>
  <c r="M34" i="19" s="1"/>
  <c r="H29" i="19"/>
  <c r="H34" i="19" s="1"/>
  <c r="I34" i="19" s="1"/>
  <c r="S27" i="19"/>
  <c r="W27" i="19" s="1"/>
  <c r="H27" i="19"/>
  <c r="O27" i="19" s="1"/>
  <c r="W26" i="19"/>
  <c r="T26" i="19"/>
  <c r="S26" i="19"/>
  <c r="O26" i="19"/>
  <c r="H26" i="19"/>
  <c r="S25" i="19"/>
  <c r="T25" i="19" s="1"/>
  <c r="Q25" i="19"/>
  <c r="O25" i="19"/>
  <c r="H25" i="19"/>
  <c r="W24" i="19"/>
  <c r="S24" i="19"/>
  <c r="H24" i="19"/>
  <c r="O24" i="19" s="1"/>
  <c r="S23" i="19"/>
  <c r="T23" i="19" s="1"/>
  <c r="O23" i="19"/>
  <c r="Q23" i="19" s="1"/>
  <c r="H23" i="19"/>
  <c r="T22" i="19"/>
  <c r="S22" i="19"/>
  <c r="O22" i="19"/>
  <c r="Q22" i="19" s="1"/>
  <c r="H22" i="19"/>
  <c r="H28" i="19" s="1"/>
  <c r="I28" i="19" s="1"/>
  <c r="S21" i="19"/>
  <c r="W20" i="19"/>
  <c r="S20" i="19"/>
  <c r="M20" i="19"/>
  <c r="M21" i="19" s="1"/>
  <c r="H20" i="19"/>
  <c r="O20" i="19" s="1"/>
  <c r="T19" i="19"/>
  <c r="S19" i="19"/>
  <c r="W19" i="19" s="1"/>
  <c r="O19" i="19"/>
  <c r="Q19" i="19" s="1"/>
  <c r="H19" i="19"/>
  <c r="W18" i="19"/>
  <c r="S18" i="19"/>
  <c r="T18" i="19" s="1"/>
  <c r="Q18" i="19"/>
  <c r="O18" i="19"/>
  <c r="H18" i="19"/>
  <c r="W17" i="19"/>
  <c r="S17" i="19"/>
  <c r="T17" i="19" s="1"/>
  <c r="H17" i="19"/>
  <c r="O17" i="19" s="1"/>
  <c r="W16" i="19"/>
  <c r="S16" i="19"/>
  <c r="T16" i="19" s="1"/>
  <c r="O16" i="19"/>
  <c r="Q16" i="19" s="1"/>
  <c r="H16" i="19"/>
  <c r="H21" i="19" s="1"/>
  <c r="I21" i="19" s="1"/>
  <c r="Q15" i="19"/>
  <c r="S14" i="19"/>
  <c r="W14" i="19" s="1"/>
  <c r="H14" i="19"/>
  <c r="O14" i="19" s="1"/>
  <c r="S13" i="19"/>
  <c r="W13" i="19" s="1"/>
  <c r="H13" i="19"/>
  <c r="O13" i="19" s="1"/>
  <c r="T13" i="19" s="1"/>
  <c r="S12" i="19"/>
  <c r="H12" i="19"/>
  <c r="O12" i="19" s="1"/>
  <c r="O15" i="19" s="1"/>
  <c r="S15" i="19" l="1"/>
  <c r="W35" i="19"/>
  <c r="W38" i="19" s="1"/>
  <c r="W50" i="19"/>
  <c r="S80" i="19"/>
  <c r="T73" i="19"/>
  <c r="W95" i="19"/>
  <c r="V95" i="19" s="1"/>
  <c r="W90" i="19"/>
  <c r="W93" i="19"/>
  <c r="K38" i="27"/>
  <c r="M38" i="27"/>
  <c r="O38" i="27"/>
  <c r="P35" i="27" s="1"/>
  <c r="W12" i="19"/>
  <c r="W15" i="19" s="1"/>
  <c r="W45" i="19"/>
  <c r="W51" i="19" s="1"/>
  <c r="W64" i="19"/>
  <c r="W80" i="19" s="1"/>
  <c r="T89" i="19"/>
  <c r="S105" i="19"/>
  <c r="I14" i="31" s="1"/>
  <c r="W105" i="19"/>
  <c r="C37" i="27"/>
  <c r="W23" i="19"/>
  <c r="W25" i="19"/>
  <c r="W54" i="19"/>
  <c r="W59" i="19" s="1"/>
  <c r="V59" i="19" s="1"/>
  <c r="T56" i="19"/>
  <c r="S95" i="19"/>
  <c r="I12" i="31" s="1"/>
  <c r="I16" i="31"/>
  <c r="D29" i="27"/>
  <c r="D30" i="27" s="1"/>
  <c r="C36" i="27"/>
  <c r="E37" i="27"/>
  <c r="N37" i="27"/>
  <c r="T14" i="19"/>
  <c r="W30" i="19"/>
  <c r="F38" i="27"/>
  <c r="G35" i="27" s="1"/>
  <c r="J35" i="27"/>
  <c r="T32" i="19"/>
  <c r="S59" i="19"/>
  <c r="T91" i="19"/>
  <c r="S124" i="19"/>
  <c r="J37" i="27"/>
  <c r="W34" i="19"/>
  <c r="V34" i="19" s="1"/>
  <c r="L36" i="27"/>
  <c r="S28" i="19"/>
  <c r="T31" i="19"/>
  <c r="W48" i="19"/>
  <c r="W53" i="19"/>
  <c r="S109" i="19"/>
  <c r="I13" i="31"/>
  <c r="J36" i="27"/>
  <c r="L37" i="27"/>
  <c r="P14" i="27"/>
  <c r="I19" i="27"/>
  <c r="E35" i="27"/>
  <c r="G36" i="27"/>
  <c r="M15" i="27"/>
  <c r="D15" i="27"/>
  <c r="N15" i="27" s="1"/>
  <c r="C17" i="27"/>
  <c r="P11" i="27"/>
  <c r="H19" i="27"/>
  <c r="N35" i="27"/>
  <c r="P36" i="27"/>
  <c r="L18" i="27"/>
  <c r="L19" i="27" s="1"/>
  <c r="M16" i="27"/>
  <c r="P16" i="27" s="1"/>
  <c r="E18" i="27"/>
  <c r="E29" i="27"/>
  <c r="C35" i="27"/>
  <c r="C38" i="27" s="1"/>
  <c r="L35" i="27"/>
  <c r="L38" i="27" s="1"/>
  <c r="E36" i="27"/>
  <c r="N36" i="27"/>
  <c r="P37" i="27"/>
  <c r="G10" i="27"/>
  <c r="G17" i="27" s="1"/>
  <c r="O12" i="27"/>
  <c r="O17" i="27" s="1"/>
  <c r="F29" i="27"/>
  <c r="B31" i="27"/>
  <c r="D10" i="27"/>
  <c r="C31" i="27"/>
  <c r="H18" i="27"/>
  <c r="I18" i="27"/>
  <c r="B17" i="27"/>
  <c r="K19" i="27"/>
  <c r="P38" i="29"/>
  <c r="X26" i="29"/>
  <c r="H40" i="29"/>
  <c r="P30" i="29"/>
  <c r="R30" i="29" s="1"/>
  <c r="P37" i="29"/>
  <c r="W37" i="29" s="1"/>
  <c r="P48" i="29"/>
  <c r="W48" i="29" s="1"/>
  <c r="P105" i="29"/>
  <c r="T26" i="29"/>
  <c r="H85" i="29"/>
  <c r="H102" i="29"/>
  <c r="P96" i="29"/>
  <c r="R96" i="29" s="1"/>
  <c r="H131" i="29"/>
  <c r="M40" i="29"/>
  <c r="M85" i="29"/>
  <c r="H15" i="29"/>
  <c r="P19" i="29"/>
  <c r="P42" i="29"/>
  <c r="P125" i="29"/>
  <c r="U125" i="29" s="1"/>
  <c r="P13" i="29"/>
  <c r="U13" i="29" s="1"/>
  <c r="M35" i="29"/>
  <c r="H110" i="29"/>
  <c r="P126" i="29"/>
  <c r="U126" i="29" s="1"/>
  <c r="P130" i="29"/>
  <c r="P33" i="29"/>
  <c r="P90" i="29"/>
  <c r="R90" i="29" s="1"/>
  <c r="P97" i="29"/>
  <c r="P104" i="29"/>
  <c r="R104" i="29" s="1"/>
  <c r="P113" i="29"/>
  <c r="U113" i="29" s="1"/>
  <c r="H21" i="29"/>
  <c r="P22" i="29"/>
  <c r="P25" i="29" s="1"/>
  <c r="M47" i="29"/>
  <c r="H51" i="29"/>
  <c r="P91" i="29"/>
  <c r="R91" i="29" s="1"/>
  <c r="P94" i="29"/>
  <c r="M106" i="29"/>
  <c r="M21" i="29"/>
  <c r="H31" i="29"/>
  <c r="P34" i="29"/>
  <c r="U34" i="29" s="1"/>
  <c r="N52" i="29"/>
  <c r="N86" i="29" s="1"/>
  <c r="H106" i="29"/>
  <c r="P39" i="29"/>
  <c r="R39" i="29" s="1"/>
  <c r="P93" i="29"/>
  <c r="M15" i="29"/>
  <c r="P17" i="29"/>
  <c r="U17" i="29" s="1"/>
  <c r="P20" i="29"/>
  <c r="R20" i="29" s="1"/>
  <c r="P28" i="29"/>
  <c r="W28" i="29" s="1"/>
  <c r="T52" i="29"/>
  <c r="T86" i="29" s="1"/>
  <c r="P95" i="29"/>
  <c r="R95" i="29" s="1"/>
  <c r="P98" i="29"/>
  <c r="U98" i="29" s="1"/>
  <c r="H118" i="29"/>
  <c r="N132" i="29"/>
  <c r="X132" i="29"/>
  <c r="P50" i="29"/>
  <c r="W50" i="29" s="1"/>
  <c r="P14" i="29"/>
  <c r="W14" i="29" s="1"/>
  <c r="P29" i="29"/>
  <c r="R29" i="29" s="1"/>
  <c r="H35" i="29"/>
  <c r="P41" i="29"/>
  <c r="P45" i="29"/>
  <c r="U45" i="29" s="1"/>
  <c r="H114" i="29"/>
  <c r="R97" i="29"/>
  <c r="U97" i="29"/>
  <c r="W42" i="29"/>
  <c r="U42" i="29"/>
  <c r="R42" i="29"/>
  <c r="M102" i="29"/>
  <c r="P89" i="29"/>
  <c r="R93" i="29"/>
  <c r="U93" i="29"/>
  <c r="R129" i="29"/>
  <c r="U129" i="29"/>
  <c r="U130" i="29"/>
  <c r="R130" i="29"/>
  <c r="W33" i="29"/>
  <c r="U33" i="29"/>
  <c r="R33" i="29"/>
  <c r="W18" i="29"/>
  <c r="R18" i="29"/>
  <c r="U96" i="29"/>
  <c r="W19" i="29"/>
  <c r="U19" i="29"/>
  <c r="R19" i="29"/>
  <c r="W34" i="29"/>
  <c r="R44" i="29"/>
  <c r="W44" i="29"/>
  <c r="U44" i="29"/>
  <c r="U127" i="29"/>
  <c r="R127" i="29"/>
  <c r="U105" i="29"/>
  <c r="R105" i="29"/>
  <c r="M26" i="29"/>
  <c r="M25" i="29"/>
  <c r="M51" i="29"/>
  <c r="R98" i="29"/>
  <c r="P124" i="29"/>
  <c r="M131" i="29"/>
  <c r="P23" i="29"/>
  <c r="W29" i="29"/>
  <c r="U41" i="29"/>
  <c r="R41" i="29"/>
  <c r="W41" i="29"/>
  <c r="P49" i="29"/>
  <c r="M118" i="29"/>
  <c r="U94" i="29"/>
  <c r="R94" i="29"/>
  <c r="U100" i="29"/>
  <c r="R100" i="29"/>
  <c r="W38" i="29"/>
  <c r="U38" i="29"/>
  <c r="R38" i="29"/>
  <c r="U92" i="29"/>
  <c r="R92" i="29"/>
  <c r="P99" i="29"/>
  <c r="M114" i="29"/>
  <c r="P112" i="29"/>
  <c r="P117" i="29"/>
  <c r="U128" i="29"/>
  <c r="R128" i="29"/>
  <c r="P36" i="29"/>
  <c r="P43" i="29"/>
  <c r="X52" i="29"/>
  <c r="R125" i="29"/>
  <c r="H47" i="29"/>
  <c r="P16" i="29"/>
  <c r="H25" i="29"/>
  <c r="P32" i="29"/>
  <c r="P108" i="29"/>
  <c r="T132" i="29"/>
  <c r="P116" i="29"/>
  <c r="T33" i="19"/>
  <c r="P33" i="19"/>
  <c r="V38" i="19"/>
  <c r="O76" i="19"/>
  <c r="Q76" i="19" s="1"/>
  <c r="P76" i="19" s="1"/>
  <c r="M80" i="19"/>
  <c r="H95" i="19"/>
  <c r="O85" i="19"/>
  <c r="U113" i="19"/>
  <c r="U117" i="19" s="1"/>
  <c r="V15" i="19"/>
  <c r="S39" i="19"/>
  <c r="M81" i="19"/>
  <c r="T111" i="19"/>
  <c r="T27" i="19"/>
  <c r="T36" i="19"/>
  <c r="T49" i="19"/>
  <c r="T70" i="19"/>
  <c r="Q70" i="19"/>
  <c r="Q74" i="19"/>
  <c r="P74" i="19" s="1"/>
  <c r="T74" i="19"/>
  <c r="Q77" i="19"/>
  <c r="P77" i="19" s="1"/>
  <c r="T77" i="19"/>
  <c r="M95" i="19"/>
  <c r="M125" i="19" s="1"/>
  <c r="T92" i="19"/>
  <c r="W99" i="19"/>
  <c r="V105" i="19"/>
  <c r="W109" i="19"/>
  <c r="V109" i="19" s="1"/>
  <c r="T20" i="19"/>
  <c r="Q20" i="19"/>
  <c r="T123" i="19"/>
  <c r="Q123" i="19"/>
  <c r="W21" i="19"/>
  <c r="V21" i="19" s="1"/>
  <c r="O21" i="19"/>
  <c r="N21" i="19" s="1"/>
  <c r="Q17" i="19"/>
  <c r="Q21" i="19" s="1"/>
  <c r="P21" i="19" s="1"/>
  <c r="T21" i="19"/>
  <c r="T44" i="19"/>
  <c r="T53" i="19"/>
  <c r="Q53" i="19"/>
  <c r="O59" i="19"/>
  <c r="N59" i="19" s="1"/>
  <c r="T87" i="19"/>
  <c r="T121" i="19"/>
  <c r="O113" i="19"/>
  <c r="Q111" i="19"/>
  <c r="Q113" i="19" s="1"/>
  <c r="T15" i="19"/>
  <c r="Q24" i="19"/>
  <c r="T28" i="19"/>
  <c r="Q28" i="19"/>
  <c r="P28" i="19" s="1"/>
  <c r="T24" i="19"/>
  <c r="H81" i="19"/>
  <c r="I51" i="19"/>
  <c r="Q75" i="19"/>
  <c r="P75" i="19" s="1"/>
  <c r="T75" i="19"/>
  <c r="Q95" i="19"/>
  <c r="T113" i="19"/>
  <c r="W124" i="19"/>
  <c r="O38" i="19"/>
  <c r="T38" i="19" s="1"/>
  <c r="T43" i="19"/>
  <c r="Q43" i="19"/>
  <c r="T64" i="19"/>
  <c r="Q64" i="19"/>
  <c r="O86" i="19"/>
  <c r="T120" i="19"/>
  <c r="Q120" i="19"/>
  <c r="W22" i="19"/>
  <c r="W28" i="19" s="1"/>
  <c r="V28" i="19" s="1"/>
  <c r="O29" i="19"/>
  <c r="T29" i="19" s="1"/>
  <c r="T37" i="19"/>
  <c r="Q45" i="19"/>
  <c r="Q58" i="19"/>
  <c r="T78" i="19"/>
  <c r="T79" i="19"/>
  <c r="P88" i="19"/>
  <c r="Q91" i="19"/>
  <c r="O101" i="19"/>
  <c r="T103" i="19"/>
  <c r="O108" i="19"/>
  <c r="T108" i="19" s="1"/>
  <c r="T112" i="19"/>
  <c r="Q122" i="19"/>
  <c r="T124" i="19"/>
  <c r="H15" i="19"/>
  <c r="O61" i="19"/>
  <c r="O66" i="19"/>
  <c r="O80" i="19" s="1"/>
  <c r="O98" i="19"/>
  <c r="W112" i="19"/>
  <c r="W113" i="19" s="1"/>
  <c r="V113" i="19" s="1"/>
  <c r="O62" i="19"/>
  <c r="N62" i="19" s="1"/>
  <c r="S99" i="19"/>
  <c r="H113" i="19"/>
  <c r="M38" i="19"/>
  <c r="M39" i="19" s="1"/>
  <c r="M82" i="19" s="1"/>
  <c r="O41" i="19"/>
  <c r="T85" i="19"/>
  <c r="T101" i="19"/>
  <c r="Q119" i="19"/>
  <c r="S51" i="19"/>
  <c r="T12" i="19"/>
  <c r="T60" i="19"/>
  <c r="S62" i="19"/>
  <c r="S81" i="19" s="1"/>
  <c r="T65" i="19"/>
  <c r="T71" i="19"/>
  <c r="T97" i="19"/>
  <c r="T107" i="19"/>
  <c r="T119" i="19"/>
  <c r="R14" i="29" l="1"/>
  <c r="N17" i="27"/>
  <c r="M17" i="27"/>
  <c r="D15" i="26"/>
  <c r="G29" i="27"/>
  <c r="D31" i="27"/>
  <c r="P12" i="27"/>
  <c r="D12" i="26"/>
  <c r="V51" i="19"/>
  <c r="J38" i="27"/>
  <c r="P38" i="27"/>
  <c r="G37" i="27"/>
  <c r="G38" i="27"/>
  <c r="E30" i="27"/>
  <c r="G30" i="27" s="1"/>
  <c r="G31" i="27" s="1"/>
  <c r="E31" i="27"/>
  <c r="F18" i="27"/>
  <c r="F19" i="27" s="1"/>
  <c r="N10" i="27"/>
  <c r="D17" i="27"/>
  <c r="N38" i="27"/>
  <c r="P15" i="27"/>
  <c r="E19" i="27"/>
  <c r="B18" i="27"/>
  <c r="F30" i="27"/>
  <c r="F31" i="27" s="1"/>
  <c r="E38" i="27"/>
  <c r="U25" i="29"/>
  <c r="W25" i="29"/>
  <c r="R126" i="29"/>
  <c r="U48" i="29"/>
  <c r="R34" i="29"/>
  <c r="U30" i="29"/>
  <c r="W17" i="29"/>
  <c r="R48" i="29"/>
  <c r="W30" i="29"/>
  <c r="R22" i="29"/>
  <c r="H26" i="29"/>
  <c r="U22" i="29"/>
  <c r="W22" i="29"/>
  <c r="U28" i="29"/>
  <c r="R37" i="29"/>
  <c r="R106" i="29"/>
  <c r="P31" i="29"/>
  <c r="U37" i="29"/>
  <c r="R28" i="29"/>
  <c r="H132" i="29"/>
  <c r="P15" i="29"/>
  <c r="U15" i="29" s="1"/>
  <c r="R50" i="29"/>
  <c r="U20" i="29"/>
  <c r="W13" i="29"/>
  <c r="U50" i="29"/>
  <c r="H52" i="29"/>
  <c r="H86" i="29" s="1"/>
  <c r="H134" i="29" s="1"/>
  <c r="U104" i="29"/>
  <c r="W45" i="29"/>
  <c r="W20" i="29"/>
  <c r="R13" i="29"/>
  <c r="P106" i="29"/>
  <c r="U106" i="29" s="1"/>
  <c r="R45" i="29"/>
  <c r="N134" i="29"/>
  <c r="N135" i="29" s="1"/>
  <c r="N136" i="29" s="1"/>
  <c r="M52" i="29"/>
  <c r="M86" i="29" s="1"/>
  <c r="U29" i="29"/>
  <c r="U95" i="29"/>
  <c r="U91" i="29"/>
  <c r="R12" i="29"/>
  <c r="W12" i="29"/>
  <c r="U12" i="29"/>
  <c r="U90" i="29"/>
  <c r="R15" i="29"/>
  <c r="M132" i="29"/>
  <c r="R17" i="29"/>
  <c r="R113" i="29"/>
  <c r="U39" i="29"/>
  <c r="W39" i="29"/>
  <c r="U14" i="29"/>
  <c r="X86" i="29"/>
  <c r="P114" i="29"/>
  <c r="U114" i="29" s="1"/>
  <c r="U112" i="29"/>
  <c r="R112" i="29"/>
  <c r="R114" i="29" s="1"/>
  <c r="R23" i="29"/>
  <c r="U23" i="29"/>
  <c r="W23" i="29"/>
  <c r="W31" i="29"/>
  <c r="U31" i="29"/>
  <c r="U117" i="29"/>
  <c r="R117" i="29"/>
  <c r="P40" i="29"/>
  <c r="W36" i="29"/>
  <c r="U36" i="29"/>
  <c r="R36" i="29"/>
  <c r="R40" i="29" s="1"/>
  <c r="P21" i="29"/>
  <c r="P26" i="29" s="1"/>
  <c r="W16" i="29"/>
  <c r="U16" i="29"/>
  <c r="R16" i="29"/>
  <c r="R21" i="29" s="1"/>
  <c r="R31" i="29"/>
  <c r="W43" i="29"/>
  <c r="U43" i="29"/>
  <c r="R43" i="29"/>
  <c r="R47" i="29" s="1"/>
  <c r="P102" i="29"/>
  <c r="U102" i="29" s="1"/>
  <c r="U89" i="29"/>
  <c r="R89" i="29"/>
  <c r="U99" i="29"/>
  <c r="R99" i="29"/>
  <c r="P47" i="29"/>
  <c r="R116" i="29"/>
  <c r="U116" i="29"/>
  <c r="P118" i="29"/>
  <c r="U118" i="29" s="1"/>
  <c r="T134" i="29"/>
  <c r="U49" i="29"/>
  <c r="R49" i="29"/>
  <c r="W49" i="29"/>
  <c r="U124" i="29"/>
  <c r="P131" i="29"/>
  <c r="R124" i="29"/>
  <c r="R131" i="29" s="1"/>
  <c r="U108" i="29"/>
  <c r="R108" i="29"/>
  <c r="R110" i="29" s="1"/>
  <c r="P110" i="29"/>
  <c r="U110" i="29" s="1"/>
  <c r="W32" i="29"/>
  <c r="U32" i="29"/>
  <c r="P35" i="29"/>
  <c r="R32" i="29"/>
  <c r="R35" i="29" s="1"/>
  <c r="W15" i="29"/>
  <c r="P51" i="29"/>
  <c r="U124" i="19"/>
  <c r="S82" i="19"/>
  <c r="N80" i="19"/>
  <c r="T80" i="19"/>
  <c r="V99" i="19"/>
  <c r="P38" i="19"/>
  <c r="V80" i="19"/>
  <c r="W81" i="19"/>
  <c r="Q124" i="19"/>
  <c r="T76" i="19"/>
  <c r="W39" i="19"/>
  <c r="V39" i="19" s="1"/>
  <c r="T98" i="19"/>
  <c r="Q98" i="19"/>
  <c r="Q99" i="19" s="1"/>
  <c r="M126" i="19"/>
  <c r="M128" i="19" s="1"/>
  <c r="M129" i="19" s="1"/>
  <c r="O105" i="19"/>
  <c r="T105" i="19" s="1"/>
  <c r="Q101" i="19"/>
  <c r="Q105" i="19" s="1"/>
  <c r="T86" i="19"/>
  <c r="P86" i="19"/>
  <c r="P62" i="19"/>
  <c r="T62" i="19"/>
  <c r="T41" i="19"/>
  <c r="Q41" i="19"/>
  <c r="Q51" i="19" s="1"/>
  <c r="P51" i="19" s="1"/>
  <c r="O51" i="19"/>
  <c r="T61" i="19"/>
  <c r="P61" i="19"/>
  <c r="O99" i="19"/>
  <c r="T99" i="19" s="1"/>
  <c r="Q80" i="19"/>
  <c r="T59" i="19"/>
  <c r="Q59" i="19"/>
  <c r="P59" i="19" s="1"/>
  <c r="O95" i="19"/>
  <c r="P85" i="19"/>
  <c r="H39" i="19"/>
  <c r="I39" i="19" s="1"/>
  <c r="I15" i="19"/>
  <c r="S125" i="19"/>
  <c r="O109" i="19"/>
  <c r="T109" i="19" s="1"/>
  <c r="I95" i="19"/>
  <c r="H125" i="19"/>
  <c r="T51" i="19"/>
  <c r="O34" i="19"/>
  <c r="Q29" i="19"/>
  <c r="Q34" i="19" s="1"/>
  <c r="W125" i="19"/>
  <c r="V124" i="19"/>
  <c r="H82" i="19"/>
  <c r="O82" i="19" s="1"/>
  <c r="O81" i="19"/>
  <c r="N81" i="19" s="1"/>
  <c r="I81" i="19"/>
  <c r="I18" i="31"/>
  <c r="I15" i="31"/>
  <c r="O17" i="31"/>
  <c r="O16" i="31"/>
  <c r="O15" i="31"/>
  <c r="J19" i="31"/>
  <c r="D31" i="31" s="1"/>
  <c r="L19" i="31"/>
  <c r="N19" i="31"/>
  <c r="N20" i="31" s="1"/>
  <c r="N21" i="31" s="1"/>
  <c r="O18" i="31"/>
  <c r="O14" i="31"/>
  <c r="O13" i="31"/>
  <c r="O12" i="31"/>
  <c r="G18" i="31"/>
  <c r="E18" i="31"/>
  <c r="F15" i="26"/>
  <c r="C18" i="31"/>
  <c r="F16" i="26" s="1"/>
  <c r="F14" i="26"/>
  <c r="F12" i="26"/>
  <c r="P39" i="31"/>
  <c r="M39" i="31"/>
  <c r="H39" i="31"/>
  <c r="F39" i="31"/>
  <c r="D39" i="31"/>
  <c r="B39" i="31"/>
  <c r="P38" i="31"/>
  <c r="M38" i="31"/>
  <c r="H38" i="31"/>
  <c r="F38" i="31"/>
  <c r="D38" i="31"/>
  <c r="B38" i="31"/>
  <c r="P37" i="31"/>
  <c r="M37" i="31"/>
  <c r="H37" i="31"/>
  <c r="F37" i="31"/>
  <c r="D37" i="31"/>
  <c r="B37" i="31"/>
  <c r="F31" i="31"/>
  <c r="E31" i="31"/>
  <c r="H19" i="31"/>
  <c r="C31" i="31" s="1"/>
  <c r="F19" i="31"/>
  <c r="B31" i="31" s="1"/>
  <c r="B32" i="31" s="1"/>
  <c r="D19" i="31"/>
  <c r="P18" i="31"/>
  <c r="P15" i="31"/>
  <c r="F11" i="26" l="1"/>
  <c r="F10" i="26"/>
  <c r="F13" i="26"/>
  <c r="F20" i="31"/>
  <c r="G19" i="31"/>
  <c r="H20" i="31"/>
  <c r="H21" i="31" s="1"/>
  <c r="B19" i="26" s="1"/>
  <c r="G18" i="27"/>
  <c r="G19" i="27" s="1"/>
  <c r="B17" i="26"/>
  <c r="P40" i="31"/>
  <c r="Q37" i="31" s="1"/>
  <c r="D40" i="31"/>
  <c r="E39" i="31" s="1"/>
  <c r="N18" i="27"/>
  <c r="N19" i="27" s="1"/>
  <c r="C18" i="27"/>
  <c r="C19" i="27" s="1"/>
  <c r="M18" i="27"/>
  <c r="M19" i="27" s="1"/>
  <c r="B19" i="27"/>
  <c r="P10" i="27"/>
  <c r="P17" i="27" s="1"/>
  <c r="R25" i="29"/>
  <c r="R26" i="29" s="1"/>
  <c r="R51" i="29"/>
  <c r="R52" i="29" s="1"/>
  <c r="R118" i="29"/>
  <c r="M134" i="29"/>
  <c r="U47" i="29"/>
  <c r="W47" i="29"/>
  <c r="U40" i="29"/>
  <c r="W40" i="29"/>
  <c r="U51" i="29"/>
  <c r="P52" i="29"/>
  <c r="W51" i="29"/>
  <c r="T135" i="29"/>
  <c r="T136" i="29" s="1"/>
  <c r="R102" i="29"/>
  <c r="R132" i="29" s="1"/>
  <c r="U35" i="29"/>
  <c r="W35" i="29"/>
  <c r="H135" i="29"/>
  <c r="H136" i="29" s="1"/>
  <c r="W26" i="29"/>
  <c r="U26" i="29"/>
  <c r="X134" i="29"/>
  <c r="P132" i="29"/>
  <c r="U131" i="29"/>
  <c r="W21" i="29"/>
  <c r="U21" i="29"/>
  <c r="P82" i="19"/>
  <c r="N82" i="19"/>
  <c r="Q81" i="19"/>
  <c r="P81" i="19" s="1"/>
  <c r="P80" i="19"/>
  <c r="S126" i="19"/>
  <c r="S129" i="19" s="1"/>
  <c r="Q17" i="31"/>
  <c r="V125" i="19"/>
  <c r="P34" i="19"/>
  <c r="Q39" i="19"/>
  <c r="T82" i="19"/>
  <c r="N34" i="19"/>
  <c r="T34" i="19"/>
  <c r="O39" i="19"/>
  <c r="Q125" i="19"/>
  <c r="Q126" i="19" s="1"/>
  <c r="Q129" i="19" s="1"/>
  <c r="T81" i="19"/>
  <c r="N95" i="19"/>
  <c r="T95" i="19"/>
  <c r="W82" i="19"/>
  <c r="V82" i="19" s="1"/>
  <c r="V81" i="19"/>
  <c r="U129" i="19"/>
  <c r="H126" i="19"/>
  <c r="O125" i="19"/>
  <c r="N125" i="19" s="1"/>
  <c r="U125" i="19"/>
  <c r="K19" i="31"/>
  <c r="J20" i="31"/>
  <c r="J21" i="31" s="1"/>
  <c r="I19" i="31"/>
  <c r="O19" i="31"/>
  <c r="L21" i="31"/>
  <c r="L20" i="31"/>
  <c r="M40" i="31"/>
  <c r="N37" i="31" s="1"/>
  <c r="F40" i="31"/>
  <c r="G37" i="31" s="1"/>
  <c r="B40" i="31"/>
  <c r="C39" i="31" s="1"/>
  <c r="C19" i="31"/>
  <c r="C20" i="31" s="1"/>
  <c r="C32" i="31"/>
  <c r="C33" i="31" s="1"/>
  <c r="D32" i="31"/>
  <c r="D33" i="31" s="1"/>
  <c r="E32" i="31"/>
  <c r="E33" i="31" s="1"/>
  <c r="F32" i="31"/>
  <c r="F33" i="31" s="1"/>
  <c r="B19" i="31"/>
  <c r="P16" i="31"/>
  <c r="H40" i="31"/>
  <c r="J38" i="31" s="1"/>
  <c r="P13" i="31"/>
  <c r="D20" i="31"/>
  <c r="E19" i="31"/>
  <c r="P14" i="31"/>
  <c r="G31" i="31"/>
  <c r="P17" i="31"/>
  <c r="B33" i="31"/>
  <c r="R86" i="29" l="1"/>
  <c r="E37" i="31"/>
  <c r="B20" i="26"/>
  <c r="B21" i="26" s="1"/>
  <c r="G39" i="31"/>
  <c r="Q39" i="31"/>
  <c r="Q38" i="31"/>
  <c r="N39" i="31"/>
  <c r="D10" i="26"/>
  <c r="C17" i="26"/>
  <c r="W126" i="19"/>
  <c r="W128" i="19" s="1"/>
  <c r="W129" i="19" s="1"/>
  <c r="V129" i="19" s="1"/>
  <c r="N38" i="31"/>
  <c r="E38" i="31"/>
  <c r="R17" i="31"/>
  <c r="Q40" i="31"/>
  <c r="D18" i="27"/>
  <c r="D19" i="27" s="1"/>
  <c r="R134" i="29"/>
  <c r="R136" i="29" s="1"/>
  <c r="M135" i="29"/>
  <c r="M136" i="29" s="1"/>
  <c r="U132" i="29"/>
  <c r="X135" i="29"/>
  <c r="X136" i="29" s="1"/>
  <c r="P86" i="29"/>
  <c r="V43" i="26" s="1"/>
  <c r="U52" i="29"/>
  <c r="W52" i="29"/>
  <c r="N39" i="19"/>
  <c r="T39" i="19"/>
  <c r="T125" i="19"/>
  <c r="H128" i="19"/>
  <c r="H129" i="19" s="1"/>
  <c r="O129" i="19" s="1"/>
  <c r="O128" i="19"/>
  <c r="T128" i="19" s="1"/>
  <c r="P39" i="19"/>
  <c r="K20" i="31"/>
  <c r="K21" i="31" s="1"/>
  <c r="I21" i="31"/>
  <c r="O20" i="31"/>
  <c r="O21" i="31" s="1"/>
  <c r="C38" i="31"/>
  <c r="J37" i="31"/>
  <c r="C37" i="31"/>
  <c r="G38" i="31"/>
  <c r="G32" i="31"/>
  <c r="G33" i="31" s="1"/>
  <c r="E20" i="31"/>
  <c r="B20" i="31"/>
  <c r="B21" i="31" s="1"/>
  <c r="J39" i="31"/>
  <c r="F21" i="31"/>
  <c r="D21" i="31"/>
  <c r="B5" i="26" l="1"/>
  <c r="E40" i="31"/>
  <c r="J40" i="31"/>
  <c r="N40" i="31"/>
  <c r="G40" i="31"/>
  <c r="C19" i="26"/>
  <c r="D19" i="26" s="1"/>
  <c r="C40" i="31"/>
  <c r="B5" i="27"/>
  <c r="U86" i="29"/>
  <c r="W86" i="29"/>
  <c r="P134" i="29"/>
  <c r="C28" i="26" s="1"/>
  <c r="C31" i="26" s="1"/>
  <c r="S130" i="19"/>
  <c r="N129" i="19"/>
  <c r="T129" i="19"/>
  <c r="G20" i="31"/>
  <c r="G21" i="31" s="1"/>
  <c r="E21" i="31"/>
  <c r="P20" i="31"/>
  <c r="B5" i="31"/>
  <c r="O192" i="17"/>
  <c r="Q192" i="17"/>
  <c r="S192" i="17"/>
  <c r="X36" i="17"/>
  <c r="X198" i="22"/>
  <c r="X197" i="22"/>
  <c r="X194" i="22"/>
  <c r="X190" i="22"/>
  <c r="X187" i="22"/>
  <c r="X184" i="22"/>
  <c r="X180" i="22"/>
  <c r="X177" i="22"/>
  <c r="X170" i="22"/>
  <c r="X171" i="22" s="1"/>
  <c r="X153" i="22"/>
  <c r="X120" i="22"/>
  <c r="X121" i="22" s="1"/>
  <c r="X103" i="22"/>
  <c r="X78" i="22"/>
  <c r="X55" i="22"/>
  <c r="X36" i="22"/>
  <c r="B6" i="27" l="1"/>
  <c r="B7" i="27" s="1"/>
  <c r="B5" i="29"/>
  <c r="P135" i="29"/>
  <c r="U134" i="29"/>
  <c r="W134" i="29"/>
  <c r="C21" i="31"/>
  <c r="P21" i="31"/>
  <c r="B6" i="31"/>
  <c r="B7" i="31" s="1"/>
  <c r="X172" i="22"/>
  <c r="K38" i="31"/>
  <c r="Z58" i="16"/>
  <c r="Z12" i="16"/>
  <c r="Y86" i="16"/>
  <c r="B6" i="29" l="1"/>
  <c r="J18" i="27"/>
  <c r="P136" i="29"/>
  <c r="B7" i="29"/>
  <c r="U136" i="29"/>
  <c r="W136" i="29"/>
  <c r="X200" i="22"/>
  <c r="K37" i="31"/>
  <c r="O18" i="27" l="1"/>
  <c r="P18" i="27" s="1"/>
  <c r="J19" i="27"/>
  <c r="O19" i="27" s="1"/>
  <c r="P19" i="27" s="1"/>
  <c r="X202" i="22"/>
  <c r="X201" i="22"/>
  <c r="Q10" i="27" l="1"/>
  <c r="Q19" i="27"/>
  <c r="Q15" i="27"/>
  <c r="Q12" i="27"/>
  <c r="Q11" i="27"/>
  <c r="Q13" i="27"/>
  <c r="Q17" i="27"/>
  <c r="Q14" i="27"/>
  <c r="Q16" i="27"/>
  <c r="Q18" i="27"/>
  <c r="K39" i="31"/>
  <c r="K40" i="31" s="1"/>
  <c r="L39" i="31" l="1"/>
  <c r="L38" i="31"/>
  <c r="L37" i="31"/>
  <c r="L40" i="31" l="1"/>
  <c r="Z38" i="16"/>
  <c r="X186" i="17"/>
  <c r="T186" i="17"/>
  <c r="N185" i="17"/>
  <c r="I185" i="17"/>
  <c r="P185" i="17" s="1"/>
  <c r="U185" i="17" s="1"/>
  <c r="N184" i="17"/>
  <c r="I184" i="17"/>
  <c r="P184" i="17" s="1"/>
  <c r="U184" i="17" s="1"/>
  <c r="L183" i="17"/>
  <c r="N183" i="17" s="1"/>
  <c r="G183" i="17"/>
  <c r="I183" i="17" s="1"/>
  <c r="N182" i="17"/>
  <c r="I182" i="17"/>
  <c r="N181" i="17"/>
  <c r="I181" i="17"/>
  <c r="N180" i="17"/>
  <c r="I180" i="17"/>
  <c r="P180" i="17" s="1"/>
  <c r="U180" i="17" s="1"/>
  <c r="N179" i="17"/>
  <c r="I179" i="17"/>
  <c r="N177" i="17"/>
  <c r="I177" i="17"/>
  <c r="N176" i="17"/>
  <c r="P176" i="17" s="1"/>
  <c r="U176" i="17" s="1"/>
  <c r="I176" i="17"/>
  <c r="L175" i="17"/>
  <c r="N175" i="17" s="1"/>
  <c r="G175" i="17"/>
  <c r="I175" i="17" s="1"/>
  <c r="N174" i="17"/>
  <c r="I174" i="17"/>
  <c r="N173" i="17"/>
  <c r="I173" i="17"/>
  <c r="N172" i="17"/>
  <c r="I172" i="17"/>
  <c r="N171" i="17"/>
  <c r="I171" i="17"/>
  <c r="X166" i="17"/>
  <c r="T166" i="17"/>
  <c r="N165" i="17"/>
  <c r="I165" i="17"/>
  <c r="N164" i="17"/>
  <c r="I164" i="17"/>
  <c r="N163" i="17"/>
  <c r="I163" i="17"/>
  <c r="P163" i="17" s="1"/>
  <c r="U163" i="17" s="1"/>
  <c r="N162" i="17"/>
  <c r="I162" i="17"/>
  <c r="T160" i="17"/>
  <c r="N159" i="17"/>
  <c r="I159" i="17"/>
  <c r="I158" i="17"/>
  <c r="X156" i="17"/>
  <c r="T156" i="17"/>
  <c r="N155" i="17"/>
  <c r="I155" i="17"/>
  <c r="P155" i="17" s="1"/>
  <c r="U155" i="17" s="1"/>
  <c r="N154" i="17"/>
  <c r="I154" i="17"/>
  <c r="T152" i="17"/>
  <c r="N152" i="17"/>
  <c r="I152" i="17"/>
  <c r="P151" i="17"/>
  <c r="P152" i="17" s="1"/>
  <c r="X149" i="17"/>
  <c r="X152" i="17" s="1"/>
  <c r="T149" i="17"/>
  <c r="N148" i="17"/>
  <c r="I148" i="17"/>
  <c r="N147" i="17"/>
  <c r="I147" i="17"/>
  <c r="P147" i="17" s="1"/>
  <c r="U147" i="17" s="1"/>
  <c r="N146" i="17"/>
  <c r="I146" i="17"/>
  <c r="N145" i="17"/>
  <c r="I145" i="17"/>
  <c r="P145" i="17" s="1"/>
  <c r="U145" i="17" s="1"/>
  <c r="N143" i="17"/>
  <c r="I143" i="17"/>
  <c r="N142" i="17"/>
  <c r="I142" i="17"/>
  <c r="P142" i="17" s="1"/>
  <c r="U142" i="17" s="1"/>
  <c r="N141" i="17"/>
  <c r="P141" i="17" s="1"/>
  <c r="N140" i="17"/>
  <c r="I140" i="17"/>
  <c r="N139" i="17"/>
  <c r="I139" i="17"/>
  <c r="U138" i="17"/>
  <c r="T133" i="17"/>
  <c r="X132" i="17"/>
  <c r="N132" i="17"/>
  <c r="I132" i="17"/>
  <c r="X131" i="17"/>
  <c r="N131" i="17"/>
  <c r="I131" i="17"/>
  <c r="X130" i="17"/>
  <c r="N130" i="17"/>
  <c r="I130" i="17"/>
  <c r="X129" i="17"/>
  <c r="N129" i="17"/>
  <c r="I129" i="17"/>
  <c r="X128" i="17"/>
  <c r="N128" i="17"/>
  <c r="I128" i="17"/>
  <c r="X127" i="17"/>
  <c r="N127" i="17"/>
  <c r="I127" i="17"/>
  <c r="X126" i="17"/>
  <c r="N126" i="17"/>
  <c r="I126" i="17"/>
  <c r="X125" i="17"/>
  <c r="R125" i="17"/>
  <c r="X124" i="17"/>
  <c r="N124" i="17"/>
  <c r="I124" i="17"/>
  <c r="X123" i="17"/>
  <c r="N123" i="17"/>
  <c r="I123" i="17"/>
  <c r="X122" i="17"/>
  <c r="N122" i="17"/>
  <c r="I122" i="17"/>
  <c r="X121" i="17"/>
  <c r="N121" i="17"/>
  <c r="I121" i="17"/>
  <c r="X120" i="17"/>
  <c r="N120" i="17"/>
  <c r="I120" i="17"/>
  <c r="X119" i="17"/>
  <c r="N119" i="17"/>
  <c r="I119" i="17"/>
  <c r="X118" i="17"/>
  <c r="N118" i="17"/>
  <c r="I118" i="17"/>
  <c r="X117" i="17"/>
  <c r="N117" i="17"/>
  <c r="I117" i="17"/>
  <c r="X116" i="17"/>
  <c r="N116" i="17"/>
  <c r="I116" i="17"/>
  <c r="X115" i="17"/>
  <c r="R115" i="17"/>
  <c r="X114" i="17"/>
  <c r="N114" i="17"/>
  <c r="I114" i="17"/>
  <c r="X113" i="17"/>
  <c r="N113" i="17"/>
  <c r="I113" i="17"/>
  <c r="X112" i="17"/>
  <c r="N112" i="17"/>
  <c r="I112" i="17"/>
  <c r="X111" i="17"/>
  <c r="N111" i="17"/>
  <c r="I111" i="17"/>
  <c r="X110" i="17"/>
  <c r="N110" i="17"/>
  <c r="I110" i="17"/>
  <c r="X109" i="17"/>
  <c r="N109" i="17"/>
  <c r="I109" i="17"/>
  <c r="X108" i="17"/>
  <c r="N108" i="17"/>
  <c r="I108" i="17"/>
  <c r="X107" i="17"/>
  <c r="N107" i="17"/>
  <c r="I107" i="17"/>
  <c r="P107" i="17" s="1"/>
  <c r="R107" i="17" s="1"/>
  <c r="X106" i="17"/>
  <c r="N106" i="17"/>
  <c r="I106" i="17"/>
  <c r="X105" i="17"/>
  <c r="W105" i="17" s="1"/>
  <c r="X104" i="17"/>
  <c r="N104" i="17"/>
  <c r="I104" i="17"/>
  <c r="X103" i="17"/>
  <c r="N103" i="17"/>
  <c r="I103" i="17"/>
  <c r="N102" i="17"/>
  <c r="I102" i="17"/>
  <c r="R101" i="17"/>
  <c r="N100" i="17"/>
  <c r="I100" i="17"/>
  <c r="N99" i="17"/>
  <c r="I99" i="17"/>
  <c r="N98" i="17"/>
  <c r="I98" i="17"/>
  <c r="N97" i="17"/>
  <c r="I97" i="17"/>
  <c r="X96" i="17"/>
  <c r="N96" i="17"/>
  <c r="I96" i="17"/>
  <c r="X95" i="17"/>
  <c r="T91" i="17"/>
  <c r="N90" i="17"/>
  <c r="N91" i="17" s="1"/>
  <c r="I90" i="17"/>
  <c r="U89" i="17"/>
  <c r="T88" i="17"/>
  <c r="P88" i="17"/>
  <c r="U87" i="17"/>
  <c r="T86" i="17"/>
  <c r="P86" i="17"/>
  <c r="U85" i="17"/>
  <c r="T84" i="17"/>
  <c r="N83" i="17"/>
  <c r="N84" i="17" s="1"/>
  <c r="I83" i="17"/>
  <c r="U82" i="17"/>
  <c r="T81" i="17"/>
  <c r="N80" i="17"/>
  <c r="N81" i="17" s="1"/>
  <c r="I80" i="17"/>
  <c r="I81" i="17" s="1"/>
  <c r="U79" i="17"/>
  <c r="T76" i="17"/>
  <c r="U75" i="17"/>
  <c r="N74" i="17"/>
  <c r="I74" i="17"/>
  <c r="N73" i="17"/>
  <c r="I73" i="17"/>
  <c r="N72" i="17"/>
  <c r="I72" i="17"/>
  <c r="U71" i="17"/>
  <c r="P70" i="17"/>
  <c r="N70" i="17"/>
  <c r="I70" i="17"/>
  <c r="T67" i="17"/>
  <c r="N66" i="17"/>
  <c r="N67" i="17" s="1"/>
  <c r="I66" i="17"/>
  <c r="I67" i="17" s="1"/>
  <c r="T64" i="17"/>
  <c r="N63" i="17"/>
  <c r="N64" i="17" s="1"/>
  <c r="I63" i="17"/>
  <c r="I64" i="17" s="1"/>
  <c r="N61" i="17"/>
  <c r="I60" i="17"/>
  <c r="I61" i="17" s="1"/>
  <c r="T58" i="17"/>
  <c r="N57" i="17"/>
  <c r="P57" i="17" s="1"/>
  <c r="U57" i="17" s="1"/>
  <c r="N56" i="17"/>
  <c r="I56" i="17"/>
  <c r="I58" i="17" s="1"/>
  <c r="T54" i="17"/>
  <c r="N54" i="17"/>
  <c r="N53" i="17"/>
  <c r="I53" i="17"/>
  <c r="I54" i="17" s="1"/>
  <c r="T51" i="17"/>
  <c r="N51" i="17"/>
  <c r="N50" i="17"/>
  <c r="I50" i="17"/>
  <c r="I49" i="17"/>
  <c r="P49" i="17" s="1"/>
  <c r="T47" i="17"/>
  <c r="N46" i="17"/>
  <c r="N47" i="17" s="1"/>
  <c r="I46" i="17"/>
  <c r="I47" i="17" s="1"/>
  <c r="T42" i="17"/>
  <c r="X41" i="17"/>
  <c r="X42" i="17" s="1"/>
  <c r="N41" i="17"/>
  <c r="N42" i="17" s="1"/>
  <c r="I41" i="17"/>
  <c r="I42" i="17" s="1"/>
  <c r="T39" i="17"/>
  <c r="X38" i="17"/>
  <c r="N38" i="17"/>
  <c r="N39" i="17" s="1"/>
  <c r="I38" i="17"/>
  <c r="I39" i="17" s="1"/>
  <c r="T36" i="17"/>
  <c r="N35" i="17"/>
  <c r="I35" i="17"/>
  <c r="N34" i="17"/>
  <c r="I34" i="17"/>
  <c r="N33" i="17"/>
  <c r="P33" i="17" s="1"/>
  <c r="N32" i="17"/>
  <c r="I32" i="17"/>
  <c r="N31" i="17"/>
  <c r="P31" i="17" s="1"/>
  <c r="W31" i="17" s="1"/>
  <c r="I31" i="17"/>
  <c r="T29" i="17"/>
  <c r="I28" i="17"/>
  <c r="P28" i="17" s="1"/>
  <c r="I27" i="17"/>
  <c r="P27" i="17" s="1"/>
  <c r="X26" i="17"/>
  <c r="N26" i="17"/>
  <c r="I26" i="17"/>
  <c r="T24" i="17"/>
  <c r="N24" i="17"/>
  <c r="I23" i="17"/>
  <c r="P23" i="17" s="1"/>
  <c r="I22" i="17"/>
  <c r="T20" i="17"/>
  <c r="X19" i="17"/>
  <c r="N19" i="17"/>
  <c r="I19" i="17"/>
  <c r="N18" i="17"/>
  <c r="I18" i="17"/>
  <c r="T16" i="17"/>
  <c r="P16" i="17"/>
  <c r="X15" i="17"/>
  <c r="U15" i="17"/>
  <c r="R15" i="17"/>
  <c r="R16" i="17" s="1"/>
  <c r="N15" i="17"/>
  <c r="N16" i="17" s="1"/>
  <c r="I15" i="17"/>
  <c r="I16" i="17" s="1"/>
  <c r="P103" i="17" l="1"/>
  <c r="P131" i="17"/>
  <c r="U131" i="17" s="1"/>
  <c r="N156" i="17"/>
  <c r="P165" i="17"/>
  <c r="U165" i="17" s="1"/>
  <c r="P182" i="17"/>
  <c r="U182" i="17" s="1"/>
  <c r="P179" i="17"/>
  <c r="U179" i="17" s="1"/>
  <c r="P97" i="17"/>
  <c r="U97" i="17" s="1"/>
  <c r="P171" i="17"/>
  <c r="P102" i="17"/>
  <c r="P111" i="17"/>
  <c r="R111" i="17" s="1"/>
  <c r="P122" i="17"/>
  <c r="R122" i="17" s="1"/>
  <c r="P181" i="17"/>
  <c r="U181" i="17" s="1"/>
  <c r="P120" i="17"/>
  <c r="R120" i="17" s="1"/>
  <c r="P127" i="17"/>
  <c r="U127" i="17" s="1"/>
  <c r="P183" i="17"/>
  <c r="U183" i="17" s="1"/>
  <c r="W103" i="17"/>
  <c r="P173" i="17"/>
  <c r="U173" i="17" s="1"/>
  <c r="P177" i="17"/>
  <c r="U177" i="17" s="1"/>
  <c r="P83" i="17"/>
  <c r="P100" i="17"/>
  <c r="R100" i="17" s="1"/>
  <c r="P104" i="17"/>
  <c r="W104" i="17" s="1"/>
  <c r="I156" i="17"/>
  <c r="P26" i="17"/>
  <c r="R26" i="17" s="1"/>
  <c r="N29" i="17"/>
  <c r="I36" i="17"/>
  <c r="P46" i="17"/>
  <c r="U46" i="17" s="1"/>
  <c r="P74" i="17"/>
  <c r="U74" i="17" s="1"/>
  <c r="P139" i="17"/>
  <c r="U139" i="17" s="1"/>
  <c r="T187" i="17"/>
  <c r="P159" i="17"/>
  <c r="U159" i="17" s="1"/>
  <c r="N20" i="17"/>
  <c r="N92" i="17"/>
  <c r="X133" i="17"/>
  <c r="X134" i="17" s="1"/>
  <c r="W107" i="17"/>
  <c r="P110" i="17"/>
  <c r="U110" i="17" s="1"/>
  <c r="U111" i="17"/>
  <c r="P118" i="17"/>
  <c r="R118" i="17" s="1"/>
  <c r="I149" i="17"/>
  <c r="X160" i="17"/>
  <c r="X187" i="17" s="1"/>
  <c r="P174" i="17"/>
  <c r="U174" i="17" s="1"/>
  <c r="I24" i="17"/>
  <c r="P50" i="17"/>
  <c r="U50" i="17" s="1"/>
  <c r="P60" i="17"/>
  <c r="P61" i="17" s="1"/>
  <c r="P63" i="17"/>
  <c r="P64" i="17" s="1"/>
  <c r="U64" i="17" s="1"/>
  <c r="T92" i="17"/>
  <c r="P90" i="17"/>
  <c r="P91" i="17" s="1"/>
  <c r="U91" i="17" s="1"/>
  <c r="P96" i="17"/>
  <c r="R96" i="17" s="1"/>
  <c r="W111" i="17"/>
  <c r="P143" i="17"/>
  <c r="U143" i="17" s="1"/>
  <c r="P146" i="17"/>
  <c r="U146" i="17" s="1"/>
  <c r="P148" i="17"/>
  <c r="U148" i="17" s="1"/>
  <c r="P162" i="17"/>
  <c r="U162" i="17" s="1"/>
  <c r="P164" i="17"/>
  <c r="U164" i="17" s="1"/>
  <c r="P175" i="17"/>
  <c r="U175" i="17" s="1"/>
  <c r="U122" i="17"/>
  <c r="U33" i="17"/>
  <c r="W33" i="17"/>
  <c r="R97" i="17"/>
  <c r="P34" i="17"/>
  <c r="P38" i="17"/>
  <c r="P114" i="17"/>
  <c r="W114" i="17" s="1"/>
  <c r="X16" i="17"/>
  <c r="W15" i="17"/>
  <c r="T43" i="17"/>
  <c r="P19" i="17"/>
  <c r="U19" i="17" s="1"/>
  <c r="I29" i="17"/>
  <c r="U90" i="17"/>
  <c r="P98" i="17"/>
  <c r="R98" i="17" s="1"/>
  <c r="P116" i="17"/>
  <c r="U116" i="17" s="1"/>
  <c r="P124" i="17"/>
  <c r="R124" i="17" s="1"/>
  <c r="P129" i="17"/>
  <c r="R129" i="17" s="1"/>
  <c r="I186" i="17"/>
  <c r="X29" i="17"/>
  <c r="P51" i="17"/>
  <c r="U51" i="17" s="1"/>
  <c r="U102" i="17"/>
  <c r="W102" i="17"/>
  <c r="P32" i="17"/>
  <c r="P117" i="17"/>
  <c r="U117" i="17" s="1"/>
  <c r="W122" i="17"/>
  <c r="W127" i="17"/>
  <c r="P130" i="17"/>
  <c r="W130" i="17" s="1"/>
  <c r="P154" i="17"/>
  <c r="U154" i="17" s="1"/>
  <c r="I20" i="17"/>
  <c r="X20" i="17"/>
  <c r="X39" i="17"/>
  <c r="I51" i="17"/>
  <c r="P72" i="17"/>
  <c r="U72" i="17" s="1"/>
  <c r="P106" i="17"/>
  <c r="U106" i="17" s="1"/>
  <c r="U107" i="17"/>
  <c r="W116" i="17"/>
  <c r="P121" i="17"/>
  <c r="U121" i="17" s="1"/>
  <c r="P126" i="17"/>
  <c r="W131" i="17"/>
  <c r="I160" i="17"/>
  <c r="N166" i="17"/>
  <c r="U26" i="17"/>
  <c r="U31" i="17"/>
  <c r="P84" i="17"/>
  <c r="U84" i="17" s="1"/>
  <c r="U83" i="17"/>
  <c r="R103" i="17"/>
  <c r="U103" i="17"/>
  <c r="N133" i="17"/>
  <c r="N134" i="17" s="1"/>
  <c r="U171" i="17"/>
  <c r="N186" i="17"/>
  <c r="P22" i="17"/>
  <c r="P24" i="17" s="1"/>
  <c r="N36" i="17"/>
  <c r="R36" i="17" s="1"/>
  <c r="P56" i="17"/>
  <c r="N58" i="17"/>
  <c r="N77" i="17" s="1"/>
  <c r="P66" i="17"/>
  <c r="P73" i="17"/>
  <c r="U73" i="17" s="1"/>
  <c r="I84" i="17"/>
  <c r="R127" i="17"/>
  <c r="R131" i="17"/>
  <c r="P158" i="17"/>
  <c r="N160" i="17"/>
  <c r="I166" i="17"/>
  <c r="P18" i="17"/>
  <c r="W18" i="17" s="1"/>
  <c r="P35" i="17"/>
  <c r="U49" i="17"/>
  <c r="P53" i="17"/>
  <c r="I76" i="17"/>
  <c r="I77" i="17" s="1"/>
  <c r="P80" i="17"/>
  <c r="I91" i="17"/>
  <c r="P99" i="17"/>
  <c r="W99" i="17" s="1"/>
  <c r="R102" i="17"/>
  <c r="P119" i="17"/>
  <c r="W119" i="17" s="1"/>
  <c r="R121" i="17"/>
  <c r="P123" i="17"/>
  <c r="W123" i="17" s="1"/>
  <c r="T134" i="17"/>
  <c r="P140" i="17"/>
  <c r="U140" i="17" s="1"/>
  <c r="P172" i="17"/>
  <c r="U172" i="17" s="1"/>
  <c r="U16" i="17"/>
  <c r="P41" i="17"/>
  <c r="W41" i="17" s="1"/>
  <c r="N76" i="17"/>
  <c r="T77" i="17"/>
  <c r="I133" i="17"/>
  <c r="I134" i="17" s="1"/>
  <c r="P134" i="17" s="1"/>
  <c r="P109" i="17"/>
  <c r="W109" i="17" s="1"/>
  <c r="P113" i="17"/>
  <c r="W113" i="17" s="1"/>
  <c r="P128" i="17"/>
  <c r="W128" i="17" s="1"/>
  <c r="P132" i="17"/>
  <c r="W132" i="17" s="1"/>
  <c r="P108" i="17"/>
  <c r="W108" i="17" s="1"/>
  <c r="P112" i="17"/>
  <c r="W112" i="17" s="1"/>
  <c r="N149" i="17"/>
  <c r="W97" i="17" l="1"/>
  <c r="R19" i="17"/>
  <c r="R20" i="17" s="1"/>
  <c r="U96" i="17"/>
  <c r="W120" i="17"/>
  <c r="R104" i="17"/>
  <c r="U120" i="17"/>
  <c r="W19" i="17"/>
  <c r="U104" i="17"/>
  <c r="U118" i="17"/>
  <c r="P186" i="17"/>
  <c r="U186" i="17" s="1"/>
  <c r="R110" i="17"/>
  <c r="P29" i="17"/>
  <c r="U29" i="17" s="1"/>
  <c r="W110" i="17"/>
  <c r="W26" i="17"/>
  <c r="R117" i="17"/>
  <c r="W129" i="17"/>
  <c r="W117" i="17"/>
  <c r="P47" i="17"/>
  <c r="U47" i="17" s="1"/>
  <c r="I187" i="17"/>
  <c r="P166" i="17"/>
  <c r="U166" i="17" s="1"/>
  <c r="R116" i="17"/>
  <c r="R114" i="17"/>
  <c r="I43" i="17"/>
  <c r="U63" i="17"/>
  <c r="W96" i="17"/>
  <c r="I92" i="17"/>
  <c r="U129" i="17"/>
  <c r="R29" i="17"/>
  <c r="W118" i="17"/>
  <c r="U38" i="17"/>
  <c r="P39" i="17"/>
  <c r="U39" i="17" s="1"/>
  <c r="R38" i="17"/>
  <c r="R39" i="17" s="1"/>
  <c r="W106" i="17"/>
  <c r="U114" i="17"/>
  <c r="U126" i="17"/>
  <c r="R126" i="17"/>
  <c r="W38" i="17"/>
  <c r="W134" i="17"/>
  <c r="W34" i="17"/>
  <c r="U34" i="17"/>
  <c r="P156" i="17"/>
  <c r="U156" i="17" s="1"/>
  <c r="R106" i="17"/>
  <c r="U130" i="17"/>
  <c r="R130" i="17"/>
  <c r="X43" i="17"/>
  <c r="W16" i="17"/>
  <c r="W39" i="17"/>
  <c r="T93" i="17"/>
  <c r="T135" i="17" s="1"/>
  <c r="U35" i="17"/>
  <c r="W35" i="17"/>
  <c r="N43" i="17"/>
  <c r="N93" i="17" s="1"/>
  <c r="N135" i="17" s="1"/>
  <c r="U32" i="17"/>
  <c r="W32" i="17"/>
  <c r="U98" i="17"/>
  <c r="W98" i="17"/>
  <c r="W126" i="17"/>
  <c r="W121" i="17"/>
  <c r="U112" i="17"/>
  <c r="R112" i="17"/>
  <c r="P42" i="17"/>
  <c r="U41" i="17"/>
  <c r="R41" i="17"/>
  <c r="R119" i="17"/>
  <c r="U119" i="17"/>
  <c r="U158" i="17"/>
  <c r="P160" i="17"/>
  <c r="U160" i="17" s="1"/>
  <c r="P76" i="17"/>
  <c r="U76" i="17" s="1"/>
  <c r="U108" i="17"/>
  <c r="R108" i="17"/>
  <c r="U53" i="17"/>
  <c r="P54" i="17"/>
  <c r="U54" i="17" s="1"/>
  <c r="P67" i="17"/>
  <c r="U67" i="17" s="1"/>
  <c r="U66" i="17"/>
  <c r="R132" i="17"/>
  <c r="U132" i="17"/>
  <c r="R113" i="17"/>
  <c r="U113" i="17"/>
  <c r="U134" i="17"/>
  <c r="R123" i="17"/>
  <c r="U123" i="17"/>
  <c r="N187" i="17"/>
  <c r="R128" i="17"/>
  <c r="U128" i="17"/>
  <c r="R109" i="17"/>
  <c r="U109" i="17"/>
  <c r="R99" i="17"/>
  <c r="U99" i="17"/>
  <c r="U80" i="17"/>
  <c r="P81" i="17"/>
  <c r="U18" i="17"/>
  <c r="P20" i="17"/>
  <c r="P133" i="17"/>
  <c r="U56" i="17"/>
  <c r="P58" i="17"/>
  <c r="U58" i="17" s="1"/>
  <c r="P149" i="17"/>
  <c r="P36" i="17"/>
  <c r="U36" i="17" s="1"/>
  <c r="I93" i="17" l="1"/>
  <c r="I135" i="17" s="1"/>
  <c r="I189" i="17" s="1"/>
  <c r="I192" i="17" s="1"/>
  <c r="W29" i="17"/>
  <c r="U42" i="17"/>
  <c r="W42" i="17"/>
  <c r="P77" i="17"/>
  <c r="U77" i="17" s="1"/>
  <c r="X93" i="17"/>
  <c r="U133" i="17"/>
  <c r="W133" i="17"/>
  <c r="P92" i="17"/>
  <c r="U92" i="17" s="1"/>
  <c r="U81" i="17"/>
  <c r="U149" i="17"/>
  <c r="P187" i="17"/>
  <c r="U187" i="17" s="1"/>
  <c r="U20" i="17"/>
  <c r="P43" i="17"/>
  <c r="W43" i="17" s="1"/>
  <c r="N189" i="17"/>
  <c r="N192" i="17" s="1"/>
  <c r="R133" i="17"/>
  <c r="R42" i="17"/>
  <c r="T189" i="17"/>
  <c r="T192" i="17" s="1"/>
  <c r="X135" i="17" l="1"/>
  <c r="X189" i="17" s="1"/>
  <c r="R43" i="17"/>
  <c r="P93" i="17"/>
  <c r="W93" i="17" s="1"/>
  <c r="U43" i="17"/>
  <c r="R134" i="17"/>
  <c r="R135" i="17" s="1"/>
  <c r="R187" i="17"/>
  <c r="X190" i="17" l="1"/>
  <c r="X192" i="17" s="1"/>
  <c r="P135" i="17"/>
  <c r="W135" i="17" s="1"/>
  <c r="U93" i="17"/>
  <c r="R189" i="17"/>
  <c r="R192" i="17" s="1"/>
  <c r="P189" i="17" l="1"/>
  <c r="U135" i="17"/>
  <c r="T197" i="17"/>
  <c r="U197" i="17" s="1"/>
  <c r="W189" i="17" l="1"/>
  <c r="P192" i="17"/>
  <c r="W192" i="17" s="1"/>
  <c r="C5" i="17"/>
  <c r="U189" i="17"/>
  <c r="C6" i="17" l="1"/>
  <c r="C7" i="17"/>
  <c r="Z13" i="16" l="1"/>
  <c r="Z16" i="16"/>
  <c r="Z14" i="16"/>
  <c r="Z27" i="16"/>
  <c r="Z24" i="16"/>
  <c r="Z21" i="16"/>
  <c r="Z19" i="16"/>
  <c r="Z15" i="16"/>
  <c r="Z17" i="16"/>
  <c r="Z18" i="16"/>
  <c r="Z20" i="16"/>
  <c r="Z22" i="16" l="1"/>
  <c r="Z25" i="16" s="1"/>
  <c r="S109" i="30"/>
  <c r="M109" i="30"/>
  <c r="O109" i="30" s="1"/>
  <c r="Q109" i="30" s="1"/>
  <c r="H109" i="30"/>
  <c r="S108" i="30"/>
  <c r="W108" i="30" s="1"/>
  <c r="M108" i="30"/>
  <c r="O108" i="30" s="1"/>
  <c r="H108" i="30"/>
  <c r="H110" i="30" s="1"/>
  <c r="W106" i="30"/>
  <c r="S106" i="30"/>
  <c r="N106" i="30"/>
  <c r="W105" i="30"/>
  <c r="M105" i="30"/>
  <c r="M106" i="30" s="1"/>
  <c r="H105" i="30"/>
  <c r="H106" i="30" s="1"/>
  <c r="W102" i="30"/>
  <c r="S102" i="30"/>
  <c r="O102" i="30"/>
  <c r="M102" i="30"/>
  <c r="H102" i="30"/>
  <c r="S101" i="30"/>
  <c r="W101" i="30" s="1"/>
  <c r="M101" i="30"/>
  <c r="H101" i="30"/>
  <c r="S100" i="30"/>
  <c r="M100" i="30"/>
  <c r="H100" i="30"/>
  <c r="S99" i="30"/>
  <c r="W99" i="30" s="1"/>
  <c r="M99" i="30"/>
  <c r="H99" i="30"/>
  <c r="O99" i="30" s="1"/>
  <c r="Q99" i="30" s="1"/>
  <c r="S98" i="30"/>
  <c r="W98" i="30" s="1"/>
  <c r="M98" i="30"/>
  <c r="H98" i="30"/>
  <c r="O98" i="30" s="1"/>
  <c r="S97" i="30"/>
  <c r="W97" i="30" s="1"/>
  <c r="M97" i="30"/>
  <c r="H97" i="30"/>
  <c r="O97" i="30" s="1"/>
  <c r="Q97" i="30" s="1"/>
  <c r="S96" i="30"/>
  <c r="M96" i="30"/>
  <c r="H96" i="30"/>
  <c r="S95" i="30"/>
  <c r="M95" i="30"/>
  <c r="H95" i="30"/>
  <c r="W94" i="30"/>
  <c r="S94" i="30"/>
  <c r="M94" i="30"/>
  <c r="H94" i="30"/>
  <c r="O94" i="30" s="1"/>
  <c r="W93" i="30"/>
  <c r="S93" i="30"/>
  <c r="O93" i="30"/>
  <c r="M93" i="30"/>
  <c r="H93" i="30"/>
  <c r="R91" i="30"/>
  <c r="L91" i="30"/>
  <c r="K91" i="30"/>
  <c r="J91" i="30"/>
  <c r="W90" i="30"/>
  <c r="S90" i="30"/>
  <c r="M90" i="30"/>
  <c r="H90" i="30"/>
  <c r="O90" i="30" s="1"/>
  <c r="Q90" i="30" s="1"/>
  <c r="S89" i="30"/>
  <c r="M89" i="30"/>
  <c r="H89" i="30"/>
  <c r="S88" i="30"/>
  <c r="S91" i="30" s="1"/>
  <c r="M88" i="30"/>
  <c r="H88" i="30"/>
  <c r="S86" i="30"/>
  <c r="R86" i="30"/>
  <c r="N86" i="30"/>
  <c r="M86" i="30"/>
  <c r="L86" i="30"/>
  <c r="K86" i="30"/>
  <c r="J86" i="30"/>
  <c r="I86" i="30"/>
  <c r="W85" i="30"/>
  <c r="W86" i="30" s="1"/>
  <c r="V86" i="30" s="1"/>
  <c r="M85" i="30"/>
  <c r="H85" i="30"/>
  <c r="T83" i="30"/>
  <c r="S83" i="30"/>
  <c r="R83" i="30"/>
  <c r="P83" i="30"/>
  <c r="N83" i="30"/>
  <c r="L83" i="30"/>
  <c r="K83" i="30"/>
  <c r="J83" i="30"/>
  <c r="H83" i="30"/>
  <c r="W82" i="30"/>
  <c r="W83" i="30" s="1"/>
  <c r="M82" i="30"/>
  <c r="M83" i="30" s="1"/>
  <c r="H82" i="30"/>
  <c r="O82" i="30" s="1"/>
  <c r="Q82" i="30" s="1"/>
  <c r="Q83" i="30" s="1"/>
  <c r="R80" i="30"/>
  <c r="S79" i="30"/>
  <c r="M79" i="30"/>
  <c r="O79" i="30" s="1"/>
  <c r="Q79" i="30" s="1"/>
  <c r="H79" i="30"/>
  <c r="S78" i="30"/>
  <c r="W78" i="30" s="1"/>
  <c r="M78" i="30"/>
  <c r="H78" i="30"/>
  <c r="S77" i="30"/>
  <c r="W77" i="30" s="1"/>
  <c r="M77" i="30"/>
  <c r="H77" i="30"/>
  <c r="S76" i="30"/>
  <c r="M76" i="30"/>
  <c r="H76" i="30"/>
  <c r="O76" i="30" s="1"/>
  <c r="Q76" i="30" s="1"/>
  <c r="S75" i="30"/>
  <c r="O75" i="30"/>
  <c r="Q75" i="30" s="1"/>
  <c r="M75" i="30"/>
  <c r="H75" i="30"/>
  <c r="S74" i="30"/>
  <c r="W74" i="30" s="1"/>
  <c r="M74" i="30"/>
  <c r="H74" i="30"/>
  <c r="H80" i="30" s="1"/>
  <c r="W69" i="30"/>
  <c r="M69" i="30"/>
  <c r="H69" i="30"/>
  <c r="O69" i="30" s="1"/>
  <c r="W68" i="30"/>
  <c r="M68" i="30"/>
  <c r="H68" i="30"/>
  <c r="O68" i="30" s="1"/>
  <c r="W67" i="30"/>
  <c r="M67" i="30"/>
  <c r="O67" i="30" s="1"/>
  <c r="H67" i="30"/>
  <c r="W66" i="30"/>
  <c r="M66" i="30"/>
  <c r="H66" i="30"/>
  <c r="S65" i="30"/>
  <c r="M65" i="30"/>
  <c r="H65" i="30"/>
  <c r="O65" i="30" s="1"/>
  <c r="Q65" i="30" s="1"/>
  <c r="W64" i="30"/>
  <c r="M64" i="30"/>
  <c r="H64" i="30"/>
  <c r="W63" i="30"/>
  <c r="M63" i="30"/>
  <c r="H63" i="30"/>
  <c r="O63" i="30" s="1"/>
  <c r="Q63" i="30" s="1"/>
  <c r="W62" i="30"/>
  <c r="S62" i="30"/>
  <c r="M62" i="30"/>
  <c r="H62" i="30"/>
  <c r="W60" i="30"/>
  <c r="M60" i="30"/>
  <c r="H60" i="30"/>
  <c r="S59" i="30"/>
  <c r="M59" i="30"/>
  <c r="H59" i="30"/>
  <c r="O59" i="30" s="1"/>
  <c r="Q59" i="30" s="1"/>
  <c r="W58" i="30"/>
  <c r="M58" i="30"/>
  <c r="H58" i="30"/>
  <c r="O58" i="30" s="1"/>
  <c r="S57" i="30"/>
  <c r="W57" i="30" s="1"/>
  <c r="M57" i="30"/>
  <c r="H57" i="30"/>
  <c r="O57" i="30" s="1"/>
  <c r="Q57" i="30" s="1"/>
  <c r="W56" i="30"/>
  <c r="M56" i="30"/>
  <c r="O56" i="30" s="1"/>
  <c r="H56" i="30"/>
  <c r="W55" i="30"/>
  <c r="M55" i="30"/>
  <c r="H55" i="30"/>
  <c r="W54" i="30"/>
  <c r="M54" i="30"/>
  <c r="O54" i="30" s="1"/>
  <c r="H54" i="30"/>
  <c r="S53" i="30"/>
  <c r="W53" i="30" s="1"/>
  <c r="M53" i="30"/>
  <c r="H53" i="30"/>
  <c r="S52" i="30"/>
  <c r="W52" i="30" s="1"/>
  <c r="M52" i="30"/>
  <c r="H52" i="30"/>
  <c r="O52" i="30" s="1"/>
  <c r="T52" i="30" s="1"/>
  <c r="S51" i="30"/>
  <c r="M51" i="30"/>
  <c r="H51" i="30"/>
  <c r="O51" i="30" s="1"/>
  <c r="Q51" i="30" s="1"/>
  <c r="W50" i="30"/>
  <c r="M50" i="30"/>
  <c r="H50" i="30"/>
  <c r="W49" i="30"/>
  <c r="M49" i="30"/>
  <c r="H49" i="30"/>
  <c r="O49" i="30" s="1"/>
  <c r="W48" i="30"/>
  <c r="M48" i="30"/>
  <c r="H48" i="30"/>
  <c r="O48" i="30" s="1"/>
  <c r="Q48" i="30" s="1"/>
  <c r="S47" i="30"/>
  <c r="W47" i="30" s="1"/>
  <c r="M47" i="30"/>
  <c r="H47" i="30"/>
  <c r="W46" i="30"/>
  <c r="O46" i="30"/>
  <c r="M46" i="30"/>
  <c r="H46" i="30"/>
  <c r="W45" i="30"/>
  <c r="M45" i="30"/>
  <c r="H45" i="30"/>
  <c r="W44" i="30"/>
  <c r="S44" i="30"/>
  <c r="M44" i="30"/>
  <c r="H44" i="30"/>
  <c r="S43" i="30"/>
  <c r="W42" i="30"/>
  <c r="M42" i="30"/>
  <c r="H42" i="30"/>
  <c r="W41" i="30"/>
  <c r="M41" i="30"/>
  <c r="H41" i="30"/>
  <c r="W40" i="30"/>
  <c r="M40" i="30"/>
  <c r="H40" i="30"/>
  <c r="W39" i="30"/>
  <c r="M39" i="30"/>
  <c r="H39" i="30"/>
  <c r="W38" i="30"/>
  <c r="W43" i="30" s="1"/>
  <c r="V43" i="30" s="1"/>
  <c r="M38" i="30"/>
  <c r="H38" i="30"/>
  <c r="W36" i="30"/>
  <c r="M36" i="30"/>
  <c r="H36" i="30"/>
  <c r="W35" i="30"/>
  <c r="M35" i="30"/>
  <c r="H35" i="30"/>
  <c r="O35" i="30" s="1"/>
  <c r="W34" i="30"/>
  <c r="M34" i="30"/>
  <c r="H34" i="30"/>
  <c r="O34" i="30" s="1"/>
  <c r="Q34" i="30" s="1"/>
  <c r="W33" i="30"/>
  <c r="M33" i="30"/>
  <c r="H33" i="30"/>
  <c r="O33" i="30" s="1"/>
  <c r="W32" i="30"/>
  <c r="M32" i="30"/>
  <c r="O32" i="30" s="1"/>
  <c r="Q32" i="30" s="1"/>
  <c r="H32" i="30"/>
  <c r="S31" i="30"/>
  <c r="M31" i="30"/>
  <c r="H31" i="30"/>
  <c r="M30" i="30"/>
  <c r="H30" i="30"/>
  <c r="O30" i="30" s="1"/>
  <c r="T30" i="30" s="1"/>
  <c r="M29" i="30"/>
  <c r="H29" i="30"/>
  <c r="M28" i="30"/>
  <c r="H28" i="30"/>
  <c r="O28" i="30" s="1"/>
  <c r="M27" i="30"/>
  <c r="H27" i="30"/>
  <c r="O27" i="30" s="1"/>
  <c r="M26" i="30"/>
  <c r="H26" i="30"/>
  <c r="M25" i="30"/>
  <c r="H25" i="30"/>
  <c r="M24" i="30"/>
  <c r="O24" i="30" s="1"/>
  <c r="H24" i="30"/>
  <c r="M23" i="30"/>
  <c r="H23" i="30"/>
  <c r="M22" i="30"/>
  <c r="O22" i="30" s="1"/>
  <c r="V22" i="30" s="1"/>
  <c r="H22" i="30"/>
  <c r="M21" i="30"/>
  <c r="H21" i="30"/>
  <c r="S20" i="30"/>
  <c r="T20" i="30" s="1"/>
  <c r="M20" i="30"/>
  <c r="H20" i="30"/>
  <c r="O20" i="30" s="1"/>
  <c r="S19" i="30"/>
  <c r="M19" i="30"/>
  <c r="H19" i="30"/>
  <c r="O19" i="30" s="1"/>
  <c r="S18" i="30"/>
  <c r="M18" i="30"/>
  <c r="H18" i="30"/>
  <c r="S17" i="30"/>
  <c r="M17" i="30"/>
  <c r="H17" i="30"/>
  <c r="S16" i="30"/>
  <c r="M16" i="30"/>
  <c r="H16" i="30"/>
  <c r="S15" i="30"/>
  <c r="O15" i="30"/>
  <c r="M15" i="30"/>
  <c r="H15" i="30"/>
  <c r="M14" i="30"/>
  <c r="H14" i="30"/>
  <c r="M13" i="30"/>
  <c r="H13" i="30"/>
  <c r="O13" i="30" s="1"/>
  <c r="T13" i="30" s="1"/>
  <c r="M12" i="30"/>
  <c r="H12" i="30"/>
  <c r="T98" i="30" l="1"/>
  <c r="Q98" i="30"/>
  <c r="T69" i="30"/>
  <c r="Q69" i="30"/>
  <c r="Q58" i="30"/>
  <c r="T58" i="30"/>
  <c r="T94" i="30"/>
  <c r="Q94" i="30"/>
  <c r="T24" i="30"/>
  <c r="V24" i="30"/>
  <c r="T19" i="30"/>
  <c r="V19" i="30"/>
  <c r="O16" i="30"/>
  <c r="O31" i="30"/>
  <c r="Q31" i="30" s="1"/>
  <c r="O60" i="30"/>
  <c r="W88" i="30"/>
  <c r="O95" i="30"/>
  <c r="Q95" i="30" s="1"/>
  <c r="O101" i="30"/>
  <c r="O14" i="30"/>
  <c r="V14" i="30" s="1"/>
  <c r="O29" i="30"/>
  <c r="Q29" i="30" s="1"/>
  <c r="O42" i="30"/>
  <c r="T42" i="30" s="1"/>
  <c r="O78" i="30"/>
  <c r="Q78" i="30" s="1"/>
  <c r="T95" i="30"/>
  <c r="H37" i="30"/>
  <c r="O26" i="30"/>
  <c r="Q26" i="30" s="1"/>
  <c r="O40" i="30"/>
  <c r="T78" i="30"/>
  <c r="O105" i="30"/>
  <c r="Q20" i="30"/>
  <c r="V20" i="30"/>
  <c r="Q27" i="30"/>
  <c r="V27" i="30"/>
  <c r="Q30" i="30"/>
  <c r="Q52" i="30"/>
  <c r="M70" i="30"/>
  <c r="O64" i="30"/>
  <c r="O12" i="30"/>
  <c r="V12" i="30" s="1"/>
  <c r="T15" i="30"/>
  <c r="V15" i="30"/>
  <c r="O18" i="30"/>
  <c r="V18" i="30" s="1"/>
  <c r="O39" i="30"/>
  <c r="O41" i="30"/>
  <c r="T41" i="30" s="1"/>
  <c r="T57" i="30"/>
  <c r="O77" i="30"/>
  <c r="Q77" i="30" s="1"/>
  <c r="M91" i="30"/>
  <c r="Q18" i="30"/>
  <c r="T18" i="30"/>
  <c r="T22" i="30"/>
  <c r="Q22" i="30"/>
  <c r="Q33" i="30"/>
  <c r="T33" i="30"/>
  <c r="Q64" i="30"/>
  <c r="T64" i="30"/>
  <c r="Q14" i="30"/>
  <c r="T14" i="30"/>
  <c r="T28" i="30"/>
  <c r="Q28" i="30"/>
  <c r="T29" i="30"/>
  <c r="T54" i="30"/>
  <c r="Q54" i="30"/>
  <c r="T40" i="30"/>
  <c r="Q40" i="30"/>
  <c r="H43" i="30"/>
  <c r="T46" i="30"/>
  <c r="Q46" i="30"/>
  <c r="T67" i="30"/>
  <c r="Q67" i="30"/>
  <c r="H86" i="30"/>
  <c r="O85" i="30"/>
  <c r="Q93" i="30"/>
  <c r="T93" i="30"/>
  <c r="H103" i="30"/>
  <c r="T12" i="30"/>
  <c r="Q15" i="30"/>
  <c r="T34" i="30"/>
  <c r="T35" i="30"/>
  <c r="Q35" i="30"/>
  <c r="H61" i="30"/>
  <c r="O44" i="30"/>
  <c r="T48" i="30"/>
  <c r="T49" i="30"/>
  <c r="Q49" i="30"/>
  <c r="T51" i="30"/>
  <c r="W51" i="30"/>
  <c r="T59" i="30"/>
  <c r="W59" i="30"/>
  <c r="H70" i="30"/>
  <c r="O62" i="30"/>
  <c r="T79" i="30"/>
  <c r="W79" i="30"/>
  <c r="H91" i="30"/>
  <c r="H111" i="30" s="1"/>
  <c r="O88" i="30"/>
  <c r="W100" i="30"/>
  <c r="T102" i="30"/>
  <c r="Q102" i="30"/>
  <c r="O106" i="30"/>
  <c r="Q105" i="30"/>
  <c r="Q106" i="30" s="1"/>
  <c r="O110" i="30"/>
  <c r="Q108" i="30"/>
  <c r="Q110" i="30" s="1"/>
  <c r="Q13" i="30"/>
  <c r="Q19" i="30"/>
  <c r="Q24" i="30"/>
  <c r="Q41" i="30"/>
  <c r="T53" i="30"/>
  <c r="T65" i="30"/>
  <c r="W65" i="30"/>
  <c r="W70" i="30" s="1"/>
  <c r="V70" i="30" s="1"/>
  <c r="Q68" i="30"/>
  <c r="T68" i="30"/>
  <c r="M80" i="30"/>
  <c r="O74" i="30"/>
  <c r="T75" i="30"/>
  <c r="O83" i="30"/>
  <c r="M110" i="30"/>
  <c r="M37" i="30"/>
  <c r="O23" i="30"/>
  <c r="V23" i="30" s="1"/>
  <c r="T27" i="30"/>
  <c r="T31" i="30"/>
  <c r="T32" i="30"/>
  <c r="O36" i="30"/>
  <c r="T44" i="30"/>
  <c r="S61" i="30"/>
  <c r="O50" i="30"/>
  <c r="O55" i="30"/>
  <c r="T56" i="30"/>
  <c r="Q56" i="30"/>
  <c r="W75" i="30"/>
  <c r="W76" i="30"/>
  <c r="T76" i="30"/>
  <c r="W89" i="30"/>
  <c r="W91" i="30" s="1"/>
  <c r="V91" i="30" s="1"/>
  <c r="T90" i="30"/>
  <c r="M103" i="30"/>
  <c r="T97" i="30"/>
  <c r="T108" i="30"/>
  <c r="O17" i="30"/>
  <c r="T17" i="30" s="1"/>
  <c r="O21" i="30"/>
  <c r="V21" i="30" s="1"/>
  <c r="O25" i="30"/>
  <c r="V25" i="30" s="1"/>
  <c r="M43" i="30"/>
  <c r="O38" i="30"/>
  <c r="M61" i="30"/>
  <c r="O47" i="30"/>
  <c r="Q47" i="30" s="1"/>
  <c r="O53" i="30"/>
  <c r="Q53" i="30" s="1"/>
  <c r="S70" i="30"/>
  <c r="S80" i="30"/>
  <c r="T77" i="30"/>
  <c r="W95" i="30"/>
  <c r="W103" i="30" s="1"/>
  <c r="V103" i="30" s="1"/>
  <c r="W96" i="30"/>
  <c r="T99" i="30"/>
  <c r="T109" i="30"/>
  <c r="W109" i="30"/>
  <c r="W110" i="30" s="1"/>
  <c r="S110" i="30"/>
  <c r="S37" i="30"/>
  <c r="O45" i="30"/>
  <c r="O66" i="30"/>
  <c r="O89" i="30"/>
  <c r="Q89" i="30" s="1"/>
  <c r="S103" i="30"/>
  <c r="O96" i="30"/>
  <c r="Q96" i="30" s="1"/>
  <c r="O100" i="30"/>
  <c r="Q100" i="30" s="1"/>
  <c r="T60" i="30" l="1"/>
  <c r="Q60" i="30"/>
  <c r="Q16" i="30"/>
  <c r="V16" i="30"/>
  <c r="Q42" i="30"/>
  <c r="O103" i="30"/>
  <c r="O111" i="30" s="1"/>
  <c r="T96" i="30"/>
  <c r="H71" i="30"/>
  <c r="H112" i="30" s="1"/>
  <c r="H114" i="30" s="1"/>
  <c r="H115" i="30" s="1"/>
  <c r="Q101" i="30"/>
  <c r="T101" i="30"/>
  <c r="T16" i="30"/>
  <c r="T39" i="30"/>
  <c r="Q39" i="30"/>
  <c r="Q17" i="30"/>
  <c r="Q37" i="30" s="1"/>
  <c r="V17" i="30"/>
  <c r="W61" i="30"/>
  <c r="V61" i="30" s="1"/>
  <c r="Q12" i="30"/>
  <c r="S111" i="30"/>
  <c r="T110" i="30"/>
  <c r="T55" i="30"/>
  <c r="Q55" i="30"/>
  <c r="Q36" i="30"/>
  <c r="T36" i="30"/>
  <c r="Q23" i="30"/>
  <c r="T23" i="30"/>
  <c r="P110" i="30"/>
  <c r="O86" i="30"/>
  <c r="T86" i="30" s="1"/>
  <c r="T85" i="30"/>
  <c r="Q85" i="30"/>
  <c r="Q86" i="30" s="1"/>
  <c r="T66" i="30"/>
  <c r="Q66" i="30"/>
  <c r="V110" i="30"/>
  <c r="T25" i="30"/>
  <c r="Q25" i="30"/>
  <c r="T89" i="30"/>
  <c r="W80" i="30"/>
  <c r="V80" i="30" s="1"/>
  <c r="Q50" i="30"/>
  <c r="T50" i="30"/>
  <c r="O91" i="30"/>
  <c r="T91" i="30" s="1"/>
  <c r="Q88" i="30"/>
  <c r="Q91" i="30" s="1"/>
  <c r="P91" i="30" s="1"/>
  <c r="O70" i="30"/>
  <c r="T70" i="30" s="1"/>
  <c r="Q62" i="30"/>
  <c r="Q70" i="30" s="1"/>
  <c r="P70" i="30" s="1"/>
  <c r="T62" i="30"/>
  <c r="Q45" i="30"/>
  <c r="T45" i="30"/>
  <c r="T21" i="30"/>
  <c r="Q21" i="30"/>
  <c r="M71" i="30"/>
  <c r="T100" i="30"/>
  <c r="T47" i="30"/>
  <c r="Q103" i="30"/>
  <c r="T103" i="30"/>
  <c r="S71" i="30"/>
  <c r="T88" i="30"/>
  <c r="O43" i="30"/>
  <c r="T43" i="30" s="1"/>
  <c r="T38" i="30"/>
  <c r="Q38" i="30"/>
  <c r="M111" i="30"/>
  <c r="O80" i="30"/>
  <c r="T80" i="30" s="1"/>
  <c r="Q74" i="30"/>
  <c r="Q80" i="30" s="1"/>
  <c r="P80" i="30" s="1"/>
  <c r="T74" i="30"/>
  <c r="Q44" i="30"/>
  <c r="Q61" i="30" s="1"/>
  <c r="O61" i="30"/>
  <c r="T61" i="30" s="1"/>
  <c r="O37" i="30"/>
  <c r="T37" i="30" s="1"/>
  <c r="P86" i="30" l="1"/>
  <c r="P61" i="30"/>
  <c r="M112" i="30"/>
  <c r="M114" i="30" s="1"/>
  <c r="M115" i="30" s="1"/>
  <c r="W111" i="30"/>
  <c r="V111" i="30" s="1"/>
  <c r="Q43" i="30"/>
  <c r="P43" i="30" s="1"/>
  <c r="P103" i="30"/>
  <c r="Q71" i="30"/>
  <c r="P71" i="30" s="1"/>
  <c r="P37" i="30"/>
  <c r="T111" i="30"/>
  <c r="S112" i="30"/>
  <c r="O71" i="30"/>
  <c r="O112" i="30" s="1"/>
  <c r="Q111" i="30"/>
  <c r="O114" i="30"/>
  <c r="T71" i="30" l="1"/>
  <c r="S115" i="30"/>
  <c r="T112" i="30"/>
  <c r="O115" i="30"/>
  <c r="Q112" i="30"/>
  <c r="P112" i="30" s="1"/>
  <c r="P111" i="30"/>
  <c r="T115" i="30" l="1"/>
  <c r="T197" i="22" l="1"/>
  <c r="N197" i="22"/>
  <c r="I197" i="22"/>
  <c r="D197" i="22"/>
  <c r="P196" i="22"/>
  <c r="P197" i="22" s="1"/>
  <c r="T190" i="22"/>
  <c r="N190" i="22"/>
  <c r="I190" i="22"/>
  <c r="P189" i="22"/>
  <c r="P190" i="22" s="1"/>
  <c r="U190" i="22" s="1"/>
  <c r="T187" i="22"/>
  <c r="N187" i="22"/>
  <c r="I187" i="22"/>
  <c r="D187" i="22"/>
  <c r="P186" i="22"/>
  <c r="P187" i="22" s="1"/>
  <c r="T184" i="22"/>
  <c r="N184" i="22"/>
  <c r="I184" i="22"/>
  <c r="D184" i="22"/>
  <c r="P182" i="22"/>
  <c r="P184" i="22" s="1"/>
  <c r="T180" i="22"/>
  <c r="D180" i="22"/>
  <c r="P179" i="22"/>
  <c r="P180" i="22" s="1"/>
  <c r="T177" i="22"/>
  <c r="T198" i="22" s="1"/>
  <c r="N177" i="22"/>
  <c r="I177" i="22"/>
  <c r="D177" i="22"/>
  <c r="D198" i="22" s="1"/>
  <c r="P176" i="22"/>
  <c r="P177" i="22" s="1"/>
  <c r="T169" i="22"/>
  <c r="N169" i="22"/>
  <c r="I169" i="22"/>
  <c r="D169" i="22"/>
  <c r="P168" i="22"/>
  <c r="T167" i="22"/>
  <c r="N167" i="22"/>
  <c r="I167" i="22"/>
  <c r="D167" i="22"/>
  <c r="P166" i="22"/>
  <c r="P167" i="22" s="1"/>
  <c r="W165" i="22" s="1"/>
  <c r="R165" i="22"/>
  <c r="P165" i="22"/>
  <c r="T164" i="22"/>
  <c r="U164" i="22" s="1"/>
  <c r="N164" i="22"/>
  <c r="I164" i="22"/>
  <c r="D164" i="22"/>
  <c r="P163" i="22"/>
  <c r="P164" i="22" s="1"/>
  <c r="W163" i="22" s="1"/>
  <c r="T162" i="22"/>
  <c r="N162" i="22"/>
  <c r="I162" i="22"/>
  <c r="P161" i="22"/>
  <c r="P160" i="22"/>
  <c r="P159" i="22"/>
  <c r="P158" i="22"/>
  <c r="P157" i="22"/>
  <c r="T156" i="22"/>
  <c r="N156" i="22"/>
  <c r="I156" i="22"/>
  <c r="D156" i="22"/>
  <c r="D162" i="22" s="1"/>
  <c r="P155" i="22"/>
  <c r="P154" i="22"/>
  <c r="T152" i="22"/>
  <c r="N152" i="22"/>
  <c r="I152" i="22"/>
  <c r="D152" i="22"/>
  <c r="P151" i="22"/>
  <c r="P150" i="22"/>
  <c r="P149" i="22"/>
  <c r="P148" i="22"/>
  <c r="P147" i="22"/>
  <c r="R147" i="22" s="1"/>
  <c r="T146" i="22"/>
  <c r="N146" i="22"/>
  <c r="I146" i="22"/>
  <c r="D146" i="22"/>
  <c r="P145" i="22"/>
  <c r="P144" i="22"/>
  <c r="P143" i="22"/>
  <c r="P142" i="22"/>
  <c r="P141" i="22"/>
  <c r="T140" i="22"/>
  <c r="N140" i="22"/>
  <c r="I140" i="22"/>
  <c r="D140" i="22"/>
  <c r="P139" i="22"/>
  <c r="P138" i="22"/>
  <c r="P137" i="22"/>
  <c r="P136" i="22"/>
  <c r="P135" i="22"/>
  <c r="R135" i="22" s="1"/>
  <c r="T134" i="22"/>
  <c r="N134" i="22"/>
  <c r="I134" i="22"/>
  <c r="D134" i="22"/>
  <c r="P133" i="22"/>
  <c r="P132" i="22"/>
  <c r="P131" i="22"/>
  <c r="P130" i="22"/>
  <c r="P129" i="22"/>
  <c r="R129" i="22" s="1"/>
  <c r="T128" i="22"/>
  <c r="N128" i="22"/>
  <c r="I128" i="22"/>
  <c r="D128" i="22"/>
  <c r="P127" i="22"/>
  <c r="P126" i="22"/>
  <c r="P125" i="22"/>
  <c r="P124" i="22"/>
  <c r="P123" i="22"/>
  <c r="R123" i="22" s="1"/>
  <c r="I120" i="22"/>
  <c r="P119" i="22"/>
  <c r="R119" i="22" s="1"/>
  <c r="T118" i="22"/>
  <c r="N118" i="22"/>
  <c r="N120" i="22" s="1"/>
  <c r="I118" i="22"/>
  <c r="D118" i="22"/>
  <c r="P117" i="22"/>
  <c r="P118" i="22" s="1"/>
  <c r="P116" i="22"/>
  <c r="R116" i="22" s="1"/>
  <c r="T115" i="22"/>
  <c r="D115" i="22"/>
  <c r="P114" i="22"/>
  <c r="P113" i="22"/>
  <c r="P112" i="22"/>
  <c r="P111" i="22"/>
  <c r="P110" i="22"/>
  <c r="T109" i="22"/>
  <c r="D109" i="22"/>
  <c r="P108" i="22"/>
  <c r="P107" i="22"/>
  <c r="P106" i="22"/>
  <c r="P105" i="22"/>
  <c r="P104" i="22"/>
  <c r="R104" i="22" s="1"/>
  <c r="T102" i="22"/>
  <c r="N102" i="22"/>
  <c r="I102" i="22"/>
  <c r="D102" i="22"/>
  <c r="P101" i="22"/>
  <c r="P100" i="22"/>
  <c r="P99" i="22"/>
  <c r="P98" i="22"/>
  <c r="P97" i="22"/>
  <c r="R97" i="22" s="1"/>
  <c r="T96" i="22"/>
  <c r="N96" i="22"/>
  <c r="I96" i="22"/>
  <c r="D96" i="22"/>
  <c r="P95" i="22"/>
  <c r="P94" i="22"/>
  <c r="P93" i="22"/>
  <c r="P92" i="22"/>
  <c r="P91" i="22"/>
  <c r="R91" i="22" s="1"/>
  <c r="T90" i="22"/>
  <c r="N90" i="22"/>
  <c r="I90" i="22"/>
  <c r="D90" i="22"/>
  <c r="P89" i="22"/>
  <c r="P88" i="22"/>
  <c r="P87" i="22"/>
  <c r="P86" i="22"/>
  <c r="P85" i="22"/>
  <c r="R85" i="22" s="1"/>
  <c r="T84" i="22"/>
  <c r="T103" i="22" s="1"/>
  <c r="N84" i="22"/>
  <c r="I84" i="22"/>
  <c r="D84" i="22"/>
  <c r="P83" i="22"/>
  <c r="P81" i="22"/>
  <c r="P80" i="22"/>
  <c r="P79" i="22"/>
  <c r="R79" i="22" s="1"/>
  <c r="I78" i="22"/>
  <c r="T77" i="22"/>
  <c r="N77" i="22"/>
  <c r="I77" i="22"/>
  <c r="D77" i="22"/>
  <c r="P76" i="22"/>
  <c r="P75" i="22"/>
  <c r="P74" i="22"/>
  <c r="P73" i="22"/>
  <c r="R72" i="22"/>
  <c r="P72" i="22"/>
  <c r="T71" i="22"/>
  <c r="N71" i="22"/>
  <c r="P71" i="22" s="1"/>
  <c r="I71" i="22"/>
  <c r="D71" i="22"/>
  <c r="P70" i="22"/>
  <c r="P69" i="22"/>
  <c r="P68" i="22"/>
  <c r="P67" i="22"/>
  <c r="R67" i="22" s="1"/>
  <c r="T66" i="22"/>
  <c r="N66" i="22"/>
  <c r="I66" i="22"/>
  <c r="D66" i="22"/>
  <c r="P65" i="22"/>
  <c r="P64" i="22"/>
  <c r="P66" i="22" s="1"/>
  <c r="P63" i="22"/>
  <c r="R62" i="22"/>
  <c r="P62" i="22"/>
  <c r="T61" i="22"/>
  <c r="N61" i="22"/>
  <c r="N78" i="22" s="1"/>
  <c r="I61" i="22"/>
  <c r="D61" i="22"/>
  <c r="P60" i="22"/>
  <c r="P59" i="22"/>
  <c r="P58" i="22"/>
  <c r="P57" i="22"/>
  <c r="P56" i="22"/>
  <c r="R56" i="22" s="1"/>
  <c r="T54" i="22"/>
  <c r="N54" i="22"/>
  <c r="I54" i="22"/>
  <c r="D54" i="22"/>
  <c r="P53" i="22"/>
  <c r="P52" i="22"/>
  <c r="P51" i="22"/>
  <c r="P50" i="22"/>
  <c r="P49" i="22"/>
  <c r="R49" i="22" s="1"/>
  <c r="T48" i="22"/>
  <c r="N48" i="22"/>
  <c r="I48" i="22"/>
  <c r="D48" i="22"/>
  <c r="P47" i="22"/>
  <c r="P46" i="22"/>
  <c r="P45" i="22"/>
  <c r="P44" i="22"/>
  <c r="P43" i="22"/>
  <c r="R43" i="22" s="1"/>
  <c r="T42" i="22"/>
  <c r="T55" i="22" s="1"/>
  <c r="N42" i="22"/>
  <c r="I42" i="22"/>
  <c r="D42" i="22"/>
  <c r="P37" i="22"/>
  <c r="P42" i="22" s="1"/>
  <c r="W37" i="22" s="1"/>
  <c r="T35" i="22"/>
  <c r="N35" i="22"/>
  <c r="I35" i="22"/>
  <c r="D35" i="22"/>
  <c r="P34" i="22"/>
  <c r="P33" i="22"/>
  <c r="P32" i="22"/>
  <c r="P31" i="22"/>
  <c r="P30" i="22"/>
  <c r="R30" i="22" s="1"/>
  <c r="T29" i="22"/>
  <c r="D29" i="22"/>
  <c r="P28" i="22"/>
  <c r="P27" i="22"/>
  <c r="P26" i="22"/>
  <c r="P25" i="22"/>
  <c r="P24" i="22"/>
  <c r="R24" i="22" s="1"/>
  <c r="T23" i="22"/>
  <c r="N23" i="22"/>
  <c r="I23" i="22"/>
  <c r="D23" i="22"/>
  <c r="P22" i="22"/>
  <c r="P21" i="22"/>
  <c r="P20" i="22"/>
  <c r="P19" i="22"/>
  <c r="P18" i="22"/>
  <c r="R18" i="22" s="1"/>
  <c r="T17" i="22"/>
  <c r="N17" i="22"/>
  <c r="N36" i="22" s="1"/>
  <c r="I17" i="22"/>
  <c r="I36" i="22" s="1"/>
  <c r="D17" i="22"/>
  <c r="P16" i="22"/>
  <c r="P15" i="22"/>
  <c r="P14" i="22"/>
  <c r="P13" i="22"/>
  <c r="P12" i="22"/>
  <c r="D172" i="22" l="1"/>
  <c r="D199" i="22" s="1"/>
  <c r="D202" i="22" s="1"/>
  <c r="P84" i="22"/>
  <c r="W79" i="22" s="1"/>
  <c r="P90" i="22"/>
  <c r="P156" i="22"/>
  <c r="W154" i="22" s="1"/>
  <c r="U116" i="22"/>
  <c r="W116" i="22"/>
  <c r="P17" i="22"/>
  <c r="W12" i="22" s="1"/>
  <c r="N55" i="22"/>
  <c r="P61" i="22"/>
  <c r="W56" i="22" s="1"/>
  <c r="P96" i="22"/>
  <c r="P198" i="22"/>
  <c r="P77" i="22"/>
  <c r="N103" i="22"/>
  <c r="N198" i="22"/>
  <c r="I198" i="22"/>
  <c r="R103" i="22"/>
  <c r="I103" i="22"/>
  <c r="P109" i="22"/>
  <c r="W104" i="22" s="1"/>
  <c r="U62" i="22"/>
  <c r="W62" i="22"/>
  <c r="P29" i="22"/>
  <c r="P54" i="22"/>
  <c r="R78" i="22"/>
  <c r="P128" i="22"/>
  <c r="W123" i="22" s="1"/>
  <c r="U180" i="22"/>
  <c r="I55" i="22"/>
  <c r="U67" i="22"/>
  <c r="W67" i="22"/>
  <c r="P134" i="22"/>
  <c r="N121" i="22"/>
  <c r="U79" i="22"/>
  <c r="U56" i="22"/>
  <c r="U198" i="22"/>
  <c r="T36" i="22"/>
  <c r="U12" i="22"/>
  <c r="U167" i="22"/>
  <c r="I121" i="22"/>
  <c r="R37" i="22"/>
  <c r="R55" i="22" s="1"/>
  <c r="U123" i="22"/>
  <c r="T153" i="22"/>
  <c r="P152" i="22"/>
  <c r="W147" i="22" s="1"/>
  <c r="I170" i="22"/>
  <c r="P162" i="22"/>
  <c r="R157" i="22"/>
  <c r="U184" i="22"/>
  <c r="R12" i="22"/>
  <c r="R36" i="22" s="1"/>
  <c r="P35" i="22"/>
  <c r="P48" i="22"/>
  <c r="U104" i="22"/>
  <c r="P115" i="22"/>
  <c r="I153" i="22"/>
  <c r="P146" i="22"/>
  <c r="R154" i="22"/>
  <c r="N170" i="22"/>
  <c r="P169" i="22"/>
  <c r="R168" i="22"/>
  <c r="P23" i="22"/>
  <c r="U18" i="22" s="1"/>
  <c r="U37" i="22"/>
  <c r="P102" i="22"/>
  <c r="W97" i="22" s="1"/>
  <c r="T120" i="22"/>
  <c r="N153" i="22"/>
  <c r="P140" i="22"/>
  <c r="R141" i="22"/>
  <c r="R153" i="22" s="1"/>
  <c r="T170" i="22"/>
  <c r="U177" i="22"/>
  <c r="U187" i="22"/>
  <c r="U197" i="22"/>
  <c r="R110" i="22"/>
  <c r="R120" i="22" s="1"/>
  <c r="R163" i="22"/>
  <c r="U169" i="22" l="1"/>
  <c r="W168" i="22"/>
  <c r="U43" i="22"/>
  <c r="W43" i="22"/>
  <c r="U49" i="22"/>
  <c r="W49" i="22"/>
  <c r="U24" i="22"/>
  <c r="W24" i="22"/>
  <c r="U72" i="22"/>
  <c r="W72" i="22"/>
  <c r="U135" i="22"/>
  <c r="W135" i="22"/>
  <c r="U129" i="22"/>
  <c r="W129" i="22"/>
  <c r="N171" i="22"/>
  <c r="N172" i="22" s="1"/>
  <c r="N200" i="22" s="1"/>
  <c r="N201" i="22" s="1"/>
  <c r="N202" i="22" s="1"/>
  <c r="U147" i="22"/>
  <c r="U85" i="22"/>
  <c r="W85" i="22"/>
  <c r="U141" i="22"/>
  <c r="W141" i="22"/>
  <c r="P55" i="22"/>
  <c r="U91" i="22"/>
  <c r="W91" i="22"/>
  <c r="U30" i="22"/>
  <c r="W30" i="22"/>
  <c r="P36" i="22"/>
  <c r="W36" i="22" s="1"/>
  <c r="W18" i="22"/>
  <c r="W120" i="22"/>
  <c r="W110" i="22"/>
  <c r="U162" i="22"/>
  <c r="W157" i="22"/>
  <c r="U97" i="22"/>
  <c r="P103" i="22"/>
  <c r="U156" i="22"/>
  <c r="R170" i="22"/>
  <c r="R171" i="22" s="1"/>
  <c r="U110" i="22"/>
  <c r="R121" i="22"/>
  <c r="P170" i="22"/>
  <c r="W170" i="22" s="1"/>
  <c r="U170" i="22"/>
  <c r="I171" i="22"/>
  <c r="I172" i="22" s="1"/>
  <c r="I200" i="22" s="1"/>
  <c r="T171" i="22"/>
  <c r="T121" i="22"/>
  <c r="P153" i="22"/>
  <c r="W153" i="22" s="1"/>
  <c r="U55" i="22" l="1"/>
  <c r="W55" i="22"/>
  <c r="P121" i="22"/>
  <c r="W121" i="22" s="1"/>
  <c r="U103" i="22"/>
  <c r="W103" i="22"/>
  <c r="U120" i="22"/>
  <c r="W78" i="22"/>
  <c r="U78" i="22"/>
  <c r="U36" i="22"/>
  <c r="I201" i="22"/>
  <c r="I202" i="22" s="1"/>
  <c r="R172" i="22"/>
  <c r="R200" i="22" s="1"/>
  <c r="R202" i="22" s="1"/>
  <c r="T172" i="22"/>
  <c r="U121" i="22"/>
  <c r="P171" i="22"/>
  <c r="U153" i="22"/>
  <c r="P172" i="22" l="1"/>
  <c r="W171" i="22"/>
  <c r="U171" i="22"/>
  <c r="T200" i="22"/>
  <c r="U172" i="22"/>
  <c r="P200" i="22" l="1"/>
  <c r="W172" i="22"/>
  <c r="P199" i="22"/>
  <c r="T202" i="22"/>
  <c r="U200" i="22"/>
  <c r="W200" i="22" l="1"/>
  <c r="P201" i="22"/>
  <c r="B5" i="22"/>
  <c r="P202" i="22"/>
  <c r="W202" i="22" s="1"/>
  <c r="T86" i="16"/>
  <c r="T67" i="16"/>
  <c r="B6" i="22" l="1"/>
  <c r="B7" i="22" s="1"/>
  <c r="U201" i="22"/>
  <c r="U202" i="22"/>
  <c r="V58" i="16" l="1"/>
  <c r="V67" i="16"/>
  <c r="V22" i="16"/>
  <c r="P95" i="16" l="1"/>
  <c r="R95" i="16"/>
  <c r="V95" i="16"/>
  <c r="H23" i="8" l="1"/>
  <c r="K4" i="28" l="1"/>
  <c r="S34" i="28" l="1"/>
  <c r="L44" i="26" l="1"/>
  <c r="L43" i="26"/>
  <c r="B28" i="26"/>
  <c r="W598" i="28"/>
  <c r="O598" i="28"/>
  <c r="Q598" i="28" s="1"/>
  <c r="X90" i="16" l="1"/>
  <c r="X91" i="16" s="1"/>
  <c r="R90" i="16"/>
  <c r="R91" i="16" s="1"/>
  <c r="N90" i="16"/>
  <c r="N91" i="16" s="1"/>
  <c r="L90" i="16"/>
  <c r="L91" i="16" s="1"/>
  <c r="K90" i="16"/>
  <c r="K91" i="16" s="1"/>
  <c r="J90" i="16"/>
  <c r="J91" i="16" s="1"/>
  <c r="Y87" i="16"/>
  <c r="V86" i="16"/>
  <c r="Q86" i="16"/>
  <c r="Q87" i="16" s="1"/>
  <c r="Z85" i="16"/>
  <c r="K85" i="16"/>
  <c r="M85" i="16" s="1"/>
  <c r="F85" i="16"/>
  <c r="H85" i="16" s="1"/>
  <c r="Z84" i="16"/>
  <c r="M84" i="16"/>
  <c r="H84" i="16"/>
  <c r="V82" i="16"/>
  <c r="O82" i="16"/>
  <c r="M82" i="16"/>
  <c r="H82" i="16"/>
  <c r="Z81" i="16"/>
  <c r="Z82" i="16" s="1"/>
  <c r="V79" i="16"/>
  <c r="H79" i="16"/>
  <c r="O78" i="16" s="1"/>
  <c r="Z78" i="16"/>
  <c r="Z79" i="16" s="1"/>
  <c r="M78" i="16"/>
  <c r="M79" i="16" s="1"/>
  <c r="H78" i="16"/>
  <c r="Z76" i="16"/>
  <c r="V76" i="16"/>
  <c r="O76" i="16"/>
  <c r="M76" i="16"/>
  <c r="H76" i="16"/>
  <c r="V73" i="16"/>
  <c r="Z72" i="16"/>
  <c r="Z73" i="16" s="1"/>
  <c r="M72" i="16"/>
  <c r="M73" i="16" s="1"/>
  <c r="H72" i="16"/>
  <c r="H73" i="16" s="1"/>
  <c r="V70" i="16"/>
  <c r="M70" i="16"/>
  <c r="Z69" i="16"/>
  <c r="Z70" i="16" s="1"/>
  <c r="H69" i="16"/>
  <c r="H70" i="16" s="1"/>
  <c r="Z66" i="16"/>
  <c r="M66" i="16"/>
  <c r="O66" i="16" s="1"/>
  <c r="W66" i="16" s="1"/>
  <c r="H66" i="16"/>
  <c r="Z65" i="16"/>
  <c r="M65" i="16"/>
  <c r="H65" i="16"/>
  <c r="O65" i="16" s="1"/>
  <c r="W65" i="16" s="1"/>
  <c r="Z64" i="16"/>
  <c r="M64" i="16"/>
  <c r="H64" i="16"/>
  <c r="Z63" i="16"/>
  <c r="M63" i="16"/>
  <c r="H63" i="16"/>
  <c r="Z62" i="16"/>
  <c r="M62" i="16"/>
  <c r="H62" i="16"/>
  <c r="Q58" i="16"/>
  <c r="M57" i="16"/>
  <c r="H57" i="16"/>
  <c r="M56" i="16"/>
  <c r="H56" i="16"/>
  <c r="M55" i="16"/>
  <c r="H55" i="16"/>
  <c r="M54" i="16"/>
  <c r="H54" i="16"/>
  <c r="M53" i="16"/>
  <c r="H53" i="16"/>
  <c r="H52" i="16"/>
  <c r="O52" i="16" s="1"/>
  <c r="M51" i="16"/>
  <c r="H51" i="16"/>
  <c r="M50" i="16"/>
  <c r="H50" i="16"/>
  <c r="M49" i="16"/>
  <c r="H49" i="16"/>
  <c r="H48" i="16"/>
  <c r="O48" i="16" s="1"/>
  <c r="H47" i="16"/>
  <c r="O47" i="16" s="1"/>
  <c r="T47" i="16" s="1"/>
  <c r="V44" i="16"/>
  <c r="H44" i="16"/>
  <c r="M43" i="16"/>
  <c r="O43" i="16" s="1"/>
  <c r="M42" i="16"/>
  <c r="O42" i="16" s="1"/>
  <c r="M41" i="16"/>
  <c r="O41" i="16" s="1"/>
  <c r="K40" i="16"/>
  <c r="M40" i="16" s="1"/>
  <c r="V39" i="16"/>
  <c r="M38" i="16"/>
  <c r="H38" i="16"/>
  <c r="Z37" i="16"/>
  <c r="M37" i="16"/>
  <c r="H37" i="16"/>
  <c r="Z36" i="16"/>
  <c r="M36" i="16"/>
  <c r="H36" i="16"/>
  <c r="V35" i="16"/>
  <c r="H34" i="16"/>
  <c r="O34" i="16" s="1"/>
  <c r="M33" i="16"/>
  <c r="H33" i="16"/>
  <c r="O33" i="16" s="1"/>
  <c r="H32" i="16"/>
  <c r="O32" i="16" s="1"/>
  <c r="H31" i="16"/>
  <c r="O31" i="16" s="1"/>
  <c r="Z30" i="16"/>
  <c r="M30" i="16"/>
  <c r="H30" i="16"/>
  <c r="Z29" i="16"/>
  <c r="M29" i="16"/>
  <c r="H29" i="16"/>
  <c r="O29" i="16" s="1"/>
  <c r="T29" i="16" s="1"/>
  <c r="M28" i="16"/>
  <c r="H28" i="16"/>
  <c r="O28" i="16" s="1"/>
  <c r="M27" i="16"/>
  <c r="V24" i="16"/>
  <c r="V25" i="16" s="1"/>
  <c r="M23" i="16"/>
  <c r="M24" i="16" s="1"/>
  <c r="H23" i="16"/>
  <c r="H24" i="16" s="1"/>
  <c r="M21" i="16"/>
  <c r="H21" i="16"/>
  <c r="M20" i="16"/>
  <c r="H20" i="16"/>
  <c r="M19" i="16"/>
  <c r="H19" i="16"/>
  <c r="M18" i="16"/>
  <c r="H18" i="16"/>
  <c r="M17" i="16"/>
  <c r="H17" i="16"/>
  <c r="M16" i="16"/>
  <c r="H16" i="16"/>
  <c r="M15" i="16"/>
  <c r="H15" i="16"/>
  <c r="O15" i="16" s="1"/>
  <c r="M14" i="16"/>
  <c r="H14" i="16"/>
  <c r="O14" i="16" s="1"/>
  <c r="M13" i="16"/>
  <c r="H13" i="16"/>
  <c r="O13" i="16" s="1"/>
  <c r="M12" i="16"/>
  <c r="H12" i="16"/>
  <c r="O12" i="16" s="1"/>
  <c r="W41" i="16" l="1"/>
  <c r="Y41" i="16"/>
  <c r="T41" i="16"/>
  <c r="Y32" i="16"/>
  <c r="T32" i="16"/>
  <c r="Q43" i="16"/>
  <c r="Y43" i="16"/>
  <c r="T43" i="16"/>
  <c r="Y31" i="16"/>
  <c r="T31" i="16"/>
  <c r="Y37" i="16"/>
  <c r="Y14" i="16"/>
  <c r="T14" i="16"/>
  <c r="Y29" i="16"/>
  <c r="W34" i="16"/>
  <c r="Y34" i="16"/>
  <c r="T34" i="16"/>
  <c r="Z39" i="16"/>
  <c r="Y36" i="16"/>
  <c r="W15" i="16"/>
  <c r="Y15" i="16"/>
  <c r="T15" i="16"/>
  <c r="W52" i="16"/>
  <c r="T52" i="16"/>
  <c r="Y12" i="16"/>
  <c r="T12" i="16"/>
  <c r="Y28" i="16"/>
  <c r="T28" i="16"/>
  <c r="Y13" i="16"/>
  <c r="T13" i="16"/>
  <c r="Y42" i="16"/>
  <c r="T42" i="16"/>
  <c r="W33" i="16"/>
  <c r="Y33" i="16"/>
  <c r="T33" i="16"/>
  <c r="O95" i="16"/>
  <c r="H39" i="16"/>
  <c r="W48" i="16"/>
  <c r="T48" i="16"/>
  <c r="V45" i="16"/>
  <c r="V59" i="16" s="1"/>
  <c r="Z86" i="16"/>
  <c r="Z87" i="16" s="1"/>
  <c r="Z35" i="16"/>
  <c r="Z45" i="16" s="1"/>
  <c r="O53" i="16"/>
  <c r="O49" i="16"/>
  <c r="M39" i="16"/>
  <c r="V87" i="16"/>
  <c r="D44" i="26" s="1"/>
  <c r="O37" i="16"/>
  <c r="O51" i="16"/>
  <c r="O17" i="16"/>
  <c r="O38" i="16"/>
  <c r="Q38" i="16" s="1"/>
  <c r="M22" i="16"/>
  <c r="M25" i="16" s="1"/>
  <c r="O18" i="16"/>
  <c r="Q18" i="16" s="1"/>
  <c r="O20" i="16"/>
  <c r="O62" i="16"/>
  <c r="W32" i="16"/>
  <c r="Q32" i="16"/>
  <c r="H22" i="16"/>
  <c r="H25" i="16" s="1"/>
  <c r="H35" i="16"/>
  <c r="H45" i="16" s="1"/>
  <c r="O55" i="16"/>
  <c r="O57" i="16"/>
  <c r="W57" i="16" s="1"/>
  <c r="H67" i="16"/>
  <c r="O64" i="16"/>
  <c r="W64" i="16" s="1"/>
  <c r="M86" i="16"/>
  <c r="O16" i="16"/>
  <c r="O19" i="16"/>
  <c r="M35" i="16"/>
  <c r="M58" i="16"/>
  <c r="O72" i="16"/>
  <c r="O73" i="16" s="1"/>
  <c r="W73" i="16" s="1"/>
  <c r="O21" i="16"/>
  <c r="O50" i="16"/>
  <c r="O54" i="16"/>
  <c r="O56" i="16"/>
  <c r="M67" i="16"/>
  <c r="O84" i="16"/>
  <c r="W84" i="16" s="1"/>
  <c r="Q13" i="16"/>
  <c r="W13" i="16"/>
  <c r="M44" i="16"/>
  <c r="O40" i="16"/>
  <c r="O85" i="16"/>
  <c r="W85" i="16" s="1"/>
  <c r="H86" i="16"/>
  <c r="W14" i="16"/>
  <c r="Q14" i="16"/>
  <c r="W28" i="16"/>
  <c r="Q28" i="16"/>
  <c r="W31" i="16"/>
  <c r="Q31" i="16"/>
  <c r="W42" i="16"/>
  <c r="Q42" i="16"/>
  <c r="W78" i="16"/>
  <c r="O79" i="16"/>
  <c r="W79" i="16" s="1"/>
  <c r="W38" i="16"/>
  <c r="W29" i="16"/>
  <c r="Q29" i="16"/>
  <c r="W62" i="16"/>
  <c r="O30" i="16"/>
  <c r="T30" i="16" s="1"/>
  <c r="Q33" i="16"/>
  <c r="O36" i="16"/>
  <c r="T36" i="16" s="1"/>
  <c r="W37" i="16"/>
  <c r="W43" i="16"/>
  <c r="O63" i="16"/>
  <c r="W63" i="16" s="1"/>
  <c r="O69" i="16"/>
  <c r="O23" i="16"/>
  <c r="H58" i="16"/>
  <c r="Q15" i="16"/>
  <c r="Q20" i="16"/>
  <c r="Q34" i="16"/>
  <c r="Q41" i="16"/>
  <c r="W47" i="16"/>
  <c r="O27" i="16"/>
  <c r="W55" i="16" l="1"/>
  <c r="T55" i="16"/>
  <c r="W53" i="16"/>
  <c r="T53" i="16"/>
  <c r="W49" i="16"/>
  <c r="T49" i="16"/>
  <c r="T58" i="16" s="1"/>
  <c r="Y23" i="16"/>
  <c r="T23" i="16"/>
  <c r="T24" i="16" s="1"/>
  <c r="Q17" i="16"/>
  <c r="Y17" i="16"/>
  <c r="T17" i="16"/>
  <c r="W72" i="16"/>
  <c r="W56" i="16"/>
  <c r="T56" i="16"/>
  <c r="Q16" i="16"/>
  <c r="Y16" i="16"/>
  <c r="T16" i="16"/>
  <c r="W51" i="16"/>
  <c r="T51" i="16"/>
  <c r="Y30" i="16"/>
  <c r="W18" i="16"/>
  <c r="Y18" i="16"/>
  <c r="T18" i="16"/>
  <c r="T22" i="16" s="1"/>
  <c r="Y38" i="16"/>
  <c r="T38" i="16"/>
  <c r="Y27" i="16"/>
  <c r="T27" i="16"/>
  <c r="T35" i="16" s="1"/>
  <c r="Q19" i="16"/>
  <c r="Y19" i="16"/>
  <c r="T19" i="16"/>
  <c r="W54" i="16"/>
  <c r="T54" i="16"/>
  <c r="Q37" i="16"/>
  <c r="T37" i="16"/>
  <c r="T39" i="16" s="1"/>
  <c r="W50" i="16"/>
  <c r="T50" i="16"/>
  <c r="Y40" i="16"/>
  <c r="T40" i="16"/>
  <c r="T44" i="16" s="1"/>
  <c r="M45" i="16"/>
  <c r="W21" i="16"/>
  <c r="Y21" i="16"/>
  <c r="T21" i="16"/>
  <c r="W20" i="16"/>
  <c r="Y20" i="16"/>
  <c r="T20" i="16"/>
  <c r="Z59" i="16"/>
  <c r="Z89" i="16" s="1"/>
  <c r="D43" i="26"/>
  <c r="D45" i="26" s="1"/>
  <c r="W17" i="16"/>
  <c r="H87" i="16"/>
  <c r="W87" i="16" s="1"/>
  <c r="W16" i="16"/>
  <c r="Q21" i="16"/>
  <c r="Q95" i="16" s="1"/>
  <c r="M59" i="16"/>
  <c r="M87" i="16"/>
  <c r="W19" i="16"/>
  <c r="O58" i="16"/>
  <c r="W58" i="16" s="1"/>
  <c r="H59" i="16"/>
  <c r="O39" i="16"/>
  <c r="W39" i="16" s="1"/>
  <c r="W36" i="16"/>
  <c r="Q36" i="16"/>
  <c r="Q12" i="16"/>
  <c r="O22" i="16"/>
  <c r="O67" i="16"/>
  <c r="W67" i="16" s="1"/>
  <c r="Q27" i="16"/>
  <c r="O35" i="16"/>
  <c r="W27" i="16"/>
  <c r="W30" i="16"/>
  <c r="Q30" i="16"/>
  <c r="O86" i="16"/>
  <c r="W86" i="16" s="1"/>
  <c r="O70" i="16"/>
  <c r="W70" i="16" s="1"/>
  <c r="W69" i="16"/>
  <c r="O44" i="16"/>
  <c r="W44" i="16" s="1"/>
  <c r="Q40" i="16"/>
  <c r="W40" i="16"/>
  <c r="O24" i="16"/>
  <c r="W24" i="16" s="1"/>
  <c r="W23" i="16"/>
  <c r="Q23" i="16"/>
  <c r="Q24" i="16" s="1"/>
  <c r="T82" i="16" l="1"/>
  <c r="T89" i="16" s="1"/>
  <c r="T45" i="16"/>
  <c r="T59" i="16" s="1"/>
  <c r="H89" i="16"/>
  <c r="H90" i="16" s="1"/>
  <c r="Y45" i="16"/>
  <c r="O45" i="16"/>
  <c r="W45" i="16" s="1"/>
  <c r="M89" i="16"/>
  <c r="M90" i="16" s="1"/>
  <c r="M91" i="16" s="1"/>
  <c r="T25" i="16"/>
  <c r="Z90" i="16"/>
  <c r="Z91" i="16" s="1"/>
  <c r="V89" i="16"/>
  <c r="V90" i="16" s="1"/>
  <c r="O59" i="16"/>
  <c r="B43" i="26" s="1"/>
  <c r="O87" i="16"/>
  <c r="B44" i="26" s="1"/>
  <c r="W59" i="16"/>
  <c r="Q44" i="16"/>
  <c r="W35" i="16"/>
  <c r="Q39" i="16"/>
  <c r="O25" i="16"/>
  <c r="W22" i="16"/>
  <c r="Q22" i="16"/>
  <c r="H91" i="16"/>
  <c r="Q35" i="16"/>
  <c r="Y59" i="16" l="1"/>
  <c r="O89" i="16"/>
  <c r="W25" i="16"/>
  <c r="Y25" i="16"/>
  <c r="V91" i="16"/>
  <c r="W89" i="16"/>
  <c r="Q45" i="16"/>
  <c r="Q25" i="16"/>
  <c r="B37" i="26" l="1"/>
  <c r="D37" i="26" s="1"/>
  <c r="B5" i="16"/>
  <c r="Y89" i="16"/>
  <c r="O90" i="16"/>
  <c r="O91" i="16" s="1"/>
  <c r="Y91" i="16" s="1"/>
  <c r="Q59" i="16"/>
  <c r="W91" i="16" l="1"/>
  <c r="B6" i="16"/>
  <c r="B7" i="16" s="1"/>
  <c r="Z3" i="16" s="1"/>
  <c r="Q89" i="16"/>
  <c r="Q90" i="16" l="1"/>
  <c r="Q91" i="16" s="1"/>
  <c r="K672" i="28" l="1"/>
  <c r="O672" i="28" l="1"/>
  <c r="Q672" i="28" s="1"/>
  <c r="T672" i="28" l="1"/>
  <c r="S118" i="28"/>
  <c r="S128" i="28" l="1"/>
  <c r="AC43" i="26" l="1"/>
  <c r="AC44" i="26" l="1"/>
  <c r="AA44" i="26" l="1"/>
  <c r="AA43" i="26" l="1"/>
  <c r="F28" i="26" l="1"/>
  <c r="S614" i="28" l="1"/>
  <c r="W590" i="28"/>
  <c r="W415" i="28"/>
  <c r="S415" i="28"/>
  <c r="M415" i="28"/>
  <c r="H415" i="28"/>
  <c r="O413" i="28"/>
  <c r="Q413" i="28" s="1"/>
  <c r="O408" i="28"/>
  <c r="T408" i="28" s="1"/>
  <c r="O409" i="28"/>
  <c r="T409" i="28" s="1"/>
  <c r="O410" i="28"/>
  <c r="Q410" i="28" s="1"/>
  <c r="O406" i="28"/>
  <c r="T406" i="28" s="1"/>
  <c r="S404" i="28"/>
  <c r="M404" i="28"/>
  <c r="H404" i="28"/>
  <c r="W401" i="28"/>
  <c r="W402" i="28"/>
  <c r="W403" i="28"/>
  <c r="O401" i="28"/>
  <c r="O402" i="28"/>
  <c r="T402" i="28" s="1"/>
  <c r="O403" i="28"/>
  <c r="T413" i="28" l="1"/>
  <c r="Q409" i="28"/>
  <c r="Q408" i="28"/>
  <c r="Q406" i="28"/>
  <c r="T410" i="28"/>
  <c r="Q402" i="28"/>
  <c r="V402" i="28" s="1"/>
  <c r="Q403" i="28"/>
  <c r="Q401" i="28"/>
  <c r="V401" i="28" s="1"/>
  <c r="W396" i="28" l="1"/>
  <c r="W397" i="28"/>
  <c r="W398" i="28"/>
  <c r="W399" i="28"/>
  <c r="O396" i="28"/>
  <c r="T396" i="28" s="1"/>
  <c r="O397" i="28"/>
  <c r="T397" i="28" s="1"/>
  <c r="O398" i="28"/>
  <c r="Q398" i="28" s="1"/>
  <c r="O399" i="28"/>
  <c r="Q399" i="28" s="1"/>
  <c r="V399" i="28" l="1"/>
  <c r="Q397" i="28"/>
  <c r="V397" i="28" s="1"/>
  <c r="Q396" i="28"/>
  <c r="V396" i="28" s="1"/>
  <c r="T399" i="28"/>
  <c r="W391" i="28"/>
  <c r="W392" i="28"/>
  <c r="W393" i="28"/>
  <c r="W394" i="28"/>
  <c r="O391" i="28"/>
  <c r="Q391" i="28" s="1"/>
  <c r="O392" i="28"/>
  <c r="Q392" i="28" s="1"/>
  <c r="O393" i="28"/>
  <c r="T393" i="28" s="1"/>
  <c r="O394" i="28"/>
  <c r="T394" i="28" s="1"/>
  <c r="W386" i="28"/>
  <c r="W387" i="28"/>
  <c r="W388" i="28"/>
  <c r="W389" i="28"/>
  <c r="O386" i="28"/>
  <c r="T386" i="28" s="1"/>
  <c r="O387" i="28"/>
  <c r="T387" i="28" s="1"/>
  <c r="O388" i="28"/>
  <c r="Q388" i="28" s="1"/>
  <c r="O389" i="28"/>
  <c r="T389" i="28" s="1"/>
  <c r="W384" i="28"/>
  <c r="O384" i="28"/>
  <c r="T384" i="28" s="1"/>
  <c r="H106" i="28"/>
  <c r="M106" i="28"/>
  <c r="S106" i="28"/>
  <c r="W104" i="28"/>
  <c r="W101" i="28"/>
  <c r="V101" i="28" s="1"/>
  <c r="W102" i="28"/>
  <c r="V102" i="28" s="1"/>
  <c r="W103" i="28"/>
  <c r="O101" i="28"/>
  <c r="T101" i="28" s="1"/>
  <c r="O102" i="28"/>
  <c r="Q102" i="28" s="1"/>
  <c r="O103" i="28"/>
  <c r="T103" i="28" s="1"/>
  <c r="W96" i="28"/>
  <c r="V96" i="28" s="1"/>
  <c r="W97" i="28"/>
  <c r="V97" i="28" s="1"/>
  <c r="W98" i="28"/>
  <c r="V98" i="28" s="1"/>
  <c r="W99" i="28"/>
  <c r="V99" i="28" s="1"/>
  <c r="O96" i="28"/>
  <c r="T96" i="28" s="1"/>
  <c r="O97" i="28"/>
  <c r="T97" i="28" s="1"/>
  <c r="O98" i="28"/>
  <c r="Q98" i="28" s="1"/>
  <c r="O99" i="28"/>
  <c r="T99" i="28" s="1"/>
  <c r="S94" i="28"/>
  <c r="W88" i="28"/>
  <c r="V88" i="28" s="1"/>
  <c r="W89" i="28"/>
  <c r="V89" i="28" s="1"/>
  <c r="W90" i="28"/>
  <c r="V90" i="28" s="1"/>
  <c r="W91" i="28"/>
  <c r="V91" i="28" s="1"/>
  <c r="O88" i="28"/>
  <c r="Q88" i="28" s="1"/>
  <c r="O89" i="28"/>
  <c r="T89" i="28" s="1"/>
  <c r="O90" i="28"/>
  <c r="Q90" i="28" s="1"/>
  <c r="O91" i="28"/>
  <c r="T91" i="28" s="1"/>
  <c r="W83" i="28"/>
  <c r="V83" i="28" s="1"/>
  <c r="W84" i="28"/>
  <c r="V84" i="28" s="1"/>
  <c r="W85" i="28"/>
  <c r="V85" i="28" s="1"/>
  <c r="W86" i="28"/>
  <c r="O83" i="28"/>
  <c r="Q83" i="28" s="1"/>
  <c r="O84" i="28"/>
  <c r="T84" i="28" s="1"/>
  <c r="O85" i="28"/>
  <c r="Q85" i="28" s="1"/>
  <c r="O86" i="28"/>
  <c r="Q86" i="28" s="1"/>
  <c r="W81" i="28"/>
  <c r="V81" i="28" s="1"/>
  <c r="W78" i="28"/>
  <c r="W79" i="28"/>
  <c r="W80" i="28"/>
  <c r="O78" i="28"/>
  <c r="T78" i="28" s="1"/>
  <c r="O79" i="28"/>
  <c r="Q79" i="28" s="1"/>
  <c r="O80" i="28"/>
  <c r="Q80" i="28" s="1"/>
  <c r="O81" i="28"/>
  <c r="T81" i="28" s="1"/>
  <c r="S76" i="28"/>
  <c r="W65" i="28"/>
  <c r="O65" i="28"/>
  <c r="T65" i="28" s="1"/>
  <c r="W62" i="28"/>
  <c r="W63" i="28"/>
  <c r="W64" i="28"/>
  <c r="O62" i="28"/>
  <c r="T62" i="28" s="1"/>
  <c r="O63" i="28"/>
  <c r="T63" i="28" s="1"/>
  <c r="O64" i="28"/>
  <c r="T64" i="28" s="1"/>
  <c r="W58" i="28"/>
  <c r="W59" i="28"/>
  <c r="W60" i="28"/>
  <c r="O58" i="28"/>
  <c r="Q58" i="28" s="1"/>
  <c r="O59" i="28"/>
  <c r="Q59" i="28" s="1"/>
  <c r="O60" i="28"/>
  <c r="T60" i="28" s="1"/>
  <c r="W53" i="28"/>
  <c r="W54" i="28"/>
  <c r="W55" i="28"/>
  <c r="W56" i="28"/>
  <c r="O53" i="28"/>
  <c r="Q53" i="28" s="1"/>
  <c r="O54" i="28"/>
  <c r="Q54" i="28" s="1"/>
  <c r="O55" i="28"/>
  <c r="Q55" i="28" s="1"/>
  <c r="O56" i="28"/>
  <c r="T56" i="28" s="1"/>
  <c r="M50" i="28"/>
  <c r="H50" i="28"/>
  <c r="S50" i="28"/>
  <c r="S107" i="28" s="1"/>
  <c r="W46" i="28"/>
  <c r="W47" i="28"/>
  <c r="W48" i="28"/>
  <c r="W49" i="28"/>
  <c r="O46" i="28"/>
  <c r="Q46" i="28" s="1"/>
  <c r="O47" i="28"/>
  <c r="Q47" i="28" s="1"/>
  <c r="O48" i="28"/>
  <c r="Q48" i="28" s="1"/>
  <c r="O49" i="28"/>
  <c r="T49" i="28" s="1"/>
  <c r="W41" i="28"/>
  <c r="W42" i="28"/>
  <c r="W43" i="28"/>
  <c r="W44" i="28"/>
  <c r="O41" i="28"/>
  <c r="Q41" i="28" s="1"/>
  <c r="O42" i="28"/>
  <c r="Q42" i="28" s="1"/>
  <c r="O43" i="28"/>
  <c r="Q43" i="28" s="1"/>
  <c r="O44" i="28"/>
  <c r="Q44" i="28" s="1"/>
  <c r="W36" i="28"/>
  <c r="W37" i="28"/>
  <c r="W38" i="28"/>
  <c r="W39" i="28"/>
  <c r="O36" i="28"/>
  <c r="T36" i="28" s="1"/>
  <c r="O37" i="28"/>
  <c r="Q37" i="28" s="1"/>
  <c r="O38" i="28"/>
  <c r="Q38" i="28" s="1"/>
  <c r="O39" i="28"/>
  <c r="Q39" i="28" s="1"/>
  <c r="W30" i="28"/>
  <c r="W31" i="28"/>
  <c r="W32" i="28"/>
  <c r="W33" i="28"/>
  <c r="O29" i="28"/>
  <c r="O30" i="28"/>
  <c r="T30" i="28" s="1"/>
  <c r="O31" i="28"/>
  <c r="T31" i="28" s="1"/>
  <c r="O32" i="28"/>
  <c r="Q32" i="28" s="1"/>
  <c r="O33" i="28"/>
  <c r="Q33" i="28" s="1"/>
  <c r="W20" i="28"/>
  <c r="W21" i="28"/>
  <c r="W22" i="28"/>
  <c r="W23" i="28"/>
  <c r="W28" i="28"/>
  <c r="W25" i="28"/>
  <c r="W26" i="28"/>
  <c r="W27" i="28"/>
  <c r="O25" i="28"/>
  <c r="Q25" i="28" s="1"/>
  <c r="O26" i="28"/>
  <c r="T26" i="28" s="1"/>
  <c r="O27" i="28"/>
  <c r="Q27" i="28" s="1"/>
  <c r="O28" i="28"/>
  <c r="Q28" i="28" s="1"/>
  <c r="O20" i="28"/>
  <c r="Q20" i="28" s="1"/>
  <c r="O21" i="28"/>
  <c r="Q21" i="28" s="1"/>
  <c r="O22" i="28"/>
  <c r="T22" i="28" s="1"/>
  <c r="O19" i="28"/>
  <c r="T19" i="28" s="1"/>
  <c r="O23" i="28"/>
  <c r="Q23" i="28" s="1"/>
  <c r="W15" i="28"/>
  <c r="W16" i="28"/>
  <c r="W17" i="28"/>
  <c r="W18" i="28"/>
  <c r="W14" i="28"/>
  <c r="O15" i="28"/>
  <c r="O16" i="28"/>
  <c r="O17" i="28"/>
  <c r="O18" i="28"/>
  <c r="R6" i="28"/>
  <c r="T18" i="28" l="1"/>
  <c r="T16" i="28"/>
  <c r="T15" i="28"/>
  <c r="Q17" i="28"/>
  <c r="Q14" i="28"/>
  <c r="V14" i="28" s="1"/>
  <c r="Q78" i="28"/>
  <c r="Q99" i="28"/>
  <c r="Q394" i="28"/>
  <c r="V394" i="28" s="1"/>
  <c r="Q393" i="28"/>
  <c r="V393" i="28" s="1"/>
  <c r="T391" i="28"/>
  <c r="T392" i="28"/>
  <c r="Q91" i="28"/>
  <c r="Q96" i="28"/>
  <c r="Q384" i="28"/>
  <c r="V384" i="28" s="1"/>
  <c r="Q89" i="28"/>
  <c r="T88" i="28"/>
  <c r="V392" i="28"/>
  <c r="V391" i="28"/>
  <c r="Q389" i="28"/>
  <c r="V389" i="28" s="1"/>
  <c r="Q387" i="28"/>
  <c r="V387" i="28" s="1"/>
  <c r="Q386" i="28"/>
  <c r="V386" i="28" s="1"/>
  <c r="Q103" i="28"/>
  <c r="Q101" i="28"/>
  <c r="T79" i="28"/>
  <c r="Q97" i="28"/>
  <c r="Q81" i="28"/>
  <c r="T86" i="28"/>
  <c r="T83" i="28"/>
  <c r="Q84" i="28"/>
  <c r="Q65" i="28"/>
  <c r="V65" i="28" s="1"/>
  <c r="Q62" i="28"/>
  <c r="V62" i="28" s="1"/>
  <c r="Q56" i="28"/>
  <c r="V56" i="28" s="1"/>
  <c r="T58" i="28"/>
  <c r="V28" i="28"/>
  <c r="V53" i="28"/>
  <c r="T42" i="28"/>
  <c r="V47" i="28"/>
  <c r="T54" i="28"/>
  <c r="T41" i="28"/>
  <c r="V46" i="28"/>
  <c r="T53" i="28"/>
  <c r="T59" i="28"/>
  <c r="Q64" i="28"/>
  <c r="V64" i="28" s="1"/>
  <c r="T47" i="28"/>
  <c r="Q63" i="28"/>
  <c r="V63" i="28" s="1"/>
  <c r="V42" i="28"/>
  <c r="T46" i="28"/>
  <c r="V54" i="28"/>
  <c r="V41" i="28"/>
  <c r="V59" i="28"/>
  <c r="Q49" i="28"/>
  <c r="V49" i="28" s="1"/>
  <c r="Q60" i="28"/>
  <c r="V60" i="28" s="1"/>
  <c r="V58" i="28"/>
  <c r="Q36" i="28"/>
  <c r="V36" i="28" s="1"/>
  <c r="T21" i="28"/>
  <c r="V21" i="28"/>
  <c r="V20" i="28"/>
  <c r="V32" i="28"/>
  <c r="Q30" i="28"/>
  <c r="V30" i="28" s="1"/>
  <c r="Q26" i="28"/>
  <c r="V26" i="28" s="1"/>
  <c r="Q31" i="28"/>
  <c r="V31" i="28" s="1"/>
  <c r="T32" i="28"/>
  <c r="V33" i="28"/>
  <c r="T33" i="28"/>
  <c r="V23" i="28"/>
  <c r="V27" i="28"/>
  <c r="T28" i="28"/>
  <c r="T27" i="28"/>
  <c r="T20" i="28"/>
  <c r="Q18" i="28"/>
  <c r="V18" i="28" s="1"/>
  <c r="Q16" i="28"/>
  <c r="V16" i="28" s="1"/>
  <c r="Q15" i="28"/>
  <c r="V15" i="28" s="1"/>
  <c r="Q22" i="28"/>
  <c r="V22" i="28" s="1"/>
  <c r="T23" i="28"/>
  <c r="T14" i="28"/>
  <c r="AH44" i="26" l="1"/>
  <c r="AF44" i="26" l="1"/>
  <c r="AH43" i="26" l="1"/>
  <c r="AF43" i="26"/>
  <c r="E28" i="26" l="1"/>
  <c r="E31" i="26" s="1"/>
  <c r="V178" i="8" l="1"/>
  <c r="V177" i="8"/>
  <c r="V175" i="8"/>
  <c r="V173" i="8"/>
  <c r="V170" i="8"/>
  <c r="R169" i="8"/>
  <c r="Q169" i="8"/>
  <c r="P169" i="8"/>
  <c r="O169" i="8"/>
  <c r="N169" i="8"/>
  <c r="M169" i="8"/>
  <c r="J169" i="8"/>
  <c r="H169" i="8"/>
  <c r="I169" i="8" s="1"/>
  <c r="R168" i="8"/>
  <c r="Q168" i="8"/>
  <c r="P168" i="8"/>
  <c r="O168" i="8"/>
  <c r="N168" i="8"/>
  <c r="M168" i="8"/>
  <c r="J168" i="8"/>
  <c r="H168" i="8"/>
  <c r="I168" i="8" s="1"/>
  <c r="R167" i="8"/>
  <c r="Q167" i="8"/>
  <c r="P167" i="8"/>
  <c r="O167" i="8"/>
  <c r="N167" i="8"/>
  <c r="M167" i="8"/>
  <c r="J167" i="8"/>
  <c r="H167" i="8"/>
  <c r="R166" i="8"/>
  <c r="Q166" i="8"/>
  <c r="P166" i="8"/>
  <c r="O166" i="8"/>
  <c r="N166" i="8"/>
  <c r="M166" i="8"/>
  <c r="J166" i="8"/>
  <c r="H166" i="8"/>
  <c r="K166" i="8" s="1"/>
  <c r="R165" i="8"/>
  <c r="Q165" i="8"/>
  <c r="P165" i="8"/>
  <c r="O165" i="8"/>
  <c r="N165" i="8"/>
  <c r="M165" i="8"/>
  <c r="J165" i="8"/>
  <c r="H165" i="8"/>
  <c r="R164" i="8"/>
  <c r="Q164" i="8"/>
  <c r="P164" i="8"/>
  <c r="O164" i="8"/>
  <c r="N164" i="8"/>
  <c r="M164" i="8"/>
  <c r="J164" i="8"/>
  <c r="H164" i="8"/>
  <c r="K164" i="8" s="1"/>
  <c r="R163" i="8"/>
  <c r="Q163" i="8"/>
  <c r="P163" i="8"/>
  <c r="O163" i="8"/>
  <c r="N163" i="8"/>
  <c r="M163" i="8"/>
  <c r="J163" i="8"/>
  <c r="H163" i="8"/>
  <c r="K163" i="8" s="1"/>
  <c r="R162" i="8"/>
  <c r="Q162" i="8"/>
  <c r="P162" i="8"/>
  <c r="O162" i="8"/>
  <c r="N162" i="8"/>
  <c r="M162" i="8"/>
  <c r="J162" i="8"/>
  <c r="H162" i="8"/>
  <c r="K162" i="8" s="1"/>
  <c r="V161" i="8"/>
  <c r="R160" i="8"/>
  <c r="Q160" i="8"/>
  <c r="P160" i="8"/>
  <c r="O160" i="8"/>
  <c r="N160" i="8"/>
  <c r="M160" i="8"/>
  <c r="J160" i="8"/>
  <c r="H160" i="8"/>
  <c r="K160" i="8" s="1"/>
  <c r="R159" i="8"/>
  <c r="Q159" i="8"/>
  <c r="P159" i="8"/>
  <c r="O159" i="8"/>
  <c r="N159" i="8"/>
  <c r="M159" i="8"/>
  <c r="J159" i="8"/>
  <c r="H159" i="8"/>
  <c r="I159" i="8" s="1"/>
  <c r="R158" i="8"/>
  <c r="Q158" i="8"/>
  <c r="P158" i="8"/>
  <c r="O158" i="8"/>
  <c r="N158" i="8"/>
  <c r="M158" i="8"/>
  <c r="J158" i="8"/>
  <c r="H158" i="8"/>
  <c r="R157" i="8"/>
  <c r="Q157" i="8"/>
  <c r="P157" i="8"/>
  <c r="O157" i="8"/>
  <c r="N157" i="8"/>
  <c r="M157" i="8"/>
  <c r="J157" i="8"/>
  <c r="H157" i="8"/>
  <c r="I157" i="8" s="1"/>
  <c r="R156" i="8"/>
  <c r="Q156" i="8"/>
  <c r="P156" i="8"/>
  <c r="O156" i="8"/>
  <c r="N156" i="8"/>
  <c r="M156" i="8"/>
  <c r="J156" i="8"/>
  <c r="H156" i="8"/>
  <c r="I156" i="8" s="1"/>
  <c r="R155" i="8"/>
  <c r="Q155" i="8"/>
  <c r="P155" i="8"/>
  <c r="O155" i="8"/>
  <c r="N155" i="8"/>
  <c r="M155" i="8"/>
  <c r="J155" i="8"/>
  <c r="H155" i="8"/>
  <c r="R154" i="8"/>
  <c r="R171" i="8" s="1"/>
  <c r="Q154" i="8"/>
  <c r="Q171" i="8" s="1"/>
  <c r="P154" i="8"/>
  <c r="P171" i="8" s="1"/>
  <c r="O154" i="8"/>
  <c r="O171" i="8" s="1"/>
  <c r="N154" i="8"/>
  <c r="M154" i="8"/>
  <c r="J154" i="8"/>
  <c r="H154" i="8"/>
  <c r="M18" i="31" s="1"/>
  <c r="Q18" i="31" s="1"/>
  <c r="V153" i="8"/>
  <c r="V152" i="8"/>
  <c r="V151" i="8"/>
  <c r="S150" i="8"/>
  <c r="T150" i="8" s="1"/>
  <c r="S149" i="8"/>
  <c r="V149" i="8" s="1"/>
  <c r="S148" i="8"/>
  <c r="V148" i="8" s="1"/>
  <c r="V147" i="8"/>
  <c r="S145" i="8"/>
  <c r="V145" i="8" s="1"/>
  <c r="R144" i="8"/>
  <c r="Q144" i="8"/>
  <c r="P144" i="8"/>
  <c r="O144" i="8"/>
  <c r="N144" i="8"/>
  <c r="M144" i="8"/>
  <c r="J144" i="8"/>
  <c r="H144" i="8"/>
  <c r="R143" i="8"/>
  <c r="Q143" i="8"/>
  <c r="P143" i="8"/>
  <c r="O143" i="8"/>
  <c r="N143" i="8"/>
  <c r="M143" i="8"/>
  <c r="J143" i="8"/>
  <c r="H143" i="8"/>
  <c r="I143" i="8" s="1"/>
  <c r="R142" i="8"/>
  <c r="R146" i="8" s="1"/>
  <c r="Q142" i="8"/>
  <c r="Q146" i="8" s="1"/>
  <c r="P142" i="8"/>
  <c r="P146" i="8" s="1"/>
  <c r="O142" i="8"/>
  <c r="N142" i="8"/>
  <c r="N146" i="8" s="1"/>
  <c r="M142" i="8"/>
  <c r="J142" i="8"/>
  <c r="H142" i="8"/>
  <c r="V141" i="8"/>
  <c r="V140" i="8"/>
  <c r="S139" i="8"/>
  <c r="V139" i="8" s="1"/>
  <c r="S138" i="8"/>
  <c r="S137" i="8"/>
  <c r="T137" i="8" s="1"/>
  <c r="V136" i="8"/>
  <c r="S134" i="8"/>
  <c r="T134" i="8" s="1"/>
  <c r="S133" i="8"/>
  <c r="V133" i="8" s="1"/>
  <c r="R132" i="8"/>
  <c r="R135" i="8" s="1"/>
  <c r="Q132" i="8"/>
  <c r="Q135" i="8" s="1"/>
  <c r="P132" i="8"/>
  <c r="P135" i="8" s="1"/>
  <c r="O132" i="8"/>
  <c r="O135" i="8" s="1"/>
  <c r="N132" i="8"/>
  <c r="N135" i="8" s="1"/>
  <c r="M132" i="8"/>
  <c r="M135" i="8" s="1"/>
  <c r="J132" i="8"/>
  <c r="H132" i="8"/>
  <c r="V131" i="8"/>
  <c r="S129" i="8"/>
  <c r="T129" i="8" s="1"/>
  <c r="S128" i="8"/>
  <c r="V128" i="8" s="1"/>
  <c r="R127" i="8"/>
  <c r="R130" i="8" s="1"/>
  <c r="Q127" i="8"/>
  <c r="Q130" i="8" s="1"/>
  <c r="P127" i="8"/>
  <c r="P130" i="8" s="1"/>
  <c r="O127" i="8"/>
  <c r="O130" i="8" s="1"/>
  <c r="N127" i="8"/>
  <c r="N130" i="8" s="1"/>
  <c r="M127" i="8"/>
  <c r="M130" i="8" s="1"/>
  <c r="J127" i="8"/>
  <c r="H127" i="8"/>
  <c r="I127" i="8" s="1"/>
  <c r="V126" i="8"/>
  <c r="S124" i="8"/>
  <c r="T124" i="8" s="1"/>
  <c r="R123" i="8"/>
  <c r="Q123" i="8"/>
  <c r="P123" i="8"/>
  <c r="O123" i="8"/>
  <c r="N123" i="8"/>
  <c r="M123" i="8"/>
  <c r="J123" i="8"/>
  <c r="H123" i="8"/>
  <c r="V122" i="8"/>
  <c r="R121" i="8"/>
  <c r="Q121" i="8"/>
  <c r="P121" i="8"/>
  <c r="O121" i="8"/>
  <c r="N121" i="8"/>
  <c r="M121" i="8"/>
  <c r="J121" i="8"/>
  <c r="H121" i="8"/>
  <c r="S120" i="8"/>
  <c r="V120" i="8" s="1"/>
  <c r="J120" i="8"/>
  <c r="K120" i="8" s="1"/>
  <c r="I120" i="8"/>
  <c r="R119" i="8"/>
  <c r="Q119" i="8"/>
  <c r="P119" i="8"/>
  <c r="O119" i="8"/>
  <c r="N119" i="8"/>
  <c r="M119" i="8"/>
  <c r="J119" i="8"/>
  <c r="H119" i="8"/>
  <c r="R118" i="8"/>
  <c r="Q118" i="8"/>
  <c r="P118" i="8"/>
  <c r="O118" i="8"/>
  <c r="N118" i="8"/>
  <c r="M118" i="8"/>
  <c r="J118" i="8"/>
  <c r="H118" i="8"/>
  <c r="I118" i="8" s="1"/>
  <c r="R117" i="8"/>
  <c r="Q117" i="8"/>
  <c r="P117" i="8"/>
  <c r="O117" i="8"/>
  <c r="N117" i="8"/>
  <c r="M117" i="8"/>
  <c r="J117" i="8"/>
  <c r="H117" i="8"/>
  <c r="R116" i="8"/>
  <c r="Q116" i="8"/>
  <c r="P116" i="8"/>
  <c r="O116" i="8"/>
  <c r="N116" i="8"/>
  <c r="M116" i="8"/>
  <c r="J116" i="8"/>
  <c r="H116" i="8"/>
  <c r="R115" i="8"/>
  <c r="Q115" i="8"/>
  <c r="P115" i="8"/>
  <c r="O115" i="8"/>
  <c r="N115" i="8"/>
  <c r="M115" i="8"/>
  <c r="J115" i="8"/>
  <c r="H115" i="8"/>
  <c r="I115" i="8" s="1"/>
  <c r="R114" i="8"/>
  <c r="Q114" i="8"/>
  <c r="P114" i="8"/>
  <c r="O114" i="8"/>
  <c r="N114" i="8"/>
  <c r="M114" i="8"/>
  <c r="J114" i="8"/>
  <c r="H114" i="8"/>
  <c r="I114" i="8" s="1"/>
  <c r="R113" i="8"/>
  <c r="Q113" i="8"/>
  <c r="P113" i="8"/>
  <c r="O113" i="8"/>
  <c r="N113" i="8"/>
  <c r="M113" i="8"/>
  <c r="J113" i="8"/>
  <c r="H113" i="8"/>
  <c r="R112" i="8"/>
  <c r="Q112" i="8"/>
  <c r="P112" i="8"/>
  <c r="O112" i="8"/>
  <c r="N112" i="8"/>
  <c r="M112" i="8"/>
  <c r="J112" i="8"/>
  <c r="H112" i="8"/>
  <c r="I112" i="8" s="1"/>
  <c r="R111" i="8"/>
  <c r="Q111" i="8"/>
  <c r="P111" i="8"/>
  <c r="O111" i="8"/>
  <c r="N111" i="8"/>
  <c r="M111" i="8"/>
  <c r="J111" i="8"/>
  <c r="H111" i="8"/>
  <c r="R110" i="8"/>
  <c r="Q110" i="8"/>
  <c r="P110" i="8"/>
  <c r="O110" i="8"/>
  <c r="N110" i="8"/>
  <c r="M110" i="8"/>
  <c r="J110" i="8"/>
  <c r="H110" i="8"/>
  <c r="I110" i="8" s="1"/>
  <c r="R109" i="8"/>
  <c r="Q109" i="8"/>
  <c r="P109" i="8"/>
  <c r="O109" i="8"/>
  <c r="N109" i="8"/>
  <c r="M109" i="8"/>
  <c r="J109" i="8"/>
  <c r="H109" i="8"/>
  <c r="V108" i="8"/>
  <c r="R107" i="8"/>
  <c r="Q107" i="8"/>
  <c r="P107" i="8"/>
  <c r="O107" i="8"/>
  <c r="N107" i="8"/>
  <c r="M107" i="8"/>
  <c r="J107" i="8"/>
  <c r="H107" i="8"/>
  <c r="R106" i="8"/>
  <c r="Q106" i="8"/>
  <c r="P106" i="8"/>
  <c r="O106" i="8"/>
  <c r="N106" i="8"/>
  <c r="M106" i="8"/>
  <c r="J106" i="8"/>
  <c r="H106" i="8"/>
  <c r="I106" i="8" s="1"/>
  <c r="R105" i="8"/>
  <c r="Q105" i="8"/>
  <c r="P105" i="8"/>
  <c r="O105" i="8"/>
  <c r="N105" i="8"/>
  <c r="M105" i="8"/>
  <c r="J105" i="8"/>
  <c r="H105" i="8"/>
  <c r="I105" i="8" s="1"/>
  <c r="V104" i="8"/>
  <c r="R103" i="8"/>
  <c r="Q103" i="8"/>
  <c r="P103" i="8"/>
  <c r="O103" i="8"/>
  <c r="N103" i="8"/>
  <c r="M103" i="8"/>
  <c r="J103" i="8"/>
  <c r="H103" i="8"/>
  <c r="R102" i="8"/>
  <c r="Q102" i="8"/>
  <c r="P102" i="8"/>
  <c r="O102" i="8"/>
  <c r="N102" i="8"/>
  <c r="M102" i="8"/>
  <c r="J102" i="8"/>
  <c r="H102" i="8"/>
  <c r="I102" i="8" s="1"/>
  <c r="R101" i="8"/>
  <c r="Q101" i="8"/>
  <c r="P101" i="8"/>
  <c r="O101" i="8"/>
  <c r="N101" i="8"/>
  <c r="M101" i="8"/>
  <c r="J101" i="8"/>
  <c r="H101" i="8"/>
  <c r="R100" i="8"/>
  <c r="Q100" i="8"/>
  <c r="P100" i="8"/>
  <c r="O100" i="8"/>
  <c r="N100" i="8"/>
  <c r="M100" i="8"/>
  <c r="J100" i="8"/>
  <c r="H100" i="8"/>
  <c r="R99" i="8"/>
  <c r="Q99" i="8"/>
  <c r="P99" i="8"/>
  <c r="O99" i="8"/>
  <c r="N99" i="8"/>
  <c r="M99" i="8"/>
  <c r="J99" i="8"/>
  <c r="H99" i="8"/>
  <c r="I99" i="8" s="1"/>
  <c r="R98" i="8"/>
  <c r="Q98" i="8"/>
  <c r="P98" i="8"/>
  <c r="O98" i="8"/>
  <c r="N98" i="8"/>
  <c r="M98" i="8"/>
  <c r="J98" i="8"/>
  <c r="H98" i="8"/>
  <c r="I98" i="8" s="1"/>
  <c r="R97" i="8"/>
  <c r="Q97" i="8"/>
  <c r="P97" i="8"/>
  <c r="O97" i="8"/>
  <c r="N97" i="8"/>
  <c r="M97" i="8"/>
  <c r="J97" i="8"/>
  <c r="H97" i="8"/>
  <c r="V96" i="8"/>
  <c r="R95" i="8"/>
  <c r="Q95" i="8"/>
  <c r="P95" i="8"/>
  <c r="O95" i="8"/>
  <c r="N95" i="8"/>
  <c r="M95" i="8"/>
  <c r="J95" i="8"/>
  <c r="H95" i="8"/>
  <c r="I95" i="8" s="1"/>
  <c r="R94" i="8"/>
  <c r="Q94" i="8"/>
  <c r="P94" i="8"/>
  <c r="O94" i="8"/>
  <c r="N94" i="8"/>
  <c r="M94" i="8"/>
  <c r="J94" i="8"/>
  <c r="H94" i="8"/>
  <c r="I94" i="8" s="1"/>
  <c r="R93" i="8"/>
  <c r="Q93" i="8"/>
  <c r="P93" i="8"/>
  <c r="O93" i="8"/>
  <c r="N93" i="8"/>
  <c r="M93" i="8"/>
  <c r="J93" i="8"/>
  <c r="H93" i="8"/>
  <c r="R92" i="8"/>
  <c r="Q92" i="8"/>
  <c r="P92" i="8"/>
  <c r="O92" i="8"/>
  <c r="N92" i="8"/>
  <c r="M92" i="8"/>
  <c r="J92" i="8"/>
  <c r="H92" i="8"/>
  <c r="K92" i="8" s="1"/>
  <c r="R91" i="8"/>
  <c r="Q91" i="8"/>
  <c r="P91" i="8"/>
  <c r="O91" i="8"/>
  <c r="N91" i="8"/>
  <c r="M91" i="8"/>
  <c r="J91" i="8"/>
  <c r="H91" i="8"/>
  <c r="I91" i="8" s="1"/>
  <c r="V90" i="8"/>
  <c r="R89" i="8"/>
  <c r="Q89" i="8"/>
  <c r="P89" i="8"/>
  <c r="O89" i="8"/>
  <c r="N89" i="8"/>
  <c r="M89" i="8"/>
  <c r="J89" i="8"/>
  <c r="H89" i="8"/>
  <c r="R88" i="8"/>
  <c r="Q88" i="8"/>
  <c r="P88" i="8"/>
  <c r="O88" i="8"/>
  <c r="N88" i="8"/>
  <c r="M88" i="8"/>
  <c r="J88" i="8"/>
  <c r="H88" i="8"/>
  <c r="V87" i="8"/>
  <c r="R86" i="8"/>
  <c r="Q86" i="8"/>
  <c r="P86" i="8"/>
  <c r="O86" i="8"/>
  <c r="N86" i="8"/>
  <c r="M86" i="8"/>
  <c r="J86" i="8"/>
  <c r="H86" i="8"/>
  <c r="I86" i="8" s="1"/>
  <c r="R85" i="8"/>
  <c r="Q85" i="8"/>
  <c r="P85" i="8"/>
  <c r="O85" i="8"/>
  <c r="N85" i="8"/>
  <c r="M85" i="8"/>
  <c r="J85" i="8"/>
  <c r="H85" i="8"/>
  <c r="R84" i="8"/>
  <c r="Q84" i="8"/>
  <c r="P84" i="8"/>
  <c r="O84" i="8"/>
  <c r="N84" i="8"/>
  <c r="M84" i="8"/>
  <c r="J84" i="8"/>
  <c r="H84" i="8"/>
  <c r="I84" i="8" s="1"/>
  <c r="R83" i="8"/>
  <c r="Q83" i="8"/>
  <c r="P83" i="8"/>
  <c r="O83" i="8"/>
  <c r="N83" i="8"/>
  <c r="M83" i="8"/>
  <c r="J83" i="8"/>
  <c r="H83" i="8"/>
  <c r="I83" i="8" s="1"/>
  <c r="R82" i="8"/>
  <c r="Q82" i="8"/>
  <c r="P82" i="8"/>
  <c r="O82" i="8"/>
  <c r="N82" i="8"/>
  <c r="M82" i="8"/>
  <c r="J82" i="8"/>
  <c r="H82" i="8"/>
  <c r="K82" i="8" s="1"/>
  <c r="R81" i="8"/>
  <c r="Q81" i="8"/>
  <c r="P81" i="8"/>
  <c r="O81" i="8"/>
  <c r="N81" i="8"/>
  <c r="M81" i="8"/>
  <c r="J81" i="8"/>
  <c r="H81" i="8"/>
  <c r="I81" i="8" s="1"/>
  <c r="R80" i="8"/>
  <c r="Q80" i="8"/>
  <c r="P80" i="8"/>
  <c r="O80" i="8"/>
  <c r="N80" i="8"/>
  <c r="M80" i="8"/>
  <c r="J80" i="8"/>
  <c r="H80" i="8"/>
  <c r="K80" i="8" s="1"/>
  <c r="R79" i="8"/>
  <c r="Q79" i="8"/>
  <c r="P79" i="8"/>
  <c r="O79" i="8"/>
  <c r="N79" i="8"/>
  <c r="M79" i="8"/>
  <c r="J79" i="8"/>
  <c r="H79" i="8"/>
  <c r="I79" i="8" s="1"/>
  <c r="R78" i="8"/>
  <c r="Q78" i="8"/>
  <c r="P78" i="8"/>
  <c r="O78" i="8"/>
  <c r="N78" i="8"/>
  <c r="M78" i="8"/>
  <c r="J78" i="8"/>
  <c r="H78" i="8"/>
  <c r="I78" i="8" s="1"/>
  <c r="R77" i="8"/>
  <c r="Q77" i="8"/>
  <c r="P77" i="8"/>
  <c r="O77" i="8"/>
  <c r="N77" i="8"/>
  <c r="M77" i="8"/>
  <c r="J77" i="8"/>
  <c r="H77" i="8"/>
  <c r="R76" i="8"/>
  <c r="Q76" i="8"/>
  <c r="P76" i="8"/>
  <c r="O76" i="8"/>
  <c r="N76" i="8"/>
  <c r="M76" i="8"/>
  <c r="J76" i="8"/>
  <c r="H76" i="8"/>
  <c r="I76" i="8" s="1"/>
  <c r="R75" i="8"/>
  <c r="Q75" i="8"/>
  <c r="P75" i="8"/>
  <c r="O75" i="8"/>
  <c r="N75" i="8"/>
  <c r="M75" i="8"/>
  <c r="J75" i="8"/>
  <c r="H75" i="8"/>
  <c r="I75" i="8" s="1"/>
  <c r="R74" i="8"/>
  <c r="Q74" i="8"/>
  <c r="P74" i="8"/>
  <c r="O74" i="8"/>
  <c r="N74" i="8"/>
  <c r="M74" i="8"/>
  <c r="J74" i="8"/>
  <c r="H74" i="8"/>
  <c r="V73" i="8"/>
  <c r="V72" i="8"/>
  <c r="V71" i="8"/>
  <c r="R67" i="8"/>
  <c r="Q67" i="8"/>
  <c r="P67" i="8"/>
  <c r="O67" i="8"/>
  <c r="N67" i="8"/>
  <c r="M67" i="8"/>
  <c r="J67" i="8"/>
  <c r="H67" i="8"/>
  <c r="K67" i="8" s="1"/>
  <c r="R66" i="8"/>
  <c r="Q66" i="8"/>
  <c r="P66" i="8"/>
  <c r="O66" i="8"/>
  <c r="N66" i="8"/>
  <c r="M66" i="8"/>
  <c r="J66" i="8"/>
  <c r="H66" i="8"/>
  <c r="R65" i="8"/>
  <c r="Q65" i="8"/>
  <c r="P65" i="8"/>
  <c r="O65" i="8"/>
  <c r="N65" i="8"/>
  <c r="M65" i="8"/>
  <c r="J65" i="8"/>
  <c r="H65" i="8"/>
  <c r="I65" i="8" s="1"/>
  <c r="R64" i="8"/>
  <c r="Q64" i="8"/>
  <c r="P64" i="8"/>
  <c r="O64" i="8"/>
  <c r="N64" i="8"/>
  <c r="M64" i="8"/>
  <c r="J64" i="8"/>
  <c r="H64" i="8"/>
  <c r="I64" i="8" s="1"/>
  <c r="R63" i="8"/>
  <c r="Q63" i="8"/>
  <c r="P63" i="8"/>
  <c r="O63" i="8"/>
  <c r="N63" i="8"/>
  <c r="M63" i="8"/>
  <c r="J63" i="8"/>
  <c r="H63" i="8"/>
  <c r="R62" i="8"/>
  <c r="Q62" i="8"/>
  <c r="P62" i="8"/>
  <c r="O62" i="8"/>
  <c r="N62" i="8"/>
  <c r="M62" i="8"/>
  <c r="J62" i="8"/>
  <c r="H62" i="8"/>
  <c r="I62" i="8" s="1"/>
  <c r="R61" i="8"/>
  <c r="Q61" i="8"/>
  <c r="P61" i="8"/>
  <c r="O61" i="8"/>
  <c r="N61" i="8"/>
  <c r="M61" i="8"/>
  <c r="J61" i="8"/>
  <c r="H61" i="8"/>
  <c r="I61" i="8" s="1"/>
  <c r="R60" i="8"/>
  <c r="Q60" i="8"/>
  <c r="P60" i="8"/>
  <c r="O60" i="8"/>
  <c r="N60" i="8"/>
  <c r="M60" i="8"/>
  <c r="J60" i="8"/>
  <c r="H60" i="8"/>
  <c r="R59" i="8"/>
  <c r="Q59" i="8"/>
  <c r="P59" i="8"/>
  <c r="O59" i="8"/>
  <c r="N59" i="8"/>
  <c r="M59" i="8"/>
  <c r="J59" i="8"/>
  <c r="H59" i="8"/>
  <c r="R58" i="8"/>
  <c r="R68" i="8" s="1"/>
  <c r="Q58" i="8"/>
  <c r="Q68" i="8" s="1"/>
  <c r="P58" i="8"/>
  <c r="P68" i="8" s="1"/>
  <c r="O58" i="8"/>
  <c r="O68" i="8" s="1"/>
  <c r="N58" i="8"/>
  <c r="N68" i="8" s="1"/>
  <c r="M58" i="8"/>
  <c r="M68" i="8" s="1"/>
  <c r="J58" i="8"/>
  <c r="H58" i="8"/>
  <c r="R56" i="8"/>
  <c r="Q56" i="8"/>
  <c r="P56" i="8"/>
  <c r="O56" i="8"/>
  <c r="N56" i="8"/>
  <c r="M56" i="8"/>
  <c r="J56" i="8"/>
  <c r="H56" i="8"/>
  <c r="I56" i="8" s="1"/>
  <c r="R55" i="8"/>
  <c r="Q55" i="8"/>
  <c r="P55" i="8"/>
  <c r="O55" i="8"/>
  <c r="N55" i="8"/>
  <c r="M55" i="8"/>
  <c r="J55" i="8"/>
  <c r="H55" i="8"/>
  <c r="I55" i="8" s="1"/>
  <c r="R54" i="8"/>
  <c r="Q54" i="8"/>
  <c r="P54" i="8"/>
  <c r="O54" i="8"/>
  <c r="N54" i="8"/>
  <c r="M54" i="8"/>
  <c r="J54" i="8"/>
  <c r="H54" i="8"/>
  <c r="R53" i="8"/>
  <c r="Q53" i="8"/>
  <c r="P53" i="8"/>
  <c r="O53" i="8"/>
  <c r="N53" i="8"/>
  <c r="M53" i="8"/>
  <c r="J53" i="8"/>
  <c r="H53" i="8"/>
  <c r="R52" i="8"/>
  <c r="Q52" i="8"/>
  <c r="P52" i="8"/>
  <c r="O52" i="8"/>
  <c r="N52" i="8"/>
  <c r="M52" i="8"/>
  <c r="J52" i="8"/>
  <c r="H52" i="8"/>
  <c r="R51" i="8"/>
  <c r="Q51" i="8"/>
  <c r="P51" i="8"/>
  <c r="O51" i="8"/>
  <c r="N51" i="8"/>
  <c r="M51" i="8"/>
  <c r="J51" i="8"/>
  <c r="H51" i="8"/>
  <c r="I51" i="8" s="1"/>
  <c r="R50" i="8"/>
  <c r="Q50" i="8"/>
  <c r="P50" i="8"/>
  <c r="O50" i="8"/>
  <c r="N50" i="8"/>
  <c r="M50" i="8"/>
  <c r="J50" i="8"/>
  <c r="H50" i="8"/>
  <c r="I50" i="8" s="1"/>
  <c r="R49" i="8"/>
  <c r="Q49" i="8"/>
  <c r="P49" i="8"/>
  <c r="O49" i="8"/>
  <c r="N49" i="8"/>
  <c r="M49" i="8"/>
  <c r="J49" i="8"/>
  <c r="H49" i="8"/>
  <c r="I49" i="8" s="1"/>
  <c r="R48" i="8"/>
  <c r="R57" i="8" s="1"/>
  <c r="Q48" i="8"/>
  <c r="Q57" i="8" s="1"/>
  <c r="P48" i="8"/>
  <c r="P57" i="8" s="1"/>
  <c r="O48" i="8"/>
  <c r="O57" i="8" s="1"/>
  <c r="N48" i="8"/>
  <c r="N57" i="8" s="1"/>
  <c r="M48" i="8"/>
  <c r="M57" i="8" s="1"/>
  <c r="J48" i="8"/>
  <c r="H48" i="8"/>
  <c r="K48" i="8" s="1"/>
  <c r="R46" i="8"/>
  <c r="Q46" i="8"/>
  <c r="P46" i="8"/>
  <c r="O46" i="8"/>
  <c r="N46" i="8"/>
  <c r="M46" i="8"/>
  <c r="J46" i="8"/>
  <c r="H46" i="8"/>
  <c r="I46" i="8" s="1"/>
  <c r="R45" i="8"/>
  <c r="Q45" i="8"/>
  <c r="P45" i="8"/>
  <c r="O45" i="8"/>
  <c r="N45" i="8"/>
  <c r="M45" i="8"/>
  <c r="J45" i="8"/>
  <c r="H45" i="8"/>
  <c r="I45" i="8" s="1"/>
  <c r="R44" i="8"/>
  <c r="Q44" i="8"/>
  <c r="P44" i="8"/>
  <c r="O44" i="8"/>
  <c r="N44" i="8"/>
  <c r="M44" i="8"/>
  <c r="J44" i="8"/>
  <c r="H44" i="8"/>
  <c r="K44" i="8" s="1"/>
  <c r="R43" i="8"/>
  <c r="Q43" i="8"/>
  <c r="P43" i="8"/>
  <c r="O43" i="8"/>
  <c r="N43" i="8"/>
  <c r="M43" i="8"/>
  <c r="J43" i="8"/>
  <c r="H43" i="8"/>
  <c r="K43" i="8" s="1"/>
  <c r="R42" i="8"/>
  <c r="Q42" i="8"/>
  <c r="P42" i="8"/>
  <c r="O42" i="8"/>
  <c r="N42" i="8"/>
  <c r="M42" i="8"/>
  <c r="J42" i="8"/>
  <c r="H42" i="8"/>
  <c r="K42" i="8" s="1"/>
  <c r="R41" i="8"/>
  <c r="Q41" i="8"/>
  <c r="P41" i="8"/>
  <c r="O41" i="8"/>
  <c r="N41" i="8"/>
  <c r="M41" i="8"/>
  <c r="J41" i="8"/>
  <c r="H41" i="8"/>
  <c r="K41" i="8" s="1"/>
  <c r="R40" i="8"/>
  <c r="Q40" i="8"/>
  <c r="P40" i="8"/>
  <c r="O40" i="8"/>
  <c r="N40" i="8"/>
  <c r="M40" i="8"/>
  <c r="J40" i="8"/>
  <c r="H40" i="8"/>
  <c r="I40" i="8" s="1"/>
  <c r="R39" i="8"/>
  <c r="Q39" i="8"/>
  <c r="P39" i="8"/>
  <c r="O39" i="8"/>
  <c r="N39" i="8"/>
  <c r="M39" i="8"/>
  <c r="J39" i="8"/>
  <c r="H39" i="8"/>
  <c r="R38" i="8"/>
  <c r="Q38" i="8"/>
  <c r="P38" i="8"/>
  <c r="O38" i="8"/>
  <c r="N38" i="8"/>
  <c r="M38" i="8"/>
  <c r="J38" i="8"/>
  <c r="H38" i="8"/>
  <c r="R37" i="8"/>
  <c r="Q37" i="8"/>
  <c r="P37" i="8"/>
  <c r="O37" i="8"/>
  <c r="N37" i="8"/>
  <c r="M37" i="8"/>
  <c r="J37" i="8"/>
  <c r="H37" i="8"/>
  <c r="I37" i="8" s="1"/>
  <c r="R36" i="8"/>
  <c r="Q36" i="8"/>
  <c r="P36" i="8"/>
  <c r="O36" i="8"/>
  <c r="N36" i="8"/>
  <c r="M36" i="8"/>
  <c r="J36" i="8"/>
  <c r="H36" i="8"/>
  <c r="I36" i="8" s="1"/>
  <c r="R35" i="8"/>
  <c r="Q35" i="8"/>
  <c r="P35" i="8"/>
  <c r="O35" i="8"/>
  <c r="N35" i="8"/>
  <c r="M35" i="8"/>
  <c r="J35" i="8"/>
  <c r="H35" i="8"/>
  <c r="R34" i="8"/>
  <c r="Q34" i="8"/>
  <c r="P34" i="8"/>
  <c r="O34" i="8"/>
  <c r="N34" i="8"/>
  <c r="M34" i="8"/>
  <c r="J34" i="8"/>
  <c r="H34" i="8"/>
  <c r="R33" i="8"/>
  <c r="R47" i="8" s="1"/>
  <c r="Q33" i="8"/>
  <c r="Q47" i="8" s="1"/>
  <c r="P33" i="8"/>
  <c r="P47" i="8" s="1"/>
  <c r="O33" i="8"/>
  <c r="N33" i="8"/>
  <c r="M33" i="8"/>
  <c r="J33" i="8"/>
  <c r="H33" i="8"/>
  <c r="M15" i="31" s="1"/>
  <c r="Q15" i="31" s="1"/>
  <c r="R31" i="8"/>
  <c r="Q31" i="8"/>
  <c r="P31" i="8"/>
  <c r="O31" i="8"/>
  <c r="N31" i="8"/>
  <c r="M31" i="8"/>
  <c r="J31" i="8"/>
  <c r="H31" i="8"/>
  <c r="I31" i="8" s="1"/>
  <c r="R30" i="8"/>
  <c r="Q30" i="8"/>
  <c r="P30" i="8"/>
  <c r="O30" i="8"/>
  <c r="N30" i="8"/>
  <c r="M30" i="8"/>
  <c r="J30" i="8"/>
  <c r="H30" i="8"/>
  <c r="R29" i="8"/>
  <c r="Q29" i="8"/>
  <c r="P29" i="8"/>
  <c r="O29" i="8"/>
  <c r="N29" i="8"/>
  <c r="M29" i="8"/>
  <c r="J29" i="8"/>
  <c r="H29" i="8"/>
  <c r="R28" i="8"/>
  <c r="Q28" i="8"/>
  <c r="P28" i="8"/>
  <c r="O28" i="8"/>
  <c r="N28" i="8"/>
  <c r="M28" i="8"/>
  <c r="J28" i="8"/>
  <c r="H28" i="8"/>
  <c r="I28" i="8" s="1"/>
  <c r="R27" i="8"/>
  <c r="Q27" i="8"/>
  <c r="P27" i="8"/>
  <c r="O27" i="8"/>
  <c r="N27" i="8"/>
  <c r="M27" i="8"/>
  <c r="J27" i="8"/>
  <c r="H27" i="8"/>
  <c r="R26" i="8"/>
  <c r="Q26" i="8"/>
  <c r="P26" i="8"/>
  <c r="O26" i="8"/>
  <c r="N26" i="8"/>
  <c r="M26" i="8"/>
  <c r="J26" i="8"/>
  <c r="H26" i="8"/>
  <c r="R25" i="8"/>
  <c r="Q25" i="8"/>
  <c r="P25" i="8"/>
  <c r="O25" i="8"/>
  <c r="N25" i="8"/>
  <c r="M25" i="8"/>
  <c r="J25" i="8"/>
  <c r="H25" i="8"/>
  <c r="R24" i="8"/>
  <c r="Q24" i="8"/>
  <c r="P24" i="8"/>
  <c r="O24" i="8"/>
  <c r="N24" i="8"/>
  <c r="M24" i="8"/>
  <c r="J24" i="8"/>
  <c r="H24" i="8"/>
  <c r="I24" i="8" s="1"/>
  <c r="R23" i="8"/>
  <c r="R32" i="8" s="1"/>
  <c r="Q23" i="8"/>
  <c r="Q32" i="8" s="1"/>
  <c r="P23" i="8"/>
  <c r="P32" i="8" s="1"/>
  <c r="O23" i="8"/>
  <c r="O32" i="8" s="1"/>
  <c r="N23" i="8"/>
  <c r="N32" i="8" s="1"/>
  <c r="M23" i="8"/>
  <c r="M32" i="8" s="1"/>
  <c r="J23" i="8"/>
  <c r="I23" i="8"/>
  <c r="R21" i="8"/>
  <c r="Q21" i="8"/>
  <c r="P21" i="8"/>
  <c r="O21" i="8"/>
  <c r="N21" i="8"/>
  <c r="M21" i="8"/>
  <c r="J21" i="8"/>
  <c r="H21" i="8"/>
  <c r="R20" i="8"/>
  <c r="Q20" i="8"/>
  <c r="P20" i="8"/>
  <c r="O20" i="8"/>
  <c r="N20" i="8"/>
  <c r="M20" i="8"/>
  <c r="J20" i="8"/>
  <c r="H20" i="8"/>
  <c r="I20" i="8" s="1"/>
  <c r="R19" i="8"/>
  <c r="Q19" i="8"/>
  <c r="P19" i="8"/>
  <c r="O19" i="8"/>
  <c r="N19" i="8"/>
  <c r="M19" i="8"/>
  <c r="J19" i="8"/>
  <c r="H19" i="8"/>
  <c r="I19" i="8" s="1"/>
  <c r="R18" i="8"/>
  <c r="Q18" i="8"/>
  <c r="P18" i="8"/>
  <c r="O18" i="8"/>
  <c r="N18" i="8"/>
  <c r="M18" i="8"/>
  <c r="J18" i="8"/>
  <c r="H18" i="8"/>
  <c r="I18" i="8" s="1"/>
  <c r="R17" i="8"/>
  <c r="Q17" i="8"/>
  <c r="P17" i="8"/>
  <c r="O17" i="8"/>
  <c r="N17" i="8"/>
  <c r="M17" i="8"/>
  <c r="J17" i="8"/>
  <c r="H17" i="8"/>
  <c r="R16" i="8"/>
  <c r="Q16" i="8"/>
  <c r="P16" i="8"/>
  <c r="O16" i="8"/>
  <c r="N16" i="8"/>
  <c r="M16" i="8"/>
  <c r="J16" i="8"/>
  <c r="H16" i="8"/>
  <c r="K16" i="8" s="1"/>
  <c r="R15" i="8"/>
  <c r="Q15" i="8"/>
  <c r="P15" i="8"/>
  <c r="O15" i="8"/>
  <c r="N15" i="8"/>
  <c r="M15" i="8"/>
  <c r="J15" i="8"/>
  <c r="H15" i="8"/>
  <c r="I15" i="8" s="1"/>
  <c r="R14" i="8"/>
  <c r="Q14" i="8"/>
  <c r="P14" i="8"/>
  <c r="O14" i="8"/>
  <c r="N14" i="8"/>
  <c r="M14" i="8"/>
  <c r="J14" i="8"/>
  <c r="H14" i="8"/>
  <c r="R13" i="8"/>
  <c r="R22" i="8" s="1"/>
  <c r="Q13" i="8"/>
  <c r="Q22" i="8" s="1"/>
  <c r="P13" i="8"/>
  <c r="P22" i="8" s="1"/>
  <c r="O13" i="8"/>
  <c r="O22" i="8" s="1"/>
  <c r="N13" i="8"/>
  <c r="N22" i="8" s="1"/>
  <c r="M13" i="8"/>
  <c r="M22" i="8" s="1"/>
  <c r="J13" i="8"/>
  <c r="H13" i="8"/>
  <c r="M13" i="31" s="1"/>
  <c r="Q13" i="31" s="1"/>
  <c r="R9" i="8"/>
  <c r="Q9" i="8"/>
  <c r="P9" i="8"/>
  <c r="O9" i="8"/>
  <c r="N9" i="8"/>
  <c r="M9" i="8"/>
  <c r="I14" i="8" l="1"/>
  <c r="M16" i="31"/>
  <c r="Q16" i="31" s="1"/>
  <c r="R15" i="31"/>
  <c r="I132" i="8"/>
  <c r="M14" i="31"/>
  <c r="Q14" i="31" s="1"/>
  <c r="R18" i="31"/>
  <c r="R13" i="31"/>
  <c r="K123" i="8"/>
  <c r="S103" i="8"/>
  <c r="T103" i="8" s="1"/>
  <c r="S92" i="8"/>
  <c r="T92" i="8" s="1"/>
  <c r="K115" i="8"/>
  <c r="I162" i="8"/>
  <c r="K21" i="8"/>
  <c r="K26" i="8"/>
  <c r="K27" i="8"/>
  <c r="K78" i="8"/>
  <c r="K79" i="8"/>
  <c r="K144" i="8"/>
  <c r="T149" i="8"/>
  <c r="K156" i="8"/>
  <c r="K158" i="8"/>
  <c r="K159" i="8"/>
  <c r="K106" i="8"/>
  <c r="S111" i="8"/>
  <c r="T111" i="8" s="1"/>
  <c r="K28" i="8"/>
  <c r="K40" i="8"/>
  <c r="K74" i="8"/>
  <c r="K121" i="8"/>
  <c r="K154" i="8"/>
  <c r="K157" i="8"/>
  <c r="S159" i="8"/>
  <c r="T159" i="8" s="1"/>
  <c r="S165" i="8"/>
  <c r="T165" i="8" s="1"/>
  <c r="I27" i="8"/>
  <c r="I41" i="8"/>
  <c r="I74" i="8"/>
  <c r="K102" i="8"/>
  <c r="S106" i="8"/>
  <c r="V106" i="8" s="1"/>
  <c r="T128" i="8"/>
  <c r="T145" i="8"/>
  <c r="T148" i="8"/>
  <c r="I158" i="8"/>
  <c r="K52" i="8"/>
  <c r="K55" i="8"/>
  <c r="K65" i="8"/>
  <c r="I92" i="8"/>
  <c r="K118" i="8"/>
  <c r="T120" i="8"/>
  <c r="T133" i="8"/>
  <c r="K17" i="8"/>
  <c r="K29" i="8"/>
  <c r="K30" i="8"/>
  <c r="K34" i="8"/>
  <c r="K35" i="8"/>
  <c r="K39" i="8"/>
  <c r="K45" i="8"/>
  <c r="K58" i="8"/>
  <c r="K59" i="8"/>
  <c r="K60" i="8"/>
  <c r="K86" i="8"/>
  <c r="K119" i="8"/>
  <c r="O47" i="8"/>
  <c r="O69" i="8" s="1"/>
  <c r="O70" i="8" s="1"/>
  <c r="S56" i="8"/>
  <c r="T56" i="8" s="1"/>
  <c r="S76" i="8"/>
  <c r="V76" i="8" s="1"/>
  <c r="S95" i="8"/>
  <c r="V95" i="8" s="1"/>
  <c r="S158" i="8"/>
  <c r="V158" i="8" s="1"/>
  <c r="I44" i="8"/>
  <c r="I82" i="8"/>
  <c r="S100" i="8"/>
  <c r="V100" i="8" s="1"/>
  <c r="S101" i="8"/>
  <c r="V101" i="8" s="1"/>
  <c r="K110" i="8"/>
  <c r="I111" i="8"/>
  <c r="K127" i="8"/>
  <c r="K130" i="8" s="1"/>
  <c r="K98" i="8"/>
  <c r="K168" i="8"/>
  <c r="K169" i="8"/>
  <c r="S28" i="8"/>
  <c r="T28" i="8" s="1"/>
  <c r="K31" i="8"/>
  <c r="I34" i="8"/>
  <c r="S84" i="8"/>
  <c r="T84" i="8" s="1"/>
  <c r="S88" i="8"/>
  <c r="T88" i="8" s="1"/>
  <c r="S112" i="8"/>
  <c r="T112" i="8" s="1"/>
  <c r="K114" i="8"/>
  <c r="S116" i="8"/>
  <c r="V116" i="8" s="1"/>
  <c r="S117" i="8"/>
  <c r="V117" i="8" s="1"/>
  <c r="S35" i="8"/>
  <c r="T35" i="8" s="1"/>
  <c r="K36" i="8"/>
  <c r="S107" i="8"/>
  <c r="V107" i="8" s="1"/>
  <c r="V103" i="8"/>
  <c r="K14" i="8"/>
  <c r="S23" i="8"/>
  <c r="V23" i="8" s="1"/>
  <c r="I29" i="8"/>
  <c r="S37" i="8"/>
  <c r="V37" i="8" s="1"/>
  <c r="I42" i="8"/>
  <c r="S46" i="8"/>
  <c r="T46" i="8" s="1"/>
  <c r="I58" i="8"/>
  <c r="I80" i="8"/>
  <c r="I88" i="8"/>
  <c r="K94" i="8"/>
  <c r="I103" i="8"/>
  <c r="I107" i="8"/>
  <c r="S110" i="8"/>
  <c r="V110" i="8" s="1"/>
  <c r="I121" i="8"/>
  <c r="S164" i="8"/>
  <c r="V164" i="8" s="1"/>
  <c r="H171" i="8"/>
  <c r="I171" i="8" s="1"/>
  <c r="K15" i="8"/>
  <c r="I16" i="8"/>
  <c r="S17" i="8"/>
  <c r="T17" i="8" s="1"/>
  <c r="K23" i="8"/>
  <c r="S38" i="8"/>
  <c r="V38" i="8" s="1"/>
  <c r="K50" i="8"/>
  <c r="S52" i="8"/>
  <c r="V52" i="8" s="1"/>
  <c r="S60" i="8"/>
  <c r="V60" i="8" s="1"/>
  <c r="S62" i="8"/>
  <c r="V62" i="8" s="1"/>
  <c r="K64" i="8"/>
  <c r="S66" i="8"/>
  <c r="S83" i="8"/>
  <c r="T83" i="8" s="1"/>
  <c r="S86" i="8"/>
  <c r="V86" i="8" s="1"/>
  <c r="S98" i="8"/>
  <c r="V98" i="8" s="1"/>
  <c r="S102" i="8"/>
  <c r="V102" i="8" s="1"/>
  <c r="I119" i="8"/>
  <c r="S15" i="8"/>
  <c r="T15" i="8" s="1"/>
  <c r="S25" i="8"/>
  <c r="V25" i="8" s="1"/>
  <c r="S27" i="8"/>
  <c r="T27" i="8" s="1"/>
  <c r="S30" i="8"/>
  <c r="V30" i="8" s="1"/>
  <c r="I38" i="8"/>
  <c r="I43" i="8"/>
  <c r="S50" i="8"/>
  <c r="T50" i="8" s="1"/>
  <c r="K51" i="8"/>
  <c r="S53" i="8"/>
  <c r="V53" i="8" s="1"/>
  <c r="I59" i="8"/>
  <c r="R125" i="8"/>
  <c r="R172" i="8" s="1"/>
  <c r="S118" i="8"/>
  <c r="V118" i="8" s="1"/>
  <c r="H130" i="8"/>
  <c r="I130" i="8" s="1"/>
  <c r="K132" i="8"/>
  <c r="K135" i="8" s="1"/>
  <c r="K143" i="8"/>
  <c r="I144" i="8"/>
  <c r="S14" i="8"/>
  <c r="T14" i="8" s="1"/>
  <c r="S20" i="8"/>
  <c r="T20" i="8" s="1"/>
  <c r="I25" i="8"/>
  <c r="H47" i="8"/>
  <c r="I47" i="8" s="1"/>
  <c r="S42" i="8"/>
  <c r="V42" i="8" s="1"/>
  <c r="S49" i="8"/>
  <c r="T49" i="8" s="1"/>
  <c r="S61" i="8"/>
  <c r="T61" i="8" s="1"/>
  <c r="I67" i="8"/>
  <c r="S78" i="8"/>
  <c r="T78" i="8" s="1"/>
  <c r="I100" i="8"/>
  <c r="S109" i="8"/>
  <c r="S119" i="8"/>
  <c r="M146" i="8"/>
  <c r="I163" i="8"/>
  <c r="K18" i="8"/>
  <c r="S31" i="8"/>
  <c r="T31" i="8" s="1"/>
  <c r="I33" i="8"/>
  <c r="K38" i="8"/>
  <c r="I39" i="8"/>
  <c r="S43" i="8"/>
  <c r="V43" i="8" s="1"/>
  <c r="I60" i="8"/>
  <c r="T101" i="8"/>
  <c r="S162" i="8"/>
  <c r="V162" i="8" s="1"/>
  <c r="H22" i="8"/>
  <c r="I22" i="8" s="1"/>
  <c r="K25" i="8"/>
  <c r="S44" i="8"/>
  <c r="T44" i="8" s="1"/>
  <c r="S51" i="8"/>
  <c r="V51" i="8" s="1"/>
  <c r="S65" i="8"/>
  <c r="V65" i="8" s="1"/>
  <c r="H125" i="8"/>
  <c r="I125" i="8" s="1"/>
  <c r="K100" i="8"/>
  <c r="H135" i="8"/>
  <c r="I135" i="8" s="1"/>
  <c r="N171" i="8"/>
  <c r="S163" i="8"/>
  <c r="T163" i="8" s="1"/>
  <c r="S160" i="8"/>
  <c r="V160" i="8" s="1"/>
  <c r="S18" i="8"/>
  <c r="V18" i="8" s="1"/>
  <c r="K20" i="8"/>
  <c r="S33" i="8"/>
  <c r="V33" i="8" s="1"/>
  <c r="S36" i="8"/>
  <c r="K46" i="8"/>
  <c r="I48" i="8"/>
  <c r="S48" i="8"/>
  <c r="T48" i="8" s="1"/>
  <c r="T57" i="8" s="1"/>
  <c r="S55" i="8"/>
  <c r="V55" i="8" s="1"/>
  <c r="S75" i="8"/>
  <c r="T75" i="8" s="1"/>
  <c r="S91" i="8"/>
  <c r="T91" i="8" s="1"/>
  <c r="I117" i="8"/>
  <c r="Q69" i="8"/>
  <c r="Q70" i="8" s="1"/>
  <c r="R69" i="8"/>
  <c r="R70" i="8" s="1"/>
  <c r="V56" i="8"/>
  <c r="T62" i="8"/>
  <c r="V15" i="8"/>
  <c r="V14" i="8"/>
  <c r="V78" i="8"/>
  <c r="S19" i="8"/>
  <c r="H57" i="8"/>
  <c r="I57" i="8" s="1"/>
  <c r="K85" i="8"/>
  <c r="I85" i="8"/>
  <c r="I26" i="8"/>
  <c r="S29" i="8"/>
  <c r="S34" i="8"/>
  <c r="K37" i="8"/>
  <c r="S39" i="8"/>
  <c r="I53" i="8"/>
  <c r="H68" i="8"/>
  <c r="S58" i="8"/>
  <c r="K62" i="8"/>
  <c r="S74" i="8"/>
  <c r="M125" i="8"/>
  <c r="K75" i="8"/>
  <c r="K89" i="8"/>
  <c r="I89" i="8"/>
  <c r="S89" i="8"/>
  <c r="V92" i="8"/>
  <c r="K95" i="8"/>
  <c r="S99" i="8"/>
  <c r="K101" i="8"/>
  <c r="K109" i="8"/>
  <c r="K112" i="8"/>
  <c r="S121" i="8"/>
  <c r="S123" i="8"/>
  <c r="I123" i="8"/>
  <c r="S144" i="8"/>
  <c r="M171" i="8"/>
  <c r="S169" i="8"/>
  <c r="S85" i="8"/>
  <c r="I13" i="8"/>
  <c r="S16" i="8"/>
  <c r="K19" i="8"/>
  <c r="I21" i="8"/>
  <c r="K24" i="8"/>
  <c r="S13" i="8"/>
  <c r="S21" i="8"/>
  <c r="S26" i="8"/>
  <c r="K49" i="8"/>
  <c r="T53" i="8"/>
  <c r="N125" i="8"/>
  <c r="S81" i="8"/>
  <c r="S82" i="8"/>
  <c r="K83" i="8"/>
  <c r="K93" i="8"/>
  <c r="I93" i="8"/>
  <c r="S93" i="8"/>
  <c r="K99" i="8"/>
  <c r="S105" i="8"/>
  <c r="K107" i="8"/>
  <c r="S115" i="8"/>
  <c r="K117" i="8"/>
  <c r="K165" i="8"/>
  <c r="K13" i="8"/>
  <c r="S40" i="8"/>
  <c r="K53" i="8"/>
  <c r="O125" i="8"/>
  <c r="K97" i="8"/>
  <c r="I97" i="8"/>
  <c r="S97" i="8"/>
  <c r="K142" i="8"/>
  <c r="H146" i="8"/>
  <c r="I146" i="8" s="1"/>
  <c r="S142" i="8"/>
  <c r="I142" i="8"/>
  <c r="K167" i="8"/>
  <c r="S167" i="8"/>
  <c r="I167" i="8"/>
  <c r="S24" i="8"/>
  <c r="M47" i="8"/>
  <c r="M69" i="8" s="1"/>
  <c r="M70" i="8" s="1"/>
  <c r="S54" i="8"/>
  <c r="K63" i="8"/>
  <c r="I63" i="8"/>
  <c r="S63" i="8"/>
  <c r="P125" i="8"/>
  <c r="P172" i="8" s="1"/>
  <c r="K76" i="8"/>
  <c r="T110" i="8"/>
  <c r="S157" i="8"/>
  <c r="K91" i="8"/>
  <c r="K113" i="8"/>
  <c r="I113" i="8"/>
  <c r="S113" i="8"/>
  <c r="I17" i="8"/>
  <c r="I30" i="8"/>
  <c r="K33" i="8"/>
  <c r="I35" i="8"/>
  <c r="I52" i="8"/>
  <c r="I54" i="8"/>
  <c r="K56" i="8"/>
  <c r="S59" i="8"/>
  <c r="I66" i="8"/>
  <c r="Q125" i="8"/>
  <c r="Q172" i="8" s="1"/>
  <c r="S79" i="8"/>
  <c r="K81" i="8"/>
  <c r="K84" i="8"/>
  <c r="S94" i="8"/>
  <c r="K105" i="8"/>
  <c r="I116" i="8"/>
  <c r="K61" i="8"/>
  <c r="P69" i="8"/>
  <c r="P70" i="8" s="1"/>
  <c r="K88" i="8"/>
  <c r="K103" i="8"/>
  <c r="K111" i="8"/>
  <c r="K155" i="8"/>
  <c r="S155" i="8"/>
  <c r="I155" i="8"/>
  <c r="H32" i="8"/>
  <c r="I32" i="8" s="1"/>
  <c r="N47" i="8"/>
  <c r="N69" i="8" s="1"/>
  <c r="N70" i="8" s="1"/>
  <c r="S41" i="8"/>
  <c r="S45" i="8"/>
  <c r="K54" i="8"/>
  <c r="S64" i="8"/>
  <c r="K66" i="8"/>
  <c r="S67" i="8"/>
  <c r="K77" i="8"/>
  <c r="I77" i="8"/>
  <c r="S77" i="8"/>
  <c r="S80" i="8"/>
  <c r="I101" i="8"/>
  <c r="I109" i="8"/>
  <c r="S114" i="8"/>
  <c r="K116" i="8"/>
  <c r="V138" i="8"/>
  <c r="T138" i="8"/>
  <c r="O146" i="8"/>
  <c r="V124" i="8"/>
  <c r="S127" i="8"/>
  <c r="V129" i="8"/>
  <c r="S132" i="8"/>
  <c r="V134" i="8"/>
  <c r="V137" i="8"/>
  <c r="S143" i="8"/>
  <c r="V150" i="8"/>
  <c r="S156" i="8"/>
  <c r="I165" i="8"/>
  <c r="S168" i="8"/>
  <c r="I160" i="8"/>
  <c r="I164" i="8"/>
  <c r="T139" i="8"/>
  <c r="I154" i="8"/>
  <c r="I166" i="8"/>
  <c r="S154" i="8"/>
  <c r="S166" i="8"/>
  <c r="R14" i="31" l="1"/>
  <c r="M12" i="31"/>
  <c r="T118" i="8"/>
  <c r="R16" i="31"/>
  <c r="T37" i="8"/>
  <c r="T106" i="8"/>
  <c r="V112" i="8"/>
  <c r="V35" i="8"/>
  <c r="T158" i="8"/>
  <c r="Q174" i="8"/>
  <c r="N172" i="8"/>
  <c r="T30" i="8"/>
  <c r="K171" i="8"/>
  <c r="T98" i="8"/>
  <c r="V165" i="8"/>
  <c r="T162" i="8"/>
  <c r="V27" i="8"/>
  <c r="V75" i="8"/>
  <c r="V17" i="8"/>
  <c r="T160" i="8"/>
  <c r="V49" i="8"/>
  <c r="V28" i="8"/>
  <c r="T117" i="8"/>
  <c r="V111" i="8"/>
  <c r="T100" i="8"/>
  <c r="V20" i="8"/>
  <c r="T76" i="8"/>
  <c r="T18" i="8"/>
  <c r="V31" i="8"/>
  <c r="T43" i="8"/>
  <c r="V83" i="8"/>
  <c r="T60" i="8"/>
  <c r="V84" i="8"/>
  <c r="T107" i="8"/>
  <c r="V159" i="8"/>
  <c r="V88" i="8"/>
  <c r="S57" i="8"/>
  <c r="V57" i="8" s="1"/>
  <c r="K32" i="8"/>
  <c r="V163" i="8"/>
  <c r="V48" i="8"/>
  <c r="N174" i="8"/>
  <c r="N180" i="8" s="1"/>
  <c r="T25" i="8"/>
  <c r="V91" i="8"/>
  <c r="T65" i="8"/>
  <c r="T95" i="8"/>
  <c r="V46" i="8"/>
  <c r="T51" i="8"/>
  <c r="T42" i="8"/>
  <c r="T86" i="8"/>
  <c r="T38" i="8"/>
  <c r="T55" i="8"/>
  <c r="V44" i="8"/>
  <c r="T116" i="8"/>
  <c r="T52" i="8"/>
  <c r="V50" i="8"/>
  <c r="S32" i="8"/>
  <c r="V32" i="8" s="1"/>
  <c r="T23" i="8"/>
  <c r="T32" i="8" s="1"/>
  <c r="K146" i="8"/>
  <c r="R174" i="8"/>
  <c r="R180" i="8" s="1"/>
  <c r="M172" i="8"/>
  <c r="K125" i="8"/>
  <c r="P174" i="8"/>
  <c r="P176" i="8" s="1"/>
  <c r="P179" i="8" s="1"/>
  <c r="P182" i="8" s="1"/>
  <c r="K57" i="8"/>
  <c r="V61" i="8"/>
  <c r="S47" i="8"/>
  <c r="V47" i="8" s="1"/>
  <c r="T119" i="8"/>
  <c r="V119" i="8"/>
  <c r="V36" i="8"/>
  <c r="T36" i="8"/>
  <c r="T164" i="8"/>
  <c r="T102" i="8"/>
  <c r="T33" i="8"/>
  <c r="T47" i="8" s="1"/>
  <c r="V109" i="8"/>
  <c r="T109" i="8"/>
  <c r="V66" i="8"/>
  <c r="T66" i="8"/>
  <c r="K68" i="8"/>
  <c r="O172" i="8"/>
  <c r="O174" i="8" s="1"/>
  <c r="O180" i="8" s="1"/>
  <c r="Q176" i="8"/>
  <c r="Q179" i="8" s="1"/>
  <c r="Q182" i="8" s="1"/>
  <c r="Q180" i="8"/>
  <c r="V168" i="8"/>
  <c r="T168" i="8"/>
  <c r="V41" i="8"/>
  <c r="T41" i="8"/>
  <c r="V157" i="8"/>
  <c r="T157" i="8"/>
  <c r="K22" i="8"/>
  <c r="S22" i="8"/>
  <c r="V22" i="8" s="1"/>
  <c r="V13" i="8"/>
  <c r="T13" i="8"/>
  <c r="T22" i="8" s="1"/>
  <c r="T154" i="8"/>
  <c r="T171" i="8" s="1"/>
  <c r="S171" i="8"/>
  <c r="V154" i="8"/>
  <c r="S130" i="8"/>
  <c r="V130" i="8" s="1"/>
  <c r="V127" i="8"/>
  <c r="T127" i="8"/>
  <c r="T130" i="8" s="1"/>
  <c r="V67" i="8"/>
  <c r="T67" i="8"/>
  <c r="T113" i="8"/>
  <c r="V113" i="8"/>
  <c r="V115" i="8"/>
  <c r="T115" i="8"/>
  <c r="T82" i="8"/>
  <c r="V82" i="8"/>
  <c r="I68" i="8"/>
  <c r="H69" i="8"/>
  <c r="V156" i="8"/>
  <c r="T156" i="8"/>
  <c r="V94" i="8"/>
  <c r="T94" i="8"/>
  <c r="V24" i="8"/>
  <c r="T24" i="8"/>
  <c r="T97" i="8"/>
  <c r="V97" i="8"/>
  <c r="V81" i="8"/>
  <c r="T81" i="8"/>
  <c r="V169" i="8"/>
  <c r="T169" i="8"/>
  <c r="V64" i="8"/>
  <c r="T64" i="8"/>
  <c r="V105" i="8"/>
  <c r="T105" i="8"/>
  <c r="V143" i="8"/>
  <c r="T143" i="8"/>
  <c r="V155" i="8"/>
  <c r="T155" i="8"/>
  <c r="V167" i="8"/>
  <c r="T167" i="8"/>
  <c r="V16" i="8"/>
  <c r="T16" i="8"/>
  <c r="M174" i="8"/>
  <c r="V39" i="8"/>
  <c r="T39" i="8"/>
  <c r="V80" i="8"/>
  <c r="T80" i="8"/>
  <c r="V79" i="8"/>
  <c r="T79" i="8"/>
  <c r="K47" i="8"/>
  <c r="T63" i="8"/>
  <c r="V63" i="8"/>
  <c r="T93" i="8"/>
  <c r="V93" i="8"/>
  <c r="V144" i="8"/>
  <c r="T144" i="8"/>
  <c r="V99" i="8"/>
  <c r="T99" i="8"/>
  <c r="T77" i="8"/>
  <c r="V77" i="8"/>
  <c r="V26" i="8"/>
  <c r="T26" i="8"/>
  <c r="S125" i="8"/>
  <c r="V125" i="8" s="1"/>
  <c r="T74" i="8"/>
  <c r="V74" i="8"/>
  <c r="V19" i="8"/>
  <c r="T19" i="8"/>
  <c r="S135" i="8"/>
  <c r="V135" i="8" s="1"/>
  <c r="V132" i="8"/>
  <c r="T132" i="8"/>
  <c r="T135" i="8" s="1"/>
  <c r="V45" i="8"/>
  <c r="T45" i="8"/>
  <c r="V142" i="8"/>
  <c r="S146" i="8"/>
  <c r="V146" i="8" s="1"/>
  <c r="T142" i="8"/>
  <c r="T146" i="8" s="1"/>
  <c r="V40" i="8"/>
  <c r="T40" i="8"/>
  <c r="V21" i="8"/>
  <c r="T21" i="8"/>
  <c r="H172" i="8"/>
  <c r="N44" i="26" s="1"/>
  <c r="V123" i="8"/>
  <c r="T123" i="8"/>
  <c r="V34" i="8"/>
  <c r="T34" i="8"/>
  <c r="T59" i="8"/>
  <c r="V59" i="8"/>
  <c r="V54" i="8"/>
  <c r="T54" i="8"/>
  <c r="V121" i="8"/>
  <c r="T121" i="8"/>
  <c r="V29" i="8"/>
  <c r="T29" i="8"/>
  <c r="T166" i="8"/>
  <c r="V166" i="8"/>
  <c r="T85" i="8"/>
  <c r="V85" i="8"/>
  <c r="V58" i="8"/>
  <c r="T58" i="8"/>
  <c r="T68" i="8" s="1"/>
  <c r="S68" i="8"/>
  <c r="V114" i="8"/>
  <c r="T114" i="8"/>
  <c r="T89" i="8"/>
  <c r="V89" i="8"/>
  <c r="M19" i="31" l="1"/>
  <c r="Q12" i="31"/>
  <c r="N176" i="8"/>
  <c r="N179" i="8" s="1"/>
  <c r="N182" i="8" s="1"/>
  <c r="T69" i="8"/>
  <c r="T70" i="8" s="1"/>
  <c r="O176" i="8"/>
  <c r="O179" i="8" s="1"/>
  <c r="O182" i="8" s="1"/>
  <c r="P180" i="8"/>
  <c r="K172" i="8"/>
  <c r="R176" i="8"/>
  <c r="R179" i="8" s="1"/>
  <c r="R182" i="8" s="1"/>
  <c r="K69" i="8"/>
  <c r="K70" i="8" s="1"/>
  <c r="T125" i="8"/>
  <c r="T172" i="8" s="1"/>
  <c r="I172" i="8"/>
  <c r="S69" i="8"/>
  <c r="V68" i="8"/>
  <c r="S172" i="8"/>
  <c r="V171" i="8"/>
  <c r="M180" i="8"/>
  <c r="M176" i="8"/>
  <c r="M179" i="8" s="1"/>
  <c r="M182" i="8" s="1"/>
  <c r="H70" i="8"/>
  <c r="I69" i="8"/>
  <c r="T174" i="8" l="1"/>
  <c r="R12" i="31"/>
  <c r="F17" i="26"/>
  <c r="Q19" i="31"/>
  <c r="M20" i="31"/>
  <c r="M21" i="31" s="1"/>
  <c r="F19" i="26" s="1"/>
  <c r="G19" i="26" s="1"/>
  <c r="K174" i="8"/>
  <c r="K180" i="8" s="1"/>
  <c r="I70" i="8"/>
  <c r="N43" i="26"/>
  <c r="S70" i="8"/>
  <c r="V69" i="8"/>
  <c r="T180" i="8"/>
  <c r="T176" i="8"/>
  <c r="T179" i="8" s="1"/>
  <c r="H174" i="8"/>
  <c r="V172" i="8"/>
  <c r="F20" i="26" l="1"/>
  <c r="F21" i="26"/>
  <c r="Q20" i="31"/>
  <c r="R20" i="31" s="1"/>
  <c r="R19" i="31"/>
  <c r="K176" i="8"/>
  <c r="K179" i="8" s="1"/>
  <c r="V70" i="8"/>
  <c r="S174" i="8"/>
  <c r="I174" i="8"/>
  <c r="H180" i="8"/>
  <c r="H176" i="8"/>
  <c r="Q21" i="31" l="1"/>
  <c r="H179" i="8"/>
  <c r="I176" i="8"/>
  <c r="V174" i="8"/>
  <c r="V180" i="8" s="1"/>
  <c r="S180" i="8"/>
  <c r="S176" i="8"/>
  <c r="R21" i="31" l="1"/>
  <c r="B8" i="31"/>
  <c r="B9" i="31" s="1"/>
  <c r="V176" i="8"/>
  <c r="S179" i="8"/>
  <c r="I179" i="8"/>
  <c r="H181" i="8"/>
  <c r="L179" i="8"/>
  <c r="S183" i="8" l="1"/>
  <c r="S181" i="8"/>
  <c r="S182" i="8"/>
  <c r="V179" i="8"/>
  <c r="W172" i="8"/>
  <c r="W70" i="8"/>
  <c r="H654" i="28" l="1"/>
  <c r="H340" i="28"/>
  <c r="H329" i="28"/>
  <c r="H319" i="28"/>
  <c r="H304" i="28"/>
  <c r="H294" i="28"/>
  <c r="H127" i="28"/>
  <c r="AC45" i="26" l="1"/>
  <c r="X45" i="26" l="1"/>
  <c r="O706" i="28" l="1"/>
  <c r="O664" i="28"/>
  <c r="O340" i="28"/>
  <c r="O329" i="28"/>
  <c r="O319" i="28"/>
  <c r="O304" i="28"/>
  <c r="O24" i="28"/>
  <c r="O624" i="28"/>
  <c r="Q624" i="28" s="1"/>
  <c r="O613" i="28"/>
  <c r="O599" i="28"/>
  <c r="O590" i="28"/>
  <c r="O507" i="28"/>
  <c r="O348" i="28"/>
  <c r="O162" i="28"/>
  <c r="O57" i="28"/>
  <c r="O52" i="28"/>
  <c r="O45" i="28"/>
  <c r="O40" i="28"/>
  <c r="O35" i="28"/>
  <c r="O82" i="28"/>
  <c r="O87" i="28"/>
  <c r="O92" i="28"/>
  <c r="O77" i="28"/>
  <c r="O61" i="28"/>
  <c r="S707" i="28"/>
  <c r="S650" i="28"/>
  <c r="S625" i="28"/>
  <c r="W492" i="28"/>
  <c r="S492" i="28"/>
  <c r="S451" i="28"/>
  <c r="S444" i="28"/>
  <c r="S381" i="28"/>
  <c r="S363" i="28"/>
  <c r="Q363" i="28"/>
  <c r="S360" i="28"/>
  <c r="S352" i="28"/>
  <c r="M352" i="28"/>
  <c r="S340" i="28"/>
  <c r="S329" i="28"/>
  <c r="S319" i="28"/>
  <c r="S304" i="28"/>
  <c r="S281" i="28"/>
  <c r="S222" i="28"/>
  <c r="W214" i="28"/>
  <c r="S207" i="28"/>
  <c r="S197" i="28"/>
  <c r="M197" i="28"/>
  <c r="S190" i="28"/>
  <c r="W176" i="28"/>
  <c r="W175" i="28"/>
  <c r="S177" i="28"/>
  <c r="W172" i="28"/>
  <c r="W174" i="28" s="1"/>
  <c r="W167" i="28"/>
  <c r="W159" i="28"/>
  <c r="S159" i="28"/>
  <c r="M159" i="28"/>
  <c r="W157" i="28"/>
  <c r="S149" i="28"/>
  <c r="S145" i="28"/>
  <c r="W131" i="28"/>
  <c r="S134" i="28"/>
  <c r="T87" i="28" l="1"/>
  <c r="Q87" i="28"/>
  <c r="O50" i="28"/>
  <c r="T50" i="28" s="1"/>
  <c r="T24" i="28"/>
  <c r="O34" i="28"/>
  <c r="S479" i="28"/>
  <c r="S416" i="28"/>
  <c r="S282" i="28"/>
  <c r="W177" i="28"/>
  <c r="T681" i="28"/>
  <c r="T682" i="28"/>
  <c r="T683" i="28"/>
  <c r="T684" i="28"/>
  <c r="T685" i="28"/>
  <c r="T686" i="28"/>
  <c r="T687" i="28"/>
  <c r="T689" i="28"/>
  <c r="T690" i="28"/>
  <c r="T691" i="28"/>
  <c r="T692" i="28"/>
  <c r="T693" i="28"/>
  <c r="T694" i="28"/>
  <c r="T695" i="28"/>
  <c r="T696" i="28"/>
  <c r="T706" i="28"/>
  <c r="W658" i="28"/>
  <c r="W659" i="28"/>
  <c r="W660" i="28"/>
  <c r="W661" i="28"/>
  <c r="W662" i="28"/>
  <c r="W663" i="28"/>
  <c r="W665" i="28"/>
  <c r="W666" i="28"/>
  <c r="W667" i="28"/>
  <c r="W668" i="28"/>
  <c r="W669" i="28"/>
  <c r="W670" i="28"/>
  <c r="W671" i="28"/>
  <c r="W673" i="28"/>
  <c r="W674" i="28"/>
  <c r="W675" i="28"/>
  <c r="W676" i="28"/>
  <c r="W677" i="28"/>
  <c r="W678" i="28"/>
  <c r="W679" i="28"/>
  <c r="W680" i="28"/>
  <c r="W681" i="28"/>
  <c r="W682" i="28"/>
  <c r="W683" i="28"/>
  <c r="W684" i="28"/>
  <c r="W685" i="28"/>
  <c r="W686" i="28"/>
  <c r="W687" i="28"/>
  <c r="W688" i="28"/>
  <c r="W689" i="28"/>
  <c r="W690" i="28"/>
  <c r="W691" i="28"/>
  <c r="W692" i="28"/>
  <c r="W693" i="28"/>
  <c r="W694" i="28"/>
  <c r="W695" i="28"/>
  <c r="W696" i="28"/>
  <c r="W697" i="28"/>
  <c r="W698" i="28"/>
  <c r="W699" i="28"/>
  <c r="W700" i="28"/>
  <c r="W701" i="28"/>
  <c r="W702" i="28"/>
  <c r="W703" i="28"/>
  <c r="W704" i="28"/>
  <c r="W705" i="28"/>
  <c r="W706" i="28"/>
  <c r="Q706" i="28"/>
  <c r="W657" i="28"/>
  <c r="W654" i="28"/>
  <c r="S654" i="28"/>
  <c r="S708" i="28" s="1"/>
  <c r="Q654" i="28"/>
  <c r="O654" i="28"/>
  <c r="M654" i="28"/>
  <c r="T633" i="28"/>
  <c r="T634" i="28"/>
  <c r="T635" i="28"/>
  <c r="W628" i="28"/>
  <c r="W629" i="28"/>
  <c r="W630" i="28"/>
  <c r="W631" i="28"/>
  <c r="W632" i="28"/>
  <c r="W633" i="28"/>
  <c r="W634" i="28"/>
  <c r="W635" i="28"/>
  <c r="W636" i="28"/>
  <c r="W637" i="28"/>
  <c r="W638" i="28"/>
  <c r="W639" i="28"/>
  <c r="W640" i="28"/>
  <c r="W641" i="28"/>
  <c r="W642" i="28"/>
  <c r="W643" i="28"/>
  <c r="W644" i="28"/>
  <c r="W645" i="28"/>
  <c r="W646" i="28"/>
  <c r="W647" i="28"/>
  <c r="W648" i="28"/>
  <c r="W649" i="28"/>
  <c r="W627" i="28"/>
  <c r="Q613" i="28"/>
  <c r="O649" i="28"/>
  <c r="T649" i="28" s="1"/>
  <c r="W617" i="28"/>
  <c r="W618" i="28"/>
  <c r="W619" i="28"/>
  <c r="V619" i="28" s="1"/>
  <c r="W620" i="28"/>
  <c r="V620" i="28" s="1"/>
  <c r="W621" i="28"/>
  <c r="W622" i="28"/>
  <c r="W623" i="28"/>
  <c r="W624" i="28"/>
  <c r="W616" i="28"/>
  <c r="T606" i="28"/>
  <c r="T613" i="28"/>
  <c r="W603" i="28"/>
  <c r="W604" i="28"/>
  <c r="W606" i="28"/>
  <c r="W607" i="28"/>
  <c r="W608" i="28"/>
  <c r="W609" i="28"/>
  <c r="W610" i="28"/>
  <c r="W611" i="28"/>
  <c r="W612" i="28"/>
  <c r="W613" i="28"/>
  <c r="W602" i="28"/>
  <c r="W594" i="28"/>
  <c r="W595" i="28"/>
  <c r="W605" i="28"/>
  <c r="W596" i="28"/>
  <c r="W597" i="28"/>
  <c r="W599" i="28"/>
  <c r="W593" i="28"/>
  <c r="T524" i="28"/>
  <c r="T525" i="28"/>
  <c r="T526" i="28"/>
  <c r="T527" i="28"/>
  <c r="T528" i="28"/>
  <c r="T529" i="28"/>
  <c r="T530" i="28"/>
  <c r="T531" i="28"/>
  <c r="T532" i="28"/>
  <c r="T534" i="28"/>
  <c r="T535" i="28"/>
  <c r="T536" i="28"/>
  <c r="T538" i="28"/>
  <c r="T539" i="28"/>
  <c r="T541" i="28"/>
  <c r="T542" i="28"/>
  <c r="T543" i="28"/>
  <c r="T544" i="28"/>
  <c r="T545" i="28"/>
  <c r="T547" i="28"/>
  <c r="T548" i="28"/>
  <c r="T549" i="28"/>
  <c r="T550" i="28"/>
  <c r="T551" i="28"/>
  <c r="T552" i="28"/>
  <c r="T553" i="28"/>
  <c r="T555" i="28"/>
  <c r="T556" i="28"/>
  <c r="T557" i="28"/>
  <c r="T559" i="28"/>
  <c r="T560" i="28"/>
  <c r="T561" i="28"/>
  <c r="T562" i="28"/>
  <c r="T563" i="28"/>
  <c r="T564" i="28"/>
  <c r="T565" i="28"/>
  <c r="T566" i="28"/>
  <c r="T567" i="28"/>
  <c r="T568" i="28"/>
  <c r="T569" i="28"/>
  <c r="T571" i="28"/>
  <c r="T573" i="28"/>
  <c r="Q573" i="28"/>
  <c r="Q571" i="28"/>
  <c r="Q570" i="28"/>
  <c r="Q569" i="28"/>
  <c r="Q568" i="28"/>
  <c r="Q567" i="28"/>
  <c r="Q566" i="28"/>
  <c r="Q565" i="28"/>
  <c r="Q564" i="28"/>
  <c r="Q563" i="28"/>
  <c r="Q562" i="28"/>
  <c r="Q561" i="28"/>
  <c r="Q560" i="28"/>
  <c r="Q559" i="28"/>
  <c r="Q557" i="28"/>
  <c r="Q556" i="28"/>
  <c r="Q555" i="28"/>
  <c r="Q554" i="28"/>
  <c r="Q553" i="28"/>
  <c r="Q552" i="28"/>
  <c r="Q551" i="28"/>
  <c r="Q550" i="28"/>
  <c r="Q549" i="28"/>
  <c r="Q548" i="28"/>
  <c r="Q547" i="28"/>
  <c r="Q545" i="28"/>
  <c r="Q544" i="28"/>
  <c r="Q543" i="28"/>
  <c r="Q542" i="28"/>
  <c r="Q541" i="28"/>
  <c r="Q540" i="28"/>
  <c r="Q539" i="28"/>
  <c r="Q538" i="28"/>
  <c r="Q537" i="28"/>
  <c r="Q536" i="28"/>
  <c r="Q535" i="28"/>
  <c r="Q534" i="28"/>
  <c r="Q533" i="28"/>
  <c r="Q532" i="28"/>
  <c r="Q531" i="28"/>
  <c r="Q530" i="28"/>
  <c r="Q529" i="28"/>
  <c r="Q528" i="28"/>
  <c r="Q527" i="28"/>
  <c r="Q526" i="28"/>
  <c r="Q525" i="28"/>
  <c r="Q524" i="28"/>
  <c r="Q507" i="28"/>
  <c r="Q501" i="28"/>
  <c r="W497" i="28"/>
  <c r="W498" i="28"/>
  <c r="W499" i="28"/>
  <c r="W500" i="28"/>
  <c r="W501" i="28"/>
  <c r="W502" i="28"/>
  <c r="W503" i="28"/>
  <c r="W505" i="28"/>
  <c r="W506" i="28"/>
  <c r="W507" i="28"/>
  <c r="W508" i="28"/>
  <c r="W509" i="28"/>
  <c r="W510" i="28"/>
  <c r="W511" i="28"/>
  <c r="W512" i="28"/>
  <c r="W513" i="28"/>
  <c r="W514" i="28"/>
  <c r="W515" i="28"/>
  <c r="W516" i="28"/>
  <c r="W517" i="28"/>
  <c r="W518" i="28"/>
  <c r="W519" i="28"/>
  <c r="W520" i="28"/>
  <c r="W521" i="28"/>
  <c r="W522" i="28"/>
  <c r="W523" i="28"/>
  <c r="W524" i="28"/>
  <c r="W525" i="28"/>
  <c r="W526" i="28"/>
  <c r="W527" i="28"/>
  <c r="W528" i="28"/>
  <c r="W529" i="28"/>
  <c r="W530" i="28"/>
  <c r="W531" i="28"/>
  <c r="W532" i="28"/>
  <c r="W533" i="28"/>
  <c r="W534" i="28"/>
  <c r="W535" i="28"/>
  <c r="W536" i="28"/>
  <c r="W537" i="28"/>
  <c r="W538" i="28"/>
  <c r="W539" i="28"/>
  <c r="W540" i="28"/>
  <c r="W541" i="28"/>
  <c r="W542" i="28"/>
  <c r="W543" i="28"/>
  <c r="W544" i="28"/>
  <c r="W545" i="28"/>
  <c r="W547" i="28"/>
  <c r="W548" i="28"/>
  <c r="W549" i="28"/>
  <c r="W550" i="28"/>
  <c r="W551" i="28"/>
  <c r="W552" i="28"/>
  <c r="W553" i="28"/>
  <c r="W555" i="28"/>
  <c r="W556" i="28"/>
  <c r="W557" i="28"/>
  <c r="W559" i="28"/>
  <c r="W560" i="28"/>
  <c r="W561" i="28"/>
  <c r="W562" i="28"/>
  <c r="W563" i="28"/>
  <c r="W564" i="28"/>
  <c r="W565" i="28"/>
  <c r="W566" i="28"/>
  <c r="W567" i="28"/>
  <c r="W568" i="28"/>
  <c r="W569" i="28"/>
  <c r="W571" i="28"/>
  <c r="W573" i="28"/>
  <c r="W578" i="28"/>
  <c r="W579" i="28"/>
  <c r="W580" i="28"/>
  <c r="W582" i="28"/>
  <c r="W583" i="28"/>
  <c r="W584" i="28"/>
  <c r="W585" i="28"/>
  <c r="W586" i="28"/>
  <c r="W587" i="28"/>
  <c r="W588" i="28"/>
  <c r="W589" i="28"/>
  <c r="W496" i="28"/>
  <c r="T624" i="28"/>
  <c r="T599" i="28"/>
  <c r="T590" i="28"/>
  <c r="W471" i="28"/>
  <c r="W472" i="28"/>
  <c r="W473" i="28"/>
  <c r="W474" i="28"/>
  <c r="W475" i="28"/>
  <c r="W476" i="28"/>
  <c r="W477" i="28"/>
  <c r="W470" i="28"/>
  <c r="W453" i="28"/>
  <c r="W454" i="28"/>
  <c r="W455" i="28"/>
  <c r="W456" i="28"/>
  <c r="W457" i="28"/>
  <c r="W458" i="28"/>
  <c r="W459" i="28"/>
  <c r="W460" i="28"/>
  <c r="W461" i="28"/>
  <c r="W462" i="28"/>
  <c r="W463" i="28"/>
  <c r="W464" i="28"/>
  <c r="W465" i="28"/>
  <c r="W466" i="28"/>
  <c r="W467" i="28"/>
  <c r="W468" i="28"/>
  <c r="W452" i="28"/>
  <c r="W447" i="28"/>
  <c r="W448" i="28"/>
  <c r="W449" i="28"/>
  <c r="W450" i="28"/>
  <c r="W446" i="28"/>
  <c r="W420" i="28"/>
  <c r="W421" i="28"/>
  <c r="W422" i="28"/>
  <c r="W423" i="28"/>
  <c r="W424" i="28"/>
  <c r="W425" i="28"/>
  <c r="W426" i="28"/>
  <c r="W427" i="28"/>
  <c r="W428" i="28"/>
  <c r="W429" i="28"/>
  <c r="W430" i="28"/>
  <c r="W431" i="28"/>
  <c r="W432" i="28"/>
  <c r="W433" i="28"/>
  <c r="W434" i="28"/>
  <c r="W435" i="28"/>
  <c r="W436" i="28"/>
  <c r="W437" i="28"/>
  <c r="W438" i="28"/>
  <c r="W439" i="28"/>
  <c r="W440" i="28"/>
  <c r="W441" i="28"/>
  <c r="W442" i="28"/>
  <c r="W443" i="28"/>
  <c r="W419" i="28"/>
  <c r="O414" i="28"/>
  <c r="T414" i="28" s="1"/>
  <c r="O412" i="28"/>
  <c r="T412" i="28" s="1"/>
  <c r="O411" i="28"/>
  <c r="T411" i="28" s="1"/>
  <c r="O407" i="28"/>
  <c r="O405" i="28"/>
  <c r="W385" i="28"/>
  <c r="W390" i="28"/>
  <c r="W395" i="28"/>
  <c r="W400" i="28"/>
  <c r="W383" i="28"/>
  <c r="O400" i="28"/>
  <c r="T400" i="28" s="1"/>
  <c r="O395" i="28"/>
  <c r="Q395" i="28" s="1"/>
  <c r="O390" i="28"/>
  <c r="T390" i="28" s="1"/>
  <c r="O385" i="28"/>
  <c r="O383" i="28"/>
  <c r="W404" i="28" l="1"/>
  <c r="Q407" i="28"/>
  <c r="O415" i="28"/>
  <c r="T415" i="28" s="1"/>
  <c r="O404" i="28"/>
  <c r="T404" i="28" s="1"/>
  <c r="Q385" i="28"/>
  <c r="T385" i="28"/>
  <c r="W625" i="28"/>
  <c r="W469" i="28"/>
  <c r="V536" i="28"/>
  <c r="W600" i="28"/>
  <c r="W650" i="28"/>
  <c r="W707" i="28"/>
  <c r="V550" i="28"/>
  <c r="Q383" i="28"/>
  <c r="V383" i="28" s="1"/>
  <c r="W478" i="28"/>
  <c r="W444" i="28"/>
  <c r="W451" i="28"/>
  <c r="V525" i="28"/>
  <c r="W614" i="28"/>
  <c r="T405" i="28"/>
  <c r="V568" i="28"/>
  <c r="V569" i="28"/>
  <c r="V549" i="28"/>
  <c r="V547" i="28"/>
  <c r="V573" i="28"/>
  <c r="V532" i="28"/>
  <c r="V531" i="28"/>
  <c r="V530" i="28"/>
  <c r="Q590" i="28"/>
  <c r="V395" i="28"/>
  <c r="Q414" i="28"/>
  <c r="T407" i="28"/>
  <c r="T395" i="28"/>
  <c r="Q411" i="28"/>
  <c r="Q412" i="28"/>
  <c r="Q405" i="28"/>
  <c r="T383" i="28"/>
  <c r="Q390" i="28"/>
  <c r="V390" i="28" s="1"/>
  <c r="Q400" i="28"/>
  <c r="V400" i="28" s="1"/>
  <c r="Q415" i="28" l="1"/>
  <c r="V415" i="28" s="1"/>
  <c r="V385" i="28"/>
  <c r="Q404" i="28"/>
  <c r="V404" i="28" s="1"/>
  <c r="W479" i="28"/>
  <c r="W371" i="28" l="1"/>
  <c r="W372" i="28"/>
  <c r="W374" i="28"/>
  <c r="W379" i="28"/>
  <c r="W370" i="28"/>
  <c r="W355" i="28"/>
  <c r="W357" i="28"/>
  <c r="W358" i="28"/>
  <c r="W359" i="28"/>
  <c r="W354" i="28"/>
  <c r="W343" i="28"/>
  <c r="W344" i="28"/>
  <c r="W345" i="28"/>
  <c r="W346" i="28"/>
  <c r="W347" i="28"/>
  <c r="W349" i="28"/>
  <c r="W350" i="28"/>
  <c r="W351" i="28"/>
  <c r="W342" i="28"/>
  <c r="T332" i="28"/>
  <c r="W331" i="28"/>
  <c r="W332" i="28"/>
  <c r="W333" i="28"/>
  <c r="W334" i="28"/>
  <c r="W335" i="28"/>
  <c r="W336" i="28"/>
  <c r="W337" i="28"/>
  <c r="W338" i="28"/>
  <c r="W339" i="28"/>
  <c r="W330" i="28"/>
  <c r="W321" i="28"/>
  <c r="W322" i="28"/>
  <c r="W323" i="28"/>
  <c r="W324" i="28"/>
  <c r="W325" i="28"/>
  <c r="W326" i="28"/>
  <c r="W327" i="28"/>
  <c r="W328" i="28"/>
  <c r="W320" i="28"/>
  <c r="T306" i="28"/>
  <c r="T307" i="28"/>
  <c r="T308" i="28"/>
  <c r="T309" i="28"/>
  <c r="T310" i="28"/>
  <c r="T311" i="28"/>
  <c r="T312" i="28"/>
  <c r="T313" i="28"/>
  <c r="T314" i="28"/>
  <c r="T315" i="28"/>
  <c r="T316" i="28"/>
  <c r="T317" i="28"/>
  <c r="T318" i="28"/>
  <c r="T305" i="28"/>
  <c r="W306" i="28"/>
  <c r="W307" i="28"/>
  <c r="W308" i="28"/>
  <c r="W309" i="28"/>
  <c r="W310" i="28"/>
  <c r="W311" i="28"/>
  <c r="W312" i="28"/>
  <c r="W313" i="28"/>
  <c r="W314" i="28"/>
  <c r="W315" i="28"/>
  <c r="W316" i="28"/>
  <c r="W317" i="28"/>
  <c r="W318" i="28"/>
  <c r="W305" i="28"/>
  <c r="W295" i="28"/>
  <c r="W296" i="28"/>
  <c r="W297" i="28"/>
  <c r="W298" i="28"/>
  <c r="W299" i="28"/>
  <c r="W300" i="28"/>
  <c r="W301" i="28"/>
  <c r="W302" i="28"/>
  <c r="W303" i="28"/>
  <c r="W286" i="28"/>
  <c r="W287" i="28"/>
  <c r="W288" i="28"/>
  <c r="W289" i="28"/>
  <c r="W290" i="28"/>
  <c r="W291" i="28"/>
  <c r="W292" i="28"/>
  <c r="W293" i="28"/>
  <c r="W285" i="28"/>
  <c r="T296" i="28"/>
  <c r="T297" i="28"/>
  <c r="T298" i="28"/>
  <c r="T299" i="28"/>
  <c r="T300" i="28"/>
  <c r="T301" i="28"/>
  <c r="T302" i="28"/>
  <c r="T303" i="28"/>
  <c r="T295" i="28"/>
  <c r="T286" i="28"/>
  <c r="T287" i="28"/>
  <c r="T288" i="28"/>
  <c r="T289" i="28"/>
  <c r="T290" i="28"/>
  <c r="T291" i="28"/>
  <c r="T292" i="28"/>
  <c r="T293" i="28"/>
  <c r="T285" i="28"/>
  <c r="W270" i="28"/>
  <c r="W271" i="28"/>
  <c r="W272" i="28"/>
  <c r="W273" i="28"/>
  <c r="W274" i="28"/>
  <c r="W275" i="28"/>
  <c r="W276" i="28"/>
  <c r="W277" i="28"/>
  <c r="W278" i="28"/>
  <c r="W279" i="28"/>
  <c r="W280" i="28"/>
  <c r="W269" i="28"/>
  <c r="W236" i="28"/>
  <c r="W237" i="28"/>
  <c r="W238" i="28"/>
  <c r="W239" i="28"/>
  <c r="W240" i="28"/>
  <c r="W241" i="28"/>
  <c r="W242" i="28"/>
  <c r="W243" i="28"/>
  <c r="W244" i="28"/>
  <c r="W245" i="28"/>
  <c r="W246" i="28"/>
  <c r="W247" i="28"/>
  <c r="W248" i="28"/>
  <c r="W249" i="28"/>
  <c r="W250" i="28"/>
  <c r="W251" i="28"/>
  <c r="W252" i="28"/>
  <c r="W253" i="28"/>
  <c r="W254" i="28"/>
  <c r="W255" i="28"/>
  <c r="W256" i="28"/>
  <c r="W257" i="28"/>
  <c r="W258" i="28"/>
  <c r="W259" i="28"/>
  <c r="W260" i="28"/>
  <c r="W261" i="28"/>
  <c r="W262" i="28"/>
  <c r="W263" i="28"/>
  <c r="W264" i="28"/>
  <c r="W265" i="28"/>
  <c r="W266" i="28"/>
  <c r="W267" i="28"/>
  <c r="W235" i="28"/>
  <c r="W230" i="28"/>
  <c r="W231" i="28"/>
  <c r="W229" i="28"/>
  <c r="W226" i="28"/>
  <c r="W227" i="28"/>
  <c r="W225" i="28"/>
  <c r="W221" i="28"/>
  <c r="W220" i="28"/>
  <c r="W218" i="28"/>
  <c r="W217" i="28"/>
  <c r="W216" i="28"/>
  <c r="W215" i="28"/>
  <c r="W211" i="28"/>
  <c r="W212" i="28"/>
  <c r="W210" i="28"/>
  <c r="W206" i="28"/>
  <c r="V206" i="28" s="1"/>
  <c r="W205" i="28"/>
  <c r="W199" i="28"/>
  <c r="V199" i="28" s="1"/>
  <c r="W198" i="28"/>
  <c r="W196" i="28"/>
  <c r="V196" i="28" s="1"/>
  <c r="W192" i="28"/>
  <c r="W193" i="28"/>
  <c r="W194" i="28"/>
  <c r="W195" i="28"/>
  <c r="V195" i="28" s="1"/>
  <c r="W191" i="28"/>
  <c r="W186" i="28"/>
  <c r="W187" i="28"/>
  <c r="W188" i="28"/>
  <c r="W189" i="28"/>
  <c r="W183" i="28"/>
  <c r="V183" i="28" s="1"/>
  <c r="W185" i="28"/>
  <c r="S174" i="28"/>
  <c r="S178" i="28" s="1"/>
  <c r="W147" i="28"/>
  <c r="W148" i="28"/>
  <c r="W146" i="28"/>
  <c r="W136" i="28"/>
  <c r="W137" i="28"/>
  <c r="W138" i="28"/>
  <c r="W139" i="28"/>
  <c r="W140" i="28"/>
  <c r="W141" i="28"/>
  <c r="W142" i="28"/>
  <c r="W143" i="28"/>
  <c r="W144" i="28"/>
  <c r="W135" i="28"/>
  <c r="W133" i="28"/>
  <c r="W132" i="28"/>
  <c r="W124" i="28"/>
  <c r="W125" i="28"/>
  <c r="W126" i="28"/>
  <c r="W123" i="28"/>
  <c r="W120" i="28"/>
  <c r="W121" i="28"/>
  <c r="W119" i="28"/>
  <c r="W116" i="28"/>
  <c r="W111" i="28"/>
  <c r="W112" i="28"/>
  <c r="W113" i="28"/>
  <c r="W114" i="28"/>
  <c r="W115" i="28"/>
  <c r="W117" i="28"/>
  <c r="W110" i="28"/>
  <c r="W100" i="28"/>
  <c r="V104" i="28"/>
  <c r="W105" i="28"/>
  <c r="W95" i="28"/>
  <c r="W82" i="28"/>
  <c r="V82" i="28" s="1"/>
  <c r="W87" i="28"/>
  <c r="V87" i="28" s="1"/>
  <c r="W92" i="28"/>
  <c r="V92" i="28" s="1"/>
  <c r="W93" i="28"/>
  <c r="V93" i="28" s="1"/>
  <c r="W77" i="28"/>
  <c r="W52" i="28"/>
  <c r="W75" i="28"/>
  <c r="W74" i="28"/>
  <c r="W73" i="28"/>
  <c r="W72" i="28"/>
  <c r="W71" i="28"/>
  <c r="W70" i="28"/>
  <c r="W69" i="28"/>
  <c r="W68" i="28"/>
  <c r="W67" i="28"/>
  <c r="W66" i="28"/>
  <c r="W61" i="28"/>
  <c r="W57" i="28"/>
  <c r="W40" i="28"/>
  <c r="W45" i="28"/>
  <c r="W35" i="28"/>
  <c r="W19" i="28"/>
  <c r="W24" i="28"/>
  <c r="W29" i="28"/>
  <c r="W34" i="28" l="1"/>
  <c r="W50" i="28"/>
  <c r="W94" i="28"/>
  <c r="V100" i="28"/>
  <c r="W106" i="28"/>
  <c r="W76" i="28"/>
  <c r="W134" i="28"/>
  <c r="W340" i="28"/>
  <c r="W294" i="28"/>
  <c r="W268" i="28"/>
  <c r="W304" i="28"/>
  <c r="W281" i="28"/>
  <c r="W319" i="28"/>
  <c r="W352" i="28"/>
  <c r="W329" i="28"/>
  <c r="W360" i="28"/>
  <c r="W127" i="28"/>
  <c r="W219" i="28"/>
  <c r="V95" i="28"/>
  <c r="W149" i="28"/>
  <c r="W232" i="28"/>
  <c r="W197" i="28"/>
  <c r="V205" i="28"/>
  <c r="W207" i="28"/>
  <c r="V207" i="28" s="1"/>
  <c r="V77" i="28"/>
  <c r="W222" i="28"/>
  <c r="W118" i="28"/>
  <c r="W122" i="28"/>
  <c r="W190" i="28"/>
  <c r="W213" i="28"/>
  <c r="W228" i="28"/>
  <c r="W145" i="28"/>
  <c r="T319" i="28"/>
  <c r="K705" i="28"/>
  <c r="M705" i="28" s="1"/>
  <c r="F705" i="28"/>
  <c r="H705" i="28" s="1"/>
  <c r="M704" i="28"/>
  <c r="H704" i="28"/>
  <c r="M648" i="28"/>
  <c r="H648" i="28"/>
  <c r="M612" i="28"/>
  <c r="H593" i="28"/>
  <c r="M500" i="28"/>
  <c r="H500" i="28"/>
  <c r="M499" i="28"/>
  <c r="H499" i="28"/>
  <c r="M498" i="28"/>
  <c r="H498" i="28"/>
  <c r="M497" i="28"/>
  <c r="H497" i="28"/>
  <c r="M496" i="28"/>
  <c r="H496" i="28"/>
  <c r="M491" i="28"/>
  <c r="H491" i="28"/>
  <c r="M490" i="28"/>
  <c r="H490" i="28"/>
  <c r="M489" i="28"/>
  <c r="H489" i="28"/>
  <c r="M488" i="28"/>
  <c r="H488" i="28"/>
  <c r="M487" i="28"/>
  <c r="H487" i="28"/>
  <c r="H486" i="28"/>
  <c r="M485" i="28"/>
  <c r="H485" i="28"/>
  <c r="M484" i="28"/>
  <c r="H484" i="28"/>
  <c r="M483" i="28"/>
  <c r="H483" i="28"/>
  <c r="H482" i="28"/>
  <c r="H481" i="28"/>
  <c r="M126" i="28"/>
  <c r="O126" i="28" s="1"/>
  <c r="T126" i="28" s="1"/>
  <c r="M125" i="28"/>
  <c r="O125" i="28" s="1"/>
  <c r="M124" i="28"/>
  <c r="O124" i="28" s="1"/>
  <c r="K123" i="28"/>
  <c r="M123" i="28" s="1"/>
  <c r="M121" i="28"/>
  <c r="H121" i="28"/>
  <c r="M120" i="28"/>
  <c r="H120" i="28"/>
  <c r="M119" i="28"/>
  <c r="H119" i="28"/>
  <c r="H117" i="28"/>
  <c r="M116" i="28"/>
  <c r="H116" i="28"/>
  <c r="H115" i="28"/>
  <c r="H114" i="28"/>
  <c r="M113" i="28"/>
  <c r="H113" i="28"/>
  <c r="M112" i="28"/>
  <c r="H112" i="28"/>
  <c r="M111" i="28"/>
  <c r="H111" i="28"/>
  <c r="M110" i="28"/>
  <c r="M94" i="28"/>
  <c r="H94" i="28"/>
  <c r="M703" i="28"/>
  <c r="H703" i="28"/>
  <c r="M702" i="28"/>
  <c r="H702" i="28"/>
  <c r="M647" i="28"/>
  <c r="H647" i="28"/>
  <c r="M646" i="28"/>
  <c r="H646" i="28"/>
  <c r="M645" i="28"/>
  <c r="H645" i="28"/>
  <c r="M644" i="28"/>
  <c r="H644" i="28"/>
  <c r="M643" i="28"/>
  <c r="H643" i="28"/>
  <c r="M642" i="28"/>
  <c r="H642" i="28"/>
  <c r="M641" i="28"/>
  <c r="H641" i="28"/>
  <c r="M640" i="28"/>
  <c r="H640" i="28"/>
  <c r="M639" i="28"/>
  <c r="H639" i="28"/>
  <c r="M638" i="28"/>
  <c r="H638" i="28"/>
  <c r="M623" i="28"/>
  <c r="H623" i="28"/>
  <c r="M622" i="28"/>
  <c r="H622" i="28"/>
  <c r="M621" i="28"/>
  <c r="H621" i="28"/>
  <c r="M611" i="28"/>
  <c r="H611" i="28"/>
  <c r="M589" i="28"/>
  <c r="H589" i="28"/>
  <c r="M588" i="28"/>
  <c r="H588" i="28"/>
  <c r="M587" i="28"/>
  <c r="H587" i="28"/>
  <c r="M586" i="28"/>
  <c r="H586" i="28"/>
  <c r="M585" i="28"/>
  <c r="H585" i="28"/>
  <c r="M584" i="28"/>
  <c r="H584" i="28"/>
  <c r="M477" i="28"/>
  <c r="H477" i="28"/>
  <c r="M476" i="28"/>
  <c r="H476" i="28"/>
  <c r="M475" i="28"/>
  <c r="H475" i="28"/>
  <c r="M474" i="28"/>
  <c r="H474" i="28"/>
  <c r="M473" i="28"/>
  <c r="H473" i="28"/>
  <c r="M472" i="28"/>
  <c r="H472" i="28"/>
  <c r="M471" i="28"/>
  <c r="H471" i="28"/>
  <c r="M470" i="28"/>
  <c r="H470" i="28"/>
  <c r="M468" i="28"/>
  <c r="H468" i="28"/>
  <c r="M467" i="28"/>
  <c r="H467" i="28"/>
  <c r="M466" i="28"/>
  <c r="H466" i="28"/>
  <c r="M465" i="28"/>
  <c r="H465" i="28"/>
  <c r="M464" i="28"/>
  <c r="H464" i="28"/>
  <c r="M463" i="28"/>
  <c r="H463" i="28"/>
  <c r="M462" i="28"/>
  <c r="H462" i="28"/>
  <c r="M461" i="28"/>
  <c r="H461" i="28"/>
  <c r="M460" i="28"/>
  <c r="H460" i="28"/>
  <c r="M459" i="28"/>
  <c r="H459" i="28"/>
  <c r="M458" i="28"/>
  <c r="H458" i="28"/>
  <c r="M457" i="28"/>
  <c r="H457" i="28"/>
  <c r="M456" i="28"/>
  <c r="H456" i="28"/>
  <c r="M455" i="28"/>
  <c r="H455" i="28"/>
  <c r="M454" i="28"/>
  <c r="H454" i="28"/>
  <c r="M453" i="28"/>
  <c r="H453" i="28"/>
  <c r="M452" i="28"/>
  <c r="H452" i="28"/>
  <c r="M450" i="28"/>
  <c r="H450" i="28"/>
  <c r="M449" i="28"/>
  <c r="H449" i="28"/>
  <c r="M448" i="28"/>
  <c r="H448" i="28"/>
  <c r="M447" i="28"/>
  <c r="H447" i="28"/>
  <c r="M446" i="28"/>
  <c r="H446" i="28"/>
  <c r="M443" i="28"/>
  <c r="H443" i="28"/>
  <c r="M442" i="28"/>
  <c r="H442" i="28"/>
  <c r="M441" i="28"/>
  <c r="H441" i="28"/>
  <c r="M440" i="28"/>
  <c r="H440" i="28"/>
  <c r="M439" i="28"/>
  <c r="H439" i="28"/>
  <c r="M438" i="28"/>
  <c r="H438" i="28"/>
  <c r="M437" i="28"/>
  <c r="H437" i="28"/>
  <c r="M436" i="28"/>
  <c r="H436" i="28"/>
  <c r="M435" i="28"/>
  <c r="H435" i="28"/>
  <c r="M434" i="28"/>
  <c r="H434" i="28"/>
  <c r="M433" i="28"/>
  <c r="H433" i="28"/>
  <c r="M432" i="28"/>
  <c r="H432" i="28"/>
  <c r="M431" i="28"/>
  <c r="H431" i="28"/>
  <c r="M430" i="28"/>
  <c r="H430" i="28"/>
  <c r="M429" i="28"/>
  <c r="H429" i="28"/>
  <c r="M428" i="28"/>
  <c r="H428" i="28"/>
  <c r="M427" i="28"/>
  <c r="H427" i="28"/>
  <c r="M426" i="28"/>
  <c r="H426" i="28"/>
  <c r="M425" i="28"/>
  <c r="H425" i="28"/>
  <c r="M424" i="28"/>
  <c r="H424" i="28"/>
  <c r="M423" i="28"/>
  <c r="H423" i="28"/>
  <c r="M422" i="28"/>
  <c r="H422" i="28"/>
  <c r="M421" i="28"/>
  <c r="H421" i="28"/>
  <c r="M420" i="28"/>
  <c r="H420" i="28"/>
  <c r="M419" i="28"/>
  <c r="H419" i="28"/>
  <c r="H76" i="28" l="1"/>
  <c r="H107" i="28" s="1"/>
  <c r="M107" i="28"/>
  <c r="H444" i="28"/>
  <c r="O481" i="28"/>
  <c r="Q481" i="28" s="1"/>
  <c r="H492" i="28"/>
  <c r="H451" i="28"/>
  <c r="H469" i="28"/>
  <c r="O489" i="28"/>
  <c r="Q489" i="28" s="1"/>
  <c r="O497" i="28"/>
  <c r="O593" i="28"/>
  <c r="H478" i="28"/>
  <c r="H122" i="28"/>
  <c r="H118" i="28"/>
  <c r="O647" i="28"/>
  <c r="Q647" i="28" s="1"/>
  <c r="V647" i="28" s="1"/>
  <c r="O643" i="28"/>
  <c r="T643" i="28" s="1"/>
  <c r="O702" i="28"/>
  <c r="Q702" i="28" s="1"/>
  <c r="V702" i="28" s="1"/>
  <c r="O640" i="28"/>
  <c r="O639" i="28"/>
  <c r="O641" i="28"/>
  <c r="T641" i="28" s="1"/>
  <c r="O645" i="28"/>
  <c r="T645" i="28" s="1"/>
  <c r="O703" i="28"/>
  <c r="T703" i="28" s="1"/>
  <c r="O491" i="28"/>
  <c r="Q491" i="28" s="1"/>
  <c r="O499" i="28"/>
  <c r="O648" i="28"/>
  <c r="T648" i="28" s="1"/>
  <c r="O705" i="28"/>
  <c r="T705" i="28" s="1"/>
  <c r="O496" i="28"/>
  <c r="O500" i="28"/>
  <c r="O644" i="28"/>
  <c r="T644" i="28" s="1"/>
  <c r="O490" i="28"/>
  <c r="Q490" i="28" s="1"/>
  <c r="O498" i="28"/>
  <c r="O455" i="28"/>
  <c r="T455" i="28" s="1"/>
  <c r="O459" i="28"/>
  <c r="T459" i="28" s="1"/>
  <c r="O463" i="28"/>
  <c r="T463" i="28" s="1"/>
  <c r="O467" i="28"/>
  <c r="O472" i="28"/>
  <c r="T472" i="28" s="1"/>
  <c r="O476" i="28"/>
  <c r="Q476" i="28" s="1"/>
  <c r="O586" i="28"/>
  <c r="O70" i="28"/>
  <c r="M478" i="28"/>
  <c r="O454" i="28"/>
  <c r="T454" i="28" s="1"/>
  <c r="O458" i="28"/>
  <c r="T458" i="28" s="1"/>
  <c r="O462" i="28"/>
  <c r="O466" i="28"/>
  <c r="O471" i="28"/>
  <c r="Q471" i="28" s="1"/>
  <c r="O475" i="28"/>
  <c r="Q475" i="28" s="1"/>
  <c r="O585" i="28"/>
  <c r="O589" i="28"/>
  <c r="O623" i="28"/>
  <c r="T623" i="28" s="1"/>
  <c r="O69" i="28"/>
  <c r="T69" i="28" s="1"/>
  <c r="O73" i="28"/>
  <c r="T73" i="28" s="1"/>
  <c r="T486" i="28"/>
  <c r="O486" i="28"/>
  <c r="Q486" i="28" s="1"/>
  <c r="O482" i="28"/>
  <c r="Q482" i="28" s="1"/>
  <c r="T487" i="28"/>
  <c r="O487" i="28"/>
  <c r="O611" i="28"/>
  <c r="T611" i="28" s="1"/>
  <c r="O483" i="28"/>
  <c r="M451" i="28"/>
  <c r="O638" i="28"/>
  <c r="O642" i="28"/>
  <c r="Q642" i="28" s="1"/>
  <c r="V642" i="28" s="1"/>
  <c r="O646" i="28"/>
  <c r="T646" i="28" s="1"/>
  <c r="M492" i="28"/>
  <c r="T488" i="28"/>
  <c r="O488" i="28"/>
  <c r="Q488" i="28" s="1"/>
  <c r="O704" i="28"/>
  <c r="M444" i="28"/>
  <c r="O456" i="28"/>
  <c r="O460" i="28"/>
  <c r="O464" i="28"/>
  <c r="T464" i="28" s="1"/>
  <c r="O468" i="28"/>
  <c r="T468" i="28" s="1"/>
  <c r="O473" i="28"/>
  <c r="Q473" i="28" s="1"/>
  <c r="V473" i="28" s="1"/>
  <c r="O477" i="28"/>
  <c r="T477" i="28" s="1"/>
  <c r="O587" i="28"/>
  <c r="O621" i="28"/>
  <c r="T621" i="28" s="1"/>
  <c r="T484" i="28"/>
  <c r="O484" i="28"/>
  <c r="Q484" i="28" s="1"/>
  <c r="M469" i="28"/>
  <c r="O453" i="28"/>
  <c r="T453" i="28" s="1"/>
  <c r="O457" i="28"/>
  <c r="T457" i="28" s="1"/>
  <c r="O461" i="28"/>
  <c r="T461" i="28" s="1"/>
  <c r="O465" i="28"/>
  <c r="O470" i="28"/>
  <c r="O474" i="28"/>
  <c r="O584" i="28"/>
  <c r="O588" i="28"/>
  <c r="O622" i="28"/>
  <c r="T622" i="28" s="1"/>
  <c r="O68" i="28"/>
  <c r="O72" i="28"/>
  <c r="T72" i="28" s="1"/>
  <c r="T485" i="28"/>
  <c r="O485" i="28"/>
  <c r="Q485" i="28" s="1"/>
  <c r="O612" i="28"/>
  <c r="W178" i="28"/>
  <c r="O74" i="28"/>
  <c r="T74" i="28" s="1"/>
  <c r="O66" i="28"/>
  <c r="O123" i="28"/>
  <c r="M127" i="28"/>
  <c r="O67" i="28"/>
  <c r="O71" i="28"/>
  <c r="T71" i="28" s="1"/>
  <c r="O75" i="28"/>
  <c r="T75" i="28" s="1"/>
  <c r="W282" i="28"/>
  <c r="M122" i="28"/>
  <c r="W128" i="28"/>
  <c r="M118" i="28"/>
  <c r="T492" i="28"/>
  <c r="Q125" i="28"/>
  <c r="V125" i="28" s="1"/>
  <c r="T125" i="28"/>
  <c r="Q124" i="28"/>
  <c r="V124" i="28" s="1"/>
  <c r="T124" i="28"/>
  <c r="Q126" i="28"/>
  <c r="V126" i="28" s="1"/>
  <c r="O94" i="28"/>
  <c r="T482" i="28"/>
  <c r="T481" i="28"/>
  <c r="O116" i="28"/>
  <c r="O111" i="28"/>
  <c r="Q111" i="28" s="1"/>
  <c r="V111" i="28" s="1"/>
  <c r="O121" i="28"/>
  <c r="T121" i="28" s="1"/>
  <c r="O110" i="28"/>
  <c r="O115" i="28"/>
  <c r="O433" i="28"/>
  <c r="O119" i="28"/>
  <c r="O120" i="28"/>
  <c r="O113" i="28"/>
  <c r="T593" i="28"/>
  <c r="T489" i="28"/>
  <c r="O114" i="28"/>
  <c r="Q114" i="28" s="1"/>
  <c r="V114" i="28" s="1"/>
  <c r="O112" i="28"/>
  <c r="T112" i="28" s="1"/>
  <c r="O117" i="28"/>
  <c r="Q117" i="28" s="1"/>
  <c r="V117" i="28" s="1"/>
  <c r="O434" i="28"/>
  <c r="O442" i="28"/>
  <c r="T442" i="28" s="1"/>
  <c r="O428" i="28"/>
  <c r="T428" i="28" s="1"/>
  <c r="O436" i="28"/>
  <c r="O439" i="28"/>
  <c r="O435" i="28"/>
  <c r="T435" i="28" s="1"/>
  <c r="O430" i="28"/>
  <c r="O448" i="28"/>
  <c r="O424" i="28"/>
  <c r="T424" i="28" s="1"/>
  <c r="O432" i="28"/>
  <c r="O437" i="28"/>
  <c r="T437" i="28" s="1"/>
  <c r="O450" i="28"/>
  <c r="T450" i="28" s="1"/>
  <c r="O422" i="28"/>
  <c r="O441" i="28"/>
  <c r="T441" i="28" s="1"/>
  <c r="O423" i="28"/>
  <c r="O449" i="28"/>
  <c r="O426" i="28"/>
  <c r="T426" i="28" s="1"/>
  <c r="O429" i="28"/>
  <c r="T429" i="28" s="1"/>
  <c r="O419" i="28"/>
  <c r="O443" i="28"/>
  <c r="O421" i="28"/>
  <c r="T421" i="28" s="1"/>
  <c r="O438" i="28"/>
  <c r="T438" i="28" s="1"/>
  <c r="O440" i="28"/>
  <c r="T440" i="28" s="1"/>
  <c r="O431" i="28"/>
  <c r="O420" i="28"/>
  <c r="T420" i="28" s="1"/>
  <c r="O425" i="28"/>
  <c r="O427" i="28"/>
  <c r="O446" i="28"/>
  <c r="O447" i="28"/>
  <c r="T447" i="28" s="1"/>
  <c r="O452" i="28"/>
  <c r="O127" i="28" l="1"/>
  <c r="T127" i="28" s="1"/>
  <c r="O76" i="28"/>
  <c r="T110" i="28"/>
  <c r="O118" i="28"/>
  <c r="O122" i="28"/>
  <c r="T122" i="28" s="1"/>
  <c r="Q487" i="28"/>
  <c r="T68" i="28"/>
  <c r="T67" i="28"/>
  <c r="T66" i="28"/>
  <c r="T76" i="28"/>
  <c r="T702" i="28"/>
  <c r="T94" i="28"/>
  <c r="T93" i="28"/>
  <c r="Q483" i="28"/>
  <c r="T483" i="28"/>
  <c r="H128" i="28"/>
  <c r="T647" i="28"/>
  <c r="Q703" i="28"/>
  <c r="V703" i="28" s="1"/>
  <c r="Q646" i="28"/>
  <c r="V646" i="28" s="1"/>
  <c r="Q705" i="28"/>
  <c r="T642" i="28"/>
  <c r="Q123" i="28"/>
  <c r="O451" i="28"/>
  <c r="T451" i="28" s="1"/>
  <c r="T478" i="28"/>
  <c r="M479" i="28"/>
  <c r="M128" i="28"/>
  <c r="Q704" i="28"/>
  <c r="T704" i="28"/>
  <c r="T419" i="28"/>
  <c r="O444" i="28"/>
  <c r="T452" i="28"/>
  <c r="T469" i="28"/>
  <c r="T119" i="28"/>
  <c r="T123" i="28"/>
  <c r="Q587" i="28"/>
  <c r="T587" i="28"/>
  <c r="T585" i="28"/>
  <c r="Q585" i="28"/>
  <c r="Q588" i="28"/>
  <c r="T588" i="28"/>
  <c r="T499" i="28"/>
  <c r="Q499" i="28"/>
  <c r="Q586" i="28"/>
  <c r="V586" i="28" s="1"/>
  <c r="T586" i="28"/>
  <c r="T584" i="28"/>
  <c r="Q584" i="28"/>
  <c r="V584" i="28" s="1"/>
  <c r="Q500" i="28"/>
  <c r="T500" i="28"/>
  <c r="T496" i="28"/>
  <c r="Q496" i="28"/>
  <c r="Q497" i="28"/>
  <c r="T497" i="28"/>
  <c r="Q498" i="28"/>
  <c r="T498" i="28"/>
  <c r="T612" i="28"/>
  <c r="Q612" i="28"/>
  <c r="T589" i="28"/>
  <c r="Q589" i="28"/>
  <c r="V589" i="28" s="1"/>
  <c r="Q640" i="28"/>
  <c r="V640" i="28" s="1"/>
  <c r="T640" i="28"/>
  <c r="Q639" i="28"/>
  <c r="V639" i="28" s="1"/>
  <c r="T639" i="28"/>
  <c r="Q638" i="28"/>
  <c r="V638" i="28" s="1"/>
  <c r="T638" i="28"/>
  <c r="H479" i="28"/>
  <c r="Q433" i="28"/>
  <c r="Q449" i="28"/>
  <c r="V449" i="28" s="1"/>
  <c r="T449" i="28"/>
  <c r="Q462" i="28"/>
  <c r="V462" i="28" s="1"/>
  <c r="T462" i="28"/>
  <c r="Q423" i="28"/>
  <c r="V423" i="28" s="1"/>
  <c r="T423" i="28"/>
  <c r="Q460" i="28"/>
  <c r="T460" i="28"/>
  <c r="Q446" i="28"/>
  <c r="T446" i="28"/>
  <c r="Q466" i="28"/>
  <c r="V466" i="28" s="1"/>
  <c r="T466" i="28"/>
  <c r="Q432" i="28"/>
  <c r="V432" i="28" s="1"/>
  <c r="T432" i="28"/>
  <c r="Q427" i="28"/>
  <c r="V427" i="28" s="1"/>
  <c r="T427" i="28"/>
  <c r="Q434" i="28"/>
  <c r="V434" i="28" s="1"/>
  <c r="T434" i="28"/>
  <c r="Q643" i="28"/>
  <c r="V643" i="28" s="1"/>
  <c r="Q436" i="28"/>
  <c r="V436" i="28" s="1"/>
  <c r="T436" i="28"/>
  <c r="Q456" i="28"/>
  <c r="V456" i="28" s="1"/>
  <c r="T456" i="28"/>
  <c r="Q425" i="28"/>
  <c r="V425" i="28" s="1"/>
  <c r="T425" i="28"/>
  <c r="Q465" i="28"/>
  <c r="V465" i="28" s="1"/>
  <c r="T465" i="28"/>
  <c r="Q422" i="28"/>
  <c r="V422" i="28" s="1"/>
  <c r="T422" i="28"/>
  <c r="Q448" i="28"/>
  <c r="V448" i="28" s="1"/>
  <c r="T448" i="28"/>
  <c r="Q439" i="28"/>
  <c r="V439" i="28" s="1"/>
  <c r="T439" i="28"/>
  <c r="Q431" i="28"/>
  <c r="V431" i="28" s="1"/>
  <c r="T431" i="28"/>
  <c r="Q443" i="28"/>
  <c r="V443" i="28" s="1"/>
  <c r="T443" i="28"/>
  <c r="Q467" i="28"/>
  <c r="T467" i="28"/>
  <c r="Q430" i="28"/>
  <c r="V430" i="28" s="1"/>
  <c r="T430" i="28"/>
  <c r="Q622" i="28"/>
  <c r="V622" i="28" s="1"/>
  <c r="Q120" i="28"/>
  <c r="V120" i="28" s="1"/>
  <c r="T120" i="28"/>
  <c r="Q93" i="28"/>
  <c r="Q116" i="28"/>
  <c r="V116" i="28" s="1"/>
  <c r="T116" i="28"/>
  <c r="Q112" i="28"/>
  <c r="V112" i="28" s="1"/>
  <c r="Q110" i="28"/>
  <c r="Q115" i="28"/>
  <c r="V115" i="28" s="1"/>
  <c r="T115" i="28"/>
  <c r="Q70" i="28"/>
  <c r="V70" i="28" s="1"/>
  <c r="T70" i="28"/>
  <c r="Q121" i="28"/>
  <c r="V121" i="28" s="1"/>
  <c r="Q113" i="28"/>
  <c r="V113" i="28" s="1"/>
  <c r="T113" i="28"/>
  <c r="Q621" i="28"/>
  <c r="Q623" i="28"/>
  <c r="V623" i="28" s="1"/>
  <c r="Q645" i="28"/>
  <c r="V645" i="28" s="1"/>
  <c r="Q611" i="28"/>
  <c r="V611" i="28" s="1"/>
  <c r="Q644" i="28"/>
  <c r="V644" i="28" s="1"/>
  <c r="Q428" i="28"/>
  <c r="V428" i="28" s="1"/>
  <c r="Q74" i="28"/>
  <c r="V74" i="28" s="1"/>
  <c r="Q67" i="28"/>
  <c r="V67" i="28" s="1"/>
  <c r="Q66" i="28"/>
  <c r="V66" i="28" s="1"/>
  <c r="Q72" i="28"/>
  <c r="V72" i="28" s="1"/>
  <c r="Q69" i="28"/>
  <c r="V69" i="28" s="1"/>
  <c r="Q75" i="28"/>
  <c r="V75" i="28" s="1"/>
  <c r="Q73" i="28"/>
  <c r="V73" i="28" s="1"/>
  <c r="Q71" i="28"/>
  <c r="V71" i="28" s="1"/>
  <c r="Q68" i="28"/>
  <c r="V68" i="28" s="1"/>
  <c r="Q641" i="28"/>
  <c r="V641" i="28" s="1"/>
  <c r="T476" i="28"/>
  <c r="Q463" i="28"/>
  <c r="V463" i="28" s="1"/>
  <c r="Q442" i="28"/>
  <c r="V442" i="28" s="1"/>
  <c r="Q119" i="28"/>
  <c r="Q424" i="28"/>
  <c r="V424" i="28" s="1"/>
  <c r="T475" i="28"/>
  <c r="Q454" i="28"/>
  <c r="V454" i="28" s="1"/>
  <c r="T473" i="28"/>
  <c r="Q458" i="28"/>
  <c r="V458" i="28" s="1"/>
  <c r="Q438" i="28"/>
  <c r="V438" i="28" s="1"/>
  <c r="Q468" i="28"/>
  <c r="V468" i="28" s="1"/>
  <c r="Q455" i="28"/>
  <c r="V455" i="28" s="1"/>
  <c r="Q421" i="28"/>
  <c r="V421" i="28" s="1"/>
  <c r="Q464" i="28"/>
  <c r="V464" i="28" s="1"/>
  <c r="Q457" i="28"/>
  <c r="V457" i="28" s="1"/>
  <c r="Q419" i="28"/>
  <c r="Q441" i="28"/>
  <c r="V441" i="28" s="1"/>
  <c r="Q435" i="28"/>
  <c r="V435" i="28" s="1"/>
  <c r="Q437" i="28"/>
  <c r="V437" i="28" s="1"/>
  <c r="Q440" i="28"/>
  <c r="V440" i="28" s="1"/>
  <c r="Q426" i="28"/>
  <c r="V426" i="28" s="1"/>
  <c r="Q477" i="28"/>
  <c r="V477" i="28" s="1"/>
  <c r="Q450" i="28"/>
  <c r="V450" i="28" s="1"/>
  <c r="Q472" i="28"/>
  <c r="V472" i="28" s="1"/>
  <c r="Q453" i="28"/>
  <c r="Q420" i="28"/>
  <c r="V420" i="28" s="1"/>
  <c r="Q429" i="28"/>
  <c r="V429" i="28" s="1"/>
  <c r="Q459" i="28"/>
  <c r="V459" i="28" s="1"/>
  <c r="Q461" i="28"/>
  <c r="V461" i="28" s="1"/>
  <c r="Q447" i="28"/>
  <c r="V447" i="28" s="1"/>
  <c r="T474" i="28"/>
  <c r="Q474" i="28"/>
  <c r="V474" i="28" s="1"/>
  <c r="T470" i="28"/>
  <c r="Q470" i="28"/>
  <c r="Q452" i="28"/>
  <c r="V452" i="28" s="1"/>
  <c r="O128" i="28" l="1"/>
  <c r="V123" i="28"/>
  <c r="Q127" i="28"/>
  <c r="Q118" i="28"/>
  <c r="T118" i="28"/>
  <c r="Q122" i="28"/>
  <c r="V127" i="28"/>
  <c r="T479" i="28"/>
  <c r="Q625" i="28"/>
  <c r="V625" i="28" s="1"/>
  <c r="V446" i="28"/>
  <c r="Q451" i="28"/>
  <c r="V451" i="28" s="1"/>
  <c r="V419" i="28"/>
  <c r="Q444" i="28"/>
  <c r="V478" i="28"/>
  <c r="V453" i="28"/>
  <c r="V119" i="28"/>
  <c r="V122" i="28"/>
  <c r="T128" i="28"/>
  <c r="V621" i="28"/>
  <c r="V470" i="28"/>
  <c r="T444" i="28"/>
  <c r="V110" i="28"/>
  <c r="Q128" i="28" l="1"/>
  <c r="V479" i="28"/>
  <c r="V469" i="28"/>
  <c r="V118" i="28"/>
  <c r="V444" i="28"/>
  <c r="M610" i="28"/>
  <c r="M609" i="28"/>
  <c r="O608" i="28"/>
  <c r="O607" i="28"/>
  <c r="J583" i="28"/>
  <c r="E583" i="28"/>
  <c r="J582" i="28"/>
  <c r="E582" i="28"/>
  <c r="J581" i="28"/>
  <c r="E581" i="28"/>
  <c r="J580" i="28"/>
  <c r="E580" i="28"/>
  <c r="J578" i="28"/>
  <c r="E578" i="28"/>
  <c r="J575" i="28"/>
  <c r="E575" i="28"/>
  <c r="J574" i="28"/>
  <c r="E574" i="28"/>
  <c r="J378" i="28"/>
  <c r="J377" i="28"/>
  <c r="F374" i="28"/>
  <c r="W369" i="28"/>
  <c r="W368" i="28"/>
  <c r="W367" i="28"/>
  <c r="W366" i="28"/>
  <c r="W365" i="28"/>
  <c r="W362" i="28"/>
  <c r="W361" i="28"/>
  <c r="W363" i="28" s="1"/>
  <c r="K359" i="28"/>
  <c r="N351" i="28"/>
  <c r="E351" i="28"/>
  <c r="N350" i="28"/>
  <c r="G350" i="28"/>
  <c r="N349" i="28"/>
  <c r="E349" i="28"/>
  <c r="N347" i="28"/>
  <c r="N346" i="28"/>
  <c r="N345" i="28"/>
  <c r="N344" i="28"/>
  <c r="O344" i="28"/>
  <c r="N343" i="28"/>
  <c r="O343" i="28"/>
  <c r="N342" i="28"/>
  <c r="M363" i="28" l="1"/>
  <c r="O576" i="28"/>
  <c r="T576" i="28" s="1"/>
  <c r="O580" i="28"/>
  <c r="O596" i="28"/>
  <c r="Q596" i="28" s="1"/>
  <c r="V596" i="28" s="1"/>
  <c r="H352" i="28"/>
  <c r="O610" i="28"/>
  <c r="H381" i="28"/>
  <c r="H360" i="28"/>
  <c r="H363" i="28"/>
  <c r="O700" i="28"/>
  <c r="Q700" i="28" s="1"/>
  <c r="V700" i="28" s="1"/>
  <c r="O575" i="28"/>
  <c r="T575" i="28" s="1"/>
  <c r="O579" i="28"/>
  <c r="O583" i="28"/>
  <c r="O609" i="28"/>
  <c r="O577" i="28"/>
  <c r="T577" i="28" s="1"/>
  <c r="O581" i="28"/>
  <c r="T581" i="28" s="1"/>
  <c r="O597" i="28"/>
  <c r="O636" i="28"/>
  <c r="O637" i="28"/>
  <c r="O342" i="28"/>
  <c r="T342" i="28" s="1"/>
  <c r="T697" i="28"/>
  <c r="V697" i="28"/>
  <c r="O701" i="28"/>
  <c r="O619" i="28"/>
  <c r="T619" i="28" s="1"/>
  <c r="O698" i="28"/>
  <c r="O346" i="28"/>
  <c r="T346" i="28" s="1"/>
  <c r="O347" i="28"/>
  <c r="Q347" i="28" s="1"/>
  <c r="V347" i="28" s="1"/>
  <c r="O349" i="28"/>
  <c r="Q349" i="28" s="1"/>
  <c r="V349" i="28" s="1"/>
  <c r="O620" i="28"/>
  <c r="T620" i="28" s="1"/>
  <c r="O351" i="28"/>
  <c r="T351" i="28" s="1"/>
  <c r="M360" i="28"/>
  <c r="M381" i="28"/>
  <c r="O574" i="28"/>
  <c r="T574" i="28" s="1"/>
  <c r="O578" i="28"/>
  <c r="O582" i="28"/>
  <c r="O699" i="28"/>
  <c r="O345" i="28"/>
  <c r="T345" i="28" s="1"/>
  <c r="O350" i="28"/>
  <c r="Q350" i="28" s="1"/>
  <c r="V350" i="28" s="1"/>
  <c r="Q608" i="28"/>
  <c r="V608" i="28" s="1"/>
  <c r="T608" i="28"/>
  <c r="T607" i="28"/>
  <c r="V363" i="28"/>
  <c r="O365" i="28"/>
  <c r="O374" i="28"/>
  <c r="Q374" i="28" s="1"/>
  <c r="V374" i="28" s="1"/>
  <c r="O367" i="28"/>
  <c r="O370" i="28"/>
  <c r="T370" i="28" s="1"/>
  <c r="O376" i="28"/>
  <c r="Q376" i="28" s="1"/>
  <c r="P376" i="28" s="1"/>
  <c r="W376" i="28" s="1"/>
  <c r="V376" i="28" s="1"/>
  <c r="O357" i="28"/>
  <c r="Q357" i="28" s="1"/>
  <c r="V357" i="28" s="1"/>
  <c r="O379" i="28"/>
  <c r="Q379" i="28" s="1"/>
  <c r="V379" i="28" s="1"/>
  <c r="O380" i="28"/>
  <c r="T380" i="28" s="1"/>
  <c r="O366" i="28"/>
  <c r="T366" i="28" s="1"/>
  <c r="O372" i="28"/>
  <c r="Q372" i="28" s="1"/>
  <c r="V372" i="28" s="1"/>
  <c r="O368" i="28"/>
  <c r="O371" i="28"/>
  <c r="Q371" i="28" s="1"/>
  <c r="V371" i="28" s="1"/>
  <c r="O359" i="28"/>
  <c r="O362" i="28"/>
  <c r="T362" i="28" s="1"/>
  <c r="O375" i="28"/>
  <c r="O355" i="28"/>
  <c r="T355" i="28" s="1"/>
  <c r="O378" i="28"/>
  <c r="Q378" i="28" s="1"/>
  <c r="P378" i="28" s="1"/>
  <c r="W378" i="28" s="1"/>
  <c r="V378" i="28" s="1"/>
  <c r="T344" i="28"/>
  <c r="Q344" i="28"/>
  <c r="V344" i="28" s="1"/>
  <c r="O377" i="28"/>
  <c r="T377" i="28" s="1"/>
  <c r="Q343" i="28"/>
  <c r="V343" i="28" s="1"/>
  <c r="O354" i="28"/>
  <c r="O361" i="28"/>
  <c r="T700" i="28" l="1"/>
  <c r="H416" i="28"/>
  <c r="T349" i="28"/>
  <c r="Q342" i="28"/>
  <c r="T347" i="28"/>
  <c r="T350" i="28"/>
  <c r="O352" i="28"/>
  <c r="T352" i="28" s="1"/>
  <c r="Q345" i="28"/>
  <c r="V345" i="28" s="1"/>
  <c r="Q351" i="28"/>
  <c r="V351" i="28" s="1"/>
  <c r="Q346" i="28"/>
  <c r="V346" i="28" s="1"/>
  <c r="T699" i="28"/>
  <c r="Q699" i="28"/>
  <c r="V699" i="28" s="1"/>
  <c r="T698" i="28"/>
  <c r="Q698" i="28"/>
  <c r="V698" i="28" s="1"/>
  <c r="Q365" i="28"/>
  <c r="O381" i="28"/>
  <c r="T381" i="28" s="1"/>
  <c r="O363" i="28"/>
  <c r="T363" i="28" s="1"/>
  <c r="T354" i="28"/>
  <c r="O360" i="28"/>
  <c r="Q701" i="28"/>
  <c r="V701" i="28" s="1"/>
  <c r="T701" i="28"/>
  <c r="V342" i="28"/>
  <c r="Q579" i="28"/>
  <c r="V579" i="28" s="1"/>
  <c r="T579" i="28"/>
  <c r="T582" i="28"/>
  <c r="Q582" i="28"/>
  <c r="V582" i="28" s="1"/>
  <c r="Q636" i="28"/>
  <c r="T636" i="28"/>
  <c r="T580" i="28"/>
  <c r="Q580" i="28"/>
  <c r="V580" i="28" s="1"/>
  <c r="Q578" i="28"/>
  <c r="V578" i="28" s="1"/>
  <c r="T578" i="28"/>
  <c r="T583" i="28"/>
  <c r="Q583" i="28"/>
  <c r="V583" i="28" s="1"/>
  <c r="Q609" i="28"/>
  <c r="V609" i="28" s="1"/>
  <c r="T609" i="28"/>
  <c r="Q610" i="28"/>
  <c r="V610" i="28" s="1"/>
  <c r="T610" i="28"/>
  <c r="Q637" i="28"/>
  <c r="V637" i="28" s="1"/>
  <c r="T637" i="28"/>
  <c r="Q607" i="28"/>
  <c r="V607" i="28" s="1"/>
  <c r="T365" i="28"/>
  <c r="T596" i="28"/>
  <c r="Q380" i="28"/>
  <c r="P380" i="28" s="1"/>
  <c r="W380" i="28" s="1"/>
  <c r="V380" i="28" s="1"/>
  <c r="Q370" i="28"/>
  <c r="V370" i="28" s="1"/>
  <c r="Q597" i="28"/>
  <c r="V597" i="28" s="1"/>
  <c r="T597" i="28"/>
  <c r="T378" i="28"/>
  <c r="T376" i="28"/>
  <c r="T374" i="28"/>
  <c r="T372" i="28"/>
  <c r="P362" i="28"/>
  <c r="T357" i="28"/>
  <c r="T379" i="28"/>
  <c r="Q366" i="28"/>
  <c r="Q355" i="28"/>
  <c r="V355" i="28" s="1"/>
  <c r="T371" i="28"/>
  <c r="Q359" i="28"/>
  <c r="V359" i="28" s="1"/>
  <c r="T359" i="28"/>
  <c r="Q375" i="28"/>
  <c r="P375" i="28" s="1"/>
  <c r="W375" i="28" s="1"/>
  <c r="T375" i="28"/>
  <c r="Q354" i="28"/>
  <c r="T343" i="28"/>
  <c r="Q377" i="28"/>
  <c r="P377" i="28" s="1"/>
  <c r="W377" i="28" s="1"/>
  <c r="V377" i="28" s="1"/>
  <c r="T361" i="28"/>
  <c r="P361" i="28"/>
  <c r="T416" i="28" l="1"/>
  <c r="Q360" i="28"/>
  <c r="V360" i="28" s="1"/>
  <c r="Q352" i="28"/>
  <c r="V352" i="28" s="1"/>
  <c r="W381" i="28"/>
  <c r="W416" i="28" s="1"/>
  <c r="T360" i="28"/>
  <c r="Q381" i="28"/>
  <c r="V636" i="28"/>
  <c r="Q650" i="28"/>
  <c r="V354" i="28"/>
  <c r="V375" i="28"/>
  <c r="V381" i="28" l="1"/>
  <c r="F696" i="28"/>
  <c r="F695" i="28"/>
  <c r="F693" i="28"/>
  <c r="F692" i="28"/>
  <c r="F690" i="28"/>
  <c r="F689" i="28"/>
  <c r="F687" i="28"/>
  <c r="F686" i="28"/>
  <c r="F685" i="28"/>
  <c r="F684" i="28"/>
  <c r="F683" i="28"/>
  <c r="F682" i="28"/>
  <c r="F681" i="28"/>
  <c r="F635" i="28"/>
  <c r="H605" i="28"/>
  <c r="T340" i="28"/>
  <c r="T329" i="28"/>
  <c r="T294" i="28" l="1"/>
  <c r="T304" i="28"/>
  <c r="M294" i="28" l="1"/>
  <c r="M304" i="28"/>
  <c r="M319" i="28"/>
  <c r="M340" i="28"/>
  <c r="M329" i="28"/>
  <c r="Q286" i="28"/>
  <c r="V286" i="28" s="1"/>
  <c r="Q310" i="28"/>
  <c r="V310" i="28" s="1"/>
  <c r="Q285" i="28"/>
  <c r="Q318" i="28"/>
  <c r="V318" i="28" s="1"/>
  <c r="Q312" i="28"/>
  <c r="V312" i="28" s="1"/>
  <c r="Q330" i="28"/>
  <c r="Q338" i="28"/>
  <c r="V338" i="28" s="1"/>
  <c r="T334" i="28"/>
  <c r="T320" i="28"/>
  <c r="Q320" i="28"/>
  <c r="Q302" i="28"/>
  <c r="V302" i="28" s="1"/>
  <c r="Q293" i="28"/>
  <c r="V293" i="28" s="1"/>
  <c r="T328" i="28"/>
  <c r="Q328" i="28"/>
  <c r="V328" i="28" s="1"/>
  <c r="Q296" i="28"/>
  <c r="V296" i="28" s="1"/>
  <c r="Q321" i="28"/>
  <c r="V321" i="28" s="1"/>
  <c r="T321" i="28"/>
  <c r="T339" i="28"/>
  <c r="Q339" i="28"/>
  <c r="V339" i="28" s="1"/>
  <c r="T337" i="28"/>
  <c r="Q337" i="28"/>
  <c r="V337" i="28" s="1"/>
  <c r="T330" i="28"/>
  <c r="Q295" i="28"/>
  <c r="T338" i="28"/>
  <c r="Q305" i="28"/>
  <c r="Q313" i="28"/>
  <c r="V313" i="28" s="1"/>
  <c r="T322" i="28"/>
  <c r="Q322" i="28"/>
  <c r="V322" i="28" s="1"/>
  <c r="Q311" i="28"/>
  <c r="V311" i="28" s="1"/>
  <c r="Q336" i="28"/>
  <c r="V336" i="28" s="1"/>
  <c r="T336" i="28"/>
  <c r="T331" i="28"/>
  <c r="Q331" i="28"/>
  <c r="V331" i="28" s="1"/>
  <c r="Q303" i="28"/>
  <c r="V303" i="28" s="1"/>
  <c r="Q309" i="28"/>
  <c r="V309" i="28" s="1"/>
  <c r="Q317" i="28"/>
  <c r="V317" i="28" s="1"/>
  <c r="Q326" i="28"/>
  <c r="V326" i="28" s="1"/>
  <c r="T326" i="28"/>
  <c r="Q335" i="28"/>
  <c r="T335" i="28"/>
  <c r="Q306" i="28"/>
  <c r="V306" i="28" s="1"/>
  <c r="T323" i="28"/>
  <c r="Q323" i="28"/>
  <c r="V323" i="28" s="1"/>
  <c r="Q291" i="28"/>
  <c r="V291" i="28" s="1"/>
  <c r="Q307" i="28"/>
  <c r="V307" i="28" s="1"/>
  <c r="T333" i="28"/>
  <c r="Q333" i="28"/>
  <c r="V333" i="28" s="1"/>
  <c r="Q308" i="28"/>
  <c r="V308" i="28" s="1"/>
  <c r="Q334" i="28"/>
  <c r="V334" i="28" s="1"/>
  <c r="Q300" i="28"/>
  <c r="V300" i="28" s="1"/>
  <c r="Q314" i="28"/>
  <c r="Q315" i="28"/>
  <c r="V315" i="28" s="1"/>
  <c r="Q290" i="28"/>
  <c r="V290" i="28" s="1"/>
  <c r="Q316" i="28"/>
  <c r="V316" i="28" s="1"/>
  <c r="Q301" i="28"/>
  <c r="V301" i="28" s="1"/>
  <c r="Q327" i="28"/>
  <c r="V327" i="28" s="1"/>
  <c r="T327" i="28"/>
  <c r="Q297" i="28"/>
  <c r="V297" i="28" s="1"/>
  <c r="Q332" i="28"/>
  <c r="V332" i="28" s="1"/>
  <c r="Q298" i="28"/>
  <c r="V298" i="28" s="1"/>
  <c r="T324" i="28"/>
  <c r="Q324" i="28"/>
  <c r="Q299" i="28"/>
  <c r="V299" i="28" s="1"/>
  <c r="T325" i="28"/>
  <c r="Q325" i="28"/>
  <c r="V325" i="28" s="1"/>
  <c r="Q288" i="28"/>
  <c r="V288" i="28" s="1"/>
  <c r="M416" i="28" l="1"/>
  <c r="V330" i="28"/>
  <c r="Q340" i="28"/>
  <c r="V340" i="28" s="1"/>
  <c r="V320" i="28"/>
  <c r="Q329" i="28"/>
  <c r="V329" i="28" s="1"/>
  <c r="Q319" i="28"/>
  <c r="V319" i="28" s="1"/>
  <c r="V295" i="28"/>
  <c r="Q304" i="28"/>
  <c r="V304" i="28" s="1"/>
  <c r="V285" i="28"/>
  <c r="V305" i="28"/>
  <c r="Q289" i="28"/>
  <c r="Q292" i="28"/>
  <c r="V292" i="28" s="1"/>
  <c r="Q287" i="28"/>
  <c r="V287" i="28" s="1"/>
  <c r="Q294" i="28" l="1"/>
  <c r="V416" i="28" s="1"/>
  <c r="K679" i="28"/>
  <c r="K677" i="28"/>
  <c r="K676" i="28"/>
  <c r="K675" i="28"/>
  <c r="K674" i="28"/>
  <c r="K673" i="28"/>
  <c r="K632" i="28"/>
  <c r="K631" i="28"/>
  <c r="K618" i="28"/>
  <c r="K604" i="28"/>
  <c r="K595" i="28"/>
  <c r="K594" i="28"/>
  <c r="K523" i="28"/>
  <c r="K522" i="28"/>
  <c r="K521" i="28"/>
  <c r="K520" i="28"/>
  <c r="K519" i="28"/>
  <c r="K518" i="28"/>
  <c r="K517" i="28"/>
  <c r="K516" i="28"/>
  <c r="K515" i="28"/>
  <c r="K513" i="28"/>
  <c r="K512" i="28"/>
  <c r="K280" i="28"/>
  <c r="K279" i="28"/>
  <c r="K278" i="28"/>
  <c r="K269" i="28"/>
  <c r="K270" i="28"/>
  <c r="K271" i="28"/>
  <c r="K272" i="28"/>
  <c r="O276" i="28" l="1"/>
  <c r="O632" i="28"/>
  <c r="T632" i="28" s="1"/>
  <c r="O676" i="28"/>
  <c r="Q676" i="28" s="1"/>
  <c r="H600" i="28"/>
  <c r="O270" i="28"/>
  <c r="T270" i="28" s="1"/>
  <c r="M600" i="28"/>
  <c r="H281" i="28"/>
  <c r="O273" i="28"/>
  <c r="T273" i="28" s="1"/>
  <c r="O515" i="28"/>
  <c r="O277" i="28"/>
  <c r="T277" i="28" s="1"/>
  <c r="O274" i="28"/>
  <c r="T274" i="28" s="1"/>
  <c r="O278" i="28"/>
  <c r="T278" i="28" s="1"/>
  <c r="O513" i="28"/>
  <c r="O517" i="28"/>
  <c r="O521" i="28"/>
  <c r="O595" i="28"/>
  <c r="T595" i="28" s="1"/>
  <c r="O512" i="28"/>
  <c r="O516" i="28"/>
  <c r="O520" i="28"/>
  <c r="O280" i="28"/>
  <c r="O519" i="28"/>
  <c r="O523" i="28"/>
  <c r="O618" i="28"/>
  <c r="T618" i="28" s="1"/>
  <c r="M281" i="28"/>
  <c r="O673" i="28"/>
  <c r="T673" i="28" s="1"/>
  <c r="O677" i="28"/>
  <c r="O272" i="28"/>
  <c r="T272" i="28" s="1"/>
  <c r="O674" i="28"/>
  <c r="O678" i="28"/>
  <c r="O269" i="28"/>
  <c r="T269" i="28" s="1"/>
  <c r="O271" i="28"/>
  <c r="T271" i="28" s="1"/>
  <c r="O631" i="28"/>
  <c r="O675" i="28"/>
  <c r="O679" i="28"/>
  <c r="O275" i="28"/>
  <c r="T275" i="28" s="1"/>
  <c r="O279" i="28"/>
  <c r="O514" i="28"/>
  <c r="O518" i="28"/>
  <c r="O522" i="28"/>
  <c r="O604" i="28"/>
  <c r="T604" i="28" s="1"/>
  <c r="V294" i="28"/>
  <c r="O600" i="28" l="1"/>
  <c r="T600" i="28" s="1"/>
  <c r="T676" i="28"/>
  <c r="Q677" i="28"/>
  <c r="T677" i="28"/>
  <c r="T281" i="28"/>
  <c r="T674" i="28"/>
  <c r="Q674" i="28"/>
  <c r="T631" i="28"/>
  <c r="Q679" i="28"/>
  <c r="T679" i="28"/>
  <c r="T675" i="28"/>
  <c r="Q675" i="28"/>
  <c r="Q673" i="28"/>
  <c r="Q678" i="28"/>
  <c r="T678" i="28"/>
  <c r="T518" i="28"/>
  <c r="Q518" i="28"/>
  <c r="T519" i="28"/>
  <c r="Q519" i="28"/>
  <c r="T517" i="28"/>
  <c r="Q517" i="28"/>
  <c r="Q515" i="28"/>
  <c r="T515" i="28"/>
  <c r="T520" i="28"/>
  <c r="Q520" i="28"/>
  <c r="T512" i="28"/>
  <c r="Q512" i="28"/>
  <c r="Q516" i="28"/>
  <c r="T516" i="28"/>
  <c r="Q514" i="28"/>
  <c r="T514" i="28"/>
  <c r="Q522" i="28"/>
  <c r="T522" i="28"/>
  <c r="Q523" i="28"/>
  <c r="T523" i="28"/>
  <c r="T513" i="28"/>
  <c r="Q513" i="28"/>
  <c r="T521" i="28"/>
  <c r="Q521" i="28"/>
  <c r="Q594" i="28"/>
  <c r="Q279" i="28"/>
  <c r="V279" i="28" s="1"/>
  <c r="T279" i="28"/>
  <c r="Q280" i="28"/>
  <c r="V280" i="28" s="1"/>
  <c r="T280" i="28"/>
  <c r="Q276" i="28"/>
  <c r="V276" i="28" s="1"/>
  <c r="T276" i="28"/>
  <c r="Q274" i="28"/>
  <c r="V274" i="28" s="1"/>
  <c r="Q595" i="28"/>
  <c r="T594" i="28"/>
  <c r="V650" i="28"/>
  <c r="Q604" i="28"/>
  <c r="Q273" i="28"/>
  <c r="V273" i="28" s="1"/>
  <c r="Q272" i="28"/>
  <c r="V272" i="28" s="1"/>
  <c r="Q277" i="28"/>
  <c r="V277" i="28" s="1"/>
  <c r="Q278" i="28"/>
  <c r="V278" i="28" s="1"/>
  <c r="Q275" i="28"/>
  <c r="V275" i="28" s="1"/>
  <c r="Q269" i="28"/>
  <c r="Q270" i="28"/>
  <c r="V270" i="28" s="1"/>
  <c r="Q271" i="28"/>
  <c r="V271" i="28" s="1"/>
  <c r="Q600" i="28" l="1"/>
  <c r="V600" i="28" s="1"/>
  <c r="Q707" i="28"/>
  <c r="V707" i="28" s="1"/>
  <c r="Q614" i="28"/>
  <c r="V614" i="28" s="1"/>
  <c r="V269" i="28"/>
  <c r="V281" i="28"/>
  <c r="K231" i="28" l="1"/>
  <c r="K230" i="28"/>
  <c r="K229" i="28"/>
  <c r="K221" i="28"/>
  <c r="K220" i="28"/>
  <c r="K218" i="28"/>
  <c r="K217" i="28"/>
  <c r="K216" i="28"/>
  <c r="K215" i="28"/>
  <c r="K214" i="28"/>
  <c r="K211" i="28"/>
  <c r="M222" i="28" l="1"/>
  <c r="H219" i="28"/>
  <c r="H213" i="28"/>
  <c r="H222" i="28"/>
  <c r="H232" i="28"/>
  <c r="H228" i="28"/>
  <c r="M213" i="28"/>
  <c r="M232" i="28"/>
  <c r="O218" i="28"/>
  <c r="T218" i="28" s="1"/>
  <c r="M228" i="28"/>
  <c r="M219" i="28"/>
  <c r="O231" i="28"/>
  <c r="T231" i="28" s="1"/>
  <c r="O225" i="28"/>
  <c r="O226" i="28"/>
  <c r="T226" i="28" s="1"/>
  <c r="O212" i="28"/>
  <c r="O229" i="28"/>
  <c r="O232" i="28" s="1"/>
  <c r="O230" i="28"/>
  <c r="T230" i="28" s="1"/>
  <c r="O227" i="28"/>
  <c r="O221" i="28"/>
  <c r="T221" i="28" s="1"/>
  <c r="O211" i="28"/>
  <c r="O216" i="28"/>
  <c r="T216" i="28" s="1"/>
  <c r="O217" i="28"/>
  <c r="T217" i="28" s="1"/>
  <c r="O220" i="28"/>
  <c r="O215" i="28"/>
  <c r="T215" i="28" s="1"/>
  <c r="O214" i="28"/>
  <c r="T211" i="28" l="1"/>
  <c r="O213" i="28"/>
  <c r="O228" i="28"/>
  <c r="O219" i="28"/>
  <c r="G15" i="26"/>
  <c r="T228" i="28"/>
  <c r="T220" i="28"/>
  <c r="O222" i="28"/>
  <c r="T222" i="28" s="1"/>
  <c r="T229" i="28"/>
  <c r="T232" i="28"/>
  <c r="T214" i="28"/>
  <c r="T219" i="28"/>
  <c r="T213" i="28"/>
  <c r="T225" i="28"/>
  <c r="Q212" i="28"/>
  <c r="V212" i="28" s="1"/>
  <c r="T212" i="28"/>
  <c r="T210" i="28"/>
  <c r="Q227" i="28"/>
  <c r="V227" i="28" s="1"/>
  <c r="T227" i="28"/>
  <c r="Q231" i="28"/>
  <c r="V231" i="28" s="1"/>
  <c r="Q225" i="28"/>
  <c r="Q230" i="28"/>
  <c r="V230" i="28" s="1"/>
  <c r="Q226" i="28"/>
  <c r="V226" i="28" s="1"/>
  <c r="Q229" i="28"/>
  <c r="Q232" i="28" s="1"/>
  <c r="Q218" i="28"/>
  <c r="V218" i="28" s="1"/>
  <c r="Q211" i="28"/>
  <c r="V211" i="28" s="1"/>
  <c r="Q221" i="28"/>
  <c r="V221" i="28" s="1"/>
  <c r="Q217" i="28"/>
  <c r="V217" i="28" s="1"/>
  <c r="Q216" i="28"/>
  <c r="V216" i="28" s="1"/>
  <c r="Q210" i="28"/>
  <c r="Q214" i="28"/>
  <c r="Q215" i="28"/>
  <c r="V215" i="28" s="1"/>
  <c r="Q220" i="28"/>
  <c r="Q228" i="28" l="1"/>
  <c r="Q213" i="28"/>
  <c r="O282" i="28"/>
  <c r="V213" i="28"/>
  <c r="Q219" i="28"/>
  <c r="V219" i="28" s="1"/>
  <c r="V214" i="28"/>
  <c r="V220" i="28"/>
  <c r="Q222" i="28"/>
  <c r="V222" i="28" s="1"/>
  <c r="V232" i="28"/>
  <c r="V228" i="28"/>
  <c r="V225" i="28"/>
  <c r="V210" i="28"/>
  <c r="V229" i="28"/>
  <c r="Q282" i="28" l="1"/>
  <c r="O206" i="28"/>
  <c r="T206" i="28" s="1"/>
  <c r="O205" i="28"/>
  <c r="T205" i="28" s="1"/>
  <c r="M207" i="28"/>
  <c r="N202" i="28"/>
  <c r="O196" i="28"/>
  <c r="T196" i="28" s="1"/>
  <c r="O195" i="28"/>
  <c r="T195" i="28" s="1"/>
  <c r="O194" i="28"/>
  <c r="O193" i="28"/>
  <c r="T193" i="28" s="1"/>
  <c r="O192" i="28"/>
  <c r="H203" i="28" l="1"/>
  <c r="H197" i="28"/>
  <c r="H207" i="28"/>
  <c r="S203" i="28"/>
  <c r="S208" i="28" s="1"/>
  <c r="S493" i="28" s="1"/>
  <c r="O191" i="28"/>
  <c r="M203" i="28"/>
  <c r="O201" i="28"/>
  <c r="T201" i="28" s="1"/>
  <c r="Q194" i="28"/>
  <c r="V194" i="28" s="1"/>
  <c r="T194" i="28"/>
  <c r="Q192" i="28"/>
  <c r="V192" i="28" s="1"/>
  <c r="T192" i="28"/>
  <c r="W200" i="28"/>
  <c r="W201" i="28"/>
  <c r="V201" i="28" s="1"/>
  <c r="O204" i="28"/>
  <c r="O202" i="28"/>
  <c r="P202" i="28" s="1"/>
  <c r="O200" i="28"/>
  <c r="T200" i="28" s="1"/>
  <c r="I201" i="28"/>
  <c r="O199" i="28"/>
  <c r="T199" i="28" s="1"/>
  <c r="Q193" i="28"/>
  <c r="W202" i="28" l="1"/>
  <c r="V202" i="28" s="1"/>
  <c r="P203" i="28"/>
  <c r="P208" i="28" s="1"/>
  <c r="P493" i="28" s="1"/>
  <c r="O203" i="28"/>
  <c r="O207" i="28"/>
  <c r="T207" i="28" s="1"/>
  <c r="O197" i="28"/>
  <c r="T197" i="28" s="1"/>
  <c r="T191" i="28"/>
  <c r="Q191" i="28"/>
  <c r="T203" i="28"/>
  <c r="W203" i="28"/>
  <c r="T202" i="28"/>
  <c r="V193" i="28"/>
  <c r="Q198" i="28"/>
  <c r="Q203" i="28" s="1"/>
  <c r="T198" i="28"/>
  <c r="V200" i="28"/>
  <c r="M190" i="28"/>
  <c r="O188" i="28"/>
  <c r="O187" i="28"/>
  <c r="O186" i="28"/>
  <c r="T186" i="28" s="1"/>
  <c r="W182" i="28"/>
  <c r="W181" i="28"/>
  <c r="M184" i="28"/>
  <c r="O183" i="28"/>
  <c r="O182" i="28"/>
  <c r="Q197" i="28" l="1"/>
  <c r="V197" i="28" s="1"/>
  <c r="T183" i="28"/>
  <c r="H184" i="28"/>
  <c r="H190" i="28"/>
  <c r="V191" i="28"/>
  <c r="W184" i="28"/>
  <c r="W208" i="28" s="1"/>
  <c r="M208" i="28"/>
  <c r="V203" i="28"/>
  <c r="O181" i="28"/>
  <c r="V198" i="28"/>
  <c r="Q187" i="28"/>
  <c r="V187" i="28" s="1"/>
  <c r="T187" i="28"/>
  <c r="Q188" i="28"/>
  <c r="V188" i="28" s="1"/>
  <c r="T188" i="28"/>
  <c r="O189" i="28"/>
  <c r="Q186" i="28"/>
  <c r="V186" i="28" s="1"/>
  <c r="O185" i="28"/>
  <c r="T182" i="28"/>
  <c r="O190" i="28" l="1"/>
  <c r="O184" i="28"/>
  <c r="O208" i="28" s="1"/>
  <c r="H208" i="28"/>
  <c r="V184" i="28"/>
  <c r="T190" i="28"/>
  <c r="T181" i="28"/>
  <c r="T185" i="28"/>
  <c r="Q189" i="28"/>
  <c r="V189" i="28" s="1"/>
  <c r="T189" i="28"/>
  <c r="Q185" i="28"/>
  <c r="Q190" i="28" l="1"/>
  <c r="Q208" i="28" s="1"/>
  <c r="T184" i="28"/>
  <c r="T208" i="28"/>
  <c r="V185" i="28"/>
  <c r="O105" i="28"/>
  <c r="Q105" i="28" s="1"/>
  <c r="O104" i="28"/>
  <c r="O100" i="28"/>
  <c r="O95" i="28"/>
  <c r="T92" i="28"/>
  <c r="T82" i="28"/>
  <c r="V190" i="28" l="1"/>
  <c r="O106" i="28"/>
  <c r="O107" i="28" s="1"/>
  <c r="V208" i="28"/>
  <c r="T104" i="28"/>
  <c r="T95" i="28"/>
  <c r="T77" i="28"/>
  <c r="Q100" i="28"/>
  <c r="T100" i="28"/>
  <c r="Q82" i="28"/>
  <c r="Q95" i="28"/>
  <c r="Q104" i="28"/>
  <c r="Q77" i="28"/>
  <c r="Q92" i="28"/>
  <c r="T61" i="28"/>
  <c r="T57" i="28"/>
  <c r="T52" i="28"/>
  <c r="T45" i="28"/>
  <c r="T40" i="28"/>
  <c r="T35" i="28"/>
  <c r="Q29" i="28"/>
  <c r="V29" i="28" s="1"/>
  <c r="Q24" i="28"/>
  <c r="Q94" i="28" l="1"/>
  <c r="V94" i="28" s="1"/>
  <c r="Q106" i="28"/>
  <c r="V106" i="28" s="1"/>
  <c r="T106" i="28"/>
  <c r="V24" i="28"/>
  <c r="T34" i="28"/>
  <c r="Q35" i="28"/>
  <c r="Q45" i="28"/>
  <c r="Q57" i="28"/>
  <c r="Q61" i="28"/>
  <c r="Q52" i="28"/>
  <c r="T29" i="28"/>
  <c r="Q40" i="28"/>
  <c r="Q19" i="28"/>
  <c r="Q34" i="28" s="1"/>
  <c r="V34" i="28" s="1"/>
  <c r="M671" i="28"/>
  <c r="H671" i="28"/>
  <c r="M670" i="28"/>
  <c r="H670" i="28"/>
  <c r="K669" i="28"/>
  <c r="M669" i="28" s="1"/>
  <c r="F669" i="28"/>
  <c r="H669" i="28" s="1"/>
  <c r="M668" i="28"/>
  <c r="H668" i="28"/>
  <c r="M667" i="28"/>
  <c r="H667" i="28"/>
  <c r="M666" i="28"/>
  <c r="H666" i="28"/>
  <c r="M665" i="28"/>
  <c r="H665" i="28"/>
  <c r="H663" i="28"/>
  <c r="H662" i="28"/>
  <c r="K661" i="28"/>
  <c r="F661" i="28"/>
  <c r="H661" i="28" s="1"/>
  <c r="H660" i="28"/>
  <c r="H659" i="28"/>
  <c r="H658" i="28"/>
  <c r="H657" i="28"/>
  <c r="M630" i="28"/>
  <c r="H630" i="28"/>
  <c r="M629" i="28"/>
  <c r="H629" i="28"/>
  <c r="H628" i="28"/>
  <c r="H627" i="28"/>
  <c r="M617" i="28"/>
  <c r="H617" i="28"/>
  <c r="H616" i="28"/>
  <c r="Q159" i="28"/>
  <c r="Q172" i="28"/>
  <c r="Q174" i="28" s="1"/>
  <c r="Q177" i="28"/>
  <c r="M603" i="28"/>
  <c r="H603" i="28"/>
  <c r="H602" i="28"/>
  <c r="M511" i="28"/>
  <c r="H511" i="28"/>
  <c r="M510" i="28"/>
  <c r="H510" i="28"/>
  <c r="M509" i="28"/>
  <c r="H509" i="28"/>
  <c r="M508" i="28"/>
  <c r="H508" i="28"/>
  <c r="M267" i="28"/>
  <c r="H267" i="28"/>
  <c r="M266" i="28"/>
  <c r="H266" i="28"/>
  <c r="M265" i="28"/>
  <c r="H265" i="28"/>
  <c r="M264" i="28"/>
  <c r="H264" i="28"/>
  <c r="M263" i="28"/>
  <c r="H263" i="28"/>
  <c r="M262" i="28"/>
  <c r="H262" i="28"/>
  <c r="M261" i="28"/>
  <c r="H261" i="28"/>
  <c r="M260" i="28"/>
  <c r="H260" i="28"/>
  <c r="M259" i="28"/>
  <c r="H259" i="28"/>
  <c r="M258" i="28"/>
  <c r="H258" i="28"/>
  <c r="M257" i="28"/>
  <c r="H257" i="28"/>
  <c r="M256" i="28"/>
  <c r="H256" i="28"/>
  <c r="M255" i="28"/>
  <c r="H255" i="28"/>
  <c r="M254" i="28"/>
  <c r="H254" i="28"/>
  <c r="M253" i="28"/>
  <c r="H253" i="28"/>
  <c r="M252" i="28"/>
  <c r="H252" i="28"/>
  <c r="M251" i="28"/>
  <c r="H251" i="28"/>
  <c r="M250" i="28"/>
  <c r="H250" i="28"/>
  <c r="M249" i="28"/>
  <c r="H249" i="28"/>
  <c r="M248" i="28"/>
  <c r="H248" i="28"/>
  <c r="M247" i="28"/>
  <c r="H247" i="28"/>
  <c r="M246" i="28"/>
  <c r="H246" i="28"/>
  <c r="M245" i="28"/>
  <c r="H245" i="28"/>
  <c r="M244" i="28"/>
  <c r="H244" i="28"/>
  <c r="M243" i="28"/>
  <c r="H243" i="28"/>
  <c r="M242" i="28"/>
  <c r="H242" i="28"/>
  <c r="M241" i="28"/>
  <c r="H241" i="28"/>
  <c r="M240" i="28"/>
  <c r="H240" i="28"/>
  <c r="M239" i="28"/>
  <c r="H239" i="28"/>
  <c r="M238" i="28"/>
  <c r="H238" i="28"/>
  <c r="M237" i="28"/>
  <c r="H237" i="28"/>
  <c r="M236" i="28"/>
  <c r="H236" i="28"/>
  <c r="M235" i="28"/>
  <c r="H235" i="28"/>
  <c r="M176" i="28"/>
  <c r="H176" i="28"/>
  <c r="M175" i="28"/>
  <c r="H175" i="28"/>
  <c r="M173" i="28"/>
  <c r="M174" i="28" s="1"/>
  <c r="H173" i="28"/>
  <c r="H174" i="28" s="1"/>
  <c r="M171" i="28"/>
  <c r="H171" i="28"/>
  <c r="M170" i="28"/>
  <c r="H170" i="28"/>
  <c r="M169" i="28"/>
  <c r="H169" i="28"/>
  <c r="M166" i="28"/>
  <c r="O166" i="28" s="1"/>
  <c r="T166" i="28" s="1"/>
  <c r="M165" i="28"/>
  <c r="H165" i="28"/>
  <c r="M164" i="28"/>
  <c r="H164" i="28"/>
  <c r="M163" i="28"/>
  <c r="H163" i="28"/>
  <c r="M161" i="28"/>
  <c r="H161" i="28"/>
  <c r="M160" i="28"/>
  <c r="H160" i="28"/>
  <c r="H158" i="28"/>
  <c r="H159" i="28" s="1"/>
  <c r="M156" i="28"/>
  <c r="M155" i="28"/>
  <c r="H155" i="28"/>
  <c r="M154" i="28"/>
  <c r="H154" i="28"/>
  <c r="M153" i="28"/>
  <c r="H153" i="28"/>
  <c r="H152" i="28"/>
  <c r="M151" i="28"/>
  <c r="H151" i="28"/>
  <c r="H148" i="28"/>
  <c r="O148" i="28" s="1"/>
  <c r="Q148" i="28" s="1"/>
  <c r="M147" i="28"/>
  <c r="H147" i="28"/>
  <c r="M146" i="28"/>
  <c r="H146" i="28"/>
  <c r="M144" i="28"/>
  <c r="H144" i="28"/>
  <c r="M143" i="28"/>
  <c r="H143" i="28"/>
  <c r="M142" i="28"/>
  <c r="M141" i="28"/>
  <c r="H141" i="28"/>
  <c r="H140" i="28"/>
  <c r="O140" i="28" s="1"/>
  <c r="H139" i="28"/>
  <c r="H138" i="28"/>
  <c r="M137" i="28"/>
  <c r="H137" i="28"/>
  <c r="H136" i="28"/>
  <c r="H135" i="28"/>
  <c r="M133" i="28"/>
  <c r="H133" i="28"/>
  <c r="M132" i="28"/>
  <c r="V52" i="28" l="1"/>
  <c r="Q76" i="28"/>
  <c r="O658" i="28"/>
  <c r="T658" i="28" s="1"/>
  <c r="O657" i="28"/>
  <c r="V61" i="28"/>
  <c r="V76" i="28"/>
  <c r="H625" i="28"/>
  <c r="V35" i="28"/>
  <c r="Q50" i="28"/>
  <c r="V50" i="28" s="1"/>
  <c r="V45" i="28"/>
  <c r="H177" i="28"/>
  <c r="H268" i="28"/>
  <c r="H282" i="28" s="1"/>
  <c r="H149" i="28"/>
  <c r="H167" i="28"/>
  <c r="H591" i="28"/>
  <c r="H650" i="28"/>
  <c r="H707" i="28"/>
  <c r="O135" i="28"/>
  <c r="H145" i="28"/>
  <c r="O147" i="28"/>
  <c r="O154" i="28"/>
  <c r="T154" i="28" s="1"/>
  <c r="H172" i="28"/>
  <c r="H134" i="28"/>
  <c r="H157" i="28"/>
  <c r="O239" i="28"/>
  <c r="T239" i="28" s="1"/>
  <c r="O243" i="28"/>
  <c r="T243" i="28" s="1"/>
  <c r="O161" i="28"/>
  <c r="T161" i="28" s="1"/>
  <c r="O247" i="28"/>
  <c r="O251" i="28"/>
  <c r="T251" i="28" s="1"/>
  <c r="O255" i="28"/>
  <c r="O259" i="28"/>
  <c r="O263" i="28"/>
  <c r="O267" i="28"/>
  <c r="T267" i="28" s="1"/>
  <c r="O506" i="28"/>
  <c r="O511" i="28"/>
  <c r="O155" i="28"/>
  <c r="T155" i="28" s="1"/>
  <c r="M591" i="28"/>
  <c r="O659" i="28"/>
  <c r="T659" i="28" s="1"/>
  <c r="O663" i="28"/>
  <c r="T663" i="28" s="1"/>
  <c r="O668" i="28"/>
  <c r="T668" i="28" s="1"/>
  <c r="O163" i="28"/>
  <c r="T163" i="28" s="1"/>
  <c r="O661" i="28"/>
  <c r="T661" i="28" s="1"/>
  <c r="O666" i="28"/>
  <c r="T666" i="28" s="1"/>
  <c r="O670" i="28"/>
  <c r="T670" i="28" s="1"/>
  <c r="O237" i="28"/>
  <c r="T237" i="28" s="1"/>
  <c r="O241" i="28"/>
  <c r="O245" i="28"/>
  <c r="O249" i="28"/>
  <c r="T249" i="28" s="1"/>
  <c r="O253" i="28"/>
  <c r="T253" i="28" s="1"/>
  <c r="O257" i="28"/>
  <c r="T257" i="28" s="1"/>
  <c r="O261" i="28"/>
  <c r="T261" i="28" s="1"/>
  <c r="O265" i="28"/>
  <c r="T265" i="28" s="1"/>
  <c r="O503" i="28"/>
  <c r="O509" i="28"/>
  <c r="O603" i="28"/>
  <c r="T603" i="28" s="1"/>
  <c r="M650" i="28"/>
  <c r="O235" i="28"/>
  <c r="M268" i="28"/>
  <c r="M282" i="28" s="1"/>
  <c r="O662" i="28"/>
  <c r="T662" i="28" s="1"/>
  <c r="O667" i="28"/>
  <c r="T667" i="28" s="1"/>
  <c r="O671" i="28"/>
  <c r="T671" i="28" s="1"/>
  <c r="O236" i="28"/>
  <c r="T236" i="28" s="1"/>
  <c r="O240" i="28"/>
  <c r="T240" i="28" s="1"/>
  <c r="O244" i="28"/>
  <c r="T244" i="28" s="1"/>
  <c r="O248" i="28"/>
  <c r="T248" i="28" s="1"/>
  <c r="O252" i="28"/>
  <c r="T252" i="28" s="1"/>
  <c r="O256" i="28"/>
  <c r="T256" i="28" s="1"/>
  <c r="O260" i="28"/>
  <c r="Q260" i="28" s="1"/>
  <c r="O264" i="28"/>
  <c r="O508" i="28"/>
  <c r="M625" i="28"/>
  <c r="O616" i="28"/>
  <c r="O617" i="28"/>
  <c r="T617" i="28" s="1"/>
  <c r="O660" i="28"/>
  <c r="T660" i="28" s="1"/>
  <c r="O665" i="28"/>
  <c r="T665" i="28" s="1"/>
  <c r="O669" i="28"/>
  <c r="T669" i="28" s="1"/>
  <c r="O238" i="28"/>
  <c r="T238" i="28" s="1"/>
  <c r="O242" i="28"/>
  <c r="T242" i="28" s="1"/>
  <c r="O246" i="28"/>
  <c r="O250" i="28"/>
  <c r="T250" i="28" s="1"/>
  <c r="O254" i="28"/>
  <c r="T254" i="28" s="1"/>
  <c r="O258" i="28"/>
  <c r="T258" i="28" s="1"/>
  <c r="O262" i="28"/>
  <c r="T262" i="28" s="1"/>
  <c r="O266" i="28"/>
  <c r="T266" i="28" s="1"/>
  <c r="O505" i="28"/>
  <c r="O510" i="28"/>
  <c r="O144" i="28"/>
  <c r="T144" i="28" s="1"/>
  <c r="O164" i="28"/>
  <c r="M707" i="28"/>
  <c r="O132" i="28"/>
  <c r="M134" i="28"/>
  <c r="O171" i="28"/>
  <c r="O136" i="28"/>
  <c r="Q136" i="28" s="1"/>
  <c r="O141" i="28"/>
  <c r="O174" i="28"/>
  <c r="O173" i="28"/>
  <c r="O137" i="28"/>
  <c r="T137" i="28" s="1"/>
  <c r="O142" i="28"/>
  <c r="T142" i="28" s="1"/>
  <c r="O169" i="28"/>
  <c r="O175" i="28"/>
  <c r="O143" i="28"/>
  <c r="T143" i="28" s="1"/>
  <c r="M172" i="28"/>
  <c r="M177" i="28"/>
  <c r="O138" i="28"/>
  <c r="Q138" i="28" s="1"/>
  <c r="O151" i="28"/>
  <c r="O170" i="28"/>
  <c r="T170" i="28" s="1"/>
  <c r="O156" i="28"/>
  <c r="T156" i="28" s="1"/>
  <c r="O139" i="28"/>
  <c r="Q139" i="28" s="1"/>
  <c r="O133" i="28"/>
  <c r="T133" i="28" s="1"/>
  <c r="O152" i="28"/>
  <c r="T152" i="28" s="1"/>
  <c r="O158" i="28"/>
  <c r="O159" i="28" s="1"/>
  <c r="O146" i="28"/>
  <c r="O149" i="28" s="1"/>
  <c r="O153" i="28"/>
  <c r="T153" i="28" s="1"/>
  <c r="O160" i="28"/>
  <c r="O165" i="28"/>
  <c r="T165" i="28" s="1"/>
  <c r="M157" i="28"/>
  <c r="M145" i="28"/>
  <c r="M149" i="28"/>
  <c r="M167" i="28"/>
  <c r="V57" i="28"/>
  <c r="V40" i="28"/>
  <c r="V19" i="28"/>
  <c r="S710" i="28"/>
  <c r="V128" i="28"/>
  <c r="O628" i="28"/>
  <c r="T628" i="28" s="1"/>
  <c r="O630" i="28"/>
  <c r="T630" i="28" s="1"/>
  <c r="O629" i="28"/>
  <c r="T629" i="28" s="1"/>
  <c r="O627" i="28"/>
  <c r="T259" i="28"/>
  <c r="O176" i="28"/>
  <c r="T132" i="28" l="1"/>
  <c r="O134" i="28"/>
  <c r="O145" i="28"/>
  <c r="O157" i="28"/>
  <c r="Q107" i="28"/>
  <c r="O167" i="28"/>
  <c r="T167" i="28" s="1"/>
  <c r="G10" i="26"/>
  <c r="G13" i="26"/>
  <c r="G12" i="26"/>
  <c r="D17" i="26"/>
  <c r="G14" i="26"/>
  <c r="T141" i="28"/>
  <c r="T164" i="28"/>
  <c r="H708" i="28"/>
  <c r="M708" i="28"/>
  <c r="H178" i="28"/>
  <c r="H493" i="28" s="1"/>
  <c r="T614" i="28"/>
  <c r="Q142" i="28"/>
  <c r="O591" i="28"/>
  <c r="O708" i="28" s="1"/>
  <c r="T134" i="28"/>
  <c r="T145" i="28"/>
  <c r="T657" i="28"/>
  <c r="O707" i="28"/>
  <c r="T707" i="28" s="1"/>
  <c r="O177" i="28"/>
  <c r="T177" i="28" s="1"/>
  <c r="O650" i="28"/>
  <c r="T650" i="28" s="1"/>
  <c r="O625" i="28"/>
  <c r="T625" i="28" s="1"/>
  <c r="M178" i="28"/>
  <c r="M493" i="28" s="1"/>
  <c r="T157" i="28"/>
  <c r="O172" i="28"/>
  <c r="T172" i="28" s="1"/>
  <c r="T160" i="28"/>
  <c r="Q135" i="28"/>
  <c r="T151" i="28"/>
  <c r="T169" i="28"/>
  <c r="T146" i="28"/>
  <c r="T149" i="28"/>
  <c r="S712" i="28"/>
  <c r="Q506" i="28"/>
  <c r="T506" i="28"/>
  <c r="T510" i="28"/>
  <c r="Q510" i="28"/>
  <c r="T627" i="28"/>
  <c r="T509" i="28"/>
  <c r="Q509" i="28"/>
  <c r="T502" i="28"/>
  <c r="Q502" i="28"/>
  <c r="Q505" i="28"/>
  <c r="T505" i="28"/>
  <c r="T602" i="28"/>
  <c r="T503" i="28"/>
  <c r="Q503" i="28"/>
  <c r="T616" i="28"/>
  <c r="T511" i="28"/>
  <c r="Q511" i="28"/>
  <c r="Q508" i="28"/>
  <c r="T508" i="28"/>
  <c r="T107" i="28"/>
  <c r="Q264" i="28"/>
  <c r="V264" i="28" s="1"/>
  <c r="T264" i="28"/>
  <c r="Q245" i="28"/>
  <c r="V245" i="28" s="1"/>
  <c r="T245" i="28"/>
  <c r="Q140" i="28"/>
  <c r="T140" i="28"/>
  <c r="Q241" i="28"/>
  <c r="V241" i="28" s="1"/>
  <c r="T241" i="28"/>
  <c r="Q247" i="28"/>
  <c r="V247" i="28" s="1"/>
  <c r="T247" i="28"/>
  <c r="Q255" i="28"/>
  <c r="V255" i="28" s="1"/>
  <c r="T255" i="28"/>
  <c r="Q246" i="28"/>
  <c r="V246" i="28" s="1"/>
  <c r="T246" i="28"/>
  <c r="Q263" i="28"/>
  <c r="V263" i="28" s="1"/>
  <c r="T263" i="28"/>
  <c r="T131" i="28"/>
  <c r="Q147" i="28"/>
  <c r="V147" i="28" s="1"/>
  <c r="T147" i="28"/>
  <c r="T235" i="28"/>
  <c r="Q250" i="28"/>
  <c r="V250" i="28" s="1"/>
  <c r="Q261" i="28"/>
  <c r="V261" i="28" s="1"/>
  <c r="Q240" i="28"/>
  <c r="V240" i="28" s="1"/>
  <c r="Q257" i="28"/>
  <c r="V257" i="28" s="1"/>
  <c r="Q251" i="28"/>
  <c r="V251" i="28" s="1"/>
  <c r="Q265" i="28"/>
  <c r="V265" i="28" s="1"/>
  <c r="Q256" i="28"/>
  <c r="V256" i="28" s="1"/>
  <c r="Q239" i="28"/>
  <c r="Q248" i="28"/>
  <c r="V248" i="28" s="1"/>
  <c r="Q236" i="28"/>
  <c r="Q266" i="28"/>
  <c r="V266" i="28" s="1"/>
  <c r="Q235" i="28"/>
  <c r="Q252" i="28"/>
  <c r="V252" i="28" s="1"/>
  <c r="Q238" i="28"/>
  <c r="Q267" i="28"/>
  <c r="V267" i="28" s="1"/>
  <c r="Q253" i="28"/>
  <c r="V253" i="28" s="1"/>
  <c r="Q258" i="28"/>
  <c r="V258" i="28" s="1"/>
  <c r="Q243" i="28"/>
  <c r="V243" i="28" s="1"/>
  <c r="Q262" i="28"/>
  <c r="V262" i="28" s="1"/>
  <c r="Q249" i="28"/>
  <c r="V249" i="28" s="1"/>
  <c r="Q242" i="28"/>
  <c r="V242" i="28" s="1"/>
  <c r="Q254" i="28"/>
  <c r="V254" i="28" s="1"/>
  <c r="Q259" i="28"/>
  <c r="V259" i="28" s="1"/>
  <c r="Q237" i="28"/>
  <c r="Q244" i="28"/>
  <c r="V244" i="28" s="1"/>
  <c r="T175" i="28"/>
  <c r="Q146" i="28"/>
  <c r="Q149" i="28" s="1"/>
  <c r="Q144" i="28"/>
  <c r="Q143" i="28"/>
  <c r="Q133" i="28"/>
  <c r="V133" i="28" s="1"/>
  <c r="Q131" i="28"/>
  <c r="Q132" i="28"/>
  <c r="Q137" i="28"/>
  <c r="V137" i="28" s="1"/>
  <c r="Q141" i="28"/>
  <c r="H710" i="28" l="1"/>
  <c r="Q145" i="28"/>
  <c r="Q134" i="28"/>
  <c r="O178" i="28"/>
  <c r="O493" i="28" s="1"/>
  <c r="O710" i="28" s="1"/>
  <c r="D20" i="26"/>
  <c r="D21" i="26" s="1"/>
  <c r="M710" i="28"/>
  <c r="M711" i="28" s="1"/>
  <c r="M712" i="28" s="1"/>
  <c r="G11" i="26"/>
  <c r="T591" i="28"/>
  <c r="T708" i="28"/>
  <c r="T268" i="28"/>
  <c r="Q591" i="28"/>
  <c r="Q708" i="28" s="1"/>
  <c r="V149" i="28"/>
  <c r="V145" i="28"/>
  <c r="V131" i="28"/>
  <c r="V235" i="28"/>
  <c r="V146" i="28"/>
  <c r="T282" i="28"/>
  <c r="H711" i="28" l="1"/>
  <c r="H712" i="28" s="1"/>
  <c r="Q178" i="28"/>
  <c r="Q493" i="28" s="1"/>
  <c r="E19" i="26"/>
  <c r="G21" i="26"/>
  <c r="E17" i="26"/>
  <c r="E15" i="26"/>
  <c r="E12" i="26"/>
  <c r="E13" i="26"/>
  <c r="E14" i="26"/>
  <c r="V268" i="28"/>
  <c r="T178" i="28"/>
  <c r="V134" i="28"/>
  <c r="V282" i="28"/>
  <c r="Q710" i="28" l="1"/>
  <c r="O711" i="28"/>
  <c r="O712" i="28" s="1"/>
  <c r="B6" i="28"/>
  <c r="T493" i="28"/>
  <c r="V178" i="28"/>
  <c r="B7" i="28" l="1"/>
  <c r="B8" i="28" s="1"/>
  <c r="T712" i="28"/>
  <c r="T710" i="28"/>
  <c r="Q711" i="28" l="1"/>
  <c r="Q712" i="28" s="1"/>
  <c r="AH45" i="26" l="1"/>
  <c r="AH46" i="26" s="1"/>
  <c r="AA45" i="26"/>
  <c r="AA46" i="26" s="1"/>
  <c r="S45" i="26"/>
  <c r="C38" i="26"/>
  <c r="AI45" i="26" l="1"/>
  <c r="G45" i="26"/>
  <c r="AF45" i="26"/>
  <c r="AF46" i="26" s="1"/>
  <c r="AG43" i="26" s="1"/>
  <c r="AC46" i="26"/>
  <c r="V45" i="26"/>
  <c r="V46" i="26" s="1"/>
  <c r="W44" i="26" s="1"/>
  <c r="S46" i="26"/>
  <c r="T44" i="26" s="1"/>
  <c r="Q45" i="26"/>
  <c r="Q46" i="26" s="1"/>
  <c r="R44" i="26" s="1"/>
  <c r="AI44" i="26"/>
  <c r="AI43" i="26"/>
  <c r="AB45" i="26"/>
  <c r="AB43" i="26"/>
  <c r="AB44" i="26"/>
  <c r="AB46" i="26" l="1"/>
  <c r="AG45" i="26"/>
  <c r="F29" i="26"/>
  <c r="F30" i="26" s="1"/>
  <c r="AG44" i="26"/>
  <c r="E29" i="26"/>
  <c r="E30" i="26" s="1"/>
  <c r="D29" i="26"/>
  <c r="D30" i="26" s="1"/>
  <c r="D32" i="26" s="1"/>
  <c r="G46" i="26"/>
  <c r="H45" i="26" s="1"/>
  <c r="R43" i="26"/>
  <c r="T43" i="26"/>
  <c r="T45" i="26"/>
  <c r="W45" i="26"/>
  <c r="W43" i="26"/>
  <c r="C29" i="26"/>
  <c r="C30" i="26" s="1"/>
  <c r="AD43" i="26"/>
  <c r="AD44" i="26"/>
  <c r="AD45" i="26"/>
  <c r="R45" i="26"/>
  <c r="C39" i="26"/>
  <c r="E32" i="26" l="1"/>
  <c r="E33" i="26"/>
  <c r="C32" i="26"/>
  <c r="C33" i="26" s="1"/>
  <c r="AG46" i="26"/>
  <c r="W46" i="26"/>
  <c r="R46" i="26"/>
  <c r="F32" i="26"/>
  <c r="H43" i="26"/>
  <c r="H44" i="26"/>
  <c r="H46" i="26" l="1"/>
  <c r="I45" i="26" l="1"/>
  <c r="I46" i="26" l="1"/>
  <c r="J45" i="26" s="1"/>
  <c r="J43" i="26" l="1"/>
  <c r="J44" i="26"/>
  <c r="G16" i="26" l="1"/>
  <c r="B6" i="26"/>
  <c r="G17" i="26" l="1"/>
  <c r="B45" i="26" l="1"/>
  <c r="D46" i="26" l="1"/>
  <c r="E43" i="26" s="1"/>
  <c r="B46" i="26"/>
  <c r="C45" i="26" s="1"/>
  <c r="B38" i="26" l="1"/>
  <c r="D38" i="26" s="1"/>
  <c r="E44" i="26"/>
  <c r="E45" i="26"/>
  <c r="C43" i="26"/>
  <c r="C44" i="26"/>
  <c r="B39" i="26" l="1"/>
  <c r="D39" i="26" s="1"/>
  <c r="C46" i="26"/>
  <c r="L45" i="26" l="1"/>
  <c r="L46" i="26" s="1"/>
  <c r="M45" i="26" l="1"/>
  <c r="M43" i="26"/>
  <c r="M44" i="26"/>
  <c r="C20" i="26"/>
  <c r="C21" i="26" s="1"/>
  <c r="N45" i="26"/>
  <c r="G20" i="26" l="1"/>
  <c r="B7" i="26"/>
  <c r="M46" i="26"/>
  <c r="N46" i="26"/>
  <c r="O45" i="26" s="1"/>
  <c r="E10" i="26" l="1"/>
  <c r="E16" i="26"/>
  <c r="E11" i="26"/>
  <c r="E20" i="26"/>
  <c r="E21" i="26" s="1"/>
  <c r="G28" i="26"/>
  <c r="G29" i="26"/>
  <c r="O44" i="26"/>
  <c r="O43" i="26"/>
  <c r="X46" i="26" l="1"/>
  <c r="Y44" i="26" s="1"/>
  <c r="B30" i="26"/>
  <c r="G30" i="26" l="1"/>
  <c r="Y43" i="26"/>
  <c r="Y45" i="26"/>
  <c r="G32" i="26"/>
  <c r="G31" i="26"/>
  <c r="G33" i="26" l="1"/>
  <c r="P574" i="28"/>
  <c r="W574" i="28" s="1"/>
  <c r="P575" i="28"/>
  <c r="W575" i="28" s="1"/>
  <c r="P581" i="28"/>
  <c r="W581" i="28" s="1"/>
  <c r="P577" i="28"/>
  <c r="W577" i="28" s="1"/>
  <c r="P576" i="28"/>
  <c r="W576" i="28" s="1"/>
  <c r="W591" i="28" l="1"/>
  <c r="W708" i="28" s="1"/>
  <c r="V708" i="28" s="1"/>
  <c r="V591" i="28" l="1"/>
  <c r="W107" i="28"/>
  <c r="V107" i="28" s="1"/>
  <c r="W493" i="28" l="1"/>
  <c r="W710" i="28" s="1"/>
  <c r="V710" i="28" s="1"/>
  <c r="V493" i="28" l="1"/>
  <c r="W711" i="28"/>
  <c r="W712" i="28" s="1"/>
  <c r="V712" i="28" s="1"/>
  <c r="V13" i="30" l="1"/>
  <c r="W37" i="30"/>
  <c r="W71" i="30" s="1"/>
  <c r="W112" i="30" l="1"/>
  <c r="W114" i="30" s="1"/>
  <c r="W115" i="30" s="1"/>
  <c r="V115" i="30" s="1"/>
  <c r="V71" i="30"/>
  <c r="V37" i="30"/>
  <c r="V112"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tc={66FA1058-9969-4CD0-B781-BCE6EE1AD244}</author>
  </authors>
  <commentList>
    <comment ref="X54" authorId="0" shapeId="0" xr:uid="{66FA1058-9969-4CD0-B781-BCE6EE1AD24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Dear Susane, please this activity has to be held in march with SSU authorisation (thats whay we sent a request to sumbit to SSU)</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CaritasFinance</author>
  </authors>
  <commentList>
    <comment ref="S127" authorId="0" shapeId="0" xr:uid="{00000000-0006-0000-0700-000001000000}">
      <text>
        <r>
          <rPr>
            <b/>
            <sz val="11"/>
            <color indexed="81"/>
            <rFont val="Tahoma"/>
            <family val="2"/>
          </rPr>
          <t>CaritasFinance:</t>
        </r>
        <r>
          <rPr>
            <sz val="11"/>
            <color indexed="81"/>
            <rFont val="Tahoma"/>
            <family val="2"/>
          </rPr>
          <t xml:space="preserve">
Nous avons utilise 40257.06
$ au lieu de 33915$</t>
        </r>
      </text>
    </comment>
    <comment ref="S128" authorId="0" shapeId="0" xr:uid="{00000000-0006-0000-0700-000002000000}">
      <text>
        <r>
          <rPr>
            <b/>
            <sz val="9"/>
            <color indexed="81"/>
            <rFont val="Tahoma"/>
            <family val="2"/>
          </rPr>
          <t>CaritasFinance:</t>
        </r>
        <r>
          <rPr>
            <sz val="9"/>
            <color indexed="81"/>
            <rFont val="Tahoma"/>
            <family val="2"/>
          </rPr>
          <t xml:space="preserve">
Concretement noua avons realise les depenses totales de 505571$ au lieu de 498536$</t>
        </r>
      </text>
    </comment>
  </commentList>
</comments>
</file>

<file path=xl/sharedStrings.xml><?xml version="1.0" encoding="utf-8"?>
<sst xmlns="http://schemas.openxmlformats.org/spreadsheetml/2006/main" count="6605" uniqueCount="1681">
  <si>
    <t>Total</t>
  </si>
  <si>
    <t>CATEGORY</t>
  </si>
  <si>
    <t>GRAND TOTAL</t>
  </si>
  <si>
    <t>Year 1</t>
  </si>
  <si>
    <t>Year 2</t>
  </si>
  <si>
    <t>Notes:</t>
  </si>
  <si>
    <t>Quantite</t>
  </si>
  <si>
    <t>Cout Unitaire</t>
  </si>
  <si>
    <t>Duree/           Frequence</t>
  </si>
  <si>
    <t>PRODUITS</t>
  </si>
  <si>
    <t>ACTIVITES</t>
  </si>
  <si>
    <t xml:space="preserve"> Budget Année 1</t>
  </si>
  <si>
    <t>Budget Année 2</t>
  </si>
  <si>
    <t>BUDGET TOTAL</t>
  </si>
  <si>
    <t>Personnel et autres employés</t>
  </si>
  <si>
    <t>Fournitures, produits de base, materiels</t>
  </si>
  <si>
    <t>Services Contractuels</t>
  </si>
  <si>
    <t>Frais de deplacement</t>
  </si>
  <si>
    <t>Transferts et subventions</t>
  </si>
  <si>
    <t>Frais generaux de fonctionnement et autres couts directs</t>
  </si>
  <si>
    <t xml:space="preserve">Total des Couts liés au Programme </t>
  </si>
  <si>
    <t xml:space="preserve">(c) Pour la Periode: </t>
  </si>
  <si>
    <t>(d) Total du Budget (USD):</t>
  </si>
  <si>
    <t>(a) Nom de l'organisation:</t>
  </si>
  <si>
    <t>(b) Titre du Projet:</t>
  </si>
  <si>
    <t>% du Budget Genre</t>
  </si>
  <si>
    <t>Total Global</t>
  </si>
  <si>
    <t xml:space="preserve">Inserer/Supprimer autant de lignes que necessaires pour adjuster le budget au resultats/produits/activites </t>
  </si>
  <si>
    <t xml:space="preserve">Fonds de Coherence pour la Stabilisation: Budget par Activité </t>
  </si>
  <si>
    <t>Annee 1</t>
  </si>
  <si>
    <t>Annee 2</t>
  </si>
  <si>
    <t xml:space="preserve">Total </t>
  </si>
  <si>
    <t>Fonds de Coherence pour la Stabilisation: Budget par Categorie de Dépense*</t>
  </si>
  <si>
    <t>Budget programmatique: Budget total/1.07</t>
  </si>
  <si>
    <t>SGG:  budget total/1.07*0.07</t>
  </si>
  <si>
    <t>Organisation Lead</t>
  </si>
  <si>
    <t>Equipements et mobilier</t>
  </si>
  <si>
    <t>(e) GMS 7% Agent de Gestion (USD):</t>
  </si>
  <si>
    <t xml:space="preserve">(f) Budget TOTAL </t>
  </si>
  <si>
    <t>% Total Budget</t>
  </si>
  <si>
    <t>Couts total pour PNUNOs</t>
  </si>
  <si>
    <t xml:space="preserve">Couts GMS 7% pour Agent de Gestion </t>
  </si>
  <si>
    <t>Budget Narrative</t>
  </si>
  <si>
    <t>Sous-total Objective Specifique 1</t>
  </si>
  <si>
    <t>OBJECTIVE SPECIFIQUE 1:</t>
  </si>
  <si>
    <t>CATEGORIES DE DEPENSE*</t>
  </si>
  <si>
    <t xml:space="preserve">* Il y a sept categories:  1) Personnel et autres employés 2) Fournitures, produits de base, materiels 3) Equipements et mobilier 4) Services Contractuels 5) Frais de deplacement 6) Transferts et subventions 7) Frais generaux de fonctionnement et autres couts directs (Voir la note explicative sur  l’élaboration d’un budget à soumettre au Fonds) </t>
  </si>
  <si>
    <t xml:space="preserve">Services Contractuels </t>
  </si>
  <si>
    <t xml:space="preserve">Transferts et subventions </t>
  </si>
  <si>
    <t>Formulas (ne pas supprimer):</t>
  </si>
  <si>
    <t>Cout Total Programme</t>
  </si>
  <si>
    <t>SOUS-TOTAL COUTS DIRECTS DE SOUTIEN (ne peuvent représentés plus de 35% du budget total)</t>
  </si>
  <si>
    <t xml:space="preserve">COUTS DIRECTS LIES AUX ACTIVITES </t>
  </si>
  <si>
    <t>SOUS-TOTAL COUTS DIRECTS LIES AUX ACTIVITES (au minimum 60% du budget total)</t>
  </si>
  <si>
    <t xml:space="preserve"> 1) Personnel et autres employés (lies au soutien)</t>
  </si>
  <si>
    <t xml:space="preserve"> 2) Fournitures, produits de base, materiels (lies au soutien)</t>
  </si>
  <si>
    <t>3) Equipements et mobilier (lies au soutien)</t>
  </si>
  <si>
    <t xml:space="preserve"> 4) Services Contractuels (lies au soutien)</t>
  </si>
  <si>
    <t>7) Frais généraux de fonctionnement et autres couts directs (lies au soutien)</t>
  </si>
  <si>
    <t>5) Frais de deplacement (lies au soutien)</t>
  </si>
  <si>
    <t xml:space="preserve"> 6) Transferts et subventions (lies au soutien)</t>
  </si>
  <si>
    <t>Couts Indirects (7%)**</t>
  </si>
  <si>
    <t xml:space="preserve">** Ce sont des "Services Generaux de Gestion", qui sont calculés selon la formule suivante:  </t>
  </si>
  <si>
    <t>*** Chaque projet ISSSS doit assurer que 15% des fonds sont consacree a les objetifs sensible au genre (Voir les lignes directrices sur l'integration du Genre dans les programmes de stabilisation)</t>
  </si>
  <si>
    <t>% Budget liee au genre ***</t>
  </si>
  <si>
    <t>* A completer par les agences des Nations Unies. Voir la note explicative sur l’élaboration d’un budget à soumettre au Fonds de Cohérence pour la Stabilisation.</t>
  </si>
  <si>
    <t>TOTAL</t>
  </si>
  <si>
    <t>Programme cost</t>
  </si>
  <si>
    <t>Indirect cost</t>
  </si>
  <si>
    <t>Total PNUNOs</t>
  </si>
  <si>
    <t>Cout GMS AG (PNUD) 7%</t>
  </si>
  <si>
    <t xml:space="preserve">Couts programmatique </t>
  </si>
  <si>
    <t xml:space="preserve">Couts indirect </t>
  </si>
  <si>
    <t xml:space="preserve">Total PUNO </t>
  </si>
  <si>
    <t xml:space="preserve">Budget Detaille trois catégories de dépenses </t>
  </si>
  <si>
    <t>%</t>
  </si>
  <si>
    <r>
      <t xml:space="preserve">SOUS-TOTAL COUTS DIRECTS LIES AUX ACTIVITES </t>
    </r>
    <r>
      <rPr>
        <sz val="11"/>
        <color rgb="FFFF0000"/>
        <rFont val="Calibri"/>
        <family val="2"/>
        <scheme val="minor"/>
      </rPr>
      <t>(au minimum 60% du budget total)</t>
    </r>
  </si>
  <si>
    <r>
      <t xml:space="preserve">SOUS-TOTAL COUTS DIRECTS DE SOUTIEN </t>
    </r>
    <r>
      <rPr>
        <sz val="11"/>
        <color rgb="FFFF0000"/>
        <rFont val="Calibri"/>
        <family val="2"/>
        <scheme val="minor"/>
      </rPr>
      <t>(ne peuvent représentés plus de 35% du budget total)</t>
    </r>
  </si>
  <si>
    <r>
      <t xml:space="preserve">Cout GMS </t>
    </r>
    <r>
      <rPr>
        <sz val="11"/>
        <color rgb="FFFF0000"/>
        <rFont val="Calibri"/>
        <family val="2"/>
        <scheme val="minor"/>
      </rPr>
      <t>7%</t>
    </r>
  </si>
  <si>
    <t>Depense reel</t>
  </si>
  <si>
    <t>% de depense reel</t>
  </si>
  <si>
    <t xml:space="preserve">Narrative </t>
  </si>
  <si>
    <t>% de depense reel sensible en genre</t>
  </si>
  <si>
    <t>Narrative</t>
  </si>
  <si>
    <t>Montant total lie au genre</t>
  </si>
  <si>
    <t>COUTS DIRECTS DE SOUTIEN</t>
  </si>
  <si>
    <t xml:space="preserve">Produit 1.2.1: Les structures locales de transformation de conflits sont renforcées et opérationnelles </t>
  </si>
  <si>
    <t>Elaboration d’un document d’analyse des causes profondes des conflits communautaires et fonciers qui met en exergue leurs motivations, typologies, caractéristiques, natures et les pistes de solutions durables.</t>
  </si>
  <si>
    <t xml:space="preserve">Développement et mise en place des systèmes d’alerte précoce et de référencement des cas des conflits communautaires complexes (formation des délégués communautaires cooptés dans le Système d’Alerte Précoce et référencement des confits – SAP –)
</t>
  </si>
  <si>
    <t>Installation de 5 antennes de la Commission Foncière de l’Ituri (Boga, Gety, Kasenyi, Idohu, Nyakunde) pour l’identification, le monitoring et la prise en charge des conflits fonciers.</t>
  </si>
  <si>
    <t>Médiation de  cas conflits fonciers complexes à connotation communautaire avec risques de violences dans la zone cible en synergie avec les autorités locales, leaders communautaires, acteurs de la société civile, Services du contentieux fonciers avec l’appui des experts d’UN-HABITAT.</t>
  </si>
  <si>
    <t xml:space="preserve">Formation des Animateurs fonciers de la CFI et autres acteurs de la zone sur les MARC dans le domaine du foncier. </t>
  </si>
  <si>
    <t>Consultation semestrielle entre équipe de médiation de la CFI, Autorités coutumières et SAP pour un état des lieux sur la dynamique des fonciers et stratégies des réponses adéquates</t>
  </si>
  <si>
    <t>Développement de synergie avec  l'administration foncière et les  structures communautaires engagées dans la gestion des conflits, descentes conjointes de médiation fonciere complexe.</t>
  </si>
  <si>
    <t>Organisation d’une conférence sur la cohabitation pacifique entre les communautés locales des WALESE VOKUNTU et le gestionnaire ICCN dans la Réserve Naturelle de Mont Hoyo.</t>
  </si>
  <si>
    <t>Appui en Activités Génératrices des Revenus   à la CFI pour une autonomisation et une pérennisation de son intervention dans la Zone du Projet.</t>
  </si>
  <si>
    <t xml:space="preserve">Aménagement des abris pour la tenue des activités de médiations foncières et Barzas communautaires dans Boga (1),  Gety (1),   , Kasenyi (1),   , Idohu (1),   , Nyakunde (1),   </t>
  </si>
  <si>
    <t>UNHABITAT</t>
  </si>
  <si>
    <t>Pamoja kwa amani (Ensemble pour la paix)</t>
  </si>
  <si>
    <t xml:space="preserve"> </t>
  </si>
  <si>
    <t>UN-HABITAT</t>
  </si>
  <si>
    <t>Cette activités sera mise en œuvre par un partenaire indépendant qui  sera récruté  par appel à proposition selon les procédures internes de UN-HABITAT pour mener l'étude sur les causes profondes de conflits fonciers dans la zone prioritaire et ressortir les voies de mitigation. Le montant alloué au genre représente un taux de  30% et cela à l'égard  des enquêteurs locaux qui seront mis en con tribution pour mener cette étude .</t>
  </si>
  <si>
    <t>Cette activités sera mis en œuvre par le partenaire CFI (organisation nationale) comme recommandé par le ST. cette  organisation devra signer un MOU avec UN-HABITAT conformement aux modalités et procedures internes à UN-HABITAT  en tant qu'agence des nations unies. Le montant alloué au genre représente un 30% . Toute les depenses relatives à la mise en oeuvre des activités sont inscrits sur ce montant y compris la prise en charge des animateurs du partenaire d'exécution,</t>
  </si>
  <si>
    <t>Cette ac tivité sera mise en œuvre par les experts de UN-HABITAT en appui au partennaire CFI pour l’installation éffective des antennes dans la zone d'intervention</t>
  </si>
  <si>
    <t xml:space="preserve">Cette activités sera mis en œuvre par le partenaire CFI (organisation nationale) comme recommandé par le ST. cette  organisation devra signer un MOU avec UN-HABITAT conformement aux modalités et procedures internes à UN-HABITAT  en tant qu'agence des nations unies. Le montant alloué au genre représente un 30% . Toute les depenses relatives à la mise en oeuvre des activités sont inscrits sur ce montant y compris la prise en charge des autorités coutumières et locales </t>
  </si>
  <si>
    <t xml:space="preserve">Cette activités sera mis en œuvre par le partenaire CFI (organisation nationale) comme recommandé par le ST. cette  organisation devra signer un MOU avec UN-HABITAT conformement aux modalités et procedures internes à UN-HABITAT  en tant qu'agence des nations unies. Le montant alloué au genre représente un 40% . Toute les depenses relatives à la mise en place de ces AGR  y compris la prise en charge des personnels y affectés </t>
  </si>
  <si>
    <t xml:space="preserve">Produit 1.2.2: Les cadres de dialogues sont facilités </t>
  </si>
  <si>
    <t xml:space="preserve">Renforcement des capacités des acteurs locaux (communautés, autorités politico administratives et coutumières, acteurs de la société civile, groupes des jeunes, groupes des femmes, etc.) sur les mécanismes alternatifs de résolution des conflits notamment fonciers. </t>
  </si>
  <si>
    <t>Sous total Produit 1.2.1</t>
  </si>
  <si>
    <t>Sous total Produit 1.2.2</t>
  </si>
  <si>
    <t>Diagnostic institutionnel de la circonscription   foncière du territoire d’Irumu</t>
  </si>
  <si>
    <t xml:space="preserve">Appui à l’administration foncière du territoire Irumu en équipements topographiques, cartographiques et de mobilité pour l’accompagnement des communautés locales au processus de démarcation participative des terres communautaires </t>
  </si>
  <si>
    <t xml:space="preserve">Production et diffusion des textes légaux pour une bonne gouvernance foncière au niveau des ETD (loi foncière, code agricole, code forestier, loi sur la conservation de la nature, code de la famille) </t>
  </si>
  <si>
    <t xml:space="preserve">Vulgarisation et diffusion de l’approche de Planification Foncière Communautaire Participative (PCFP) au profit des circonscriptions foncières et leaders communautaires </t>
  </si>
  <si>
    <t xml:space="preserve">Formation des agents de la circonscription foncière ciblée sur les MARC, l’éthique et la déontologie ainsi que la manipulation des matériels topographiques et cartographiques (GIS, station totale) </t>
  </si>
  <si>
    <t xml:space="preserve">Renforcement des capacités du cadastre foncier sur la numérisation des données cadastrales de la circonscription foncière d’Irumu </t>
  </si>
  <si>
    <t>Appui à des réunions périodiques de concertation et synergie de collaboration entre les autorités   locales-chefs terriens, Administration Territoriale et l’Administration foncière d’Irumu sur les questions foncières et réponses.</t>
  </si>
  <si>
    <t>Rénovation et équipement  de la Brigade Foncière de Kasenyi</t>
  </si>
  <si>
    <t>Services contractuels</t>
  </si>
  <si>
    <t>Cette activités sera mise en œuvre par un partenaire indépendant qui  sera récruté  par appel à proposition selon les procédures internes de UN-HABITAT pour mener l'étude sur l'évaluation du fonctionnement de la circonscription foncière de la zone prioritaire. Le montant alloué au genre représente un taux de  20% et cela à l'égard  des enquêtés fonctionnaires de l'administration foncière .</t>
  </si>
  <si>
    <t xml:space="preserve">Cette activités sera mis en œuvre par un partenaire aui sera idenfifié selon son expertise. Cette  organisation devra signer un MOU avec UN-HABITAT conformement aux modalités et procedures internes à UN-HABITAT  en tant qu'agence des nations unies. Le montant alloué au genre représente un 30% . </t>
  </si>
  <si>
    <t>Cette activités sera mise en œuvre par un partenaire indépendant qui  sera récruté  par appel à proposition selon les procédures internes de UN-HABITAT pour la construction du bureau de la     brigade foncière de kasenyi . Le montant alloué au genre représente un taux de  30% et cela à l'égard  de la main d'oeuvre locale qui sera mise en contribution pour la construction qu'au sein des agents techniques et administratifs qui seront affectés pour le fonctionnement de la dite brigade.</t>
  </si>
  <si>
    <t xml:space="preserve">Produit 2.1.2 Les Communautés locales y compris les peuples autochtones sont informées et sensibilisés sur les rôles et attributions de l'Administration foncière avec ses services à fournir </t>
  </si>
  <si>
    <t xml:space="preserve">Organisation des journées portes ouvertes de l’Administration foncière au profit les communautés locales sur les instances de gestion du foncier, de résolution des conflits, leur composition, leur fonctionnement et leurs rôles et attributions de l’Administration foncière dans une gestion de proximité </t>
  </si>
  <si>
    <t xml:space="preserve">Sessions de Renforcement des capacités des autorités locales, acteurs de la société civile et  chefs terriens sur les droits fonciers et procédures légales des membres des communautés locales hommes et femmes </t>
  </si>
  <si>
    <t xml:space="preserve">Session de formation mixte des autorités locales et coutumières et groupes de femmes sur les droits des femmes à la terre et à la propriété pour la promotion des droits fonciers des femmes dans la partie Sud Irumu </t>
  </si>
  <si>
    <t xml:space="preserve">Produit 2.1.1 Les capacités institutionnelles et opérationnelles de l'Administration foncière sont renforcées  </t>
  </si>
  <si>
    <t>Sous total Produit 2.1.1</t>
  </si>
  <si>
    <t>Sous total Produit 2.1.2</t>
  </si>
  <si>
    <t>Produit 2.1.3 Les droits fonciers des communautés locales y compris les peuples autochtones sont sécurisés</t>
  </si>
  <si>
    <t xml:space="preserve">Formation des cartographes communautaires pour accompagner les travaux de la cartographie des terres communautaires ciblées (pâturages collectifs, concessions agropastorales, espaces des champs communautaires, terres coutumières de réserve) </t>
  </si>
  <si>
    <t>Appui à l’identification et à la cartographie des terres communautaires (pâturages collectifs, concessions agropastorales, espaces des champs communautaires, terres coutumières de réserve) pour la prévention des conflits fonciers intercommunautaires</t>
  </si>
  <si>
    <t xml:space="preserve">Appui à l’administration foncière pour la sécurisation de droits fonciers issus de médiations foncières réussies </t>
  </si>
  <si>
    <t xml:space="preserve">Plaidoyer auprès des chefs coutumiers et chefs terriens pour l’accès des groupes de femmes, groupes des jeunes démobilisés et des peuples autochtones pygmées à la terre en vue de leur autonomisation/développement socioéconomique </t>
  </si>
  <si>
    <t>Sous total Produit 2.1.3</t>
  </si>
  <si>
    <t xml:space="preserve">Cette activités sera mis en œuvre par un partenaire qui sera idenfifié selon son expertise. Cette  organisation devra signer un MOU avec UN-HABITAT conformement aux modalités et procedures internes à UN-HABITAT  en tant qu'agence des nations unies. Le montant alloué au genre représente un 30% . </t>
  </si>
  <si>
    <t>Activité a mettre en oeuvre l'année 2</t>
  </si>
  <si>
    <t xml:space="preserve">FRAIS DE COORDINATION DU PROJET: </t>
  </si>
  <si>
    <t>Baseline du projet conjoint</t>
  </si>
  <si>
    <t>Atelier de lancement du projet</t>
  </si>
  <si>
    <t>Coordonnateur du programme(SC9)</t>
  </si>
  <si>
    <t>Visite terrain (8) CTS</t>
  </si>
  <si>
    <t>Réunions CTC (8)</t>
  </si>
  <si>
    <t>Revue annuelle interne</t>
  </si>
  <si>
    <t>Visibilité du projet  conjoint (base commune de terrain)</t>
  </si>
  <si>
    <t>Stratégie de Mobilisation de Fonds</t>
  </si>
  <si>
    <t>Interface avec les autorités (participation active des autorités coutumières dans le suivi du projet )</t>
  </si>
  <si>
    <t>Atelier de clôture du projet</t>
  </si>
  <si>
    <t>Evaluation finale</t>
  </si>
  <si>
    <t>frais de deplacement</t>
  </si>
  <si>
    <t>Pris en charge   de la réalisation de l'étude de base du projet par un partennaire indépandent qui sera récruté par appel à proposition conformement aux procédures internes de l'agence lead</t>
  </si>
  <si>
    <t xml:space="preserve">tenir l'atelier de communication sur le contenu du projet avec toutes les parties prenantes et assurer la participation du gouvernement provincial pour le lancement du projet </t>
  </si>
  <si>
    <t xml:space="preserve">participation du gouvernement provincial à travers le CTS pour assurer le suivi de la mise en ;œuvre du projet et se rendre compte de son état d'avancement </t>
  </si>
  <si>
    <t xml:space="preserve">Location d'une base conjointe de terrain entre les membres du consoritum en vue de faciliter un suivi de proximité du prpojet et une visibilité  du projet sur terrain </t>
  </si>
  <si>
    <t>réalisation de mission de plaidoyer au près de differents bailleurs de fonds et assurer leurs visites de terrain</t>
  </si>
  <si>
    <t xml:space="preserve">Assurer la participation active des autorités coutumières dans le suivi du projet </t>
  </si>
  <si>
    <t xml:space="preserve">Atelier d'échange d'expériences et de leçons apprises </t>
  </si>
  <si>
    <t>Pris en charge   de la réalisation de l'étvaluation finale  du projet par un partennaire indépandent qui sera récruté par appel à proposition conformement aux procédures internes de l'agence lead</t>
  </si>
  <si>
    <t>Sous total frais de coordination</t>
  </si>
  <si>
    <t>2.1.1 Chef de projet</t>
  </si>
  <si>
    <t>2.1.2 Assistant au programme</t>
  </si>
  <si>
    <t>2.1.3 Assistant M&amp;E</t>
  </si>
  <si>
    <t>2.1.4 Chauffeur</t>
  </si>
  <si>
    <t xml:space="preserve">2.1.5 Associé Admin Fin </t>
  </si>
  <si>
    <t>Personne</t>
  </si>
  <si>
    <t>Le chef de projet aura le grade de SC8</t>
  </si>
  <si>
    <t>L'Assistant au programme aura le grade de SC6</t>
  </si>
  <si>
    <t>L'Assistant M&amp;E aura le grade de SC6</t>
  </si>
  <si>
    <t>Le chauffeur aura le grade de SC2</t>
  </si>
  <si>
    <t>Fournitures, produits de base, materiels (lies au soutien)</t>
  </si>
  <si>
    <t>Retroprojecteur, ecran pour projection, production posters, dépliants sur le foncier</t>
  </si>
  <si>
    <t>Equipement et mobilier</t>
  </si>
  <si>
    <t>Frais de deplacement (lies au soutien)</t>
  </si>
  <si>
    <t>Missions de suivi de la mise en œuvre</t>
  </si>
  <si>
    <t>Transferts et subventions (lies au soutien)</t>
  </si>
  <si>
    <t>Frais de visibilite</t>
  </si>
  <si>
    <t xml:space="preserve">Autres frais generaux de fonctionnement </t>
  </si>
  <si>
    <t>Tous les produits de visibilité et outils de communication conçus (panneaux, articles pour site web, vidéo, etc.)</t>
  </si>
  <si>
    <t xml:space="preserve">Frais mensuels relatifs à la contribution au loyer du bureau de Bunia, aux coûts d'électricté et d'eau, aux frais des services de sécurité, etc. </t>
  </si>
  <si>
    <t>% de depenses reelles</t>
  </si>
  <si>
    <t>Depenses reelles sensibles au genre</t>
  </si>
  <si>
    <t>Cette activités sera mis en œuvre par un partenaire qui sera idenfifié selon son expertise. Cette  organisation devra signer un MOU avec UN-HABITAT conformement aux modalités et procedures internes à UN-HABITAT  en tant qu'agence des nations unies. Le montant alloué au genre représente un 40% . Toute les depenses relatives à la Réhabilitation et la prise en charge de la main d'oeuvre locale sont incluses dans le budget global.</t>
  </si>
  <si>
    <t>OBJECTIF SPECIFIQUE 2:</t>
  </si>
  <si>
    <t xml:space="preserve">Cette activité sera mis en œuvre par un partenaire qui sera idenfifié selon son expertise. Cette  organisation devra signer un MOU avec UN-HABITAT conformement aux modalités et procedures internes à UN-HABITAT  en tant qu'agence des nations unies. Le montant alloué au genre représente un 30% . </t>
  </si>
  <si>
    <t>Sous-total Objectif Specifique 2</t>
  </si>
  <si>
    <t>Un consultant a été recruté pour le deroulement de cette activité. Ce budget a été consommé pour le payement de ses honoraires ainsi que le payement de ses enqueteurs locaux.</t>
  </si>
  <si>
    <t xml:space="preserve">Pendant trois jours d'atelier, ce budget a appuiyé à la mise en place du système d’alerte permettant de canaliser les informations sur les conflits et d’impliquer les différentes couches de la communauté  dans le processus  d’identification et de référencement de conflits fonciers vers la CFI pour leur prise en charge.  </t>
  </si>
  <si>
    <t>Un consultant a été recruté pour le déroulement de cette activité. Ce budget a été consomé pour le payement de ces honoraires.</t>
  </si>
  <si>
    <t>Ce montant a permis à produire et à mettre à la disposition des entités territoriales décentralisées (chefferies et secteurs) les textes de lois relatifs à la gestion et l’administration foncière, et assurer leur large diffusion auprès des communautés locales.</t>
  </si>
  <si>
    <t>Ce budget a permis de mener une campagne dans chaque site du projet pour informer les communautés locales sur le fonctionnement, la composition, le rôle et attributions de l’Administration foncière et de la CFI dans la prévention et résolution pacifique de conflits fonciers  pour la stabilisation du territoire d’Irumu</t>
  </si>
  <si>
    <t xml:space="preserve">Ce montant a permis à l'organisation de l'atelier de deux jours afin de renfoncer les capacités des autorités locales et  coutumieres en matière de la gouvernance foncière notamment les droits fonciers et la procédure légales d’acquisitions des terres en milieux rural. </t>
  </si>
  <si>
    <t>Ce montant a servi pour l'organisation du lancement du projet où la prise en charge de plusieurs personnalités de la province de l'Ituri été assurée</t>
  </si>
  <si>
    <t>Activité  non realisée.</t>
  </si>
  <si>
    <t>Activité  non encore realisée.</t>
  </si>
  <si>
    <t>MERCY CORPS</t>
  </si>
  <si>
    <t>(d) Total du Budget Programmatique et Couts indirects (USD):</t>
  </si>
  <si>
    <t>(e) GMS 7% Agent de Gestion (USD)****:</t>
  </si>
  <si>
    <t xml:space="preserve">(f) GRAND TOTAL </t>
  </si>
  <si>
    <t>Dépenses réelles</t>
  </si>
  <si>
    <t>Organisation</t>
  </si>
  <si>
    <t>% Budget total liee au genre ***</t>
  </si>
  <si>
    <t>Narratif budgétaire original</t>
  </si>
  <si>
    <t>OBJECTIVE SPECIFIQUE 6:</t>
  </si>
  <si>
    <t>Resultat 6.1 Le développement d’une agriculture plus productive et résiliente a réduit les tensions entre les agriculteurs et les éleveurs</t>
  </si>
  <si>
    <t>Produit 6.1.1</t>
  </si>
  <si>
    <t>Etude de marche chaine de valeur et moyens de subsistance</t>
  </si>
  <si>
    <t>MC</t>
  </si>
  <si>
    <t xml:space="preserve">Cette activité de consultance, a été realisée par une firme internationale et le TDR de l'étude a pris en compte le besoin specifique, le contexte de la zone d'intervention, la nature des conflits et leur sensibilité par rapport au genre. </t>
  </si>
  <si>
    <t xml:space="preserve">Une étude de marche de chaine de valeur et moyens de subsistance sera mené au début du projet pour identifier l'appui spécifique a fournir aux OP et OE et les agriculteurs sur les parcelles de pâturage. </t>
  </si>
  <si>
    <t>Déplacement pour suivi</t>
  </si>
  <si>
    <t>Ces missions de supervision, ont permi de vérifier la participation des hommes, femmes aux activités d'agriculture, de peche et d l'elevage puis mesurer le niveau d'atteinte ou satisfaction de leur besoin specifique ( production, transformation et commercialisation).</t>
  </si>
  <si>
    <t>Les coûts des frais de déplacements aller-retour par avion, perdiem, logement, et communications pour l'équipe de suivi et évaluation. (100%)</t>
  </si>
  <si>
    <t>Frais Suivi et Evaluation</t>
  </si>
  <si>
    <t>Les coûts associés avec le suivi et évaluation pour la Baseline, midterm et endline. Compris le frais pour les enquêteurs, consultants eventuels, les  formation des enqueteurs, les fournitures de bureau pour les enquetes (100%)</t>
  </si>
  <si>
    <t>Frais de Visibilité</t>
  </si>
  <si>
    <t>La visibilité participe au renforcement de l'information et à l'existence du projet dans la communauté sans distinction de sexe.</t>
  </si>
  <si>
    <t>Budget de 750$ pour les matériaux et des activités menées en conformité avec le bailleur et Mercy Corps 'estampillage et le marquage des stratégies pour s'assurer que les Fonds en gestion commune et Mercy Corps sont reconnus comme les bailleurs de fonds et met en œuvre le programme. (100%)</t>
  </si>
  <si>
    <t>Officier bureau terrain / programme (Bunia) @100%</t>
  </si>
  <si>
    <t>Base a Bunia, supervise les opérations administratives , y compris les ressources humaines, les engagements  entre contractuels et financière  en conformité avec la loi congolaise. Il est prévu qu'il passera 100% de son temps à ce programme.</t>
  </si>
  <si>
    <t>Responsable de Programme</t>
  </si>
  <si>
    <t>Les descriptions de role et responsabilité liés aux postes sont caractérisés par le respect de principe de l'action humanitaire, la protection de l'enfant, observance de politique liée à l'abus et exploitations sexuelles.</t>
  </si>
  <si>
    <t>Organise l'équipe  du projet, le suivi des plans de travail, coordonne les activités de suivi et d'évaluation, y compris la supervision et la gestion de la collecte des données, alloué 3% sur ce produit (32% sur ce objective). La ligne budgétaire y comprend le salaire brut, 41% de bénéfices ajoutes, ainsi que les bénéfices accordes a tout expatries de terrain suivant les règles internes de Mercy Corps.</t>
  </si>
  <si>
    <t>Officier Programme (2)</t>
  </si>
  <si>
    <t>Le personnel du programme chargé avec le gestion du mise en œuvre des activités sur terrain, alloué 10% sur ce produit (et 100% sur ce objective).</t>
  </si>
  <si>
    <t>Mobilisateur Communautaire (2)</t>
  </si>
  <si>
    <t>Le personnel du programme chargé avec le suivi et la mise en œuvre des activités dans toutes les communautés,  alloué 10% sur ce produit (et 100% sur ce objective).</t>
  </si>
  <si>
    <t>Assistant de programme</t>
  </si>
  <si>
    <t>Gestion des opérations du programme a Bunia. Coordonnées marchés avec l'équipe de programmation et de la finance à Goma. Tenir des dossiers d'inventaire et de circulation des marchandises. Il est prévu qu'il passera 100% de son temps à ce programme, 40% sur ce objective, et 4% sur ce produit.</t>
  </si>
  <si>
    <t>Produit 6.1.2</t>
  </si>
  <si>
    <t>Cartographie des acteurs économiques (y compris structures locales et OSC) qui peuvent mobiliser pour rendre l’agriculture plus productive.</t>
  </si>
  <si>
    <t>La cartographie des acteurs locaux et OSC, a permi d'identifier les acteurs qui aident à ameliorer les conditions des vies de populations locales sans distinction de sexe</t>
  </si>
  <si>
    <t xml:space="preserve">Une cartographie des acteurs économiques (y compris structures locales et OSC) sera faite au debut du projet.  Le cout unitaire prend en compte les frais des reunions, les frais des enqueteurs, et un atelier de restitution. </t>
  </si>
  <si>
    <t>Ces missions de supervision, ont permi de vérifier la participation des hommes, femmes aux activités d'agriculture, de peche et d l'elevage puis mesurer le niveau d'atteinte ou satisfaction de leur besoin spécifique ( production, transformation et commercialisation).</t>
  </si>
  <si>
    <t>Produit 6.1.3</t>
  </si>
  <si>
    <t>Indentification et Soutien aux parcelles agricoles et de pâturage - appel aux partenaires locaux</t>
  </si>
  <si>
    <t>L'identification des parcelles de paturages et agricoles collectifs ont permi de reduire les tensions entre les agriculteurs et les eleveurs dans la zone.</t>
  </si>
  <si>
    <t xml:space="preserve">A travers un processus d'appel au partenaire local, le projet apportera un soutien aux parcelles agricoles et de pâturage. </t>
  </si>
  <si>
    <t>Formations/renforcement des Organisation d'Eleveurs</t>
  </si>
  <si>
    <t>Les formations et renforcements de groupement des eleveurs ont permi l'ameliorer leur connaissance liées à leur activités.</t>
  </si>
  <si>
    <t xml:space="preserve">Un renforcement de capacité sera apporter aux OE incluant des formations, des kits ou vouchers pour les bétails, etc. </t>
  </si>
  <si>
    <t xml:space="preserve">Formations/renforcement des Organisation Agriculteurs </t>
  </si>
  <si>
    <t>Les formations et renforcements de groupement des agriculteurs ont permi l'ameliorer leur connaissance et acquisitions de nouvelles techinques liées à leur activité.</t>
  </si>
  <si>
    <t xml:space="preserve">Un renforcement de capacité sera apporter aux OP incluant des formations, des kits ou vouchers pour les semences, etc. </t>
  </si>
  <si>
    <t>Foire Agricoles</t>
  </si>
  <si>
    <t xml:space="preserve">Deux foire agricoles seront menés au cours du projet. </t>
  </si>
  <si>
    <t>Jours ouverts avec les fournisseurs de semences</t>
  </si>
  <si>
    <t xml:space="preserve">Les jours ouverts seront organise entre les fournisseurs de semence et les agriculteurs et les acheteurs. </t>
  </si>
  <si>
    <t xml:space="preserve">Soutien aux agriculteurs sur les parcelles de pâturage </t>
  </si>
  <si>
    <t xml:space="preserve">Dépendamment sur l'évaluation de base du projet, un soutien en AGR, crédit, ou autres va être fournir aux agriculteurs sur les parcelles de pâturage. </t>
  </si>
  <si>
    <t>Produit 6.1.4</t>
  </si>
  <si>
    <t>Renforcement des groupement collectives</t>
  </si>
  <si>
    <t xml:space="preserve">Cette activité a permi d'offrir aux agriculteurs et eleveurs une cohésion et cohabitation pacifique dans la zone. </t>
  </si>
  <si>
    <t xml:space="preserve">Le projet apportera un renforcement a 25 groupement collectives a travers des activités de formation et/ou appui en matériels en fonction de l'analyse qui est fait au début du projet. </t>
  </si>
  <si>
    <t xml:space="preserve"> Produit 6.1.5</t>
  </si>
  <si>
    <t xml:space="preserve">Activités de médiation </t>
  </si>
  <si>
    <t xml:space="preserve">Des séances de médiation seront organiser pour médié les conflits entre les éleveurs et agriculteurs et d'autres parties prenants.  Ces séances vont inclure les rafraichissement pour les participants. </t>
  </si>
  <si>
    <t xml:space="preserve">Réunions/exchanges entre les acteurs de la chaine de valeur </t>
  </si>
  <si>
    <t>Cette activité aide à renforcer la participation de tous les acteurs hommes, femmes ( producteurs, transformateurs) à ameliorer leur conditions économiques.</t>
  </si>
  <si>
    <t xml:space="preserve">Des réunions d'exchange seront organise entre les différents acteurs de la chaine de valeur afin de promouvoir le dialogue entre ces acteurs et le contact. </t>
  </si>
  <si>
    <t>Sous-total Objective Specifique 3</t>
  </si>
  <si>
    <t xml:space="preserve">COUTS DIRECTS DE SOUTIEN </t>
  </si>
  <si>
    <t>1.1 Personnel de support Goma - Expatrie</t>
  </si>
  <si>
    <t>Directeur National (Goma) @3%</t>
  </si>
  <si>
    <t>Basé à Goma avec des déplacements périodiques sur les sites de terrain. Il est prévu que le directeur de pays passera 4% de son temps à ce programme. La ligne budgétaire y comprend le salaire brut, 41% de bénéfices ajoutes, ainsi que les bénéfices accordes a tout expatries de terrain suivant les règles internes de Mercy Corps.</t>
  </si>
  <si>
    <t>Directrice Adjointe - Programmes  (Goma) @4%</t>
  </si>
  <si>
    <t>Responsable de la coordination globale du programme, la qualité et le personnel du programme de soutien pour s'assurer que les objectifs et les obligations de déclaration sont respectés. Basé à Goma avec des visites régulières sur le terrain.Il est prévu que l'adjoint passera 4% de son temps à ce programme. La ligne budgétaire y comprend le salaire brut, 41% de bénéfices ajoutes, ainsi que les bénéfices accordes a tout expatries de terrain suivant les règles internes de Mercy Corps.</t>
  </si>
  <si>
    <t>Directeur Adjoint - Opérations  (Goma) @4%</t>
  </si>
  <si>
    <t>Responsable de superviser le soutien opérationnel aux programmes et aux bureaux, en assurant la fourniture d'un appui logistique  facile. Basé à Goma avec des visites régulières sur le terrain.  Il est prévu qu'il passera 4% de son temps à ce programme. La ligne budgétaire y comprend le salaire brut, 41% de bénéfices ajoutes, ainsi que les bénéfices accordes a tout expatries de terrain suivant les règles internes de Mercy Corps.</t>
  </si>
  <si>
    <t>Directrice Financier (Goma) @4%</t>
  </si>
  <si>
    <t>Basé à Goma, avec des déplacements fréquents de formation et de  supervision sur le terrain pour fournir un appui comptable et financier au programme, notamment en assurant la conformité avec les deux Mercy Corps et politiques du Fonds en gestion commune.Il est prévu que le directeur financier passera 4% de son temps à ce programme. La ligne budgétaire y comprend le salaire brut, 41% de bénéfices ajoutes, ainsi que les bénéfices accordes a tout expatries de terrain suivant les règles internes de Mercy Corps.</t>
  </si>
  <si>
    <t>Responsable des Achats (Goma) @4%</t>
  </si>
  <si>
    <t>Responsable de la gestion globale des achats pour toute la programmation de la RDC. Élabore et applique des procédures pour toutes les opérations d'approvisionnement.Il est prévu qu'il passera 4% de son temps à ce programme. La ligne budgétaire y comprend le salaire brut, 41% de bénéfices ajoutes, ainsi que les bénéfices accordes a tout expatries de terrain suivant les règles internes de Mercy Corps.</t>
  </si>
  <si>
    <t>Responsable des Ressources Humaines et Administratives (Goma) @4%</t>
  </si>
  <si>
    <t>Responsable de superviser le soutien administratif et aspect ressources humaines aux programmes et aux bureaux. Basé à Goma avec des visites régulières sur le terrain.  Il est prévu qu'il passera 4% de son temps à ce programme. La ligne budgétaire y comprend le salaire brut, 41% de bénéfices ajoutes, ainsi que les bénéfices accordes a tout expatries de terrain suivant les règles internes de Mercy Corps.</t>
  </si>
  <si>
    <t>Spécialiste de l'analyse de processus (Goma) @4%</t>
  </si>
  <si>
    <t>Le spécialiste de l'analyse des processus sera responsable de la gestion des risques et de la conformité. Il / elle vérifie que Mercy Corps et les politiques des donateurs et les procédures sont suivies en entreprenant des vérifications indépendantes des processus nationaux, y compris les achats, la logistique, la gestion des stocks, la gestion des actifs. Il est prévu qu'il passera 4% de son temps à ce programme. La ligne budgétaire y comprend le salaire brut, 41% de bénéfices ajoutes, ainsi que les bénéfices accordes a tout expatries de terrain suivant les règles internes de Mercy Corps.</t>
  </si>
  <si>
    <t>Conseillère genre (Goma) @4%</t>
  </si>
  <si>
    <t>Le conseiller de genre prend en charge les différents gestionnaires de programme à élaborer des stratégies et des plans de travail avec des objectifs clairs et des délais sur ce qui doit être fait pour assurer l'intégration du genre. Il est prévu qu'il passera 4% de son temps à ce programme. La ligne budgétaire y comprend le salaire brut, 41% de bénéfices ajoutes, ainsi que les bénéfices accordes a tout expatries de terrain suivant les règles internes de Mercy Corps.</t>
  </si>
  <si>
    <t>Gestionnaire, Suivi, Evaluation et GIS (Goma) @4%</t>
  </si>
  <si>
    <t>Responsable du développement et de l'intégration des cadres de responsabilisation et d'assurance de la qualité pour tous les programmes de Mercy Corps RDC.Il est prévu qu'il passera 4% de son temps à ce programme. La ligne budgétaire y comprend le salaire brut, 41% de bénéfices ajoutes, ainsi que les bénéfices accordes a tout expatries de terrain suivant les règles internes de Mercy Corps.</t>
  </si>
  <si>
    <t>Officier des communications (Goma) @2%</t>
  </si>
  <si>
    <t>Responsable de Mercy Corps public et les médias des relations avec les différentes parties prenantes du programme, les donateurs, les partenaires, le gouvernement et la communauté. Il est prévu qu'il passera 2% de son temps à ce programme. La ligne budgétaire y comprend le salaire brut, 41% de bénéfices ajoutes, ainsi que les bénéfices accordes a tout expatries de terrain suivant les règles internes de Mercy Corps.</t>
  </si>
  <si>
    <t>Responsable Logistique (Goma) @4%</t>
  </si>
  <si>
    <t>Supervise la flotte, les mouvements de véhicules, location, les chauffeurs, la maintenance, etc. Il est prévu qu'il passera 4% de son temps à ce programme. La ligne budgétaire y comprend le salaire brut, 41% de bénéfices ajoutes, ainsi que les bénéfices accordes a tout expatries de terrain suivant les règles internes de Mercy Corps.</t>
  </si>
  <si>
    <t>Responsable financier (Goma) @5%</t>
  </si>
  <si>
    <t>Travaillant sous le directeur des finances, le directeur des finances appuiera la présentation de l'information financière et d'aider le bureau de pays pour assurer la conformité aux politiques et procédures de Mercy Corps et de subventions et de contrats aux exigences des bailleurs de fonds.  Il est prévu qu'il passera 4% de son temps à ce programme. La ligne budgétaire y comprend le salaire brut, 41% de bénéfices ajoutes, ainsi que les bénéfices accordes a tout expatries de terrain suivant les règles internes de Mercy Corps.</t>
  </si>
  <si>
    <t>Stagiaire (Goma) @4%</t>
  </si>
  <si>
    <t>Les stagiaires du programme offrent un soutien et des projets ciblés / recherche pour la mise en œuvre du programme. Il est prévu qu'il passera 4% de son temps à ce programme. La ligne budgétaire y comprend le salaire brut, 41% de bénéfices ajoutes, ainsi que les bénéfices accordes a tout expatries de terrain suivant les règles internes de Mercy Corps.</t>
  </si>
  <si>
    <t>1.2 Personnel de support Goma - National</t>
  </si>
  <si>
    <t>Responsible Sécuritaire @3%</t>
  </si>
  <si>
    <t xml:space="preserve">Responsable pour la gestion de sécurité pour le staff et les bureaux de Mercy Corps. Il est prévu qu'ils passèrent 3% de leurs temps a ce programme.  </t>
  </si>
  <si>
    <t>Officier Sécuritaire @3%</t>
  </si>
  <si>
    <t>Equipe Finance (5 - Goma) @3%</t>
  </si>
  <si>
    <t>Senior Finance Officer/Chief Accountant @3%</t>
  </si>
  <si>
    <t>Responsable pour le suivi des transactions financières à Goma, y compris la gestion des réserves de trésorerie et la préparation des paiements, le bureau de comptabilité, et de faire des contrôles de conformité. Il est prévu qu'ils passèrent 3% de leurs temps à ce programme.</t>
  </si>
  <si>
    <t>Senior Account Officer @3%</t>
  </si>
  <si>
    <t>Responsable pour la preparation et le suivi des rapports impots (INSS, IPR, ONEM), et la preparation et le suivi amotisment, et de faire des contrôles de conformité. Il est prévu qu'ils passèrent 3% de leurs temps à ce programme.</t>
  </si>
  <si>
    <t>Assistant Financier - Banque @3%</t>
  </si>
  <si>
    <t>Responsable pour la préparation des paiements, et de faire des contrôles de conformité. Il est prévu qu'ils passèrent 3% de leurs temps à ce programme.</t>
  </si>
  <si>
    <t>Assistant Financier - Caisse @3%</t>
  </si>
  <si>
    <t>Assistant Financier - Volant @3%</t>
  </si>
  <si>
    <t>Responsable pour la préparation des paiements, archivage, et de faire des contrôles de conformité. Il est prévu qu'ils passèrent 3% de leurs temps à ce programme.</t>
  </si>
  <si>
    <t>Equipe des Ressources Humaines et Administratives (7-Goma) @3%</t>
  </si>
  <si>
    <t>Chef d'equipe RH @3%</t>
  </si>
  <si>
    <t>Supervise les opérations administratives , y compris les ressources humaines, les engagements  entre contractuels et Mercy Corps  en conformité avec la loi congolaise. Il est prévu qu'il passèrent 3% de leurs temps à ce programme.</t>
  </si>
  <si>
    <t>Data Base Manager @3%</t>
  </si>
  <si>
    <t>Responsable pour appuyer la gestion de la flotte, du stock, des assets, analyser la bonne gestion de la data base des achats et des autres données utiles pour le programme, et former les staffs sur les outils informatiques et la gestion de la data. Il est prévu qu'il passe 3% de son temps à ce programme.</t>
  </si>
  <si>
    <t>Officier RH - Volant @3%</t>
  </si>
  <si>
    <t>Responsable pour les ressources humaines, les engagements entre contractuels et Mercy Corps en conformite avec la loi congolaise. Il est prévu qu'il passèrent 3% de leurs temps à ce programme.</t>
  </si>
  <si>
    <t>Assitant RH @3%</t>
  </si>
  <si>
    <t>Administratif de Liaison @3%</t>
  </si>
  <si>
    <t>Responsable pour la préparation des lettres d'invitation des nouveaux staffs expatriés et visiteurs, préparation de leurs arrivées au Pays, recherche des visas de touriste et de résidence du Congo ou du Rwanda, la recherche des documents administratifs pour la mise en œuvre du programme et la résolution de tout contentieux entre le programme et le service étatiques. Il est prévu qu'il passe 3% de son temps à ce programme.</t>
  </si>
  <si>
    <t>Officier Administratif @3%</t>
  </si>
  <si>
    <t>Responsable pour la gestion des différentes correspondances des programmes, réservations des vols et hôtels, conformément au demandes. Il est prévu qu'il passe 3% de son temps à ce programme.</t>
  </si>
  <si>
    <t>Officier Appui contractuel @3%</t>
  </si>
  <si>
    <t>Responsable pour l’élaboration des contrats administratifs, de la revue juridique et de suivi des échéances de tous les contrats et protocoles d’accords de partenariat. Il est prévu qu'il passe 3% de son temps à ce programme.</t>
  </si>
  <si>
    <t>Equipe Achats (5-Goma) @3%</t>
  </si>
  <si>
    <t>Chef d'equipe Acheteurs @3%</t>
  </si>
  <si>
    <t>Gestion des achats du programme et coordonne les marchés avec l'équipe de programmation et de la finance à Bunia. Tenir des dossiers d'inventaire et de circulation des marchandises. Il est prévu qu'il passèrent 3% de leurs temps à ce programme.</t>
  </si>
  <si>
    <t>Officier Acheteur @3%</t>
  </si>
  <si>
    <t>Responsable des achats du programme et coordonne les marchés avec l'équipe de programmation et de la finance à Bunia. Tenir des dossiers d'inventaire et de circulation des marchandises. Il est prévu qu'il passèrent 3% de leurs temps à ce programme.</t>
  </si>
  <si>
    <t>Officier Data Base @3%</t>
  </si>
  <si>
    <t>Recevoir toutes les demandes d'achat venant du programme, faire le suivi des approbations et de la revue des demandes d'achat, imprimer des PRFs, des PO, préparer les demandes des paiements et encoder les données (demandes d'achat) dans la master liste ou podio. Il est prévu qu'il passe 3% de son temps à ce programme.</t>
  </si>
  <si>
    <t>Equipe Logistique (9-Goma) @3%</t>
  </si>
  <si>
    <t>Logisticien Volant @3%</t>
  </si>
  <si>
    <t>Assure la liaison directe entre la logistique et des programmes pour s'assurer de répondre aux besoins du programme, y compris pour répondre aux situations d'urgence. Il est prévu qu'il passe 3% de son temps à ce programme.</t>
  </si>
  <si>
    <t>Officier Logistique @3%</t>
  </si>
  <si>
    <t>Assure la liaison directe entre la logistique et des programmes pour s'assurer de répondre aux besoins du programme, y compris pour répondre aux situations d'urgence. Il est prévu qu'ils passèrent 3% de leurs temps à ce programme.</t>
  </si>
  <si>
    <t>Officier des Assets @3%</t>
  </si>
  <si>
    <t>Officier Magasinier @3%</t>
  </si>
  <si>
    <t>Responsable des stocks, il appuie le programme dans la gestion de stocks en assurant la réception, la sortie de matériels et fournitures conformément aux règles et procédures de l’organisation. Il est prévu qu'il passe 3% de son temps à ce programme.</t>
  </si>
  <si>
    <t>Officier Charroi @3%</t>
  </si>
  <si>
    <t>S'occupe des mouvements de véhicules en répondant aux besoins en véhicules pour le programme, le suivi de l’entretien et réparation des véhicules et la compilation des données de consommation carburant et des coûts de réparations et entretiens des véhicules. Il est prévu qu'il passe 3% de son temps à ce programme.</t>
  </si>
  <si>
    <t>Assistant Stock Database @3%</t>
  </si>
  <si>
    <t>S’occupe de l’encodage des données de stocks pour le programme et de leur suivi. Il est prévu qu'il passe 3% de son temps à ce programme.</t>
  </si>
  <si>
    <t>Assistant Warehouse @3%</t>
  </si>
  <si>
    <t>Assiste l’Officier magasinier dans la gestion de stocks. Il est prévu qu'il passe 3% de son temps à ce programme.</t>
  </si>
  <si>
    <t>Property Admin Assistant @3%</t>
  </si>
  <si>
    <t>S’occupe des réparations, de l’entretien et du suivi des générateurs, des bâtiments administratifs et de guest house ainsi que des interventions ponctuelles en faveur du programme (problèmes d'électricité, de plomberie, etc.). Il est prévu qu'il passe 3% de son temps à ce programme.</t>
  </si>
  <si>
    <t>Informaticien (1 - Goma) @3%</t>
  </si>
  <si>
    <t>Fournit un appui à tous les ordinateurs Mercy Corps, réseaux, connexions Internet, etc. Il est prévu qu'il passera 3% de son temps à ce programme.</t>
  </si>
  <si>
    <t>Officier redevabilité (2 - Goma) @3%</t>
  </si>
  <si>
    <t>Fonctionner et entretenir les véhicules conformément aux exigences de Mercy Corps. Il est prévu qu'ils passèrent 3% de son temps à ce programme.</t>
  </si>
  <si>
    <t>Officier des communications (1 - Goma) @3%</t>
  </si>
  <si>
    <t>Fournit un appui à tous les activités de communication liées au projet. Il est prévu qu'il passera 3% de son temps à ce programme.</t>
  </si>
  <si>
    <t>Chauffeurs (6 - Goma) @3%</t>
  </si>
  <si>
    <t>Prévoit l'entretien, l'hygiène et l'accueil du bureau de Goma. Il est prévu qu'il passera 3% de son temps à ce programme.</t>
  </si>
  <si>
    <t>Personnel Support (Ménagère, Réceptionniste; 2 - Goma) @3%</t>
  </si>
  <si>
    <t xml:space="preserve">Responsable d'appuyer la gestion des risques et de la conformité. Il / elle vérifie que Mercy Corps et les politiques des donateurs et les procédures sont suivies en entreprenant des vérifications indépendantes des processus nationaux, y compris les achats, la logistique, la gestion des stocks, la gestion des actifs. Il est prévu qu'il passera 3% de son temps à ce programme. </t>
  </si>
  <si>
    <t>1.3 Personnel de support Bunia - Expatrie</t>
  </si>
  <si>
    <t>Responsable de Programme (Bunia) @20%</t>
  </si>
  <si>
    <t>Organise l'équipe  du projet, le suivi des plans de travail, coordonne les activités de suivi et d'évaluation, y compris la supervision et la gestion de la collecte des données, alloué 50% sur la catégorie de soutien. La ligne budgétaire y comprend le salaire brut, 41% de bénéfices ajoutes, ainsi que les bénéfices accordes a tout expatries de terrain suivant les règles internes de Mercy Corps.</t>
  </si>
  <si>
    <t>2.2.1 Divers équipements / fournitures</t>
  </si>
  <si>
    <t xml:space="preserve">Les coûts d’équipements et fournitures nécessaire pour la mise en œuvre du programme, comprenant les ordinateurs, générateur, téléphones mobiles, équipement radio et panneaux solaire. </t>
  </si>
  <si>
    <t>3.1.1. vehicule type 4x4</t>
  </si>
  <si>
    <t>Achat d'un véhicle pour le suivi des activités sur le terrain</t>
  </si>
  <si>
    <t>5.1 Goma - Bunia/ Bunia - Goma/ Bunia - Terrain</t>
  </si>
  <si>
    <t>Les coûts des frais de déplacements aller-retour par avion, perdiem, logement, et communications pour le staff du program. (100%)</t>
  </si>
  <si>
    <t>5.2.1 Location de voiture, carburant - Bunia</t>
  </si>
  <si>
    <t>Des coûts totaux pour la location d'un véhicule tout terrain en fonction des coûts réels pour utilisation dans les activités. (100%)</t>
  </si>
  <si>
    <t>5.2.2 Location de voiture, carburant - Goma</t>
  </si>
  <si>
    <t>4% des coûts totaux pour la location d'un véhicule a Goma en fonction des coûts réels pour utilisation dans les activités.</t>
  </si>
  <si>
    <t>7.1.1. Autres frais généraux de fonctionnement et autres couts directs - Goma</t>
  </si>
  <si>
    <t>Honoraires Professionnels  (juidiques, chauffeurs, etc.) @4%</t>
  </si>
  <si>
    <t>4% Autres honoraires professionnels de nature administrative contractés auprès d'une société. Ces services peuvent inclure le traitement de la paie, d'autres services comptables, des services de TI ou des services de traduction. Sont exclus les consultants engagés comme entrepreneurs indépendants.</t>
  </si>
  <si>
    <t>Location, réparation, et entretien d'équipment @4%</t>
  </si>
  <si>
    <t>4% Dépenses pour la réparation et l’entretien de tout équipement non automobile (y compris la réparation d’ordinateurs, portatifs ou non).</t>
  </si>
  <si>
    <t>Location, services collectifs, et entretien de bureau @4%</t>
  </si>
  <si>
    <t>4% Coûts de la location de locaux administratifs, notamment le parc de stationnement et autres locaux. Coûts des services collectifs associés aux locaux administratifs, notamment l’électricité, le combustible de chauffage, le service de l’eau/d’égout, etc. Coûts de réparation et d’entretien associés à des locaux administratifs, notamment les réparations générales, l’entretiens des espaces verts, les services de nettoyage et d’entretien, etc.</t>
  </si>
  <si>
    <t>Services de sécurité @4%</t>
  </si>
  <si>
    <t>4% Services de sécurité achetés pour des bureaux, des entrepôts, le logement du personnel, des escortes, etc. Exclut tout salaire du personnel pour les employés de MC associés à la sécurité</t>
  </si>
  <si>
    <t>Fournitures de bureau, etc @4%</t>
  </si>
  <si>
    <t>4% Fournitures de bureau, notamment la papeterie, les cartes de visite, le papier, les fournitures de photocopieuses et d’imprimantes, les chemises, stylos, etc. et les petits accessoires de bureau comme des dévidoirs de ruban adhésif, des agrafeuses, des organiseurs de bureau, des corbeilles à papier, des disques durs à mémoire flash, etc. Inclut également les fournitures pour la cuisine, la salle de pause et les toilettes aux sites de bureaux (p. ex. thé, café, eau de boisson, tasses/assiettes, papier hygiénique, articles de nettoyage, etc.).</t>
  </si>
  <si>
    <t>Communications mobiles, internet, etc. @4%</t>
  </si>
  <si>
    <t>4% Services vocaux cellulaires et internet.</t>
  </si>
  <si>
    <t>Frais bancaires @4%</t>
  </si>
  <si>
    <t>7.1.2. Autres frais généraux de fonctionnement et autres couts directs - Bunia</t>
  </si>
  <si>
    <t>Office costs (rent, utilities, generator fuel)</t>
  </si>
  <si>
    <t>25% des coûts totaux du consortium pour les coûts de fonctionnement du bureau à Bunia; la location de bureaux, compris des dépenses courantes de fournitures de bureau, et des services publics de bureau. (Carburant générateur, frais légaux et assurances).</t>
  </si>
  <si>
    <t>Internet</t>
  </si>
  <si>
    <t>25% des coûts totaux du consortium pour les coûts d'internet</t>
  </si>
  <si>
    <t>Services de sécurité (33%)</t>
  </si>
  <si>
    <t>33.3% des coûts totaux du consortium pour les coûts de services de sécurité du bureau</t>
  </si>
  <si>
    <t>Ménagère</t>
  </si>
  <si>
    <t>33.3% des coûts totaux du consortium pour les coûts de menage</t>
  </si>
  <si>
    <t>Communications mobiles/cellulaires</t>
  </si>
  <si>
    <t>100% Services vocaux cellulaires ou mobiles. Exclut le coût de l’équipement.</t>
  </si>
  <si>
    <t>Réparation et entretien d’équipement</t>
  </si>
  <si>
    <t>100% Dépenses pour la réparation et l’entretien de tout équipement non automobile (y compris la réparation d’ordinateurs, portatifs ou non).</t>
  </si>
  <si>
    <t>Fournitures de bureau, etc</t>
  </si>
  <si>
    <t>100% Fournitures de bureau, notamment la papeterie, les cartes de visite, le papier, les fournitures de photocopieuses et d’imprimantes, les chemises, stylos, etc. et les petits accessoires de bureau comme des dévidoirs de ruban adhésif, des agrafeuses, des organiseurs de bureau, des corbeilles à papier, des disques durs à mémoire flash, etc. Inclut également les fournitures pour la cuisine, la salle de pause et les toilettes aux sites de bureaux (p. ex. thé, café, eau de boisson, tasses/assiettes, papier hygiénique, articles de nettoyage, etc.).</t>
  </si>
  <si>
    <t xml:space="preserve">Frais bancaires </t>
  </si>
  <si>
    <t>COUTS TOTAL DU PROGRAMME</t>
  </si>
  <si>
    <t>Couts Indirects (max 7%)**</t>
  </si>
  <si>
    <t>COUTS TOTAL (PROGRAMME + COUTS INDIRECTS)</t>
  </si>
  <si>
    <t>GMS 7% Agent de Gestion (USD)****</t>
  </si>
  <si>
    <t xml:space="preserve">**** Que si l'organisation lead est un ONGI, le Agent de Gestion (PNUD) recoit 7% du budget total (couts totales programmatique et couts indirects). </t>
  </si>
  <si>
    <t>Narratif</t>
  </si>
  <si>
    <t>SFCG</t>
  </si>
  <si>
    <t>Depense reel sensible en genre</t>
  </si>
  <si>
    <t>Communication</t>
  </si>
  <si>
    <t xml:space="preserve">Les spots radiophoniques  de sensibilisation </t>
  </si>
  <si>
    <t>Spot Radio</t>
  </si>
  <si>
    <t xml:space="preserve">Le niveau de consommation pour cette ligne est normal à l'état actuel d'exécution du projet.  </t>
  </si>
  <si>
    <t>Impression Bande dessiné</t>
  </si>
  <si>
    <t>Consultance conception bande dessiné</t>
  </si>
  <si>
    <t>Une magasine radio couvre le processus de dialogue</t>
  </si>
  <si>
    <t xml:space="preserve">Emission PAMOJA KWA AMANI </t>
  </si>
  <si>
    <t>Formation des partenaires radio sur la le journalisme sensible aux conflits et le dialogue democratique</t>
  </si>
  <si>
    <t xml:space="preserve">les 2 formations sont déjà réalisés. </t>
  </si>
  <si>
    <t>Frais de diffusion pour les produits media ("Jeune Reporteur", PAMOJA KWA AMANI)</t>
  </si>
  <si>
    <t xml:space="preserve">Une partie de ce budget pourra servir au paiement du fournisseur de la bande dessinée. </t>
  </si>
  <si>
    <t>Appui aux productions des partenaires radio</t>
  </si>
  <si>
    <t xml:space="preserve">Les productions sont en cours jusqu'à la fin du projet. </t>
  </si>
  <si>
    <t>Frais de déplacement</t>
  </si>
  <si>
    <t>Ce budget à servir pour toute les missions de suivi des activités médias</t>
  </si>
  <si>
    <t>Resoures humaines media</t>
  </si>
  <si>
    <t>Journalist du projet pour couverture mediatique</t>
  </si>
  <si>
    <t>Ce budget couvre le salaire du journaliste jusqu'à la fin de son contrat.</t>
  </si>
  <si>
    <t>Soutien technique équipe media (Chargée de media, écrivan, Expert production radio, Technicien radio)</t>
  </si>
  <si>
    <t>Idm</t>
  </si>
  <si>
    <t xml:space="preserve">Ces jounralistes et toute l'équipe apportent leurs soutients sur la stratégie médias dans sa globalité y compris la stratégie genre  </t>
  </si>
  <si>
    <t>OBJECTIVE SPECIFIQUE 5:Le renforcement de la gouvernance sécuritaire ainsi que de la collaboration et de la redevabilité entre les autorités en charge de la sécurité et les populations permet de réduire les risques sécuritaires et de protection auxquels les femmes, les hommes, les jeunes et les enfants de la zone prioritaire sont exposés</t>
  </si>
  <si>
    <t>Activités de rapprochement et rédevabilité (J+)</t>
  </si>
  <si>
    <t xml:space="preserve">Ces activités sont en cours de réalisation par le partanaire Justice Plus. Les autres dépenses sur cette lignes ne sont pas encours actuelisés.  A la fin de vérificcation des pièces partenaires Justice Plus, les dépenses seront chargé sur cette ligne.  </t>
  </si>
  <si>
    <t>Cinema mobile  (J+)</t>
  </si>
  <si>
    <t>Kit cinema mobile  (J+)</t>
  </si>
  <si>
    <t>Le Kit acheté couvre l'ensemble des activités qui tiennent compte du genre.</t>
  </si>
  <si>
    <t>Redynamisation de 4 CLS/CLSP</t>
  </si>
  <si>
    <t>Formation des CLS/CLSP :</t>
  </si>
  <si>
    <t>Un seul CLSP reste à former. Un plan est déjà prévue au cours de ce trimestre,</t>
  </si>
  <si>
    <t>Appui au fonctionnement des CLS/CLSP</t>
  </si>
  <si>
    <t xml:space="preserve">L'appuis en cours jusqu'à la fin de ce projet </t>
  </si>
  <si>
    <t>Bulletin de score  (J+)</t>
  </si>
  <si>
    <t>Tribune d'expression populaire  (J+)</t>
  </si>
  <si>
    <t>Réunion developpement du Plan  (J+)</t>
  </si>
  <si>
    <t>Le budget déjà fini  alors que les réunions restent à réaliser par les CLSP</t>
  </si>
  <si>
    <t>Validation du Plan  (J+)</t>
  </si>
  <si>
    <t xml:space="preserve">Déjà consommé mais les dépenses ne sont en cours actualisé sur cette ligne. </t>
  </si>
  <si>
    <t>Produit 5.3.1</t>
  </si>
  <si>
    <t>Appui à la realisation des Plan de securité</t>
  </si>
  <si>
    <t>La mise en œuvre  des plans locaux de sécurité commence au cours de ce trimestre Janvier-Mars 2019</t>
  </si>
  <si>
    <t>Redynamisation de 4 CdB  (J+)</t>
  </si>
  <si>
    <t xml:space="preserve">Cette ligne va servir à toute mission d'appui et suivi des activités par l'équipe FARDC et PNC </t>
  </si>
  <si>
    <t>Formation des CdB sur les la transformation des conflits, genre et les droits de l'homme: salle, rafraichissement, accompagnateurs locaux  (J+)</t>
  </si>
  <si>
    <t xml:space="preserve">Budget en dépassement car le montant prévue est insuffisant par apport au volume des activités. </t>
  </si>
  <si>
    <t>Frais de fonctionnement CdB  (J+)</t>
  </si>
  <si>
    <t xml:space="preserve">En cours jusqu'à la fin du projet. Ce budget couvrira toute les dépenses en rapport avec les missions de suivi des activités de CdB. </t>
  </si>
  <si>
    <t>Activités de sensibilisation  (J+)</t>
  </si>
  <si>
    <t>Staff</t>
  </si>
  <si>
    <t>Coordinateur OS5--SFCG</t>
  </si>
  <si>
    <t xml:space="preserve">Le salaire sera payé jusqu'à la fi du projet. </t>
  </si>
  <si>
    <t xml:space="preserve">Il travail aussi sur les questions en rapport vec le genre </t>
  </si>
  <si>
    <t>Assistant au projet OS5-SFCG</t>
  </si>
  <si>
    <t>Subvention partenaire mise en oeuvre Justice+  (J+)</t>
  </si>
  <si>
    <t>En cours jusqu'à la fin du projet</t>
  </si>
  <si>
    <t>Sous-total Objective Specifique 2</t>
  </si>
  <si>
    <t>OBJECTIVE SPECIFIQUE 3:</t>
  </si>
  <si>
    <t xml:space="preserve"> Produit 3.1</t>
  </si>
  <si>
    <t xml:space="preserve"> Produit 3.2</t>
  </si>
  <si>
    <t xml:space="preserve"> Produit 3.3</t>
  </si>
  <si>
    <t xml:space="preserve"> Produit 3.4</t>
  </si>
  <si>
    <t xml:space="preserve">Directeur des Finances </t>
  </si>
  <si>
    <t xml:space="preserve">En cours de payement jusqu'à la fin du projet </t>
  </si>
  <si>
    <t>Directeur des Programs</t>
  </si>
  <si>
    <t xml:space="preserve">Cette ligne est déjà en dépassement, Le salaire de cette pérsonne n'est plus chargé sur cette ligne. </t>
  </si>
  <si>
    <t>Directeur Pays</t>
  </si>
  <si>
    <t>Program Associate</t>
  </si>
  <si>
    <t xml:space="preserve">Les dépenses son salaire seront chargé sur cette ligne. </t>
  </si>
  <si>
    <t>Coordinatrice DME</t>
  </si>
  <si>
    <t>Expert Formation</t>
  </si>
  <si>
    <t>Assistant DME</t>
  </si>
  <si>
    <t>Chef de bureau (Goma)</t>
  </si>
  <si>
    <t xml:space="preserve">Charge Administration et Finances (Goma) </t>
  </si>
  <si>
    <t>Assistant Administrateur-Comptable (Bunia)</t>
  </si>
  <si>
    <t>Logistcien (Bunia)</t>
  </si>
  <si>
    <t>Chauffeur et mécanicien (Bunia)</t>
  </si>
  <si>
    <t>Celui-ci complétera le salaire du logisticien</t>
  </si>
  <si>
    <t xml:space="preserve">Matériel informatique pour le staff - ordinateur, imprimante, appareil photos </t>
  </si>
  <si>
    <t xml:space="preserve">un équipement pour le staff sera acheté au cours de cet trimestre </t>
  </si>
  <si>
    <t xml:space="preserve">Fournitures de Bureaux Projet et Consommables </t>
  </si>
  <si>
    <t xml:space="preserve">En cours de consommation jusqu'à la fin de ce projet </t>
  </si>
  <si>
    <t>Entretien Générateur bureau (y compris carburant)</t>
  </si>
  <si>
    <t xml:space="preserve">Servi pour l'achat de kit solaire pour le bureau </t>
  </si>
  <si>
    <t>Communication/contrat Vodacom</t>
  </si>
  <si>
    <t>Sécurité et netoyage bureau</t>
  </si>
  <si>
    <t>Voyages staff de terrain (per diem et hébergement)</t>
  </si>
  <si>
    <t>Idem</t>
  </si>
  <si>
    <t xml:space="preserve">Vol nationaux </t>
  </si>
  <si>
    <t>Frais bancaires, services professionelle</t>
  </si>
  <si>
    <t>Location Bureau (Bunia)</t>
  </si>
  <si>
    <t xml:space="preserve">En cours jusqu'à la fin du projet </t>
  </si>
  <si>
    <t>Location Bureau  (Goma)</t>
  </si>
  <si>
    <t>Electricité et eau</t>
  </si>
  <si>
    <t xml:space="preserve">Déjà fin </t>
  </si>
  <si>
    <t>Entretien et reparation de vehicule (y compris carburant)</t>
  </si>
  <si>
    <t>Staff support gestion de supervsion par l'equipe regionale</t>
  </si>
  <si>
    <t>Staff support suivi et évalution</t>
  </si>
  <si>
    <t>Les autres personnes du département DME chargeront leur salaire cette ligne</t>
  </si>
  <si>
    <t xml:space="preserve">Cout d'auit 1% </t>
  </si>
  <si>
    <t>ACIAR</t>
  </si>
  <si>
    <t>Pamoja kwa Amani (Ensemble pour la paix)</t>
  </si>
  <si>
    <t>OBJECTIVE SPECIFIQUE 1: Soutien accru et inclusif (impliquant l'Etat et les différents groupes de population : les hommes, les femmes, les filles et les garçons) pour la stratégie de stabilisation et de sécurité, au niveau communautaire</t>
  </si>
  <si>
    <t xml:space="preserve">Produit 1.1.1: les problématiques  de conflits sont connues dans la zone d’intervention </t>
  </si>
  <si>
    <t>Barza Communautaires</t>
  </si>
  <si>
    <t>Approfondissement et analyse des problèmes prioritaires retenus dans des focus group.</t>
  </si>
  <si>
    <t>Approfondissement;  interviews et documentation sur les problèmes prioritaires avec des personnalités Clés de la communauté.</t>
  </si>
  <si>
    <t>Rien à signaler</t>
  </si>
  <si>
    <t>Réunions bimestrielles de suivi des ILP</t>
  </si>
  <si>
    <t>Produit 1.1.2 : Les priorités de plans d’action inclusifs et sensibles au genre sont rassemblées dans les conventions sectorielles</t>
  </si>
  <si>
    <t>Plaidoyer et suivi des résolutions au niveau local et provincial</t>
  </si>
  <si>
    <t>Plaidoyer au niveau National et autres.</t>
  </si>
  <si>
    <t>Les prévisions étaient non réalistes, la problèmatique FRPI neccessite plusieurs missions de plaidoyer à Kin et qui coûtent cher</t>
  </si>
  <si>
    <t>Réunions de Comité Consultatif du projet</t>
  </si>
  <si>
    <t>Produit 1.2.1: Les structures locales de transformation de conflits sont renforcées et opérationnelles</t>
  </si>
  <si>
    <t xml:space="preserve">Organisation d'un atelier de lancement du Projet.  </t>
  </si>
  <si>
    <t>Au lieu de 5 animateurs tels que prévus au départ c'est plutôt 6 animateurs qui sont en charge de ce projet et c'est ce qui a augmenté les frais de prise en charge sur terrain lors de l'atelier de lancement du projet.</t>
  </si>
  <si>
    <t xml:space="preserve"> Sessions de renforcement des capacités des membres des ILP </t>
  </si>
  <si>
    <t>Session de formation sur le Leadership Cohésif</t>
  </si>
  <si>
    <t>Nous avons eu l’autorisation du Secrétariat Technique pour prendre de l’argent sur les autres lignes pour réaliser l’activité. Ces coûts élevés se justifient par une augmentation du nombre des participants ; plusieurs députés nationaux et sénateurs venus de Kinshasa dont les frais de transport sont très élevés comme les frais de séjour à Bunia</t>
  </si>
  <si>
    <t xml:space="preserve"> Equipement des ILP</t>
  </si>
  <si>
    <t xml:space="preserve"> Les cadres de Concertation au niveau des chefferies</t>
  </si>
  <si>
    <t>Les médiations pour des conflits spécifiques</t>
  </si>
  <si>
    <t xml:space="preserve"> Les conférences inclusives ou tables rondes</t>
  </si>
  <si>
    <t>Des fonds ont été utilisés pour les réunions réalisées à kinshasa dans le cadre du Processus FRPI. La connsommation est normale.</t>
  </si>
  <si>
    <t>Les célébrations des signatures des accords de Paix</t>
  </si>
  <si>
    <t xml:space="preserve">Produit 1.2.3: Les résultats et solutions du processus de dialogue sont partagés </t>
  </si>
  <si>
    <t>Atelier d’élaboration des messages de sensibilisation</t>
  </si>
  <si>
    <t xml:space="preserve"> Production des outils de sensibilisation</t>
  </si>
  <si>
    <t xml:space="preserve">Diffusion des messages de sensibilisation à travers les ILP et autres leaders communautaires. </t>
  </si>
  <si>
    <t xml:space="preserve"> Diffusion des messages de sensibilisation à SFCG</t>
  </si>
  <si>
    <t xml:space="preserve">OBJECTIVE SPECIFIQUE 6: La cohésion sociale intra et intercommunautaire et la résilience des communautés sont renforcées grâce à des activités de relance économique et de réintégration des jeunes « à risques » </t>
  </si>
  <si>
    <t>Produit 6.3.1 : Les MUSO renforcées et opérationnelles</t>
  </si>
  <si>
    <t xml:space="preserve">Identification et sensibilisation à la création des nouvelles Muso (au cours des barza communautaires) </t>
  </si>
  <si>
    <t>activité prévue seulement la première année</t>
  </si>
  <si>
    <t xml:space="preserve"> Formation des cadres des Muso </t>
  </si>
  <si>
    <t>Suivi et accompagnement des MUSO &amp; Réunions bimestrielles d’échanges d’expériences entre les Muso</t>
  </si>
  <si>
    <t>Consommation normale</t>
  </si>
  <si>
    <t>Accompagnement à l’élaboration des RI des MUSO</t>
  </si>
  <si>
    <t>Consommation normale RAS</t>
  </si>
  <si>
    <t>Enquêtes de classification</t>
  </si>
  <si>
    <t>Produit 6.3.2. : Les Groupements MUSO sont mises en place et contribuent à la pérennisation de l’outil Muso</t>
  </si>
  <si>
    <t xml:space="preserve"> Sensibilisation à la mise en place de Groupement de Muso</t>
  </si>
  <si>
    <t xml:space="preserve">Formation des membres des comités de groupement des MUSO </t>
  </si>
  <si>
    <t>Equipement et appui Caisse de Refinancement GM.</t>
  </si>
  <si>
    <t>Suivi des MUSO par les animateurs endogènes et echange d'experience avec d'autres groupement économiques</t>
  </si>
  <si>
    <t xml:space="preserve">Appui organisationnel et statutaires (Assemblées Générales, Comité de Gestion, Comité des Sages, etc.) des Groupement des MUSO </t>
  </si>
  <si>
    <t>Sous-total Objective Specifique 6</t>
  </si>
  <si>
    <t>Depuis  le début de la mise en œuvre du projet , 25 animateurs de la CFI  ont été instalés dans 5 chefferies. Ils ont été pris en charge dans le cadre de monitoring de conflits fonciers:,  primes, loyer et  les frais de transport. Le frais de la Coordination de la CFI est pris en compte dans ce budget.</t>
  </si>
  <si>
    <t xml:space="preserve">Accompagnement téchniques des animateurs fonciers et  participation des autorités coutumières et l'administration foncière dans le processus de résolution pacifique de conflits fonciers </t>
  </si>
  <si>
    <t>Ce budget a permis  l'organisation des activités préliminaires  et des journées de concertation avec les communautés et la CFI dans les différentes chefferies du Sud-Irumu pour la compréhension approfondie de la question foncière en conflit avec  risques de tensions communautaire.</t>
  </si>
  <si>
    <t xml:space="preserve">Ce budget a servi à  l'organisation de 3 jours d'atelier pour contribuer au renforcement des capacités techniques des animateurs fonciers de la CFI en vue de la mise en œuvre des actions de prévention et résolution pacifique des conflits fonciers en territoire d’Irumu. </t>
  </si>
  <si>
    <t>Ce budget a permis  la réhabilitation des bureaux de la CFI dans 5 chefferie en vue de rendre leurs activités de monitoring des conflits fonciers plus permenant dans le cadre de leur prise en charge.</t>
  </si>
  <si>
    <t>Ce montant a permis à l'organisation de l'atelier de deux jours afin de renfoncer les capacités des autorités locales et  coutumieres sur les droits des femmes à la terre et à la proprieté.</t>
  </si>
  <si>
    <r>
      <t xml:space="preserve">SOUS-TOTAL COUTS DIRECTS LIES AUX ACTIVITES </t>
    </r>
    <r>
      <rPr>
        <sz val="11"/>
        <color indexed="10"/>
        <rFont val="Calibri"/>
        <family val="2"/>
      </rPr>
      <t>(au minimum 60% du budget total)</t>
    </r>
  </si>
  <si>
    <r>
      <t xml:space="preserve">SOUS-TOTAL COUTS DIRECTS DE SOUTIEN </t>
    </r>
    <r>
      <rPr>
        <sz val="11"/>
        <color indexed="10"/>
        <rFont val="Calibri"/>
        <family val="2"/>
      </rPr>
      <t>(ne peuvent représentés plus de 35% du budget total)</t>
    </r>
  </si>
  <si>
    <r>
      <t xml:space="preserve">Cout GMS </t>
    </r>
    <r>
      <rPr>
        <sz val="11"/>
        <color indexed="10"/>
        <rFont val="Calibri"/>
        <family val="2"/>
      </rPr>
      <t>7%</t>
    </r>
  </si>
  <si>
    <t>Ce budget a supporté l’appui de 10 femmes animatrices de la CFI dans la mise en oeuvre des activités de monitoring pour la prise en charge des conflits fonciers dans les 5 chefferies,  les frais de transport  et autres frais de rapportage sont inclus dans ce budget.</t>
  </si>
  <si>
    <t>Ce montat a été utilisé pour la prise en charge de 10 femmes de la CFI  afin de renforcer leur capacité en méthode alternative des conflits.  Leur participation a contribué en terme de reflexion pour aborder le partage d'experience en  techniques de resolution des conflits fonciers dans les sites du projet.</t>
  </si>
  <si>
    <t>les femmes ont joué le role à 50% dans la mise en œuvre de cette activité et cela au regard de leur participation. Dans chaque site où les sessions ont été organisées, les femmes ont appuyé dans la mobilisation en terme de contact avec les leaders lacaux ainsi que pour les modalités pratiques.</t>
  </si>
  <si>
    <t>Les femmes ont appuyé l'organisation en terme des contacts avec les differents interlocuteurs ainsi que pour les modalités pratiques de la session. Ce budget a servi pour faire participer aussi les femmes à l'activité. Les prises de parole de ces femmes  et les thematiques developpées ont permis aux chefs coutumiers de prendre conscience sur les droits de la femmes.</t>
  </si>
  <si>
    <t>Cette activité a consisté à apuyer à apporter des remèdes pour la stabilisation de la zone. Cette ligne budgétaire de 3141.6$ dediée au genre  a supporté les frais de transport des femmes participantes à la campagne, les frais de restauration.les femmes ont servi aussi à donner leur appui à l'organisation des journées portes ouverte dans leurs zone.</t>
  </si>
  <si>
    <t xml:space="preserve">Activité  non realisée. </t>
  </si>
  <si>
    <t>OIM</t>
  </si>
  <si>
    <r>
      <t>(e) GMS 7% Agent de Gestion (USD)****</t>
    </r>
    <r>
      <rPr>
        <b/>
        <sz val="10"/>
        <color rgb="FFFF0000"/>
        <rFont val="Calibri"/>
        <family val="2"/>
        <scheme val="minor"/>
      </rPr>
      <t>_Couts Indirects (max 7%::</t>
    </r>
  </si>
  <si>
    <t>% du Budget Genre**</t>
  </si>
  <si>
    <t>Montant de l'activite lié au genre</t>
  </si>
  <si>
    <t>% du Budget Genre*</t>
  </si>
  <si>
    <t xml:space="preserve">OBJECTIVE SPECIFIQUE 3: Les autorités compétentes adoptent et mettent en application des mesures qui renforcement la transparence dans l’exploitation et la gestion des ressources minières dans la zone prioritaire.  </t>
  </si>
  <si>
    <t>Résultat  3.1:  La qualité de services techniques de l’Etat en charge des mines et autres parties prenantes est améliorée</t>
  </si>
  <si>
    <t xml:space="preserve">Produit 3.1.1 : L’engagement de parties prenantes à l’amélioration de la gouvernance minière est obtenu  </t>
  </si>
  <si>
    <t xml:space="preserve">Activité 3.1.1.1: Organisation des consultations bilatérales et multilatérales avec les parties prenantes ; </t>
  </si>
  <si>
    <t>Consultations et séances de travail avec les services techniques des mines, les proprietaires terriens, société civile et les représentants des exploitatnts artisanaux de l'or</t>
  </si>
  <si>
    <t xml:space="preserve">Sous total </t>
  </si>
  <si>
    <t>Activité 3.1.1.2: Atelier de Sensibilisation et séance de travail avec les parties prenantes (ministère provincial, services techniques des mines, acteurs thématiques, coopératives minières, etc.) sur la nécessité de la mise en place et fonctionnement d’un Comité de Suivi des Activités Minières au niveau de la province</t>
  </si>
  <si>
    <t>Reunions Bilaterales OIM/societes civiles thematiques mines</t>
  </si>
  <si>
    <t>Ateliers de Formation</t>
  </si>
  <si>
    <t>fournitures, produits de base, materiels</t>
  </si>
  <si>
    <t>Produit 3.1.2 : La capacité des services et institutions membres du comité de suivi des activités minières de la province de l'Ituri est renforcée</t>
  </si>
  <si>
    <t>Activité .3.1.2.1: Création de la commission provinciale de suivi des activités minières (CSAM) en province de l’Ituri,</t>
  </si>
  <si>
    <t>Atelier de creation d'un comite provincial des activites minieres ad-hoc</t>
  </si>
  <si>
    <t>Sélection des membres du comite had-hoc de redaction d'un projet d'arrete de CSAM</t>
  </si>
  <si>
    <t xml:space="preserve">Activité .3.1.2.2 : Renforcement des capacités des membres de la Commission de Suivi des activités minières ;  </t>
  </si>
  <si>
    <t>Formation et séance de travail</t>
  </si>
  <si>
    <t>Séance de travail et de rédaction de projet d'arreté de CSAM</t>
  </si>
  <si>
    <t>Restitution des travaux de projet d'arrete de CSAM</t>
  </si>
  <si>
    <t xml:space="preserve">Activité .3.1.2.3: Suivi et accompagnement des réunions périodiques de la CSAM;
</t>
  </si>
  <si>
    <t>Accompagement des missions des membres de la comission CSAM</t>
  </si>
  <si>
    <t>Appui au fonctionnement du CSAM</t>
  </si>
  <si>
    <t>Activité réalisée.</t>
  </si>
  <si>
    <t>Appui aux réunions statutaires du CSAM et les représentants exploitats artisanaux de la zone</t>
  </si>
  <si>
    <t>Réunions bi-mensuelles de CSAM Ituri</t>
  </si>
  <si>
    <t>Réunion extraordinaires de CSAM</t>
  </si>
  <si>
    <t>Produit 3.1.3. : Le cadre de concertation des acteurs miniers artisanal est mise en place et renforcé.</t>
  </si>
  <si>
    <t>Activité .3.1.3.1: Faciliter et soutenir les échanges inter provinces afin d’harmoniser les approches.</t>
  </si>
  <si>
    <t>Ateliers interprovinces sur l'echange d'experience sur la structure CSAM</t>
  </si>
  <si>
    <t>Activité 3.1.3.2: Formation des agents des services techniques de mines, les délègues de la société civile et  les membres des coopératives sur  les mécanismes de traçabilité et de certification des minerais ;</t>
  </si>
  <si>
    <t xml:space="preserve">Atelier de formation </t>
  </si>
  <si>
    <t>Réunion inter-Province d'echange d'experience de CSAM</t>
  </si>
  <si>
    <t xml:space="preserve">Sous total R 3.1. </t>
  </si>
  <si>
    <t>Résultat .3.2: Les coopératives minières sont créées, opérationnelles et renforcées dans la ZP</t>
  </si>
  <si>
    <t xml:space="preserve">Produit 3.2.1 : Les membres des coopératives minières comprennent la nécessite de signature d'un protocole d'accord avec les  détenteurs de titres miniers actifs dans la zone du projet; </t>
  </si>
  <si>
    <t xml:space="preserve">Activité 3.2.1.1 : Les associations et groupements des exploitations minières sont constitués en coopératives ; </t>
  </si>
  <si>
    <t>Reunions de sensiblitisation des membres des cooperatives minieres</t>
  </si>
  <si>
    <t>Activité 3.2.1.2: Les coopératives minières artisanales de la ZP sont créées  par décret suivant les dispositions du code minier du Congo ;</t>
  </si>
  <si>
    <t>Seminaire d'information portant sur la légalisation des cooperative</t>
  </si>
  <si>
    <t>activité réalisée</t>
  </si>
  <si>
    <t>Appui aux séances de  travail de redaction des agréements des cooperatives minière</t>
  </si>
  <si>
    <t>Activité 3.2.1.3: Les capacités institutionnelles des coopératives sont renforcées ;</t>
  </si>
  <si>
    <t>Ateliers de renforcement de capacite institutionnelle et de formalisation des cooperatives</t>
  </si>
  <si>
    <t>Activité 3.2.1.4: Renforcement des capacités des coopératives sur le code minier sur les lois et règlements miniers, les législations nationales, régionales et internationales sur le commerce  responsable des minerais</t>
  </si>
  <si>
    <t>Seminaires de formation des cooperatives sur les lois, reglements et mecanismes regissant l'exploitation minieres artisanale</t>
  </si>
  <si>
    <t>Appui aux coperatives minieres</t>
  </si>
  <si>
    <t>Produit 3.2.2 : Les détenteurs des titres miniers et autres entreprises minières de la ZP approuvent et  signent un protocole d'accord avec les coopératives opérant dans leurs concessions ;</t>
  </si>
  <si>
    <t>Activité 3.3.2.1 : Sensibilisation  et entretien  individuels avec les exploitants artisanaux et les concessionnaires</t>
  </si>
  <si>
    <t>Rencontre bilatérale de facilitation des negociations sur les protocole d'accord avec  Kilomoto</t>
  </si>
  <si>
    <t xml:space="preserve">Produit 3.2.3 : Une chaine d’approvisionnement pilote de traçabilité de l’or est mise en œuvre dans la zone du projet ; </t>
  </si>
  <si>
    <t xml:space="preserve">Activité 3.3.3.1: Les sites miniers recommandés par la Commission de suivi des activités minières sont évalués suivant les critères SALT ; </t>
  </si>
  <si>
    <t>Missions d'evaluations SALT des sites miniers aurifères</t>
  </si>
  <si>
    <t xml:space="preserve">Activité 3.3.3.2: 6 sites miniers d'or sont qualifiés et validés pour la mise en œuvre d'un projet pilote de traçabilité de l'or ; </t>
  </si>
  <si>
    <t>Missions conjointe de qualification des sites miniers</t>
  </si>
  <si>
    <t>Suivi auprès des autorités pour la validation</t>
  </si>
  <si>
    <t>Activité 3.3.3.4: un point de vente est construit, équipe et remis au ministère provincial des mines pour le fonctionnement des services techniques dans le cadre de la traçabilité de l'or</t>
  </si>
  <si>
    <t>Mission d'identification de parcelle pour la construction d'un PdV et autres travaux préparatoire</t>
  </si>
  <si>
    <t>Construction d'un PDV</t>
  </si>
  <si>
    <t>Innauguration et céremonie de remise officielle de l'ouvrage</t>
  </si>
  <si>
    <t>OS3 Suvi et Evaluations, recolte des données</t>
  </si>
  <si>
    <t>Résultat 3.3 : Des activités alternatives génératrices de revenus sont créées autour des sites miniers.</t>
  </si>
  <si>
    <t>Produit 3.3.1 : Des activités  génératrices de revenus femmes sont créées autour des sites miniers.</t>
  </si>
  <si>
    <t xml:space="preserve">Activité 3.3.1.1: Sélection et identification des bénéficiaires autour des sites miniers; </t>
  </si>
  <si>
    <t>Missions d'identification des des associations et operateurs économiques</t>
  </si>
  <si>
    <t>Sous total</t>
  </si>
  <si>
    <t xml:space="preserve">Activité 3.3.1.2 : Identification des besoins et collection des choix des bénéficiaires selon les filières d’activités ;  </t>
  </si>
  <si>
    <t xml:space="preserve">Sélection des associations des femmes, des ex-combattants et des jeunes </t>
  </si>
  <si>
    <t xml:space="preserve">Activité 3.3.1.3 : Organisation des membres en groupes selon les filières et accompagné la tenue l’assemblée générale constituante et élective pour la mise en place des comités de gestion de groupements associatifs ; </t>
  </si>
  <si>
    <t xml:space="preserve">Appui à la constitution des groupes de membres et accompagnement des réuniions statutaires </t>
  </si>
  <si>
    <r>
      <t xml:space="preserve">Produit 3.3.2 : </t>
    </r>
    <r>
      <rPr>
        <sz val="10"/>
        <rFont val="Calibri"/>
        <family val="2"/>
        <scheme val="minor"/>
      </rPr>
      <t>Les capacités des associations des petits opérateurs économiques autour des sites miniers sont renforcées</t>
    </r>
    <r>
      <rPr>
        <b/>
        <sz val="10"/>
        <rFont val="Calibri"/>
        <family val="2"/>
        <scheme val="minor"/>
      </rPr>
      <t xml:space="preserve"> </t>
    </r>
  </si>
  <si>
    <t>Activité 3.3.2.1: Accompagnement et renforcement des capacités des associations des petits opérateurs économiques autour des sites miniers</t>
  </si>
  <si>
    <t>Identification analyse et sélection des besoins des operateurs économiques</t>
  </si>
  <si>
    <r>
      <t xml:space="preserve">Produit 3.3.3 : </t>
    </r>
    <r>
      <rPr>
        <sz val="10"/>
        <rFont val="Calibri"/>
        <family val="2"/>
        <scheme val="minor"/>
      </rPr>
      <t xml:space="preserve">Des AGR pilotes sont initiées en faveur d'une ou deux associations de petits operateurs  vulnérables ; </t>
    </r>
  </si>
  <si>
    <t xml:space="preserve">Activité 3.3.3.1 : Accompagnement, soutien et appui financier aux AGR pilotes des associations des petits opérateurs  les plus vulnérables </t>
  </si>
  <si>
    <t>Soutien aux AGR pilotes des femmes et association des ex-combattants</t>
  </si>
  <si>
    <t>Accompagement des activités des femmes au tours des sites</t>
  </si>
  <si>
    <t xml:space="preserve">Sous total R 3.3. </t>
  </si>
  <si>
    <t>Produit 5.2.2 : L’efficacité de la police de proximité est assurée par la construction/ équipement des infrastructures policières prioritaires</t>
  </si>
  <si>
    <t>A5.2.2.1 Construction d'un SC à Mitego</t>
  </si>
  <si>
    <t xml:space="preserve">Construction d'un sous commissariats à Mitego </t>
  </si>
  <si>
    <t>IOM-OS5</t>
  </si>
  <si>
    <t xml:space="preserve">Supervision et suivi travaux des construction  </t>
  </si>
  <si>
    <t>IOM-OS 5</t>
  </si>
  <si>
    <t>Panneaux des 10 règles d'or</t>
  </si>
  <si>
    <t xml:space="preserve">Voyage et mission de terrain </t>
  </si>
  <si>
    <t>Inauguration et remise des ouvrages</t>
  </si>
  <si>
    <t xml:space="preserve">A5.2.2.2  Dotation en moyens de transport et matériels de communication aux infrastructures policières prioritaires </t>
  </si>
  <si>
    <t xml:space="preserve">Achat de 10 telephones  portables </t>
  </si>
  <si>
    <t xml:space="preserve">Achat de 1 voiture 4*4 </t>
  </si>
  <si>
    <t>Achat de 2 Moto DT Yamaha ou 4 Moto DT TOYO</t>
  </si>
  <si>
    <t>A5.2.2.3  Dotation en mobiliers de  bureau</t>
  </si>
  <si>
    <t xml:space="preserve">20 Matelas de 6 pousses </t>
  </si>
  <si>
    <t>20 Couverture</t>
  </si>
  <si>
    <t xml:space="preserve">20 Lits en bois Local </t>
  </si>
  <si>
    <t xml:space="preserve">Meubles bureau </t>
  </si>
  <si>
    <t>Etagères</t>
  </si>
  <si>
    <t>Chaises de bureau (prefabriquée)</t>
  </si>
  <si>
    <t xml:space="preserve">Chaises visiteurs métaliques prefabriquées </t>
  </si>
  <si>
    <t>Bancs d'acceuil préfabriqués</t>
  </si>
  <si>
    <t>Transport et manutention</t>
  </si>
  <si>
    <t xml:space="preserve">A5.2.2.4 Dotation en equipements informatiques et fournitures de bureau </t>
  </si>
  <si>
    <t>Laptop</t>
  </si>
  <si>
    <t>Modem vodacom + carte</t>
  </si>
  <si>
    <t>Imprimante</t>
  </si>
  <si>
    <t xml:space="preserve">Scanner HP </t>
  </si>
  <si>
    <t>Onduleur</t>
  </si>
  <si>
    <t>Stabilisateur</t>
  </si>
  <si>
    <t>Multiprise</t>
  </si>
  <si>
    <t>Fourniture de bureau</t>
  </si>
  <si>
    <t xml:space="preserve">Fond de contingences </t>
  </si>
  <si>
    <t xml:space="preserve">A.2.2.5 Renforcement des capacités, accompagnement professionnel et contrôle , suivi, evaluation internes </t>
  </si>
  <si>
    <t xml:space="preserve">Atelier de renforcement des capacités de 30 Agents PNC </t>
  </si>
  <si>
    <t xml:space="preserve">Atelier des cadres / gestion Logistiquecpour 10 policiers </t>
  </si>
  <si>
    <t>Formation de 5 informaticiens / 2 Chauffers Auto /  5 Moto</t>
  </si>
  <si>
    <t>Sensibilisation  de la communauté sur la PNC ( OS 1 - DD)</t>
  </si>
  <si>
    <t xml:space="preserve">Mettre en place une equipe de 5 coachs dediés à l'accompagnement des policiers </t>
  </si>
  <si>
    <t xml:space="preserve">Soutenir la logistique et le deploiement des coachs </t>
  </si>
  <si>
    <t>Appui au controle interne , Suivi et evaluation</t>
  </si>
  <si>
    <t>Sous-total Objective Specifique 5</t>
  </si>
  <si>
    <t>Personnel OS 3</t>
  </si>
  <si>
    <t>Kinshasa Support Staff (5%)</t>
  </si>
  <si>
    <t>Project Field Coordinator (100%)</t>
  </si>
  <si>
    <t xml:space="preserve">Admin/fin/log Assistant (50%) </t>
  </si>
  <si>
    <t xml:space="preserve">Driver (50%) </t>
  </si>
  <si>
    <t>Personnel OS 5</t>
  </si>
  <si>
    <t>Equipements IT, véhicules/maintenance et mobilier</t>
  </si>
  <si>
    <t>Sécurité, Bureau et Maintenance</t>
  </si>
  <si>
    <t>OIM - OS 5</t>
  </si>
  <si>
    <t>Sous total service contractuelles</t>
  </si>
  <si>
    <t>IOM Duty travel</t>
  </si>
  <si>
    <t xml:space="preserve">Fuel </t>
  </si>
  <si>
    <t>IOM OS 5</t>
  </si>
  <si>
    <t>Frais généraux  OS 3</t>
  </si>
  <si>
    <t>Furniture and equipment</t>
  </si>
  <si>
    <t>OIM Office supply</t>
  </si>
  <si>
    <t>OIM other office costs</t>
  </si>
  <si>
    <t>UNDSS Shared costs</t>
  </si>
  <si>
    <t xml:space="preserve">IOM Goma support  costs </t>
  </si>
  <si>
    <t xml:space="preserve">IOM Kinshasa support  costs </t>
  </si>
  <si>
    <t>Frais généraux  OS 5</t>
  </si>
  <si>
    <t xml:space="preserve">sous total </t>
  </si>
  <si>
    <t>Cette activité non encore realisée a déjà fait l'objet d'un engagement des fonds vis à vis de notre partenaire CFI</t>
  </si>
  <si>
    <t xml:space="preserve">Activité  non encore realisée. Cette activité fait l'objet d'une reprogrammation dans le premier trimestre du plan de travail annuel de 2019.    </t>
  </si>
  <si>
    <t xml:space="preserve">Activité  non encore realisée.Cette activité fait l'objet d'une reprogrammation dans le premier trimestre du plan de travail annuel de 2019.    </t>
  </si>
  <si>
    <t>Cette activité non encore relaisée a déjà fait l'objet d'un engagement des fonds vis à vis de notre partenaire CFI.</t>
  </si>
  <si>
    <t>Le 40% de ce budget  permet à la prise en compte de la construction des bureaux en tenant compte du genre pour leurs utilisations. les femmes comme les hommes seront mis en contribution pour la rehabilitation de  ces ouvrages en termes des mains d'oeuvre.</t>
  </si>
  <si>
    <t xml:space="preserve">Cette activité n'est pas encore realisée mais son Fax autorization a été approuvé en 2018. Cette activité est reprogrammée  dans le premier trimestre du plan de travail annuel de 2019.    </t>
  </si>
  <si>
    <t>Ce budget a permis d'organiser un atelier de 2 jours pour  assurer  la diffusion et la vulgarisation de l’approche PCFP auprès des representants de chefferies, jeunesse, societé civile et administration fonciere.</t>
  </si>
  <si>
    <t>Cette activité non encore relaisée a déjà fait l'objet d'un engagement des fonds vis à vis de notre partenaire CFI</t>
  </si>
  <si>
    <t>Un consultant a été recruté pour mener cette activité.Ce budget a été consomé pour le payement de ses honoraires après soumission du rapport final.</t>
  </si>
  <si>
    <t>Ce montant a servi pour l'organisation de la descente mission CTS ( prise en charge des membres du gouvernement provincial de l'Ituri).</t>
  </si>
  <si>
    <t>Ce montant a servi pour l'organisation des reunions CTC ( prise en charge des membres du gouvernement provincial de l'Ituri).</t>
  </si>
  <si>
    <t>Ce montant a servi pour l'organisation de la revue à mi parcours du projet Sud Irumu ( prise en charge des membres du gouvernement provincial de l'Ituri, des autorisées et leadres locaux du territoire d'Irumu).</t>
  </si>
  <si>
    <t xml:space="preserve">Ce montant a été utilisé pour permettre à l'equipe d'organiser des descentes sur  le terrain en associant les differentes autorités locales dans des missions de suivi et leur prise en charge. </t>
  </si>
  <si>
    <t>OBJECTIVE SPECIFIQUE 4:</t>
  </si>
  <si>
    <t>Produit 4.1.1</t>
  </si>
  <si>
    <t xml:space="preserve">A 4.1.1.1 : Diagnostic participatif sur les capacités institutionnelles  et opérationnelles  des ETD ainsi que de leurs services techniques.  </t>
  </si>
  <si>
    <t>Caritas</t>
  </si>
  <si>
    <t>La Caritas budgétise en 15% la dimension genre car le système de pouvoir coutumier ne favorise pas l'accession des femmes dans l'administration locale</t>
  </si>
  <si>
    <t>Dans les ETD, les femmes exercent les fonctions de responsables de service de genre, protocoles, opératrices de saisie ou rarement les receveurs-comptables</t>
  </si>
  <si>
    <t>A 4.1.1.2 : Formation/recyclage des autorités des ETD et de leurs services techniques</t>
  </si>
  <si>
    <t>Parmi les agents de l'Administration locale, les femmes sont rares à cause de mode d'accession au pouvoir coutumier</t>
  </si>
  <si>
    <t>Cette activité a été réalisée en entiéreté</t>
  </si>
  <si>
    <t>A 4.1.1.3 : Appui aux ETD en équipement de bureau (Laptot, imprimante photocopieuse, groupe électrogène, fournitures) et documentation.</t>
  </si>
  <si>
    <t>Les équipements remis aux ETD vont permettre aux autorités de fournir les services administratifs ou sociaux aux hommes et aux femmes</t>
  </si>
  <si>
    <t>Produit 4.1.2</t>
  </si>
  <si>
    <t>A 4.1.2.1 : Préparation de la planification locale </t>
  </si>
  <si>
    <t>le processus de planification concerne les hommes et les femmes</t>
  </si>
  <si>
    <t>le Consultant a impliqué les hommes et les femmes dans le processus de planification</t>
  </si>
  <si>
    <t>A 4.1.2.2 : Organisation de diagnostic participatif  </t>
  </si>
  <si>
    <t>Le diagnostic participatif concerne les hommes et les femmes</t>
  </si>
  <si>
    <t>Le Consultant a impliqué les hommes et les femmes dans les démarches de diagnostic (parmi les enqueteurs et les participants de la base)</t>
  </si>
  <si>
    <t>A 4.1.2.3 : Formulation et élaboration du PDL/PIL/PAI</t>
  </si>
  <si>
    <t>la formulation et l'élaboration de PDL/PIL/PAI concerne les hommes et les femmes</t>
  </si>
  <si>
    <t>Le Consultant apris en compte les questions de genre dans la formulation de PDL</t>
  </si>
  <si>
    <t>A 4.1.2.4 : Adoption du PDL/PIL/PAI</t>
  </si>
  <si>
    <t>L'adoption de PDl/PIL/PAI concerne les hommes et les femmes</t>
  </si>
  <si>
    <t>les femmes ont été associées dans l'Atelier d'Adoption de PDL/PIL/PAI et c'est madame l'AT d'Irumu qui a procédé à la remise des PDL aux Chefs des ETD</t>
  </si>
  <si>
    <t>A.4.1.2.5 : Suivi de la mise en œuvre du PLD et du Budget Participatif au niveau des ETD</t>
  </si>
  <si>
    <t>La mise en œuvre des priorités contenues dans les PDl profitent aux hommes et aux femmes</t>
  </si>
  <si>
    <t xml:space="preserve">Cette activité est prévue pour le trimestre prochain </t>
  </si>
  <si>
    <t>Produit 4.1.3</t>
  </si>
  <si>
    <t>A 4.1.3.1 : Formation des structures citoyennes communautaires sur le rôle, mission et règle d’organisation  de structure citoyenne</t>
  </si>
  <si>
    <t>Dans chaque structure citoyenne, on compte 5 femmes et 5 hommes</t>
  </si>
  <si>
    <t>sous estimation du budget en omettant la formation des structures dans les groupements</t>
  </si>
  <si>
    <t>A 4.1.3.2 : Formation des structures citoyennes sur les principes de gouvernance inclusive (Décentralisation, Démocratie, participation citoyenne, Analyse sociale)</t>
  </si>
  <si>
    <t>A 4.1.3.3 : Formation des structures citoyennes sur le plaidoyer et la mobilisation communautaire</t>
  </si>
  <si>
    <t>sous consommation pour compenser A 4.1.3.1 </t>
  </si>
  <si>
    <t>A 4.1.3.4 : Formation des structure citoyennes sur la culture fiscale (Impôts et taxes)</t>
  </si>
  <si>
    <t>A 4.1.3.5 : Formation des autorités sur les impôts et taxes ainsi que le mode de gestion des recettes issues des impôts et taxes</t>
  </si>
  <si>
    <t>A 4.1.3.6 : Formation des autorités sur les principes de gouvernance inclusive (Décentralisation, Démocratie,  Participation citoyenne et la redevabilite)</t>
  </si>
  <si>
    <t>Parmi les agents de l'Administration locale, les femmes sont rares à cause de mode d'accession au pouvoir coutumie</t>
  </si>
  <si>
    <t>Produit 4.1.4</t>
  </si>
  <si>
    <t>A 4.1.4.1 : Mise en place et renforcement des structures citoyennes communautaires</t>
  </si>
  <si>
    <t>Pour constituer une structure, l'on a tenu compte de l'équité, 5 femmes et 5 hommes</t>
  </si>
  <si>
    <t>A 4.1.4.2 : Création d’un Cadre de concertation entre les décideurs et les structures citoyennes communautaires au niveau des ETD</t>
  </si>
  <si>
    <t>Cette activité tient compte de la participation des femmes</t>
  </si>
  <si>
    <t>Cette activité a déjà été réalisée en première année.  Pour cette deuxième année, elle est prévue dans le trimestre en cours (Janvier-mars 2019)</t>
  </si>
  <si>
    <t>Sur 260 participants, on a noté la participation de 78 femmes dans le cadre de concertation dans les 7 ETD</t>
  </si>
  <si>
    <t>A 4.1.4.3 : Echange d’expérience entre les autorités piloté par l’Administrateur du territoire</t>
  </si>
  <si>
    <t xml:space="preserve">Prévue pour le mois de décembre , cette activité s'est butée à l'indisponibilité des décideurs suite aux activités électorales. Ainsi, elle est reprogrammée au trimestre prochain </t>
  </si>
  <si>
    <t>A 4.1.4.4 : Cadre de concertation  entre la Société civile, les responsables des ETDs,  l’Administrateur du Territoire,  l’Assemblée  et l’Exécutif Provincial</t>
  </si>
  <si>
    <t>Prévue pour le mois de décembre , cette activité s'est butée à l'indisponibilité des décideurs suite aux activités électorales. Ainsi, elle est reprogrammée au trimestre prochain</t>
  </si>
  <si>
    <t>A 4.1.4.5 : Forum économique des ETD du Sud Irumu avec des bailleurs de fonds, investisseurs, humanitaire, operateurs économiques (Actuel et potentiels)</t>
  </si>
  <si>
    <t>cf supra</t>
  </si>
  <si>
    <t>Produit 4.1.5</t>
  </si>
  <si>
    <t>A.4.1.5.1 : Emissions radios</t>
  </si>
  <si>
    <t>Responsabilité de Seach For Common Ground</t>
  </si>
  <si>
    <t>Responsabilité de SFCG</t>
  </si>
  <si>
    <t xml:space="preserve">A.4.1.5.2 : Production des dépliants </t>
  </si>
  <si>
    <t>188 dépliants distribués aux hommes et 187 aux femmes</t>
  </si>
  <si>
    <t xml:space="preserve">A.4.1.5.3 : Production  des affiches </t>
  </si>
  <si>
    <t>Les affiches seront remises aux hommes et aux femmes</t>
  </si>
  <si>
    <t>La production de 150 affiches/calendriers a couté 1445 dollars au lieu de 1500</t>
  </si>
  <si>
    <t>75 affiches remises aux hommes et 75 aux femmes</t>
  </si>
  <si>
    <t>Sous-total Objective Specifique 4</t>
  </si>
  <si>
    <t>Produit 6.2.1</t>
  </si>
  <si>
    <t>A. 6.2.1.1. Réaliser les études socioéconomiques de base de la zone et des bénéficiaires</t>
  </si>
  <si>
    <t>Les études concernent les hommes et les femmes</t>
  </si>
  <si>
    <t>A. 6.2.1.2. Identifier, sélectionner les bénéficiaires et valider leur  liste par le Comité local de sélection</t>
  </si>
  <si>
    <t>Cette activité concerne les jeunes filles et garcons</t>
  </si>
  <si>
    <t>280 filles visées et 280 garcons visés</t>
  </si>
  <si>
    <t>A. 6.2.1.3. Informer les bénéficiaires sur les activités du projet (et restituer les resultats de l'etude de base)</t>
  </si>
  <si>
    <t>A. 6.2.1.4. Appuyer les bénéficiaires dans le choix des métiers et du projet de micro entreprise/AGR</t>
  </si>
  <si>
    <t>Sur 465 bénéficaires rencontrés, 217 jeunes filles et 248 jeunes garcons appuyés dans le choix de métiers ou AGR</t>
  </si>
  <si>
    <t>A.6.2.1.5. a) Construire un batiment en dur pour la formation professionnelle des jeunes à risque</t>
  </si>
  <si>
    <t>Ce batiment servira 280 jeunes filles et 280 garcons</t>
  </si>
  <si>
    <t>280 jeunes filles et 280 jeunes garcons en profiteront lors de formation</t>
  </si>
  <si>
    <t>A.6.2.1.5. b) Mettre en place cinq infrastructures temporaires (ateliers écoles) pour l’apprentissage des métiers </t>
  </si>
  <si>
    <t>Les infrastructures serviront 280 jeunes filles et 280 garcons</t>
  </si>
  <si>
    <t>A.6.2.1.6. Renforcer les capacités techniques des bénéficiaires</t>
  </si>
  <si>
    <t>A.6.2.1.6. a) Honoraires des formateurs</t>
  </si>
  <si>
    <t>La formation technique des bénéficaires va profiter à 280 filles et à 280 garcons</t>
  </si>
  <si>
    <t>A.6.2.1.6. b)   Collation pour les apprenants</t>
  </si>
  <si>
    <t>280 filles et 280 garcons vont bénéficer des collations</t>
  </si>
  <si>
    <t>A.6.2.1.6. c)  Materiels et fournitures pedagogiques</t>
  </si>
  <si>
    <t>les matériels achetés serviront 280  jeunes filles et 280 jeunes garcons</t>
  </si>
  <si>
    <t>Cette acttivité  a été réalisée en entiété</t>
  </si>
  <si>
    <t>Les machines à coudre, les ordinateurs et autres matériels de formation sont achetés pour les 280 filles et 280 garcons sélectionnés</t>
  </si>
  <si>
    <t>Produit 6.2.2</t>
  </si>
  <si>
    <t>A.6.2.2.1. Structurer les bénéficiaires autour des métiers et micro entreprises/ AGR</t>
  </si>
  <si>
    <t xml:space="preserve">A.6.2.2.1. a) Appuyer les jeunes formés à se constituer en des groupes d'environ 15 -20 membres et accompagner les réunions/seances d'elaboration des textes reglementaires ou statutaires ainsi que les assemblées générales électives. </t>
  </si>
  <si>
    <t>La constitution des jeunes en groupements associatifs va concerner 280 jeunes filles et 280 jeunes garcons</t>
  </si>
  <si>
    <t>Cette activité est prévue en deux phases. Elle a déjà été réalisée en première année. Pour cette année, elle se focalisera sur l'élaboration de Règlement Intérieur des groupements assocaitifs des jeunes à risque</t>
  </si>
  <si>
    <t>Le filles et les garcons sont regroupés en divers métiers</t>
  </si>
  <si>
    <t xml:space="preserve"> A.6.2.2.1. b) Appuyer  la legalisation des statuts des groupements des jeunes</t>
  </si>
  <si>
    <t>La légalisations des groupements associatifs dans les 7 ETD va profiter 280 jeunes filles et 280 jeunes garcons</t>
  </si>
  <si>
    <t>Cette activité sera réalisée après le démarrage  effectif des formations techniques dans les 7 ETD</t>
  </si>
  <si>
    <t xml:space="preserve">A6.2.2.2. Renforcer les capacités gestionnaires des bénéficiaires </t>
  </si>
  <si>
    <t>A.6.2.2.2. a) Organiser des seminaires de formation des dirigeants  des groupements des jeunes</t>
  </si>
  <si>
    <t>Le séminaire va profiter aux filles et aux garcons membres des groupements assocaitifs des jeunes à risque</t>
  </si>
  <si>
    <t>Sur 48 participants de 3 ETD, 36 filles ont bénéficié du séminaire sur la création et la gestion des micro-entreprises contre 12 garcons</t>
  </si>
  <si>
    <t>A.6.2.2.3 Renforcer le capital de démarrage des micro entreprises/ AGRs des bénéficiaires</t>
  </si>
  <si>
    <t>A.6.2.2.3. a) .Donner à chaque groupe un kit collectif et un fond de démarrage</t>
  </si>
  <si>
    <t>280 jeunes filles et 280 jeunes garcons sont visés par les kits collectifs de réinsertion</t>
  </si>
  <si>
    <t>cette acitivité sera exécutée vers la fin projet (au terme de la formation professionnelle des jeunes)</t>
  </si>
  <si>
    <t>Produit 6.2.3</t>
  </si>
  <si>
    <t>A.6.2.3.1. Assurer le coaching des groupes et suivi de la gestion des micros entreprises/ AGR</t>
  </si>
  <si>
    <t>Le coaching et le suivi profiteront à 280 jeunes filles et 280 jeunes garcons</t>
  </si>
  <si>
    <t>Cette activité sera réalisée après le démarrage  effectif des formations techniques dans les 7 ETD (prévue pour le trimestre prochain)</t>
  </si>
  <si>
    <t>A.6.2.3.2. Organiser des échanges d’expériences entre les dirigeants des micros entreprises</t>
  </si>
  <si>
    <t>les échanges d'éxpériences se feront entre dirigeants et dirigeantes des groupemsnts associatifs des jeunes à risque</t>
  </si>
  <si>
    <t xml:space="preserve">Cette activité sera réalisée après le démarrage  effectif des formations techniques dans les 7 ETD (prévue pour le trimestre prochain) </t>
  </si>
  <si>
    <t>Produit 6.2.4</t>
  </si>
  <si>
    <t xml:space="preserve">A.6.2.4.1. : Promouvoir la Communication et mobilisation inclusive des jeunes à risque – </t>
  </si>
  <si>
    <t>A.6.2.4.1.a) Appui aux Conseils locaux de la Jeunesse dans chaque ETD dans leur role de mobilisation communautaire</t>
  </si>
  <si>
    <t>Les jeunes filles et garcons seront appuyés à travers leur Conseil de la Chefferie/Secteur</t>
  </si>
  <si>
    <t>Cette activité est prévue au trimestre prochain</t>
  </si>
  <si>
    <t>A.6.2.4.1.b) Actions de mobilisation communautaire pour les jenues, incluant les jeunes à risque (plaidoyer, rencontres, etc.)</t>
  </si>
  <si>
    <t>Les actions de plaidoyer seront menées en faveur des hommes et des femmes des ETD du sud-irumu</t>
  </si>
  <si>
    <t>A.6.2.4.1.c) Diffusion d'émissions radios 'par les jeunes pour les jeunes' sur les radios communautaires locales</t>
  </si>
  <si>
    <t>Cette activité est confiée à SFCG</t>
  </si>
  <si>
    <t xml:space="preserve">A.6.2.4.1. d)Appui aux clubs d'écoute des jeunes relatif aux émissions radio sur les conflits communautaires et les pistes de solution identifiés au niveau local </t>
  </si>
  <si>
    <t>A.6.2.4.2.Développer des activités récréatives, socioculturelles impliquant les bénéficiaires du projet :</t>
  </si>
  <si>
    <t xml:space="preserve">A.6.2.4.2. a) Organisation d'un ballet culturel des jeunes des différentes ETD </t>
  </si>
  <si>
    <t>Les hommes et les femmes des communautés bénéficieront de cette activité</t>
  </si>
  <si>
    <t>Cette activité a bénéficié aux hommes (128) et aux femmes (112) des communautés</t>
  </si>
  <si>
    <t>A.6.2.4.2. b) Organisation de tournois sportifs entre les jeunes des différentes ETD</t>
  </si>
  <si>
    <t>Cette activité bénéficiera aux équipes masculines et féminines des jeunes à risque</t>
  </si>
  <si>
    <t>Cette activité a bénéficié aux équipes masculines et féminines des jeunes à risque</t>
  </si>
  <si>
    <t>A.6.2.4.2.c) Projection de films éducatifs pour les jeunes</t>
  </si>
  <si>
    <t>Les jeunes filles et les jeunes garcons bénéficieront de cette activité</t>
  </si>
  <si>
    <t>Cette activité a profité aux jeunes filles (105) et garcons (101) de trois ETD</t>
  </si>
  <si>
    <t xml:space="preserve">Identification  des Assistants psycho-sociaux (APS) dans les 7 ETD </t>
  </si>
  <si>
    <t>Cette activité va bénéficier à 7 femmes APS et 7 hommes APS</t>
  </si>
  <si>
    <t>Cette a ctivité a été réalisée en entièreté</t>
  </si>
  <si>
    <t>Cette activité a bénéficié à 7 femmes APS et 7 hommes APS</t>
  </si>
  <si>
    <t>A.6.2.4.3.a) Formation des APS (Agents psycho-sociaux) sur les techniques d'assistance psycho-sociale des jeunes à risque</t>
  </si>
  <si>
    <t>Cette activité est prévue au trimestre prochain (Après l'évaluation de l'état de stress des jeunes à risque)</t>
  </si>
  <si>
    <t>A.6.2.4.3. b) Evaluation de l'état de stress post - traumatique des jeunes à risque</t>
  </si>
  <si>
    <t>Cette activité va profiter à 280 jeunes filles et 280 jeunes garcons</t>
  </si>
  <si>
    <t>Cette activité est prévue au trimestre prochain, après le démarrage effectif des formations professionnelles des juenes à risque</t>
  </si>
  <si>
    <t>A.6.2.4.3. c) Séances d'écoute active des jeunes à risque</t>
  </si>
  <si>
    <t>A.6.2.4.3. d) Médiations familiales et communautaires par les APS</t>
  </si>
  <si>
    <t>A.6.2.4.3. e) Séances de thérapies de groupes</t>
  </si>
  <si>
    <t>Cette activité est prévue au trimestre prochain, directement après l'évaluation de l'état de stress des jeunes à risque  (pendant le processus d'apprentissage des jeunes à risque)</t>
  </si>
  <si>
    <t>A.6.2.4.3. f) Debriefing collectif et individuel (remotivation) des APS, animateurs et psychologues</t>
  </si>
  <si>
    <t>Cette activité est prévue dans le trimestre prochain (après les différentes séances d'écoute effectuées par les APS)</t>
  </si>
  <si>
    <t>1.1. Coordonnateur</t>
  </si>
  <si>
    <t>Rémunération d'un homme</t>
  </si>
  <si>
    <t>La paie de coordonnateur jusqu'au mois  de décembre 2018 avec un préfinancement de 4 mois (septembre, Octobre, Novembre et décembre 2018) recu de la ligne budgétaire A.6.2.1.6.a) avec l'autorisation de STP</t>
  </si>
  <si>
    <t xml:space="preserve">1.2. Chargé de projet </t>
  </si>
  <si>
    <t>La paie de chargé de projet jusqu'au mois  de décembre 2018 avec un préfinancement de 4 mois (septembre, Octobre, Novembre et décembre 2018) recu de la ligne budgétaire A.6.2.1.6.a) avec l'autorisation de STP</t>
  </si>
  <si>
    <t xml:space="preserve">1.3. Animateur point focal gouvernance </t>
  </si>
  <si>
    <t>La paie de l'Animateur Point Focal Gouvernance jusqu'au mois de septembre 2018</t>
  </si>
  <si>
    <t xml:space="preserve">1.4. Animateur Point Focal Reinsertion </t>
  </si>
  <si>
    <t>La paie de l'Animateur Point Focal Réinsertion jusqu'au mois  de  décembre 2018 avec un préfinancement de 4 mois (septembre, Octobre, Novembre et décembre 2018) recu de la ligne budgétaire A.6.2.1.6.a) avec l'autorisation de STP</t>
  </si>
  <si>
    <t>1.5. Animatrice Point focal Psycho social</t>
  </si>
  <si>
    <t>Rémunération d'une femme</t>
  </si>
  <si>
    <t>La paie de l'Animatrice Point focal Psychosocial jusqu'au mois  de décembre 2018 avec un préfinancement de 4 mois (septembre, Octobre, Novembre et décembre 2018) recu de la ligne budgétaire A.6.2.1.6.a) avec l'autorisation de STP</t>
  </si>
  <si>
    <t>1.6. Animateurs  Volet Gouvernance</t>
  </si>
  <si>
    <t>Rémunération d'un homme et d'une femme</t>
  </si>
  <si>
    <t xml:space="preserve">La paie de 2 Animateurs Volet gouvernace jusqu'au mois  d'Aout  2018 </t>
  </si>
  <si>
    <t>1.7. Animateurs Volet Reinsertion professionnelle</t>
  </si>
  <si>
    <t>La paie de 2 Animateurs Volet Réinsertion jusqu'au mois  de  décembre 2018 avec un préfinancement de 4 mois (septembre, Octobre, Novembre et décembre 2018) recu de la ligne budgétaire A.6.2.1.6.a) avec l'autorisation de STP</t>
  </si>
  <si>
    <t xml:space="preserve">1.8. Charge de suivi </t>
  </si>
  <si>
    <t xml:space="preserve">Rémunération d'un homme </t>
  </si>
  <si>
    <t>La paie de chargé de suivi jusqu'au mois  de décembre 2018 avec un préfinancement de 4 mois (septembre, Octobre, Novembre et décembre 2018) recu de la ligne budgétaire A.6.2.1.6.a) avec l'autorisation de STP</t>
  </si>
  <si>
    <t>1.9. Comptable</t>
  </si>
  <si>
    <t>La paie de comptable jusqu'au mois  de décembre 2018 avec un préfinancement de 4 mois (septembre, Octobre, Novembre et décembre 2018) recu de la ligne budgétaire A.6.2.1.6.a) avec l'autorisation de STP</t>
  </si>
  <si>
    <t>1.10. Logisticien</t>
  </si>
  <si>
    <t xml:space="preserve">La paie de logisticien (ne) pendant 2 trimestres (jusqu'en janvier 2018). Le paiement des arriérés est planifié ce trimestre  </t>
  </si>
  <si>
    <t>2. 1. Fournitures et materiels</t>
  </si>
  <si>
    <t>Le bon focntionnement de projet va profiter aux hommes et aux femmes des communautés bénéficiaires</t>
  </si>
  <si>
    <t>les fournitures sont consommées pour la première année. Il en sera  de meme au cour de cette deuxième année</t>
  </si>
  <si>
    <t xml:space="preserve">2. 2. Fournitures et materiels </t>
  </si>
  <si>
    <t>Les fournitures vont servir les jeunes filles et garcons</t>
  </si>
  <si>
    <t>Les matériels pour les annexes aux ateliers-écoles en vue d'améliorer les conditions logistiques</t>
  </si>
  <si>
    <t xml:space="preserve">3.1. Equipement et mobilier </t>
  </si>
  <si>
    <t>le Lap-top va servir les animateurs et les animatrices</t>
  </si>
  <si>
    <t>Le lap top a été acheté</t>
  </si>
  <si>
    <t xml:space="preserve">3.2. Equipement et mobilier </t>
  </si>
  <si>
    <t>la moto va servir les animateurs et les animatrices</t>
  </si>
  <si>
    <t>les équipements achetés</t>
  </si>
  <si>
    <t>3.3. Equipements informatiques (4 ordinateurs portatifs + 2 imprimante, photocopieur,  1 camera, 1 dictaphone, 1 retroprojecteur, etc.)</t>
  </si>
  <si>
    <t>Les équipements informatiques vont servir les animatrices et les animateurs du projet</t>
  </si>
  <si>
    <t>Les ordinateurs, les appareils photos, les imprimantes ont été achetés</t>
  </si>
  <si>
    <t xml:space="preserve"> 3.4. Motos et accessoires</t>
  </si>
  <si>
    <t>Les 3 motos vonst servir les animatrices et animateurs</t>
  </si>
  <si>
    <t>3 motos achetées</t>
  </si>
  <si>
    <t xml:space="preserve">4.1. Services contractuels </t>
  </si>
  <si>
    <t>Les PDL vont profiter aux hommes et aux femmes des ETD</t>
  </si>
  <si>
    <t>La rémunération des enqueteurs femmes, hommes et du consultant</t>
  </si>
  <si>
    <t xml:space="preserve">4.2. Services contractuels </t>
  </si>
  <si>
    <t>Les divers frais de descente des enqueteurs femmes, hommes et du consultant</t>
  </si>
  <si>
    <t xml:space="preserve">5.1. Perdiem deplacement pour la realisation des activites </t>
  </si>
  <si>
    <t>Le projet est réalisé en faveur des hommes et des femmes des communautés ciblées</t>
  </si>
  <si>
    <t>Les frais de séjours des agents du projet sur le terrain</t>
  </si>
  <si>
    <t>5.2. Frais de déplacement (carburant et entretien motos et vehicules utilisés dans le projet)</t>
  </si>
  <si>
    <t>Les frais de consommables des engins et d'entretien pour la première année. IL en sera de meme pour cette année en cours</t>
  </si>
  <si>
    <t>7.1. Frais généraux de fonctionnement et autres couts directs</t>
  </si>
  <si>
    <t>Ce dépassement se justifie par les frais bancaires et les diverses transactions bancaires</t>
  </si>
  <si>
    <t xml:space="preserve">7.2. Frais Suivi </t>
  </si>
  <si>
    <t>Ce taux représente les frais relatifs aux missions  de suivi par la Coordination/CDJP-CARITAS. Il en reste d'autres</t>
  </si>
  <si>
    <t>7.3. Frais de suivi&amp;evaluation conjoint et participatif du projet avec les autorités</t>
  </si>
  <si>
    <t>Ce taux représente les frais relatifs à 2 missions semestrielles de suivi. Il en reste d'autres</t>
  </si>
  <si>
    <t>7.4. Frais de visibilité</t>
  </si>
  <si>
    <t>Ce taux ne représente que 240 T-shirts produits et banières. D'autres commandes sont déjà passées en termes de Tshirts, panneaux de visibilité et SFCG a la responsabilité des stratégies de communiction</t>
  </si>
  <si>
    <t xml:space="preserve">7.5. Services communs (Loyer, internet, securité) au niveau du bureau de coordination et de la base commune </t>
  </si>
  <si>
    <t>Ce taux ne couvre que les services divers bénéficiés en première année. Cependant, quelques factures sont en attente de paiement (après demande procahine de fonds) telles que celle de loyer, internet, sécurité</t>
  </si>
  <si>
    <t>CARITAS</t>
  </si>
  <si>
    <t>(a) Nom de l'organisation: COOPERAZIONE INTERNAZIONALE</t>
  </si>
  <si>
    <t>(b) Titre du Projet: PKA/STAREC 00106163/6308/30000/12577</t>
  </si>
  <si>
    <t>(c) Pour la Periode: 14/07/17 au 15/07/19</t>
  </si>
  <si>
    <t>(d) Total du Budget (USD): 541.215$</t>
  </si>
  <si>
    <t>(e) GMS 7% Agent de Gestion (USD): 37.885$</t>
  </si>
  <si>
    <t>(f) Budget TOTAL : 579.100$</t>
  </si>
  <si>
    <t>OBJECTIVE SPECIFIQUE 7: Les niveaux de Violence Sexuelle et Basée sur le Genre (VSBG) sont réduits dans les zone prioritaire, 
grâce à la transformation des pratiques et des normes sociales  négatives  qui  contribuent  à  ce  type  de violence.</t>
  </si>
  <si>
    <t>Produit 7.1</t>
  </si>
  <si>
    <t>Formation de Pairs Educateurs VSBG de groupes d’hommes et animateurs encadreurs/formateurs AL</t>
  </si>
  <si>
    <t>Il s'agit de payer: i) supports formation x 1,5$/participant, ii) restauration x 2,5$/participant, iii) Remboursement transport x 4 $/participant</t>
  </si>
  <si>
    <t>Il y a eu plus de couts lié à cette formation genre que prevu initialement</t>
  </si>
  <si>
    <t>Formation de Pairs Educateurs VSBG de clubs/Brigades scolaires</t>
  </si>
  <si>
    <t>Il s'agit de payer: i) supports formation x 1,5$/participant, ii) restauration x 2,5$/participant</t>
  </si>
  <si>
    <t>Formation des autorités locales (56) et leaders communautaires (194)</t>
  </si>
  <si>
    <t>Il s'agit de payer: i) supports formation x 1,5$/participant, ii) restauration x 4$/participant, iii) Remboursement transport x 4,5 $/participant</t>
  </si>
  <si>
    <t>Formation des officiers des agents de sécurité (PNC, ANR, FARDC) et officiers de FRPI</t>
  </si>
  <si>
    <t>Activité en cours</t>
  </si>
  <si>
    <t>Appui aux groupes d'hommes et clubs/brigades scolaires pour la CCC de VSBG</t>
  </si>
  <si>
    <t>Pour la 2eme annualité, il s'agit de Primes de travail pour 15 groupes d'hommes x 60$ X 11 mois= 9900$, Appui materiel Groupe d'hommes (sac + fournitures + T-shit de CCC aux VSBG) pour 15 groupes  et 15 Clubs scolaires x 40$=1200$,1 banderole avec message  VSBG par brigade /club scolaire 15 x28,6$=429$</t>
  </si>
  <si>
    <t xml:space="preserve">Appui association locale-AL (CEMADEF) pour encadrer 2 groupes d'hommes et 2 brigades scolaires.    </t>
  </si>
  <si>
    <t>Ce budget suplémentaire, provient des lignes AJP et servira à doter les associations partenaires locaux en matériels comme appui à leur fonctionnement. Dotation en matériels aux partenaires locaux:
Dotation en matériels aux partenaires locaux:
*ordinateur=450$; *Moto senke=648$
*imprimante=250$; *generateur=150$
STAFF suplémentaire:
*1 para-juriste=200*8=1600
*prime animateur=2*25$*11*=550$.</t>
  </si>
  <si>
    <t xml:space="preserve">Appui association locale-AL (PACADI et AFM) pour encadrer 6 groupes d'hommes et 6 brigades scolaires.    </t>
  </si>
  <si>
    <t>Ce budget suplémentaire, provient des lignes AJP et servira à doter les associations partenaires locaux en matériels comme appui à leur fonctionnement. Dotation en matériels aux partenaires locaux:
Dotation en matériels aux partenaires locaux:
*ordinateur=2*450$=900$; *Moto senke=2*648$=1296$; *imprimante=2*250$=500$
*generateur=2*150$=300$
STAFF suplémentaire:
*1 para-juriste=2*200*8=3200$
*prime animateur=2*2*25$*11*=1100$.</t>
  </si>
  <si>
    <t xml:space="preserve">Appui association locale-AL (GAD) pour encadrer 7 groupes d'hommes et 7 brigades scolaires.    </t>
  </si>
  <si>
    <t xml:space="preserve">Appui aux FARDC et FRPI </t>
  </si>
  <si>
    <t>Il s'agit de: i) frais de communication (carte telephonique) de 20$/mois pour le monitoring (alerte et denonciation) des cas VSBG avec 7 sections FARDC (1 par chefferie) pour 28 offociers FARDC animateurs (14Fe)   + 1 commandement FRPI de 4 commandants animateurs; ii) prime service de 20$/mois , T-shirt avec message VSBG  200 X10$</t>
  </si>
  <si>
    <t>Formation sur le genre aux staffs de la mise en œuvre des toutes les OS du programme</t>
  </si>
  <si>
    <t>COOPI</t>
  </si>
  <si>
    <t xml:space="preserve">Il s'agit de: i) papeterie x 75$, ii) Cocktail x 125$ </t>
  </si>
  <si>
    <t>Consultance DIVIGENRE pour formation sur les VBSG et le Genre</t>
  </si>
  <si>
    <t>Contrat de service pour formation sur le genre: il s'agit de: i) restauration+logement x 20$/Jr, ii) prime service x 35$/Jr, iii) transport x 10$</t>
  </si>
  <si>
    <t xml:space="preserve">Protocole d’accord avec VJI-Voix de la Jeunesse de l’Ituri pour lea CCC aux VSBG (journée scolaire, etc.) </t>
  </si>
  <si>
    <t xml:space="preserve">Contrat de servive pour: i)conception et reporgraphie de 1 CD/Vidéo VSBG x 1000$, ii) realiser15 journées socioculturelles scolaires x 200$=3000$ </t>
  </si>
  <si>
    <t>Journées de cinémas mobiles de CCC et sensibilisation (30 journées) ,</t>
  </si>
  <si>
    <t xml:space="preserve"> location meubles et site de journée x 15$ x 30seances=450$; cock tail + remboursement transport invité special x 15$ x 30 journées =450$, Banderoles avec message VSBG pour la visibilité 75$</t>
  </si>
  <si>
    <t xml:space="preserve">Materiels de CCC en masse aux VSBG (posters VSBG, crieur public) </t>
  </si>
  <si>
    <t xml:space="preserve">Il s'agit d'acheter: 210 Affiches A6 couleurs  avec message  VSBG A1 x2$=420$ , Multiplication des 2100 depliants X 0,25=525$, Multiplication des calendriers 2018-2019 avec messages </t>
  </si>
  <si>
    <t xml:space="preserve">Communication pour le CC aux VSBG par SFCG  </t>
  </si>
  <si>
    <t xml:space="preserve">Il s'agit de: i) 80 débats/émissions pour 20 mois (4 émissions par mois) x 40$=3200$, ii) 80 spots x 15$=1200$, iii) Bande dessinée VSBG + reporgraphie  x 1200$  Total 5,900$  
BUDGET DONNE' A SFCG
</t>
  </si>
  <si>
    <t xml:space="preserve">Materiels de  CCC aux VSBG à 4 églises  </t>
  </si>
  <si>
    <t xml:space="preserve">Il s'agit d'acheter 1 kit de materiel de CCC/Snesibilisation selon les besoins de chaque eglise: baflles, microphones, groupes electriques, etc. pour un forfait de 300$ par eglise </t>
  </si>
  <si>
    <t xml:space="preserve">Plans communautaires de CCC VSBG, couplés aux plans/cadres communautaires du monitoring de VSBG </t>
  </si>
  <si>
    <t>Il s'agit de: i) papeterie pour elaborationx 7,5$; ii) location site/espace + meubles x 12,5$; iii) Cock tail/Remboursement transport x 20$</t>
  </si>
  <si>
    <t xml:space="preserve">Appuyer AJP pour la CCC et monitoring de VBSG   </t>
  </si>
  <si>
    <t xml:space="preserve">COOPI </t>
  </si>
  <si>
    <t>Il s'agit de: i) renumeration de 2 Superviseurs de CCC/Sensibilisateurs (1Fe) x 400$=800$/mois, et 1 Coordo AJP x 150$/mois, ii) frais de suivi (perdiem, comunication, location/achat moto pour transport, carburant, fournitures, etc.) x 125$/mois, iii) communication internet pour 2 sous basesx 125$=250$ /mois; soit 1325$</t>
  </si>
  <si>
    <t>Forums de plaidoyer sur les VSBG</t>
  </si>
  <si>
    <t xml:space="preserve">Il s'agit de: i) location site/espace + meubles x 30$; ii) Cock tail/Remborusement transport à cas de besoins x 55$ </t>
  </si>
  <si>
    <t xml:space="preserve">Ateliers de dialogue/palabre sur les VSBG </t>
  </si>
  <si>
    <t xml:space="preserve">Il s'agit de: i) location site/espace + meubles x 15$; ii) Cock tail/Rembousement transport à cas de besoins x 15$ </t>
  </si>
  <si>
    <t>Appuyer les plaidoyers locaux des initiatives des femmes et filles sur les violences du genre par chefferie</t>
  </si>
  <si>
    <t xml:space="preserve">frais de transport et autres depenses sejours pendant les plaidoyers au niveau de la chefferie x 75$/plaidoyer, ii) papeterie et services speciaux (impression memo, etc) x 50$/plaidoyer </t>
  </si>
  <si>
    <t xml:space="preserve">Appui logistique en matériels informatiques aux associations locales (PACADI, AFM, AMSCO, GAD) </t>
  </si>
  <si>
    <t>Il s'agit de payer: i) 4 kits matériels informatiques (ordinateurs+imprimantes)x700$ =2800$,</t>
  </si>
  <si>
    <t xml:space="preserve">Appui logistique en matériels roulants aux associations locales (PACADI, AFM, AMSCO, GAD) </t>
  </si>
  <si>
    <t xml:space="preserve">Il s'agit de payer:  ii) 4 motos+maintenance x 900$ =3600$, iii) </t>
  </si>
  <si>
    <t>Déjà réalisé et la différence pour renforcer la capacité des associations dans la gestion des équipements durables</t>
  </si>
  <si>
    <t>Prise en charge medicale de survivants de VSBG</t>
  </si>
  <si>
    <t>Il s'agit d'appuyer 8 structures sanitaires (FOSA) aux activités/depenses suivantes: i) 6PEPx1400$ =8400$, ii) Medicaments et materiels medicaux essentiels (Kits IST, etc.) x 750$ x 8 FOSA= 6000$, iii) Primes services 8FOSA et supervision BCZS  x 125$ x10mois = 10000$, IV) Remb. transport survivants= 150x15,5$ =2325$, V) 1Sup. Medicale x12moisx1000$=12000$</t>
  </si>
  <si>
    <t>Matériels de sensibilisation</t>
  </si>
  <si>
    <t>Il s'agit des affiches, teeshirt, etc…</t>
  </si>
  <si>
    <t>Produit 7.2.1</t>
  </si>
  <si>
    <t xml:space="preserve">Plans/Cadres scolaires pour alerte et denonciation precoce de cas de VSBG en milieux scolaires </t>
  </si>
  <si>
    <t>Il s'agit de: i) papeterie pour elaboration x 5$; ii) Cock tail x 20$</t>
  </si>
  <si>
    <t xml:space="preserve">Fiches de collecte et documentation de cas de VSBG  </t>
  </si>
  <si>
    <t xml:space="preserve">Pour paiement service repographie d'environ 2500 fiches x 0,35$=875$, ii achat papier x 150$, cartouches et autres consommables information pour impression fiches x 550$  </t>
  </si>
  <si>
    <t xml:space="preserve">Fonctionnement de cadres scolaires (18) et communautaires (18) pour alerte et dénonciation des cas de VSBG aux PNC et FARDC  </t>
  </si>
  <si>
    <t xml:space="preserve">Il s'agit de: i) frais communication ( carte prepayés et/ou paiement abonnement communication) x 10$: ii) frais transport pour aller denoncer et suivre les cas x 5$; soit 15$/mois, reproduction des deplians de sensibilisation 2450  x0,25=612,5$, Frais de suivi des activités </t>
  </si>
  <si>
    <t xml:space="preserve">Materiels de points/centres d’appel téléphonique pour alerte et dénonciation de cas VSBG </t>
  </si>
  <si>
    <t xml:space="preserve">Il s'agit de: i) 30 telephones x 20$; ii) kits solaires pour charger les telephones (panneau solaire+baterrie) x 50$  </t>
  </si>
  <si>
    <t xml:space="preserve">Analyse de tendance des cas  VSBG avec les communautés(rapports, réunions, etc.). </t>
  </si>
  <si>
    <t>Il s'agit de: i) papeterie x 20$; ii) location site/espace + meubles x 35$; iii) Cock tail/Remborusement transport à cas de besoins x 95$</t>
  </si>
  <si>
    <t>Produit 7.2.2</t>
  </si>
  <si>
    <t>Protocole d’accord avec les CS/HGR  via le BCZS pour les soutiens psychosociaux</t>
  </si>
  <si>
    <t>Pour le service de soutien psychosocial avec 8 CS/HGR x 40$ x18 mois. On va plus utiliser les sages femmes pour la PEC Psychosociale pour renforcer le genre dans les structures sanitaires</t>
  </si>
  <si>
    <t>Fiches d'identification/referencement et Papeterie/materiels pour Archivage des cas de VSBG dans les structures sanitaires et MAF</t>
  </si>
  <si>
    <t xml:space="preserve">Il s'agit de: i) reprographie 2250fiches x1,5$=3375$, ii) fournitures (classeurs, etuis, clear bag, fardes, etc.) x 25$ x 11CS/HGR/7MAF=450$ , ii) iv) 7 kits meubles pour archivage (table bureau/armoire et etagere) x 170$=1190$, iii)  1 ordinateur pour Responsable BDD x 550$; </t>
  </si>
  <si>
    <t>Appui à AL à aménager et equiper les maisons de femmes (MAF) pour les cours d’alphabétisation, activités theurapétiques et SAFE</t>
  </si>
  <si>
    <t>Il s'agit des materiels (mobiliers) x 250$MAF; ii) legere rehabilitation x 600$/MAF</t>
  </si>
  <si>
    <t>Appui AL à materiels et autres frais pour realiser les cours d’alphabétisation, activités theurapétiques/PEC Psychosociale et SAFE</t>
  </si>
  <si>
    <t xml:space="preserve">Il s'agit des materiels pour cours d'alphabetisation et activités theurapetiques pour 7MAF x 200$s=1400$; prime 7 animateurs pedgagogiques/Activités SAFE x 25$ x 15 mois= 2625$; prime 7 APS x 50$ x 20 mois= 7000$; 7materies activité SAFE x 1000$=7000$ </t>
  </si>
  <si>
    <t>Frais/subvention pour la reinsertion scolaires des enfants de VSBG et autres enfants vulnerables de la communauté</t>
  </si>
  <si>
    <t xml:space="preserve">Il s'agit de: i) petits fournitures scolaires pour enfant x 5$/an; iii) frais scolaire x 25$/enfant/an </t>
  </si>
  <si>
    <t xml:space="preserve">Formation/recyclage de 8 infirmiers, 7 APS, 7 animateurs pedagogiques des AL pour la PEC ychosociale et SAFE  </t>
  </si>
  <si>
    <t>Il s'agit de payer: i) supports formation x 2$/participant, ii) restauration x 3$/participant, iii) Remboursement transport x 10$/participant</t>
  </si>
  <si>
    <t>Consultance pour la formation (1 Fe)</t>
  </si>
  <si>
    <t>Contrat/protocole de service pour formation</t>
  </si>
  <si>
    <t xml:space="preserve">Expertise Genre et Gestion de base des données (1Fe) </t>
  </si>
  <si>
    <t>l'experte genre aura 3 mois X656=1968$ pour le reste de mois  de la 1ère annualité y compris 100 $ pour taxes/mois, 50$ pour soins medicaux/mois</t>
  </si>
  <si>
    <t xml:space="preserve">Chef projet/Coordinateur des interventions VSBG </t>
  </si>
  <si>
    <t>Il s'agit de 1200$ pour salaire/mois, 250 $ pour taxes/mois, 50$ pour soins medicaux/mois</t>
  </si>
  <si>
    <t xml:space="preserve">Appuyer AJP pour l’identification, écoute, referencement  de survivants VSBG et suivi de PEC psycho et activité SAFE  </t>
  </si>
  <si>
    <t>Il s'agit de: i) renumeration de 4 Superviseurs psychologues + 1 Superviseur SAFE (3Fe) x 400$=2000$/mois, et 1 Coordo AJP x 150$/mois, ii) frais de suivi (perdiem, comunication, location/achat moto pour transport, fournitures) x 150$/mois, iii) location + maintenance+ mobiliers 2 sous base terrain AJP-COOPI  (Komanda, Kasenyi/Boga ) x250$= 500$/mois; soit 2800$</t>
  </si>
  <si>
    <t>Appuyer ONG-AJP à aménager et équiper les cliniques juridiques pour l'impunité contre les VSBG</t>
  </si>
  <si>
    <t>Il s'agit de: i) mobiliers x 125$/clinique, legere rehabilitation x 400$, iii) papeteries x 200$</t>
  </si>
  <si>
    <t xml:space="preserve">Appuyer AJP à organiser les cliniques juridiques fixes et mobiles </t>
  </si>
  <si>
    <t xml:space="preserve">Il s'agit de: i) renumeration de 5 para juristes(3Fe) x 200$=1000$/mois, 1 Juriste Formateur x 400$/mois x6mois=2400$ (120$/mois), Coordo AJP pour suivi juridique  x 150$/mois, ii) frais pour cliniques mobiles (transport, communication, restauration, hebergement, etc.) x 30$ x 5cliniques=150$/mois,  iii) frais fonctionnement/papeteries 4 sous bases/bureaux terrain x 40$=160$/mois, iv) secruité/entretien 2 sous bases x 150$=300$/mois; frais fonctionnement bureau coordination AJP x 125$/mois
Dans la zone, il y a quasi absence de cliniques juridiques, toute fois, COOPI a mis en place avec son partenaire AJP 2 cliniques juridiques à Kagaba et Komanda par son projet d'urgence de VSBG financé par le Fond Humnaitaire jusqu'à dec. 2017. Ces interventions seront complementaires avec les intervention de ces 2 cliniques juridiques jusqu'à decembre 2017. </t>
  </si>
  <si>
    <t>ce dépassement est compensé par le reliquat de la ligne 722010 sur la subvention au partenaire AJP</t>
  </si>
  <si>
    <t>Formation 5 para juristes (3Fe) pour l’accompagnement juridique</t>
  </si>
  <si>
    <t>Il s'agit de payer: i) supports formation x 2$/participant, ii) restauration x 3$/participant, iii) Remboursement transport + Logement x 10$/participant</t>
  </si>
  <si>
    <t>ce dépassement est du au fait qu'il y a eu des échanges avec les notables et les leaders communaitaires sur la considération de la femme en milieu professionnel, ce qui n'était pas prévu au depart mais qui s'est avérée nécessaire.</t>
  </si>
  <si>
    <t xml:space="preserve">Protocole d’accord avec 8 commissariats de PNC </t>
  </si>
  <si>
    <t xml:space="preserve"> Il s'agit de: i) papeterie et prime service x 10$/mois, ii) frais de transfert et arrestation de présumés (transport, restauration, hébergement, communication, etc.) x 30$/mois </t>
  </si>
  <si>
    <t>activé en cours</t>
  </si>
  <si>
    <t>Formation de 16 OPJ (5Fe)pour la PEC Judiciaire</t>
  </si>
  <si>
    <t xml:space="preserve">Appuyer les activités juridiques par les magistrats afin de régulariser les détentions de présumés au niveau des PNC </t>
  </si>
  <si>
    <t xml:space="preserve">Il s'agit de: i) frais sejour (hotel, restauration, transport, communication, etc.) x 85$/mois, ii) frais service (perdiem) x 75$/mois; via un protocole avec le Tribunal de paix d'Irumu </t>
  </si>
  <si>
    <t xml:space="preserve">Appuyer le Tribunal de Paix d'Irumu à Bunia à organiser 4 audiences foraines  </t>
  </si>
  <si>
    <t xml:space="preserve">Il s'agit de: i) frais service (prime, communication) de juge x 1500$, ii) frais sejour (restauration, hebergement, transport) x 500$/ par audience, </t>
  </si>
  <si>
    <t>Appuyer DIVIGENRE pour coordination (reunions et suivi/supervisions) via un protocole d'accord</t>
  </si>
  <si>
    <t>Papeteries x 45$/mois, Cock taill x 50$/reunion/mois, Frais communication (internet, sms, etc.) pour partage invitation et CR x 25$/mois, Carburant/lubrifiant generateur et autres x 80$/mois, iii) frais service (prime, communication) par supervision x 200$ (100$/mois), iv) frais sejour (hebergement, restauration, transport) par supervision x 170$ (85$/mois)</t>
  </si>
  <si>
    <t>Enquêtes Connaissance Attitude Pratique (CAP) aux VSGB; couplées avec etudes du programme</t>
  </si>
  <si>
    <t>Coordination du consortium (UNHABITAT)</t>
  </si>
  <si>
    <t>Ateliers de restitution sur les bonnes pratiques et le rapport des enquêtes CAP de VSBG.</t>
  </si>
  <si>
    <t>Il s'agit de: i) supports/papeteries atelier x 25$, ii) cocktail x 75$, iii) remboursement transport participants speciaux x 50$; iv) locale salle x 50$</t>
  </si>
  <si>
    <t>activé en prévision vers la fin du projet</t>
  </si>
  <si>
    <t>Frais de mission de staffs du projet</t>
  </si>
  <si>
    <t xml:space="preserve">Pour hotel chef de projet (moyenne de 4 Jrs de mission/mois x 15$= 60$), de Responsable BDD (moyenne de 2Jrs de mission/mois x 15$=30$) restauration chef projet, Expert Genre/Respo BDD (moyenne de 6Jrs x 7$=42$),Hotel + Restaurant  pour le chauffeur 22$, diverses taxes routieres (moyenne de 50$/mois), 48$/mission/mois de kit de securitaire (medicale, de toillette, etc.)   </t>
  </si>
  <si>
    <t>Frais de Visibilite</t>
  </si>
  <si>
    <t>Il s'agit de: i) 7 Panneaux de visibilité x 125$=875$, ii) T-shit et gilets de visibilité à 30 staffs techniques et de support x 15$=450$, iii) 22 autocolants des motos/vehicules et portes de base x 5$=110$</t>
  </si>
  <si>
    <t>Superviseur-sensibilisateur/Psychologue</t>
  </si>
  <si>
    <t>iii) 1 Superviseur-sensibilisateur/Psychologue x 800$x10mois =8000$</t>
  </si>
  <si>
    <t>Salaire staff en cours</t>
  </si>
  <si>
    <t xml:space="preserve">Expert juriste </t>
  </si>
  <si>
    <t>iv) 1Expert Juristex800$ x 12 mois =8000$</t>
  </si>
  <si>
    <t>Appui à la coordination du Groupe de travail genre et de lutte contre les VSBG</t>
  </si>
  <si>
    <t>il s'agit de : koctail, papéterie, …</t>
  </si>
  <si>
    <t>activé genre en cours</t>
  </si>
  <si>
    <t>Sous-total Objective Specifique 7</t>
  </si>
  <si>
    <t>Admin/Log expat (Bunia)</t>
  </si>
  <si>
    <t>Il s'agit de salaire, taxes, soins medicaux, etc.</t>
  </si>
  <si>
    <t>Chef de mission</t>
  </si>
  <si>
    <t>Admin/comptable</t>
  </si>
  <si>
    <t>Logisticien</t>
  </si>
  <si>
    <t>Chauffeur/Mecanicien</t>
  </si>
  <si>
    <t>Journaliers</t>
  </si>
  <si>
    <t>Pour la manutention des materiels du projetet autres services occasionnels du projet</t>
  </si>
  <si>
    <t>Ordinateurs</t>
  </si>
  <si>
    <t>Pour acheter 2 ordinateur pour la gestion du projet: 1 pour le chef de projet, 1 pour l'adminsitration/logistique</t>
  </si>
  <si>
    <t>Abonnement telephone</t>
  </si>
  <si>
    <t xml:space="preserve">Contrat service par reseau telephonique pour payer l'abonnement de communication telephonique  de l'administration x 50$/mois, logistique de support x 50$, programme x 50$  </t>
  </si>
  <si>
    <t>Abonnement internet</t>
  </si>
  <si>
    <t>Contrat service pour payer l'abonnement internet x 400$/mois</t>
  </si>
  <si>
    <t>Service de Entretien/ Securité</t>
  </si>
  <si>
    <t xml:space="preserve">Il s'agit de contrat service: i) entretien de bases x 300$ x 10 mois=3000$, ii) gardienage de bases x 600$ x 15 mois=9000$ </t>
  </si>
  <si>
    <t xml:space="preserve">Location vehicule </t>
  </si>
  <si>
    <t>Contrat cadre location vehicule de suivi des activités du projet, renumeration chauffeur, etc.</t>
  </si>
  <si>
    <t>Materiels/maintenance motos</t>
  </si>
  <si>
    <t xml:space="preserve">Maintenance de 5 motos ( 1 COOPI, partenaire locaL: 4 AJP à raison de 1 moto/base terrain) mis à la disposition du projet; il sagit de payer: i) pieces d'entretien de 5 motos x 30$ x 24mois=3600$, ii) service d'entretien x 15$/service x 24 mois=360$  </t>
  </si>
  <si>
    <t xml:space="preserve">Materiels/maintenance vehicule  </t>
  </si>
  <si>
    <t>pour la maintenance de vehicule COOPI mis au projet pour la qualité de suivi relativement à l'etendue de la zone d'intervention. Il s'agit des depenses suivantes: i) pieces/materiels de maintenance x 4500$, ii) paiement service de maintenance (contrat de service) x 2500$</t>
  </si>
  <si>
    <t>Carburants/lubrifiants vehicules</t>
  </si>
  <si>
    <t>Il s'agit d'une moyenne de 320 litres/mois pour le vehicule de location et de COOPI mis à la disposition du projet: 300L pour carbuarnt et  20L pour lubrifiant</t>
  </si>
  <si>
    <t>Carburants/lubrifiants motos</t>
  </si>
  <si>
    <t>Il s'agit des carburant (50L/mois/moto) et lubrifiant (5L/mois/moto) mises au projet</t>
  </si>
  <si>
    <t>Carburants/lubrifiants generateurs</t>
  </si>
  <si>
    <t>Pour le carburant (70L/mois) et lubrifiant (5L/mois)pour le generateur</t>
  </si>
  <si>
    <t xml:space="preserve">Frais Transport materiels </t>
  </si>
  <si>
    <t>Il s'agit de la location de 5 courses (A/R)  par an; soit 10 courses pour 2 ans avec un camion de 7Ton x 250$=2500$ pour transpoter les materiels du projet de Bunia à 4 sous bases du projet qui vont etre mises en place (Kasenyi, Boga, Komanda, Gety); ii) transport/freet aerien d'intrants medicaux (kit Pep, etc.) de Goma à Bunia x 500$</t>
  </si>
  <si>
    <t>Frais de missions - pour S&amp;E</t>
  </si>
  <si>
    <t xml:space="preserve">Pour hotel de staffs de Kin pour le S&amp;E interne pour une moyenne de 10Jrs/S&amp;E x 45$ x 5S&amp;E = 2250$, restauration pour 10Jrs x 10$ x 5S&amp;E=500$, diverses taxes pendant le voyage pour 5S&amp;E x 50$=150$   </t>
  </si>
  <si>
    <t>Vols  nationaux</t>
  </si>
  <si>
    <t xml:space="preserve">Il s'agit de: i) 1 billet avec taxes (A/R) de Kin-Bunia x 700$ pour le S&amp;E interne financier par le Coordo admin, 2 billets avec taxes (A/R) de Kin-Bunia pour le S&amp;E interne de la mise en œuvre d'action par le Coordo programme x 700$=1400$   </t>
  </si>
  <si>
    <t>Vols internationaux</t>
  </si>
  <si>
    <t xml:space="preserve">Il s'agit de 4 billets avec taxes (A/R) de Europe-Bunia et Europe-Kin des staffs expatriés directs et de support (S&amp;E) x 1300$=5200$   </t>
  </si>
  <si>
    <t xml:space="preserve">Il s'agit de renumeration/salaire: i)Coordinateur admin du M&amp;E audits et spot cheeck interne x 4500$/mois x 2S&amp;E=9000$,  Taxes, prime, hotel, vol etc.1000$ de ii) Assistant programme pour le rapportages de projet et de S&amp;E x 4500$, iii) Referent SGBV/Coordo programme pour le S&amp;E internex3300$x3S&amp;E=9900$ et frais pour mission 800$ </t>
  </si>
  <si>
    <t>Le cout de l'activité était sous-estimé sur le plan budgétaire mais est compensée par la ligne 800402: autres couts frais généraux de fonctionnement</t>
  </si>
  <si>
    <t>Autres frais generaux de fonctionnement</t>
  </si>
  <si>
    <t>Il s'agit de: i) location/maintenance bureaux COOPI (Bunia/Kin) (7000$), ii) fournitures bureaux COOPI (5600$) , iii) Frais bancaire (5400$)</t>
  </si>
  <si>
    <t>activé en cours en partie</t>
  </si>
  <si>
    <t xml:space="preserve">Depenses réelles </t>
  </si>
  <si>
    <t xml:space="preserve">% de depenses reelles </t>
  </si>
  <si>
    <t xml:space="preserve">% de depenses reelles sensibles au genre </t>
  </si>
  <si>
    <t xml:space="preserve">Depenses reelles sensibles au genre </t>
  </si>
  <si>
    <t>Produit 7.2.3</t>
  </si>
  <si>
    <t>% de depenses reells sensible au genre</t>
  </si>
  <si>
    <t>Ce taux de 100 % affecté au genre a été utilisé pour la prise en charge des consultantes juniors engagés par le consultant sur le terrain.  Ce montant a consisté pour leur frais de transport, la collecte des données ainsi que leur prime de subsistance.</t>
  </si>
  <si>
    <t>L'activité a atteint 100% des femmes même si elles sont faiblement représentée dans l'Administration locale notamment au niveau de chefferies et  groupements. 5 femmes appui le projet dans le cadre du système d'alerte precoce dans les 7 chefferies du Sud-Irumu et jouent le role dans le processus de referencement des conflits fonciers.</t>
  </si>
  <si>
    <t>Ce montant au taux de 100 % affecté au genre a été utilisé pour le temps consancré pour les entretiens avec les femmes fonctionnaires au sein de l'administration fonciere d'Irumu.  Le transport et les frais de communication payés pour aller renconter et entrer en contact avec les femmes.</t>
  </si>
  <si>
    <t>En mettant à la disposition des ETD les textes legaux, cette activité a egalement tenue compte de la représentativité des femmes travaillant dans les ETD et l'administration foncière afin de contribuer à l’amélioration de leur connaissance en matière de lois relatives à la gouvernance  foncière.</t>
  </si>
  <si>
    <t>Le 52% de ce budget  dedié au genre a servi d'abord pour la prise en charge des femmes qui ont participé à l'atelier mais aussi à l'appui que ces femmes ont apporté pour l'organisation de l'atelier en termes de dispositions pratiques des assises et la contribution au debat de manière générale.</t>
  </si>
  <si>
    <t xml:space="preserve">Les processus de production de la bande dessinée est déjà fini et la totalité de ce budget a servi au paiement du fournisseur, sauf que les depenses n'ont pas été enregistré dans le systeme avant le partage de ce rapport. Toutefois elles seront actualisées au prochain rapport. </t>
  </si>
  <si>
    <t xml:space="preserve">Une partie de ce budget a servi au paiement de la premeier tranche du consultant, le 25% restant pourra servir au paiement de la deuxième tranche. </t>
  </si>
  <si>
    <t xml:space="preserve">Une partie de ce budget a servi à l'appui à la production de ces émissions 60% et 40 a complété la production de la bande déssinées 21000 exemplaires sur 13000 initialement prévue.  </t>
  </si>
  <si>
    <t xml:space="preserve">Ce budget est déjà en dépassement </t>
  </si>
  <si>
    <t xml:space="preserve">Il travail aussi sur les questions en rapport avec le genre </t>
  </si>
  <si>
    <t xml:space="preserve">La totalité de cette somme est épuisé avec un dépassement de 95% qui est justifié par le sous éstimation initiale du budget car le coût de communication a été revue à la hausse par le service contractuel au cours de l'année budgétaire. </t>
  </si>
  <si>
    <t>Idme</t>
  </si>
  <si>
    <t>Le contexte de la zone a exigé plusieurs voyage de staff dont le budget n'a pas repondu aux conditions liééx à ce contexte</t>
  </si>
  <si>
    <t xml:space="preserve">La totalité de cette somme est épuisé avec un dépassemet de 39.65% qui est justifié par le sous éstimation initiale du budget car le coût de communication a été revue à la hausse par le service contractuel au cours de l'année budgétaire. </t>
  </si>
  <si>
    <t xml:space="preserve">Ce dépassement se justifie par le fait que cette activité devrait etre facilitée par les Inspecteurs de la Territoriale. Donc, en plus de 720$ alloué pour cette activité, Caritas a payé 900$ pour prendre en charge deux Inspecteurs pendant 9 jours sur le terrain en raison de 50$ par jour par personne. Ce fonds supplémentaire a été prélevé de ligne </t>
  </si>
  <si>
    <t>ras</t>
  </si>
  <si>
    <t>La thematique portant sur la question des exploitants artisanaux a aussi integre la question genre etant donne la presence des femmes dans le carrieres minieres</t>
  </si>
  <si>
    <t xml:space="preserve">Activite encours </t>
  </si>
  <si>
    <t xml:space="preserve">Cette proportion s'explique par la participation relativement importante des femmes a cet atelier. Cette importance n'etait pas seulement inherent au nombre .mais aussi a certaines thematique. </t>
  </si>
  <si>
    <t>La construction de ce batiment provoque les effets d'entrainement sur le marché des biens et services sur lequel un nombre non négligeable pratiquent les activités marchandes(vente des matériaux de construction; les femmes qui servent à transporter les matériaux de construction.</t>
  </si>
  <si>
    <t>Nous estimons que ce vehicle va servir aussi au transport des femmes policières; il  facilitera la mobilité des policiers pour intervenir en temps réel en cas de violences faites au femmes ou au cas ou un cas d'insécurité menace l'intégrité physique des femmes.</t>
  </si>
  <si>
    <t>ces motos  facilitera l'intervention rapide des policiers en faveur des femmes dont les vies seront mises en danger par une situation insécurité à un endroit éloigné du poste de la police.</t>
  </si>
  <si>
    <t xml:space="preserve">Cout de transport des femmes policières prenant part à l'atelier pour le preparatif des activités </t>
  </si>
  <si>
    <t>Participation des femmes dans les reunions:frais de transport aux participants locaux, restauration</t>
  </si>
  <si>
    <t>Frais de transport au participantes locales, restauration</t>
  </si>
  <si>
    <t>Cette activité n'a pas été budgetisée pour la première annualité</t>
  </si>
  <si>
    <t>Narrative Genre</t>
  </si>
  <si>
    <t>UNHABITAT_Agence Lead</t>
  </si>
  <si>
    <t>PNUNOs</t>
  </si>
  <si>
    <t>PUNO</t>
  </si>
  <si>
    <t>MERCY COPRS</t>
  </si>
  <si>
    <t>Depense réelles</t>
  </si>
  <si>
    <t>% de depense réelles</t>
  </si>
  <si>
    <t>Ce budget a permis d'impliquer les femmes à  54%. Quoique la plus part de chefs coutumiers et chef de groupements rencontrés ont été des hommes, les femmes rencontrées avaient aider à avoir les données recherchées. Les 10 femmes animatrices de la CFI ont joué un role capital en terme d'orientation et et des contacts avec les interocuteurs sur le terrain.</t>
  </si>
  <si>
    <r>
      <t xml:space="preserve">(e) GMS 7% </t>
    </r>
    <r>
      <rPr>
        <b/>
        <sz val="10"/>
        <rFont val="Calibri"/>
        <family val="2"/>
      </rPr>
      <t xml:space="preserve"> (USD):</t>
    </r>
  </si>
  <si>
    <t xml:space="preserve">Tranche 1 </t>
  </si>
  <si>
    <t xml:space="preserve">Tranche 2 </t>
  </si>
  <si>
    <t xml:space="preserve">IOM </t>
  </si>
  <si>
    <t>Tranche 1 PUNOS</t>
  </si>
  <si>
    <t>Tranche 2 PUNOS</t>
  </si>
  <si>
    <t>Tranche AG (PNUNOS)</t>
  </si>
  <si>
    <t>Total projet</t>
  </si>
  <si>
    <r>
      <rPr>
        <sz val="10"/>
        <color indexed="10"/>
        <rFont val="Calibri"/>
        <family val="2"/>
      </rPr>
      <t>1.</t>
    </r>
    <r>
      <rPr>
        <sz val="10"/>
        <color indexed="8"/>
        <rFont val="Calibri"/>
        <family val="2"/>
      </rPr>
      <t xml:space="preserve"> Personnel et autres employés </t>
    </r>
    <r>
      <rPr>
        <sz val="10"/>
        <color indexed="10"/>
        <rFont val="Calibri"/>
        <family val="2"/>
      </rPr>
      <t>(max 15% )</t>
    </r>
    <r>
      <rPr>
        <sz val="10"/>
        <color indexed="8"/>
        <rFont val="Calibri"/>
        <family val="2"/>
      </rPr>
      <t xml:space="preserve"> </t>
    </r>
  </si>
  <si>
    <r>
      <rPr>
        <sz val="10"/>
        <color indexed="10"/>
        <rFont val="Calibri"/>
        <family val="2"/>
      </rPr>
      <t>2.</t>
    </r>
    <r>
      <rPr>
        <sz val="10"/>
        <color indexed="8"/>
        <rFont val="Calibri"/>
        <family val="2"/>
      </rPr>
      <t xml:space="preserve"> Fournitures, produits de base, materiels</t>
    </r>
  </si>
  <si>
    <r>
      <rPr>
        <sz val="10"/>
        <color indexed="10"/>
        <rFont val="Calibri"/>
        <family val="2"/>
      </rPr>
      <t>3.</t>
    </r>
    <r>
      <rPr>
        <sz val="10"/>
        <color indexed="8"/>
        <rFont val="Calibri"/>
        <family val="2"/>
      </rPr>
      <t xml:space="preserve"> Equipements et mobilier</t>
    </r>
  </si>
  <si>
    <r>
      <rPr>
        <sz val="10"/>
        <color indexed="10"/>
        <rFont val="Calibri"/>
        <family val="2"/>
      </rPr>
      <t>4</t>
    </r>
    <r>
      <rPr>
        <sz val="10"/>
        <color indexed="8"/>
        <rFont val="Calibri"/>
        <family val="2"/>
      </rPr>
      <t>. Services Contractuels</t>
    </r>
  </si>
  <si>
    <r>
      <rPr>
        <sz val="10"/>
        <color indexed="10"/>
        <rFont val="Calibri"/>
        <family val="2"/>
      </rPr>
      <t>5.</t>
    </r>
    <r>
      <rPr>
        <sz val="10"/>
        <rFont val="Calibri"/>
        <family val="2"/>
      </rPr>
      <t xml:space="preserve"> Frais de deplacement</t>
    </r>
  </si>
  <si>
    <r>
      <rPr>
        <sz val="10"/>
        <color indexed="10"/>
        <rFont val="Calibri"/>
        <family val="2"/>
      </rPr>
      <t xml:space="preserve">6. </t>
    </r>
    <r>
      <rPr>
        <sz val="10"/>
        <rFont val="Calibri"/>
        <family val="2"/>
      </rPr>
      <t>Transferts et subventions</t>
    </r>
  </si>
  <si>
    <r>
      <rPr>
        <sz val="10"/>
        <color indexed="10"/>
        <rFont val="Calibri"/>
        <family val="2"/>
      </rPr>
      <t xml:space="preserve">7. </t>
    </r>
    <r>
      <rPr>
        <sz val="10"/>
        <rFont val="Calibri"/>
        <family val="2"/>
      </rPr>
      <t xml:space="preserve">Frais generaux de fonctionnement et autres couts directs </t>
    </r>
    <r>
      <rPr>
        <sz val="10"/>
        <color indexed="10"/>
        <rFont val="Calibri"/>
        <family val="2"/>
      </rPr>
      <t xml:space="preserve">(max 10%) </t>
    </r>
  </si>
  <si>
    <t xml:space="preserve">Total des Couts liés au Programme  (=Total 7 categories) </t>
  </si>
  <si>
    <r>
      <t>Couts GMS 7%</t>
    </r>
    <r>
      <rPr>
        <sz val="10"/>
        <color indexed="10"/>
        <rFont val="Calibri"/>
        <family val="2"/>
      </rPr>
      <t>**</t>
    </r>
    <r>
      <rPr>
        <sz val="10"/>
        <rFont val="Calibri"/>
        <family val="2"/>
      </rPr>
      <t xml:space="preserve">  </t>
    </r>
  </si>
  <si>
    <t>** The rate shall not exceed 7% of the total of categories 1-7</t>
  </si>
  <si>
    <t xml:space="preserve">MERCY CORPS </t>
  </si>
  <si>
    <t>IOM</t>
  </si>
  <si>
    <t xml:space="preserve">CARITAS </t>
  </si>
  <si>
    <t>% de dépense réelle sensible en genre</t>
  </si>
  <si>
    <t>Dépense réelle sensible en genre</t>
  </si>
  <si>
    <t>Nourriture, salaire acteurs, couts post-production</t>
  </si>
  <si>
    <t xml:space="preserve">Tous les spots radios sont déjà produits et les diffusions sont en cours par 3 radios partenaires jusqu'à la fin du projet. 38%  des spots abordent  des messages/les tthématiques sur le genre.  </t>
  </si>
  <si>
    <t>1$ par unité</t>
  </si>
  <si>
    <t xml:space="preserve">La bande dessinée est pruiduite à la hauteur de 21000 examplaires sur le 13000 prévue. 15000 sont déjà distribuées dont 40% contiennent des messages sur le genre. </t>
  </si>
  <si>
    <t>Frais de consultance pour dessineur de BD</t>
  </si>
  <si>
    <t xml:space="preserve">Le travail du consultant producteur de la Bande dessinée est fini et le paiement déjà effectué. Bien que le consultant séléctionné pour cette fin soit un homme, la bande dessinée produite contient une partie importante de 40% sur le genre. </t>
  </si>
  <si>
    <t>Cout de production des magasine sur le dialogue democratique, y ocmpri matariel de production, montage, pre-test</t>
  </si>
  <si>
    <t xml:space="preserve">Toutes les émissions pamoja kwa amani sont produites et diffusées jusqu'à la fin du projet.  37% des emmissions produites par les radios abordent les questions sur le genre dans les zones de mise en œuvre du projet . </t>
  </si>
  <si>
    <t>Frais de deplacement, restauration, per diem staff SFCG, material didactique</t>
  </si>
  <si>
    <t>Les deux formations sur le journalismes sensibile au conflit sont deja réalisée. Bien que le journalistes femmes ne font pas partie de l'équipe qui a reçu la formation, les hommes ayant participé à cette formation ont reçus des capacités à produire les émission sensible au gent</t>
  </si>
  <si>
    <t>Couts pour les productions par les partenaires radio - deplacement, restauration, frais pour encadreurs</t>
  </si>
  <si>
    <t xml:space="preserve">Ce frais couvre l'appui à la diffusion des émissions pour les 3 radios.  </t>
  </si>
  <si>
    <t>Achat des materiels pour partenaires radio pour assurer la diffusion des emissions</t>
  </si>
  <si>
    <t xml:space="preserve">Chacune des radios partanaires a reçu les équipement pour la production des émissions qui tiennent compte </t>
  </si>
  <si>
    <t>Frais de déplacement et per diem $100/jour</t>
  </si>
  <si>
    <t>Ce frais couvre l'appui à la diffusion des émissions pour les 3 radios (les déplacement des journalistes lors de la recolte de éléments sonors)</t>
  </si>
  <si>
    <t>Salaire pour journalist SFCG affecté au projet (pour 6 mois de préstation)</t>
  </si>
  <si>
    <t xml:space="preserve">Ce frais couvre le salaire du journaliste SFCG jusqu'à la fin du projet  </t>
  </si>
  <si>
    <t>Salaires pour l'equipe media qui appui les productions et formations sur terrain</t>
  </si>
  <si>
    <t xml:space="preserve">Appui aux  comités de base pour activités de solidarité </t>
  </si>
  <si>
    <t xml:space="preserve">22 sur 25 activités de rapprochement prévue sont réalisées.  Certaines d'entre elle sont  de  spécifiquement réalisée avec les  femmes,  jeunnes fille  et abordent les thématiques en rapport  avec le genre.  On n'a noté 31,4% des femmes ont pris part à l'activités et ont exprimer leurs besoins lors de ces activités </t>
  </si>
  <si>
    <t xml:space="preserve">La série Ndakisa sensibilise sur les notions d'éthique et déonthologie professionnelle de la police nationale congolaise. Les épisodes 1, 3 et 4 utilisé au cours de cette période portent essentiellement sur le genre.   </t>
  </si>
  <si>
    <t>Equipement de bureau de base (équipements de bureau, ordinateur, communication) pour 3 CLSP. Pendant le premier année quatrieme CLSP sera appuié dans le cadre du projet RSS Lobi Mokolo Ya Sika</t>
  </si>
  <si>
    <t xml:space="preserve">Le CLSP redynamisé en tant que structure de dialogue sur les questions sécuritaires compte 1/4 des femmes qui renseignent sur les questions en rapport avec le genre.  </t>
  </si>
  <si>
    <t>3 formations pour les CLSP.  Pendant le premier année quatrieme CLSP sera appuié dans le cadre du projet RSS Lobi Mokolo Ya Sika</t>
  </si>
  <si>
    <t xml:space="preserve">Rien à signaler pour cette période </t>
  </si>
  <si>
    <t>appui au fonctionnement (transport, papier, communication). Pendant le premier année quatrieme CLSP sera appuié dans le cadre du projet RSS Lobi Mokolo Ya Sika</t>
  </si>
  <si>
    <t xml:space="preserve">Le 3 CLSP ont bénéficié mensuellement de frais de fonctionnement pour la réalisation de leurs activités régulieres  dont les activités en raport avec le genre  font partie.   </t>
  </si>
  <si>
    <t>Organisés par CLS/P, frais couvrent: salles, générateur, transport participants, rafraichissements.  Pendant le premier année quatrieme CLSP sera appuié dans le cadre du projet RSS Lobi Mokolo Ya Sika</t>
  </si>
  <si>
    <t xml:space="preserve">Les thématiques de diagnostic sécuritaire aborde les aspects sur  le genre au cours de cette période. </t>
  </si>
  <si>
    <t xml:space="preserve">Les résultats issus de diagnostic sécuritaire abordent les aspects sur  le genre et donnent lieu aux échanges publique dont les questions sur le genre font également l'objet de discussion. </t>
  </si>
  <si>
    <t>Organisés par CLS/P, frais couvrent: salles, générateur, transport participants, rafraichissements.  Pendant le premier année quatrieme CLSP sera appuié dans le cadre du projet RSS Lobi Mokolo Ya Sik</t>
  </si>
  <si>
    <t xml:space="preserve">Les snsibilisations tiennent compte du genre même s'il y a pas des militiares ou policiers femmes qui particpent directement.  </t>
  </si>
  <si>
    <t xml:space="preserve">Les plans locaux de sécurités contiennent les reponses ou préocupations sensible au genre. C'est le cas de la sécurité de la femme en situation difficile pendant la nuit, de même les sensibilisation sur le genre et la lutte contre les viols et viollence sexuelles. </t>
  </si>
  <si>
    <t>Achat équipement de bureau de base (équipements de bureau, ordinateur, communication)</t>
  </si>
  <si>
    <t xml:space="preserve">Ces comités redynamisés réalisent non seulement les activités en rapport avec le genre mais aussi  toutes autres catégorie d'activité. </t>
  </si>
  <si>
    <t>10 formations en 1e année, remise à niveau en 2e année</t>
  </si>
  <si>
    <t>Appui aux CDB, papier, stylo, frais de communication</t>
  </si>
  <si>
    <t xml:space="preserve">Le 3 CdB bénéficie mensuellement de frais de fonctionnement pour la réalisation de leurs activités régulieres  dont les activités en raport avec le genre  font partie.   </t>
  </si>
  <si>
    <t>Organisées par CDB: frais de transport, communication, location salles etc.</t>
  </si>
  <si>
    <t xml:space="preserve">Les sensibilisations réalisées au sein des unités de la PNC et FARDC abordent les thématiques sur le genre  </t>
  </si>
  <si>
    <t>Le staff SFCG responsable du projet assure aussi la coordination du consortium et garantit que les différents intervenants répondent à une vision commune telle que formulée dans la théorie de changement. Il supervise les 3 assistants au projet qui sont staff SFCG</t>
  </si>
  <si>
    <t>les assistants supervisés par le chef du projet assureront l'implémentation des activités</t>
  </si>
  <si>
    <t>Il appuie les aspects financiers du projet et s'assure du respect des règles et procédures financières selon les attentes de SFCG et du bailleur. Il révise les rapports financiers avant soumision au bailleur et répond aux questions financières. Il apporte un appui conseil/coaching sur tous sur les aspects de gestion financière. 10% de son temps est alloué à ce projet.</t>
  </si>
  <si>
    <t>Le program associate appui la gestion des projets et est responsable pour la redaction et qualité des rapports</t>
  </si>
  <si>
    <t>La cheffe de bureau  coordonne les aspects programmatiques et toutes les opérations pour le projet. 30% de son temps est nécessaire  chaque mois pour  assurer une bonne  qualité du travail sur le terrain, la liaison avec la direction nationale, et la qualité des rapports trnasmis à la Programmes Associate. Elle assure également la représentation de SFCG dans le Katanga, et formera en viabilité les agents de terrain qui iront ensuite formés les différents comités</t>
  </si>
  <si>
    <t>L'expert de formation assure les differents formations des CLSP, CdB et partenaires radio du proet</t>
  </si>
  <si>
    <t>L'assistant de suivi se charge de toute les activités de suivi et évaluation.</t>
  </si>
  <si>
    <t>L'équipe d'administration et finances du bureau de SFCG  va apporter l'appui nécessaire à la gestion du flux financier, le respect des procédures, la conformité des pièces justificatives, le suivi des entrées et sorties en banque, la gestion de trésorerie et la revue des rapports financiers</t>
  </si>
  <si>
    <t xml:space="preserve">le chauffeur mécanicien budgétisé à temps plein sur ce projet sera en charge du véhicule acheté également dans le cadre de ce projet </t>
  </si>
  <si>
    <t xml:space="preserve"> kits informatiques pour les staffs SFCG </t>
  </si>
  <si>
    <t>Fournitures de base pour le bureau de SFCG</t>
  </si>
  <si>
    <t>Entretien de carburant pour le generateur au bureau SFCG</t>
  </si>
  <si>
    <t>Frais communication des staffs SFCG. (mensuel)</t>
  </si>
  <si>
    <t>Contribution sécurité et nettoyage bureau de SFCG à Bunia (mensuel)</t>
  </si>
  <si>
    <t>Missions de suivi des staffs SFCG (en raison de 2 mission de suivi des activités  sur terrain)</t>
  </si>
  <si>
    <t>vols Bunia-Goma pour le suivi du projet et réunions de coordination (en raison de deux vols par mois)</t>
  </si>
  <si>
    <t xml:space="preserve">Frais bancaires SFCG - mensuel pour les oppértions </t>
  </si>
  <si>
    <t>Contribution au bureau de SFCG Bunia (mensuel)</t>
  </si>
  <si>
    <t>Contribution au bureau de SFCG Goma (mensuel). Le bureau de Bukavu abrite la studio radio de SFCG utilisé pour les differents produits radiophoniques</t>
  </si>
  <si>
    <t>Contribution electricité et eau bureau de SFCG Bunia  (mensuel)</t>
  </si>
  <si>
    <t>Contribution au entretien du vehicule de SFCG à Bunia (mensuel)</t>
  </si>
  <si>
    <t>These costs cover the oversight and support of the regional team on this project. The regional team is headed by the Regional Director, under who works a Regional Manager and a Regional Finance Manager. This team ensures compliance with all of donor rules and regulations, while overseeing program quality, staff capacity building and coaching, and troubleshooting. Costs that will be incurred on this line will include personnel time (including benefits), consultants, local transport, communications, regional office and guesthouse rent and maintenance, and office supplies.</t>
  </si>
  <si>
    <t>The Institutional Learning Team (ILT) and Regional DME Specialist will support the program in monitoring and evaluation of activities by providing strategic advice and technical support for the teams on the ground. The ILT Director and/or Regional DME Specialist may perform one or more field missions to support monitoring for the project, as well as provide support as needed in terms of reviewing tools and methodologies for training, conflict scans, etc.</t>
  </si>
  <si>
    <t>OBJECTIVE SPECIFIQUE 2:</t>
  </si>
  <si>
    <t>Produit 1.1.1 : Les problématiques de conflits sont connues dans la zone d’intervention.</t>
  </si>
  <si>
    <t xml:space="preserve"> Produit 3.1.2 : La capacité des services et institutions membres du comité de suivi des activités minières de la province de l'Ituri est renforcée</t>
  </si>
  <si>
    <t>Sous-total Objectif Specifique 3</t>
  </si>
  <si>
    <t>Résultat 5.2: La qualité des services de sécurité est améliorée conformement à leur mission et répond aux besoins exprimés par les femmes, filles, garçons et hommes</t>
  </si>
  <si>
    <t>Résultat  1.1 Les Solutions de Paix aux problèmes, sont adoptées et endossées par les parties prenantes aux différents niveaux (Province, National et Local) et mise en œuvre</t>
  </si>
  <si>
    <t>A programmer les deuxièmes séries des barza</t>
  </si>
  <si>
    <t>Dépassement lié aux activités FRPI reprogrammées</t>
  </si>
  <si>
    <t>Les activités continuent</t>
  </si>
  <si>
    <t>Rien à sirgnaler</t>
  </si>
  <si>
    <t>Résultat  1.2 Les mécanismes de transformation des conflits sont mis en place</t>
  </si>
  <si>
    <t>Produit 1.2.1 : Les structures locales de transformation de conflits sont renforcées et opérationnelles</t>
  </si>
  <si>
    <t>Presque pas d'activités dans cette ligne car nous étons sur le processus FRPI, maintenant nous allons utiliser ces fonds au courant de la periode qui nous reste.</t>
  </si>
  <si>
    <t>Produit 1.2.3: Les résultats et solutions du processus de dialogue sont partagés</t>
  </si>
  <si>
    <t>Déjà réalisée</t>
  </si>
  <si>
    <t xml:space="preserve"> Dejà réalisée</t>
  </si>
  <si>
    <t>Cette activité continue</t>
  </si>
  <si>
    <t>Résultat 2.1 : Les communautés locales y compris les peuples autochtones ont accès aux services de l'Administration foncière.</t>
  </si>
  <si>
    <t>OBJECTIF SPECIFIQUE 1:</t>
  </si>
  <si>
    <t>OBJECTIF SPECIFIQUE 4:</t>
  </si>
  <si>
    <t>Résultat 4.1 : Performance améliorée des agents de l’Etat dans la fourniture de services (dans les services-clefs identifiés dans les plans locaux)</t>
  </si>
  <si>
    <t>Produit 4.1.1: les réponses aux enjeux de gouvernance sont identifiées et apportées</t>
  </si>
  <si>
    <t xml:space="preserve">Diagnostic participatif sur les capacités institutionnelles  et opérationnelles  des ETD ainsi que de leurs services techniques.  </t>
  </si>
  <si>
    <t>Formation/recyclage des autorités des ETD et de leurs services techniques</t>
  </si>
  <si>
    <t>Appui aux ETD en équipement de bureau (Laptot, imprimante photocopieuse, groupe électrogène, fournitures) et documentation.</t>
  </si>
  <si>
    <t>Activité   reclassée</t>
  </si>
  <si>
    <t xml:space="preserve">activité en cours </t>
  </si>
  <si>
    <t>Plusieurs réunions organisées</t>
  </si>
  <si>
    <t>Activité réalisée et don’t dépenses reclassés</t>
  </si>
  <si>
    <t xml:space="preserve">Activité réalisée. Une partie des dépense á reclasser </t>
  </si>
  <si>
    <t>activité encours de réalisation</t>
  </si>
  <si>
    <t>Activité reclassée</t>
  </si>
  <si>
    <t>Activité encours de réalisation</t>
  </si>
  <si>
    <t>autres activités reste á réaliser</t>
  </si>
  <si>
    <t>Activité en cours de programmation car nécessitant l'améloration de condition securitaire</t>
  </si>
  <si>
    <t>Activité réalisée mais les dépenses doivent réclassées</t>
  </si>
  <si>
    <t>Un engagement encours de reclassessement</t>
  </si>
  <si>
    <t>la construction du batiment de commissariat de la Police de Burasi achevée</t>
  </si>
  <si>
    <t xml:space="preserve">Missions de terrains réalisées </t>
  </si>
  <si>
    <t>Inauguration réaisée</t>
  </si>
  <si>
    <t>Dépense á reclasser pour une activité réaliséé</t>
  </si>
  <si>
    <t>Les dépenses d'entretien et d'acquisition des actifs ont été importante comparativement ā leurs prévision</t>
  </si>
  <si>
    <t>Produit 4.1.2 : Les plans locaux de paix et de développement sont mis en place</t>
  </si>
  <si>
    <t>Organisation de diagnostic participatif  </t>
  </si>
  <si>
    <t>Préparation de la planification locale </t>
  </si>
  <si>
    <t>Formulation et élaboration du PDL/PIL/PAI</t>
  </si>
  <si>
    <t>Adoption du PDL/PIL/PAI</t>
  </si>
  <si>
    <t>Suivi de la mise en œuvre du PLD et du Budget Participatif au niveau des ETD</t>
  </si>
  <si>
    <t>Produit 4.1.3 : Les connaissances des autorités et les animateurs des structures citoyennes à la base sont renforcées</t>
  </si>
  <si>
    <t>Formation des structures citoyennes communautaires sur le rôle, mission et règle d’organisation  de structure citoyenne</t>
  </si>
  <si>
    <t>Formation des structures citoyennes sur les principes de gouvernance inclusive (Décentralisation, Démocratie, participation citoyenne, Analyse sociale)</t>
  </si>
  <si>
    <t>Formation des structures citoyennes sur le plaidoyer et la mobilisation communautaire</t>
  </si>
  <si>
    <t>Formation des structure citoyennes sur la culture fiscale (Impôts et taxes)</t>
  </si>
  <si>
    <t>Formation des autorités sur les impôts et taxes ainsi que le mode de gestion des recettes issues des impôts et taxes</t>
  </si>
  <si>
    <t>Formation des autorités sur les principes de gouvernance inclusive (Décentralisation, Démocratie,  Participation citoyenne et la redevabilite)</t>
  </si>
  <si>
    <t>Produit 4.1.4 : Les mécanismes de concertation entre ETD, autorités provinciales et la population sont opérationnels</t>
  </si>
  <si>
    <t>Mise en place et renforcement des structures citoyennes communautaires</t>
  </si>
  <si>
    <t>Création d’un Cadre de concertation entre les décideurs et les structures citoyennes communautaires au niveau des ETD</t>
  </si>
  <si>
    <t>Echange d’expérience entre les autorités piloté par l’Administrateur du territoire</t>
  </si>
  <si>
    <t>Cadre de concertation  entre la Société civile, les responsables des ETDs,  l’Administrateur du Territoire,  l’Assemblée  et l’Exécutif Provincial</t>
  </si>
  <si>
    <t>Forum économique des ETD du Sud Irumu avec des bailleurs de fonds, investisseurs, humanitaire, operateurs économiques (Actuel et potentiels)</t>
  </si>
  <si>
    <t>Produit 4.1.5 : les communications sur les devoirs et droits des citoyens sont assurées</t>
  </si>
  <si>
    <t>Emissions radios</t>
  </si>
  <si>
    <t xml:space="preserve">Production des dépliants </t>
  </si>
  <si>
    <t xml:space="preserve">Production  des affiches </t>
  </si>
  <si>
    <t>OBJECTIF SPECIFIQUE 5:</t>
  </si>
  <si>
    <t xml:space="preserve"> Résultat 5.1 : Le rapprochement et la collaboration entre les femmes, filles, garçons et hommes et les forces de sécurité sont améliorés </t>
  </si>
  <si>
    <t>Sous-total Objectif Specifique 4</t>
  </si>
  <si>
    <t>Produit 5.1.2 : Les plans locaux de sécurité sont élaborés et révises par les CLPS</t>
  </si>
  <si>
    <t>Produit 5.1.1 : Les initiatives de concertation et de dialogue entre les autorités de services de sécurité et la population sont mises en place</t>
  </si>
  <si>
    <t>Produit .5.2.2 : Les plans de sécurités sont mis en œuvre par les autorités politiques, forces de sécurité et populations civiles ( 50% apports local et 50 % par le projet )</t>
  </si>
  <si>
    <t>Produit 5.2.1 : L’efficacité de la police de proximité est assurée par la construction/ équipement des infrastructures policières prioritaires</t>
  </si>
  <si>
    <t xml:space="preserve">Produit 6.1.1 : Les opportunités de développement économique sont connues </t>
  </si>
  <si>
    <t>Résultat : 6.1 Le développement d’une agriculture plus productive et résiliente a réduit les tensions entre les agriculteurs et les éleveurs</t>
  </si>
  <si>
    <t>Produit 6.1.2 : Les acteurs économiques s’engagent et facilitent le développement agricole.</t>
  </si>
  <si>
    <t>Produit 6.1.3 : L'appui aux agriculteurs, éleveurs et pécheurs est assuré</t>
  </si>
  <si>
    <t>Produit 6.1.4 : Des parcelles collectives de pâturage et pour l’agriculture sont mises en place et capitalisées</t>
  </si>
  <si>
    <t>Produit 6.1.5 : Les conditions pour les activités économiques et productives sont favorables.</t>
  </si>
  <si>
    <t>Honoraires Professionnels  (juidiques, etc.) @4%</t>
  </si>
  <si>
    <t>Résultat : 6.2 L’auto-prise en charge et la cohabitation pacifique des jeunes à risque sont améliorées.</t>
  </si>
  <si>
    <t>Produit 6.2.1 : Les capacités des jeunes à risque sont renforcées en métier professionnel</t>
  </si>
  <si>
    <t xml:space="preserve"> Réaliser les études socioéconomiques de base de la zone et des bénéficiaires</t>
  </si>
  <si>
    <t>Identifier, sélectionner les bénéficiaires et valider leur  liste par le Comité local de sélection</t>
  </si>
  <si>
    <t xml:space="preserve"> Informer les bénéficiaires sur les activités du projet (et restituer les resultats de l'etude de base)</t>
  </si>
  <si>
    <t>Appuyer les bénéficiaires dans le choix des métiers et du projet de micro entreprise/AGR</t>
  </si>
  <si>
    <t>a) Construire un batiment en dur pour la formation professionnelle des jeunes à risque</t>
  </si>
  <si>
    <t>b) Mettre en place cinq infrastructures temporaires (ateliers écoles) pour l’apprentissage des métiers </t>
  </si>
  <si>
    <t>Renforcer les capacités techniques des bénéficiaires</t>
  </si>
  <si>
    <t>Honoraires des formateurs</t>
  </si>
  <si>
    <t>Collation pour les apprenants</t>
  </si>
  <si>
    <t>Materiels et fournitures pedagogiques</t>
  </si>
  <si>
    <t>Produit.6.2.2 : Les microentreprises sont créées par les groupements de jeunes.</t>
  </si>
  <si>
    <t>Structurer les bénéficiaires autour des métiers et micro entreprises/ AGR</t>
  </si>
  <si>
    <t xml:space="preserve">Appuyer les jeunes formés à se constituer en des groupes d'environ 15 -20 membres et accompagner les réunions/seances d'elaboration des textes reglementaires ou statutaires ainsi que les assemblées générales électives. </t>
  </si>
  <si>
    <t>Appuyer  la legalisation des statuts des groupements des jeunes</t>
  </si>
  <si>
    <t xml:space="preserve">Renforcer les capacités gestionnaires des bénéficiaires </t>
  </si>
  <si>
    <t>Organiser des seminaires de formation des dirigeants  des groupements des jeunes</t>
  </si>
  <si>
    <t>Renforcer le capital de démarrage des micro entreprises/ AGRs des bénéficiaires</t>
  </si>
  <si>
    <t>Donner à chaque groupe un kit collectif et un fond de démarrage</t>
  </si>
  <si>
    <t>Produit.6.2.3 : Les microentreprises sont opérationnelles et génèrent des revenus.</t>
  </si>
  <si>
    <t>Assurer le coaching des groupes et suivi de la gestion des micros entreprises/ AGR</t>
  </si>
  <si>
    <t>Organiser des échanges d’expériences entre les dirigeants des micros entreprises</t>
  </si>
  <si>
    <t>Produit.6.2.4 : Les actions menées par les jeunes à risque contribuent au processus de cohésion sociale</t>
  </si>
  <si>
    <t xml:space="preserve">Promouvoir la Communication et mobilisation inclusive des jeunes à risque – </t>
  </si>
  <si>
    <t>Appui aux Conseils locaux de la Jeunesse dans chaque ETD dans leur role de mobilisation communautaire</t>
  </si>
  <si>
    <t>Actions de mobilisation communautaire pour les jenues, incluant les jeunes à risque (plaidoyer, rencontres, etc.)</t>
  </si>
  <si>
    <t>Diffusion d'émissions radios 'par les jeunes pour les jeunes' sur les radios communautaires locales</t>
  </si>
  <si>
    <t xml:space="preserve">Appui aux clubs d'écoute des jeunes relatif aux émissions radio sur les conflits communautaires et les pistes de solution identifiés au niveau local </t>
  </si>
  <si>
    <t>Développer des activités récréatives, socioculturelles impliquant les bénéficiaires du projet :</t>
  </si>
  <si>
    <t xml:space="preserve">Organisation d'un ballet culturel des jeunes des différentes ETD </t>
  </si>
  <si>
    <t>Organisation de tournois sportifs entre les jeunes des différentes ETD</t>
  </si>
  <si>
    <t>Projection de films éducatifs pour les jeunes</t>
  </si>
  <si>
    <t>Formation des APS (Agents psycho-sociaux) sur les techniques d'assistance psycho-sociale des jeunes à risque</t>
  </si>
  <si>
    <t>Evaluation de l'état de stress post - traumatique des jeunes à risque</t>
  </si>
  <si>
    <t>Séances d'écoute active des jeunes à risque</t>
  </si>
  <si>
    <t>Médiations familiales et communautaires par les APS</t>
  </si>
  <si>
    <t>Séances de thérapies de groupes</t>
  </si>
  <si>
    <t>Debriefing collectif et individuel (remotivation) des APS, animateurs et psychologues</t>
  </si>
  <si>
    <t>Résultat : 6.3 : L’accès aux services financiers et sociaux de base en faveur des hommes et des femmes vulnérables est amélioré.</t>
  </si>
  <si>
    <t>OBJECTIVE SPECIFIQUE 7:</t>
  </si>
  <si>
    <t>Résultat 7.1. La prévalence des VSBG favorisée par les normes et pratiques sociales négatives dans la zone d’intervention est réduite.</t>
  </si>
  <si>
    <t>Réponse COOPI : il s'agit de dépenses de partenaire AJP pour: paiement d'Honoraire Superv. APS ARIL 2018 de 400$ du 15/06/18  à Mr. KISEMBO SABITI Benjamin, NN21831300281/Komanda,  et paiement d'Honoraire Superv. APS ARIL 2018 de 400$ du 15/06/18 à Mr. NYANGOMA BYAKISA EUNICE NN21823293046/Kasenyi d'où un total de 800$, imputés par erreur sur la ligne 711010 alors que ces dépenses devraient être sur la ligne :722010. Toutefois, elles sont déjà corrigées sur la bonne ligne : 722010. Le taux réel de consommation reste à 100% soit 270$ sur la LB : 711010.</t>
  </si>
  <si>
    <t>Produit 7.1.1. Les connaissances, attitudes et perceptions des parties prenantes (désagrégés par sexe) sont renforcées</t>
  </si>
  <si>
    <t>Résultat 7.2. L’accès aux services d’assistance multisectorielle et judiciaire pour les survivants de VSBG est amélioré.</t>
  </si>
  <si>
    <t>Produit 7.2.1. Le mécanisme communautaire du monitoring de cas de VSBG est mis en place.</t>
  </si>
  <si>
    <t>Produit 7.2.2. Les survivants de VSBG ont accès à une prise en charge.</t>
  </si>
  <si>
    <t>Produit 7.2.3. Le mécanisme de la coordination de lutte contre les VSBG dans le Sud Irumu, est amélioré</t>
  </si>
  <si>
    <t>A uiliser cette deuxième année</t>
  </si>
  <si>
    <t xml:space="preserve">A programmer </t>
  </si>
  <si>
    <t>Le besoin en matérroel informatique des Lap top pour les animateurs a été plus grand que prévu.</t>
  </si>
  <si>
    <t xml:space="preserve">Mission à programmer </t>
  </si>
  <si>
    <t>Situation au :</t>
  </si>
  <si>
    <t>TOTAL dépenses réelles</t>
  </si>
  <si>
    <t>…en % du budget total</t>
  </si>
  <si>
    <t>Commentaire sur les dépenses liées au genre</t>
  </si>
  <si>
    <t>TOTAL DES DEPENSES ANTICIPEES</t>
  </si>
  <si>
    <t>Solde budgétaire anticipé</t>
  </si>
  <si>
    <t>Proposition de modification budgétaire</t>
  </si>
  <si>
    <t>ratios%</t>
  </si>
  <si>
    <t xml:space="preserve">Les spots radio+12:43phoniques  de sensibilisation </t>
  </si>
  <si>
    <t xml:space="preserve"> Produit 5.2.2</t>
  </si>
  <si>
    <t xml:space="preserve"> Produit 5.1.2</t>
  </si>
  <si>
    <t>Produit 5.2.1</t>
  </si>
  <si>
    <t xml:space="preserve">(a) Nom de l'organisation: </t>
  </si>
  <si>
    <r>
      <t>Activité 3.3.3.3: un arrêté de validation des sites miniers qualifiés est signé ;</t>
    </r>
    <r>
      <rPr>
        <b/>
        <i/>
        <u/>
        <sz val="10"/>
        <color theme="1"/>
        <rFont val="Calibri"/>
        <family val="2"/>
        <scheme val="minor"/>
      </rPr>
      <t xml:space="preserve"> </t>
    </r>
  </si>
  <si>
    <t xml:space="preserve">Produit 3.3.2 : Les capacités des associations des petits opérateurs économiques autour des sites miniers sont renforcées </t>
  </si>
  <si>
    <t xml:space="preserve">Produit 3.3.3 : Des AGR pilotes sont initiées en faveur d'une ou deux associations de petits operateurs  vulnérables ; </t>
  </si>
  <si>
    <t>Mercy Coprs</t>
  </si>
  <si>
    <t>Mercy Corps</t>
  </si>
  <si>
    <t>Frais généraux de fonctionnement et autres coûts directs</t>
  </si>
  <si>
    <t>1 ) Personnel et autres employés (lies au soutien)</t>
  </si>
  <si>
    <t>CONSORTIUM</t>
  </si>
  <si>
    <t xml:space="preserve">Cette activité n'a pas été budgetisée pour la première annualité mais son Fax autorization a été approuvé </t>
  </si>
  <si>
    <t xml:space="preserve">Depenses reelles </t>
  </si>
  <si>
    <t xml:space="preserve">% de depense reel sensible en genre </t>
  </si>
  <si>
    <r>
      <t>Activit</t>
    </r>
    <r>
      <rPr>
        <sz val="10"/>
        <color theme="1"/>
        <rFont val="Calibri"/>
        <family val="2"/>
      </rPr>
      <t>é</t>
    </r>
    <r>
      <rPr>
        <sz val="10"/>
        <color theme="1"/>
        <rFont val="Cambria"/>
        <family val="1"/>
      </rPr>
      <t xml:space="preserve"> compl</t>
    </r>
    <r>
      <rPr>
        <sz val="10"/>
        <color theme="1"/>
        <rFont val="Calibri"/>
        <family val="2"/>
      </rPr>
      <t>è</t>
    </r>
    <r>
      <rPr>
        <sz val="10"/>
        <color theme="1"/>
        <rFont val="Cambria"/>
        <family val="1"/>
      </rPr>
      <t>tement r</t>
    </r>
    <r>
      <rPr>
        <sz val="10"/>
        <color theme="1"/>
        <rFont val="Calibri"/>
        <family val="2"/>
      </rPr>
      <t>é</t>
    </r>
    <r>
      <rPr>
        <sz val="10"/>
        <color theme="1"/>
        <rFont val="Cambria"/>
        <family val="1"/>
      </rPr>
      <t>alis</t>
    </r>
    <r>
      <rPr>
        <sz val="10"/>
        <color theme="1"/>
        <rFont val="Calibri"/>
        <family val="2"/>
      </rPr>
      <t>ée</t>
    </r>
  </si>
  <si>
    <r>
      <t>Activité   reclass</t>
    </r>
    <r>
      <rPr>
        <sz val="10"/>
        <color theme="1"/>
        <rFont val="Calibri"/>
        <family val="2"/>
      </rPr>
      <t>é</t>
    </r>
    <r>
      <rPr>
        <sz val="10"/>
        <color theme="1"/>
        <rFont val="Cambria"/>
        <family val="1"/>
      </rPr>
      <t>e</t>
    </r>
  </si>
  <si>
    <r>
      <t>Plusieurs r</t>
    </r>
    <r>
      <rPr>
        <sz val="10"/>
        <color theme="1"/>
        <rFont val="Calibri"/>
        <family val="2"/>
      </rPr>
      <t>é</t>
    </r>
    <r>
      <rPr>
        <sz val="10"/>
        <color theme="1"/>
        <rFont val="Cambria"/>
        <family val="1"/>
      </rPr>
      <t>unions organis</t>
    </r>
    <r>
      <rPr>
        <sz val="10"/>
        <color theme="1"/>
        <rFont val="Calibri"/>
        <family val="2"/>
      </rPr>
      <t>é</t>
    </r>
    <r>
      <rPr>
        <sz val="10"/>
        <color theme="1"/>
        <rFont val="Cambria"/>
        <family val="1"/>
      </rPr>
      <t>es</t>
    </r>
  </si>
  <si>
    <r>
      <t xml:space="preserve">Activité réalisée. Une partie des dépense </t>
    </r>
    <r>
      <rPr>
        <sz val="10"/>
        <color theme="1"/>
        <rFont val="Calibri"/>
        <family val="2"/>
      </rPr>
      <t>á</t>
    </r>
    <r>
      <rPr>
        <sz val="10"/>
        <color theme="1"/>
        <rFont val="Cambria"/>
        <family val="1"/>
      </rPr>
      <t xml:space="preserve"> reclasser </t>
    </r>
  </si>
  <si>
    <r>
      <t>activité r</t>
    </r>
    <r>
      <rPr>
        <sz val="10"/>
        <color theme="1"/>
        <rFont val="Calibri"/>
        <family val="2"/>
      </rPr>
      <t>é</t>
    </r>
    <r>
      <rPr>
        <sz val="10"/>
        <color theme="1"/>
        <rFont val="Cambria"/>
        <family val="1"/>
      </rPr>
      <t>alis</t>
    </r>
    <r>
      <rPr>
        <sz val="10"/>
        <color theme="1"/>
        <rFont val="Calibri"/>
        <family val="2"/>
      </rPr>
      <t>é</t>
    </r>
    <r>
      <rPr>
        <sz val="10"/>
        <color theme="1"/>
        <rFont val="Cambria"/>
        <family val="1"/>
      </rPr>
      <t>e</t>
    </r>
  </si>
  <si>
    <r>
      <t>la construction du batiment de commissariat de la Police de Burasi achev</t>
    </r>
    <r>
      <rPr>
        <sz val="10"/>
        <color theme="1"/>
        <rFont val="Calibri"/>
        <family val="2"/>
      </rPr>
      <t>ée</t>
    </r>
  </si>
  <si>
    <r>
      <t>Missions de terrains r</t>
    </r>
    <r>
      <rPr>
        <sz val="10"/>
        <color theme="1"/>
        <rFont val="Calibri"/>
        <family val="2"/>
      </rPr>
      <t>é</t>
    </r>
    <r>
      <rPr>
        <sz val="10"/>
        <color theme="1"/>
        <rFont val="Cambria"/>
        <family val="1"/>
      </rPr>
      <t>alis</t>
    </r>
    <r>
      <rPr>
        <sz val="10"/>
        <color theme="1"/>
        <rFont val="Calibri"/>
        <family val="2"/>
      </rPr>
      <t>é</t>
    </r>
    <r>
      <rPr>
        <sz val="10"/>
        <color theme="1"/>
        <rFont val="Cambria"/>
        <family val="1"/>
      </rPr>
      <t xml:space="preserve">es </t>
    </r>
  </si>
  <si>
    <t>CS.0903.CD60.54.01.001</t>
  </si>
  <si>
    <t>CS.0903.CD60.54.01.002</t>
  </si>
  <si>
    <t>CS.0903.CD60.54.01.003</t>
  </si>
  <si>
    <t>CS.0903.CD60.54.05.001</t>
  </si>
  <si>
    <t>CS.0903.CD60.54.05.002</t>
  </si>
  <si>
    <t>CS.0903.CD60.54.05.003</t>
  </si>
  <si>
    <t>CS.0903.CD60.54.05.004</t>
  </si>
  <si>
    <t>CS.0903.CD60.54.05.005</t>
  </si>
  <si>
    <t>CS.0903.CD60.54.05.006</t>
  </si>
  <si>
    <t>CS.0903.CD60.54.05.007</t>
  </si>
  <si>
    <t>CS.0903.CD60.54.01.004</t>
  </si>
  <si>
    <t>CS.0903.CD60.54.01.005</t>
  </si>
  <si>
    <t>CS.0903.CD60.54.01.006</t>
  </si>
  <si>
    <t>CS.0903.CD60.54.05.008</t>
  </si>
  <si>
    <t>CS.0903.CD60.54.05.009</t>
  </si>
  <si>
    <t>CS.0903.CD60.54.05.011</t>
  </si>
  <si>
    <t>CS.0903.CD60.54.05.012</t>
  </si>
  <si>
    <t>CS.0903.CD60.54.07.001</t>
  </si>
  <si>
    <t>CS.0903.CD60.54.05.013</t>
  </si>
  <si>
    <t>CS.0903.CD60.54.05.014</t>
  </si>
  <si>
    <t>CS.0903.CD60.83.02.002</t>
  </si>
  <si>
    <t>CS.0903.CD60.54.05.015</t>
  </si>
  <si>
    <t>CS.0903.CD60.57.02.001</t>
  </si>
  <si>
    <t>CS.0903.CD60.57.02.002</t>
  </si>
  <si>
    <t>CS.0903.CD60.57.02.003</t>
  </si>
  <si>
    <t>CS.0903.CD60.82.10.001</t>
  </si>
  <si>
    <t>CS.0903.CD60.82.10.002</t>
  </si>
  <si>
    <t>CS.0903.CD60.57.03.001</t>
  </si>
  <si>
    <t>CS.0903.CD60.51.03.001</t>
  </si>
  <si>
    <t>CS.0903.CD60.56.03.001</t>
  </si>
  <si>
    <t>CS.0903.CD60.56.03.004</t>
  </si>
  <si>
    <t>CS.0903.CD60.82.06.001</t>
  </si>
  <si>
    <t>CS.0903.CD60.82.06.002</t>
  </si>
  <si>
    <t>CS.0903.CD60.82.06.003</t>
  </si>
  <si>
    <t>CS.0903.CD60.82.06.004</t>
  </si>
  <si>
    <t>CS.0903.CD60.82.06.005</t>
  </si>
  <si>
    <t>CS.0903.CD60.82.06.006</t>
  </si>
  <si>
    <t>CS.0903.CD60.82.06.007</t>
  </si>
  <si>
    <t>CS.0903.CD60.82.06.008</t>
  </si>
  <si>
    <t>CS.0903.CD60.82.06.009</t>
  </si>
  <si>
    <t>CS.0903.CD60.82.06.010</t>
  </si>
  <si>
    <t>CS.0903.CD60.82.06.011</t>
  </si>
  <si>
    <t>CS.0903.CD60.82.06.012</t>
  </si>
  <si>
    <t>CS.0903.CD60.82.06.013</t>
  </si>
  <si>
    <t>CS.0903.CD60.82.06.014</t>
  </si>
  <si>
    <t>CS.0903.CD60.82.06.015</t>
  </si>
  <si>
    <t>CS.0903.CD60.82.06.016</t>
  </si>
  <si>
    <t>CS.0903.CD60.82.06.017</t>
  </si>
  <si>
    <t>CS.0903.CD60.82.06.018</t>
  </si>
  <si>
    <t>CS.0903.CD60.82.06.019</t>
  </si>
  <si>
    <t>CS.0903.CD60.82.06.020</t>
  </si>
  <si>
    <t>CS.0903.CD60.82.06.021</t>
  </si>
  <si>
    <t>CS.0903.CD60.82.06.022</t>
  </si>
  <si>
    <t>CS.0903.CD60.82.06.023</t>
  </si>
  <si>
    <t>CS.0903.CD60.82.06.024</t>
  </si>
  <si>
    <t>CS.0903.CD60.82.06.025</t>
  </si>
  <si>
    <t>CS.0903.CD60.54.10.001</t>
  </si>
  <si>
    <t>CS.0903.CD60.54.10.002</t>
  </si>
  <si>
    <t>CS.0903.CD60.54.10.003</t>
  </si>
  <si>
    <t>CS.0903.CD60.50.05.001</t>
  </si>
  <si>
    <t>CS.0903.CD60.54.11.001</t>
  </si>
  <si>
    <t>CS.0903.CD60.54.11.002</t>
  </si>
  <si>
    <t>CS.0903.CD60.57.02.004</t>
  </si>
  <si>
    <r>
      <t>pourcentage influenc</t>
    </r>
    <r>
      <rPr>
        <b/>
        <sz val="10"/>
        <color theme="1"/>
        <rFont val="Calibri"/>
        <family val="2"/>
      </rPr>
      <t>é</t>
    </r>
    <r>
      <rPr>
        <b/>
        <i/>
        <sz val="10"/>
        <color theme="1"/>
        <rFont val="Calibri"/>
        <family val="2"/>
      </rPr>
      <t xml:space="preserve"> essentiellement par les consommations au niveau OS5 car il reste econre </t>
    </r>
    <r>
      <rPr>
        <b/>
        <sz val="10"/>
        <color theme="1"/>
        <rFont val="Calibri"/>
        <family val="2"/>
      </rPr>
      <t>á</t>
    </r>
    <r>
      <rPr>
        <b/>
        <i/>
        <sz val="10"/>
        <color theme="1"/>
        <rFont val="Calibri"/>
        <family val="2"/>
      </rPr>
      <t xml:space="preserve"> faire au niveau de OS3</t>
    </r>
  </si>
  <si>
    <t>CS.0903.CD10.11.04.001</t>
  </si>
  <si>
    <t>CS.0903.CD60.11.02.001</t>
  </si>
  <si>
    <t>CS.0903.CD60.11.04.001</t>
  </si>
  <si>
    <t>CS.0903.CD60.11.04.002</t>
  </si>
  <si>
    <t>CS.0903.CD60.12.05.001</t>
  </si>
  <si>
    <t>CS.0903.CD60.12.09.002</t>
  </si>
  <si>
    <t>CS.0903.CD60.12.02.001</t>
  </si>
  <si>
    <t>CS.0903.CD60.12.04.001</t>
  </si>
  <si>
    <t>CS.0903.CD60.12.06.001</t>
  </si>
  <si>
    <t>CS.0903.CD60.12.08.001</t>
  </si>
  <si>
    <t>CS.0903.CD60.12.10.001</t>
  </si>
  <si>
    <t>CS.0903.CD60.12.09.001</t>
  </si>
  <si>
    <t>CS.0903.CD10.12.01.002</t>
  </si>
  <si>
    <t>CS.0903.CD40.12.10.001</t>
  </si>
  <si>
    <t>CS.0903.CD10.12.01.001</t>
  </si>
  <si>
    <t>Date : JUIN 2019</t>
  </si>
  <si>
    <t>Cette activité est réalisée</t>
  </si>
  <si>
    <t>Cette activité a associé les hommes et les femmes. Au total, 25 femmes ont pris part à cette activité</t>
  </si>
  <si>
    <t>Elle est reprogrammée pendant le NCE vu  l'impact de la l'insécurité du Territoire de Djugu  sur celui d'Irumu qui rend indisponible l'autorité territoriale</t>
  </si>
  <si>
    <t>Elle est reprogrammée durant le NCE après l'accalmie dans la province de l'Ituri</t>
  </si>
  <si>
    <t>la formation a débuté en mars et s'est terminé le  14 juillet pour une bonne partie,: réalisation à 88,67%</t>
  </si>
  <si>
    <t>Cette collation est prévue au démarrage de formation; il y a 16 % de femmes</t>
  </si>
  <si>
    <t>cette activité est réalisée à 95,68 %</t>
  </si>
  <si>
    <t>280 filles et 280 garcons ont bénéficié des collations</t>
  </si>
  <si>
    <t>Cette activité sera réalisée après le regroupement des jeunes dans leurs zones d'activités dans les 7 ETD</t>
  </si>
  <si>
    <t xml:space="preserve"> Elle a déjà été réalisée à 100%</t>
  </si>
  <si>
    <t xml:space="preserve">Cette activité sera réalisée pendant la prolongation </t>
  </si>
  <si>
    <t>Cette activité  est prévue en deux phases. La deuxième a été entièrement réalisée</t>
  </si>
  <si>
    <t>Cette activité  est entièrement réalisée</t>
  </si>
  <si>
    <r>
      <t>A.6.2.4.3 : Assistance et accompagnement psycho-social des jeunes « à risque »</t>
    </r>
    <r>
      <rPr>
        <i/>
        <u/>
        <sz val="14"/>
        <color indexed="15"/>
        <rFont val="Times New Roman"/>
        <family val="1"/>
      </rPr>
      <t xml:space="preserve"> </t>
    </r>
  </si>
  <si>
    <t>cette activité a bénéficié aux filles et garçons au nombre de 560</t>
  </si>
  <si>
    <t xml:space="preserve">Ce budget couvre le salaire du journaliste pris en charge par le projet jusqu'à la fin de son contrat. </t>
  </si>
  <si>
    <t>activité réalisée / ce dépassement est du aux couts réels  terrain par rapport à la prévision budgétaire sous-estimée</t>
  </si>
  <si>
    <t>activité réalisée /ce dépassement est du aux couts réels  des imprimantes par rapport à la prévision (car il fallait prendre des multi-fonctions au lieu de simples)</t>
  </si>
  <si>
    <t>Activité réalisée</t>
  </si>
  <si>
    <t>activité réalisée / Clôturée</t>
  </si>
  <si>
    <t>activé en cours sur appui au protocole jusqu'au 31 Aout 2019</t>
  </si>
  <si>
    <t xml:space="preserve">activé en cours </t>
  </si>
  <si>
    <t>activité réalisée/Cloturée</t>
  </si>
  <si>
    <t>Salaire staff cloturé</t>
  </si>
  <si>
    <t>Rectification PN 625</t>
  </si>
  <si>
    <t xml:space="preserve">Ch N 6071410/Ets Sarang pour achat ordi + imprimante </t>
  </si>
  <si>
    <t>activé en cours en prévision fin projet</t>
  </si>
  <si>
    <t>activé réalisée</t>
  </si>
  <si>
    <t>Le paiement de salaire du Coordonnateur a  fait l'objet d'un engagement des fonds dans le système jusque fin décembre</t>
  </si>
  <si>
    <t>Le paiement de salaire a  fait l'objet d'un engagement des fonds dans le système jusque fin décembre</t>
  </si>
  <si>
    <r>
      <t>Assistance et accompagnement psycho-social des jeunes « à risque »</t>
    </r>
    <r>
      <rPr>
        <u/>
        <sz val="10"/>
        <rFont val="Calibri"/>
        <family val="2"/>
        <scheme val="minor"/>
      </rPr>
      <t xml:space="preserve"> </t>
    </r>
  </si>
  <si>
    <t>Activité complètement réalisée</t>
  </si>
  <si>
    <t xml:space="preserve">Une dépense á reclasser sur une autre ligne budgetaire </t>
  </si>
  <si>
    <t>Juin  2017-JUIN 2019</t>
  </si>
  <si>
    <r>
      <rPr>
        <b/>
        <i/>
        <sz val="10"/>
        <rFont val="Calibri"/>
        <family val="2"/>
        <scheme val="minor"/>
      </rPr>
      <t xml:space="preserve">Commentaire Roseline: </t>
    </r>
    <r>
      <rPr>
        <sz val="10"/>
        <rFont val="Calibri"/>
        <family val="2"/>
        <scheme val="minor"/>
      </rPr>
      <t>Pour le Barza communataire, les pourcentages des dépenses réelles donnent les mêmes pourcentages pour les dépenses liées au genre, ça ne peut pas s'expliquer; il faudra revoir</t>
    </r>
  </si>
  <si>
    <t xml:space="preserve">Les dépenses sur cette ligne sont déjà au niveau  de 147,76% de consommation. Le rapport du semestre prochain pourra donner plus de lumière sur le niveau d'avancement.  Une partie de ce budget  a servi à la ligne d'appui à la diffusion des émissions pour les 3 radios.  Une autre partie a complété la ligne d'impression de la bande dessinée qui au départ prévue à 13000 mais produit 22000. </t>
  </si>
  <si>
    <t>Une partie du budget pour l'achat des équipements des CLSP a été puisé dans le projet Lobi Mokolo ya Sika (ce qui repond à la prévision et la logique du projet. C'est le cas du CLSP Kasenyi.) D'autres équipement sont acheté par le budget pamoja kwa amani et complete les équipements restants,</t>
  </si>
  <si>
    <t>Le CLSP redynamisé en tant que structure de dialogue sur les questions sécuritaires compte 1/4 des femmes qui renseignent sur les questions en rapport avec le genre.                                                                                  Une partie du budget pour l'achat des équipements des CLSP a été puisé dans le projet Lobi Mokolo ya Sika (ce qui repond à la prévision et la logique du projet. C'est le cas du CLSP Kasenyi.) D'autres équipement sont acheté par le budget pamoja kwa amani et complete les équipements restants,</t>
  </si>
  <si>
    <t xml:space="preserve">Les thématiques de diagnostic sécuritaire aborde les aspects sur  le genre au cours de cette période.                                                                     Ces activités sont réalisées à la hauteur de 159%. La nécessite en terme des besoins sur terrain a fait que cette ligne soit dépassée au dela de 100% du bduget. Elle sera cependant compassé par les autres lignes de même catégorie budgetaire.                                                                   </t>
  </si>
  <si>
    <t>2 formations dont une  1e année, remise à niveau en 2e année</t>
  </si>
  <si>
    <t xml:space="preserve">Au stade  actuel il est normal que cet budget arrive à ce taux de consommation de 121%, 3/4 plans locaux prevus sont déjà réalisés. Un plan restant sera réalisé avec le budget prévue pour la période d'extension.  </t>
  </si>
  <si>
    <t xml:space="preserve">Bien qu'on observe une rareté de femmes militaires et policières  comme participants aux formations des sensibilisateurs, il est observé que les thématiques sur le genre sont abordées dans lors de séances de  formation afin de préparer les militaires et policiers à la prise en compte de l'aspect genre lors de leurs interventions ou opérations militaires et policiers.  </t>
  </si>
  <si>
    <t xml:space="preserve">La nécessité en termes de besoins sur terrain a fait que ce budget soit en dépassement avec un écart de 167% du budget prévu, toute fois le dépassement sera compensé par les autres lignes budgétaires de même catégorie.  </t>
  </si>
  <si>
    <t xml:space="preserve">Comme il s'agit d'une contribution budgétaire suivant les heures prestées sur un projet, il expert en formation en tant que personnel transversal en appui pour tous les projets présentant un besoin en terme de formation, il est constaté que les dépenses salariales sont prises en charge par les autres projets. Toute fois comme certaines lignes de même catégorie sont en dépassement il est possible de trouver un équilibre sur toutes les dépenses de même catégorie budgétaire. </t>
  </si>
  <si>
    <t>Comme il s'agit d'une contribution budgétaire suivant les heures prestées sur un projet, il expert en formation en tant que personnel transversal en appui pour tous les projets présentant un besoin en terme de formation, il est constaté que les dépenses salariales sont prises en charge par les autres projets. Toute fois comme certaines lignes de même catégorie sont en dépassement il est possible de trouver un équilibre sur toutes les dépenses de même catégorie budgétaire.</t>
  </si>
  <si>
    <t>Les dépenses sur ces lignes ont contribuées sur le salaire mensuel de l'Assistant suivi et évaluation. Comme il s'agit cependant d'une contribution au salaire, l'Assistant suivi évaluation entant que personnel de support pour tous les projets au niveau interne Search, cette ligne donne un taux très réduit sur son salaire mensuel. C'est pourquoi il se limite à certaines tâches comme rédaction des rapports, compilation et analyse des données t joue le rôle data base pour les donnes du projet Pamoja kwa amani. Il faut également signaler qu'il a déjà effectué trois missions de suivi pour ce projet depuis le début jusqu'à ce niveau.</t>
  </si>
  <si>
    <t xml:space="preserve">La totalité de cette somme est épuisé avec un dépassement de 95% qui est justifié par le sous éstimation initiale du budget car le coût de communication a été revue à la hausse par le service contractuel au cours de l'année budgétaire. Les autres lignes budgétaires de même catégorie pourrons servir pour l'équilibre budgétaire </t>
  </si>
  <si>
    <t>La totalité de cette somme est épuisé avec un dépassement de 95% qui est justifié par le sous éstimation initiale du budget car le coût de communication a été revue à la hausse par le service contractuel au cours de l'année budgétaire. Les autres lignes budgétaires de même catégorie pourrons servir pour l'équilibre budgétaire</t>
  </si>
  <si>
    <t>Un écart de 25% du budget est constaté sur cette ligne, elle se justifi par le contexte changeant de la zone de mise en œuvre du projet. Cet écart sera équilibré avec les autres lignes budgtétaire de même catégorie du budget ,</t>
  </si>
  <si>
    <t>Le contexte de la zone a exigé plusieurs voyage de staff dont le budget n'a pas repondu aux conditions liééx à ce contexte.Un écart de 25% du budget est constaté sur cette ligne, elle se justifi par le contexte changeant de la zone de mise en œuvre du projet. Cet écart sera équilibré avec les autres lignes budgtétaire de même catégorie du budget ,</t>
  </si>
  <si>
    <t xml:space="preserve">Cette ligne du budget repond aux besoins des de frais de transanction bancaire fait entre Search, la banquue et le fournisseur ou service concatuel de SFCG. Le dépassement 158% sera justifié par les autres lignes budgétaire de même catégorie, </t>
  </si>
  <si>
    <t>Depuis  le début de la mise en œuvre du projet , 25 animateurs de la CFI  ont été instalés dans 5 chefferies. Ils ont été pris en charge dans le cadre de monitoring de conflits fonciers:,  primes, loyer et  les frais de transport. Le frais de la Coordination de la CFI est pris en compte dans ce budget. L'écart déficitaire de 31% se justifie dan le sens où un deuxième contrat de 4 mois va bientôt être signé avec la CFI pour la prise en charge des activités de la médiation des conflits fonciers avec un budget supplémentaire .</t>
  </si>
  <si>
    <t>La consommation de ce budget a servi pour l’achat des matériels et production des outils de visibilité pour l’appui opérationnel des activités notamment  le rétroprojecteur, écran pour projection, production posters, dépliants sur le foncier. La consommation n’est pas 0% comme noté mais plutôt à 101%.</t>
  </si>
  <si>
    <t>Dans le cadre de la mise en œuvre, certaines activités ont été transférées à la CFI sous un accord de coopération signé entre Onu-Habitat et la CFI. Pour la mise en œuvre, deux accords doivent etre signé tout au long du projet avec la CFI dont la première a été expiré l’année passée. Le deuxième sera signé par la CFI.</t>
  </si>
  <si>
    <t>L’entreprise qui procédera à la construction de la brigade foncière est déjà identifiée. La signature du contrat avec l’entreprise va permettre de consommer ce budget. Ce budget une fois mise à la disposition du partenaire, la ligne marquera un taux de delivery élevé.</t>
  </si>
  <si>
    <t>Activité  non realisée mais prévue en Septembre 2019 selon le planning de l'extension</t>
  </si>
  <si>
    <t>Activité  non realisée mais prévue en Novembre 2019</t>
  </si>
  <si>
    <t xml:space="preserve">Ces activités sont réalisées à la hauteur de 159%. La nécessite en terme des besoins sur terrain a fait que cette ligne soit dépassée au dela de 100% du bduget. Elle sera cependant compensée par les autres lignes de même catégorie budgetaire.   </t>
  </si>
  <si>
    <t xml:space="preserve">L'identification des parcelles de paturages et agricoles collectifs ont permi de reduire les tensions entre les agriculteurs et les eleveurs dans la zone. Cette activité est conjointe avec UN HABITAT. Mercy corps  a déjà procéder a l’identification et il reste la délimitation après la sécurisation par UNHABITAT par des documents légaux.   </t>
  </si>
  <si>
    <t>La cartographie des acteurs locaux et OSC, a permi d'identifier les acteurs qui aident à ameliorer les conditions des vies de populations locales sans distinction de sexe. Une mission terrain avait été effectuée sur terrain pour identifier les acteurs y compris ceux qui œuvrent a Bunia. La matrice de ces acteurs clés vous a été partagée.</t>
  </si>
  <si>
    <t xml:space="preserve">Les formations et renforcements de groupement des eleveurs ont permi l'ameliorer leur connaissance liées à leur activités. la contrainte liée a l’acquisition des bêtes nous a retardée l’activité. Nous avons relancé l’activité et cela ressortira dans le prochain rapport. </t>
  </si>
  <si>
    <t>L’activité comme telle n’a pas eu lieu mais plutôt nous avons fait des distributions directes avec l’accord du bailleur.</t>
  </si>
  <si>
    <t xml:space="preserve">L'identification des parcelles de paturages et agricoles collectifs ont permi de reduire les tensions entre les agriculteurs et les eleveurs dans la zone. Notre partenaire APROHDIV a fait de distributions des bêtes et des kits d’AGR.
</t>
  </si>
  <si>
    <t>Cette activité a permi d'offrir aux agriculteurs et eleveurs une cohésion et cohabitation pacifique dans la zone. on a fait des donations aux groupements (puits d’eau, moto pompes etc) au-delà même de nos prévisions et le suivi réguliers des partenaires a aussi pris une partie de cette ligne.</t>
  </si>
  <si>
    <t>Pour assurer un bon suivi de problématique RH/Admin, l’équipe basée à Goma a supporté le projet de Bunia et ce temps de travail nécessaire a été légèrement supérieur à ce que nous avions anticipé dans le budget.</t>
  </si>
  <si>
    <t xml:space="preserve">Pour assurer un bon suivi avec le partenaire de mise en œuvre, le temps nécessaire à cette tâche pour l’officier finance senior a été plus important qu’initialement prévu dans le budget. </t>
  </si>
  <si>
    <t xml:space="preserve">Certains paiements de Bunia sont exécutés depuis Goma. L’assistant financier a donc été plus impliqué sur le projet qu’initialement anticipé. </t>
  </si>
  <si>
    <t>Le budget initialement prévu pour la maintenant du véhicule a été sous-estimé, ce qui explique cette surconsommation. Cependant, les couts totaux relatif au support restent au global conforme au budget.</t>
  </si>
  <si>
    <t xml:space="preserve">CFI </t>
  </si>
  <si>
    <t>budget</t>
  </si>
  <si>
    <t>Actuals</t>
  </si>
  <si>
    <t>Juin 2017-Dec 2019</t>
  </si>
  <si>
    <t>Activité  ealisée en 83 % ca il reste la production des outils de visibilité conformément aux termes de référence</t>
  </si>
  <si>
    <t>Ce montant a servi pour l'organisation de la descente mission CTS ( prise en charge des membres du gouvernement provincial de l'Ituri). Deux missions combinnées ont été organisées en  octobre 2019</t>
  </si>
  <si>
    <t xml:space="preserve">Accpompagnement téchniques des animateurs fonciers et  participation des autorités coutumières et l'administration foncière dans le processus de résolution pacifique de conflits fonciers </t>
  </si>
  <si>
    <t>Cette activités sera mis en œuvre par un partenaire aui sera idenfifié selon son expertise. Cette  organisation devra signer un MOU avec UN-HABITAT conformement aux modalités et procedures internes à UN-HABITAT  en tant qu'agence des nations unies. Le montant alloué au genre représente un 40% . Toute les depenses relatives à la Réhabilitation et la prise en charge de la main d'oeuvre locale sont incluses dans le budget global.</t>
  </si>
  <si>
    <t xml:space="preserve">Tenir l'atelier de communication sur le contenu du projet avec toutes les parties prenantes et assurer la participation du gouvernement provincial pour le lancement du projet </t>
  </si>
  <si>
    <t xml:space="preserve">Cette ligne prends en charge le salaire du coordonnateur du  conjoint qui sera récruté au grade de SC9 pour une durée de 26 mois pour qu'il soit à mesure nd'assurer le rapportae final du projet conjoint et n,appuyer l'évaluation finale du projet conjoint </t>
  </si>
  <si>
    <t xml:space="preserve">Participation du gouvernement provincial à travers le CTS pour assurer le suivi de la mise en ;œuvre du projet et se rendre compte de son état d'avancement </t>
  </si>
  <si>
    <t>Réalisation de mission de plaidoyer au près de differents bailleurs de fonds et assurer leurs visites de terrain</t>
  </si>
  <si>
    <t>Ce budget a permis  l'organisation des activités préliminaires  et des journées de concertation avec les communautés et la CFI dans les différentes chefferies du Sud-Irumu pour la compréhension approfondie de la question foncière en conflit avec  risques de tensions communautaire. Les étapes suivantes ont été réalisées à Nyakunde, Kasenyi et Boga autour des conflits fonciers complexes entre les agriculteurs et les éleveurs et ont conclu à la signature des actes d'engagement et la mise en place des comissions multiacteurs pour le suivi après le projejet (Chefs d'entités, CFI, représentants des éleveurs, des agriculteursn la Sicétét civile, le représentant de la jeunesse, les regrouments des femmes, ...). CFI et Starec poursuivront l'appui.</t>
  </si>
  <si>
    <t>Ce budget a permis d'impliquer les femmes à  54%. Quoique la plus part de chefs coutumiers et chef de groupements rencontrés ont été des hommes, les femmes rencontrées avaient aidé à avoir les données recherchées. Les 10 femmes animatrices de la CFI ont joué un role capital en terme d'orientation et  des contacts avec les interocuteurs sur le terrain.</t>
  </si>
  <si>
    <t>Cette activité  realisée par le partenaire CFI dans le cadre de l'accord de ccopération entre ONU-Habitat et la CFI</t>
  </si>
  <si>
    <t xml:space="preserve">Activité réalisée ayant débouché sur la mise en place d'une synergie d'action multiacteurs </t>
  </si>
  <si>
    <t>Activité réalisée ayant débouché sur la mise en place d'une synergie d'action multiacteurs avec 40% de participation des femmes issus de l'administration fonicère, des CFI, de quelques services techniques au sein de la territoriale,…</t>
  </si>
  <si>
    <t>Plusieurs consultations préliminaires ont été faite notamment à Bunia et à Kinshasa avec les gestionnaires de l'iCC et les communautés de la chefferie de Walesse Vonkutu, y compris les députés, le Ministre provincial en charge de l'environnement, la Socité civile, les chefs coutumiers, ... ces cosultattions ont débouché sur l'organisation d'un dialogue social entre toutes ces parties prenantes. Cependant, les fonds prévus pour cette activités n'ont pas été suffisante pour finaliser tout le processus.</t>
  </si>
  <si>
    <t>la participation de la femme a été assurée dans la mesure du possible afin que celle-ci soit valablement représentées. Les femmes des organisations féminines, certaines leaders communautaires, celles issus de la CFI. Notons que cette activité a été menée par une femme d'ONU-Habitat, l'assistante au projet, du début à la fin.</t>
  </si>
  <si>
    <t>Activité réalisée ayant débouché sur la mise en place d'une synergie d'action multiacteurs.  Les 5 antennes de la CFI ont choisi des activités rentables pour monter des AGR encore fonctionnelles.</t>
  </si>
  <si>
    <t xml:space="preserve">Réalisée à 100 %, cette activités a bénéfié à 10 femmes qui travaillent dans la CFI . 40% des revenus pourront être utilisés au profit des femmes animatrices de la CFI. </t>
  </si>
  <si>
    <t>Réalisée</t>
  </si>
  <si>
    <t xml:space="preserve">  </t>
  </si>
  <si>
    <t>L’achat de matériels pour l’appui à l’administration foncière suit le processus normal en collaboration entre Onu Habitat et le PNUD. Le décaissement à 100% du montant conféré à la ligne sera fait après la livraison de tous les équipements sollicités au partenaire PNUD. le dernier lot est en cours de livraison par l'entreprise sélectionnée</t>
  </si>
  <si>
    <t xml:space="preserve">Ce budget a permis d'organiser un atelier de 2 jours pour  assurer  la diffusion et la vulgarisation de l’approche PCFP auprès des representants de chefferies, jeunesse, societé civile et administration fonciere. La moitié du budget a été consommé à la première phase d’activité. La somme restant  a permis  de dérouler le reste des activités. </t>
  </si>
  <si>
    <t>21 % des femmes sont entendus pour ctte formation car sur les 70 agent de la circonscritpiton foncière de Irumu, 15 sont les femmes</t>
  </si>
  <si>
    <t xml:space="preserve">Ce montant a permis l'organisation de l'atelier de deux jours afin de renfoncer les capacités des autorités locales et  coutumieres en matière de la gouvernance foncière notamment les droits fonciers et la procédure légales d’acquisitions des terres en milieux rural. </t>
  </si>
  <si>
    <t>Cette activité a été réalisée</t>
  </si>
  <si>
    <t>Activité réalisées</t>
  </si>
  <si>
    <t>45 cartographes locaux ont été formés et ont appuyé les techniciens du cadastre dans chaque entité dau Sud Irumu</t>
  </si>
  <si>
    <t>Activité réalisée avec la production de 207 percelles et collectifs, avec une prticipation des cartographes locaux formés, les techniciens du cadastres, les animateurs de la CFI, le staff ONU-Habitat</t>
  </si>
  <si>
    <t>Un engagement ferme a été donné par les chefs coutumiers de rendre disponibles les terres dont 2 sont déjà octroyées aux jeunes et aux femmes dans la chefferie de Walesse Vonkutu</t>
  </si>
  <si>
    <t xml:space="preserve">Le plaidoyer déjà fait, les femmes bénéficieront des parcelles pour leurs activités dans toutes lesc chefferies du Sud Irumu. </t>
  </si>
  <si>
    <t>Ce montant a servi pour l'organisation des reunions CTC ( prise en charge des membres du gouvernement provincial de l'Ituri). Toutes les réunions prévues ont été organisées</t>
  </si>
  <si>
    <t>Activité  non realisée mais prévue en mars 2020 sur base de l'autorisation de SSU</t>
  </si>
  <si>
    <t>Ce montant a été utilisé pour permettre à l'equipe d'organiser des descentes sur  le terrain en associant les differentes autorités locales dans des missions de suivi et leur prise en charge.</t>
  </si>
  <si>
    <t xml:space="preserve">Narratif </t>
  </si>
  <si>
    <t>Juin 2017-Novembre 2019</t>
  </si>
  <si>
    <t>MONTANT</t>
  </si>
  <si>
    <t>Les deuxièmes séries des barza n'étaient pas organées, ces fonds ont été utilisés pour les approfondissements liés au processus FRPI.</t>
  </si>
  <si>
    <t>Nous avons organisé plus d'approfondissement en vue de mieux cerner les différntes dynamiques de la problématique FRPI.</t>
  </si>
  <si>
    <t>Les prévisions étaient non réalistes, la problèmatique FRPI ont neccessité plusieurs missions de plaidoyer à Kin et qui a coûté plus cher</t>
  </si>
  <si>
    <t>Au lieu de deux sessions prévues, nous en avons réalisé une seule et qui a coûté plus chère. C'est pourquoi nous n'avons pas réalisé une deuxième. C'est pourquoi nous n'avons pas atteint que 87%.</t>
  </si>
  <si>
    <t>Nous avons discuté avec les ILP, de l'utilisation de ces fonds pour la construction des bureaux à 9 sites pour les ILP, leur approvisionnement en fournitures de bureau et l'équipement de ces bureaux en équipements; chaises, tables, et tables bureau. Mais les devis étant sous estimés nous n'avons pu que approvisionné les ILP en fournitures de bureau et la construction des neuf bureaux.</t>
  </si>
  <si>
    <t>Les fonds ont été utilisés pour les réunions de concertation réalisées à Kinshasa, pour élaboration de la stratégie et du plan d'actions pour la pacification du Sud Irumu et la démobilisation de la FRPI. Ensuite pour l'atelier de finalisation du plan au niveau de Kinshasa.</t>
  </si>
  <si>
    <t>Les fonds ont été  utilisé pour la réalisation des plusieurs rencontres effectuées avec la FRPI, pour expliquer les diverses résolutions obtenues des missions de plaidoyer à Kinshasa.</t>
  </si>
  <si>
    <t>Des fonds ont été utilisés pour les réunions réalisées à kinshasa dans le cadre du Processus FRPI. La connsommation est normale. Il s'agit des réunions suivantes, le comité de suivi du Starec sur la problématique FRPI et la tréunion du comité de pilotage duStarec sur la problématique FRPI.</t>
  </si>
  <si>
    <t>Les fonds ont été utilisés pour suppléer au coût de réalisation de plusieurs missions de palidoyer à Kinshasa, pour essayer de débloquer les différents différents blocages que nous avons eu avec l'évolution du processus FRPI.</t>
  </si>
  <si>
    <t>Nous n'avons pas eu besoin des ateliers pour élaborer les messages de sensibilisation car le tout était concentré sur la processus FRPI. Ce qui explique une faible utilisation des fonds sur cette ligne.</t>
  </si>
  <si>
    <t xml:space="preserve"> Dejà réalisée, la production des outils de sensibilisation s'est fait à Kampala, la non atteinte des objectifs dans le cadre financiers provient du fait que nous l'avons fait seulement sur la problématique FRPI, et pas les autres thèmes, cela a fait que nous n'avons pas utilisé tous les fonds.</t>
  </si>
  <si>
    <t>Nous avons fait la diffusion que par rapport à un seulthème et non les deux prévus.</t>
  </si>
  <si>
    <t>Toutes les enquêtes prévues n'ont pas été réalisées. Le niveau d'évolution des Muso a été plus lent. C'est pour quoi les enquêtes de classification ont démarré plus tard et que tous les fonds n'ont pas été utilisés.</t>
  </si>
  <si>
    <t>Cette activité n'a pas été réalisée de façon spécifique. Nous l'avons réalisé à travers les mission de suivies de Muso. C'est pourquoi les fonds n'ont pas été utilisés de façons spécifique.</t>
  </si>
  <si>
    <t>Cette activité a été mal planifiée. Sa réalisation a neccessité plus des fonds que prévue. C'est pourquoi nous avons atteint les deux cents pourcent.Nous avons planiffié mettre en place 4 Groupement des MUSO, mais dans la pratique nous en avons réalisé 5.</t>
  </si>
  <si>
    <t>Nous avons insvesti dans la formation des cadres GM, ce qui explique la non atteinte des objectifs financiers dans cette ligne.</t>
  </si>
  <si>
    <t>Nous avons eu ce dépassement car au départ nous avons prévu 4 Groupements des Muso et dans la réalisation nous en avons eu 5.</t>
  </si>
  <si>
    <t>Nous avons demarré cet appui un peu en retard car les GM ont été mis en place un en retard à cause de l'évolution lente des Muso.</t>
  </si>
  <si>
    <t>Léger depassement du au Non Cost extension</t>
  </si>
  <si>
    <t>Léger dépassement due au non cost extension</t>
  </si>
  <si>
    <t>Le besoin en matériel informatique des Lap top pour les animateurs a été plus grand que prévu.</t>
  </si>
  <si>
    <t>Mission non réaliser</t>
  </si>
  <si>
    <t>L'activité a été pilotée par Madame Administrateur accompagné d'un Inspecteur de la Territoriale au benefice de 7 Chefs des ETD du Sud Irumuelle visait le partage d' expériences entre ces chefs; Capitaliser les leçons ou les bonnes expériences partagées, Identifier les problèmes majeurs dans le fonctionnement des ETD et les pistes de solutions et recommandations .</t>
  </si>
  <si>
    <t>Cette activité a connu la participation de 50 personnes dont 12 femmes issues  des différents partenaires , des bailleurs de fonds, des représentants du gouvernement, des  ETD et  du Territoire. Au cours de cette activité, les 5 PDL produits et validés ont été vendus.</t>
  </si>
  <si>
    <t xml:space="preserve">38 groupements associatifs des jeunes des differentes filières ont été constitués  à l'issue d'une réunion/seance d'élaboration des textes reglementaires   ou statutaires adoptés par les dirigents  de ces groupements ainsi que les assemblées générales électives. </t>
  </si>
  <si>
    <t>Au taotal, 560 JAR dont 296 femmes ont bénéficié des kits collectifs et de fonds de démarrage pour leur réinsertion en couture, menuiserie, mécanique, informatique, coiffure, agriculture et commerce.</t>
  </si>
  <si>
    <t xml:space="preserve">Cette activité a réuni 380 dirigeants des microentreprises dont 90 femmes qui ont  partagé leurs expériences, capitalisé les lecons apprises. Ce cadre a aussi servi  à créer la cohésion entre ces dirigeants des groupements associatifs des differents sites. </t>
  </si>
  <si>
    <t>Cette activité a été menée avec l'appui de Bureau Provincial de la jeunnesse et de  conseil Provincial de la jeunesse de l'Ituri. Elle a permis de mettre en place les dirirgeants de conseils locaux au sein de 7 ETD qui ont bénéficié de materiels et fournotures de bureau et textes légaux et reglementaires. Au total 240 jeunes dont 170 femmes y ont participé.</t>
  </si>
  <si>
    <t>Au total, 121 membres des communautés dont 54 femmes ont bénéficié de cette activité dont le principal thème developpé s'est focalisé sur la paix et la cohabiltation pacifique, facteurs de développement durable.</t>
  </si>
  <si>
    <t>A l'issue des résultats d'évaluation d'état de stress post-traumatique des 220 jeunes à risque en situaion traumatique, 51 jeunes dont 38 femmes se sont reconciliés avec leurs familles.</t>
  </si>
  <si>
    <t>Arès l'évaluation d'état de stress post-traumatique des jeunes, une séance de  debriefing collective a été organisée au profit des APS et Animateurs.</t>
  </si>
  <si>
    <t>La paie de coordonnateur jusqu'au mois  d'aout 2019</t>
  </si>
  <si>
    <t>La paie de charge de projet jusqu'au mois  d'aout 2019</t>
  </si>
  <si>
    <t>La paie de l'Animateur Point Focal Gouvernance jusqu'au mois d'oct 2019</t>
  </si>
  <si>
    <t>La paie de l'Animateur Point Focal Réinsertion jusqu'au mois  jusqu'au mois d'oct 2019</t>
  </si>
  <si>
    <t>La paie de l'Animatrice Point focal Psychosocial jusqu'au mois  jusqu'au mois d'oct 2019</t>
  </si>
  <si>
    <t>La paie de 2 Animateurs Volet Réinsertion jusqu'au mois  de  jusqu'au mois d'oct 2019</t>
  </si>
  <si>
    <t>La paie de chargé de suivi jusqu'au mois  d'aout 2019</t>
  </si>
  <si>
    <t>La paie de comptable jusqu'au mois  d'aout 2019</t>
  </si>
  <si>
    <t>La paie de logisticien jusque juin 19</t>
  </si>
  <si>
    <t>+800</t>
  </si>
  <si>
    <t>Depenses Juil-2017 - Décembre 2019 (ANNEE1&amp;2)</t>
  </si>
  <si>
    <t>Pourecentage lié au genre</t>
  </si>
  <si>
    <t>Juin 2017-Déc 2019</t>
  </si>
  <si>
    <t>RAPPORT FINANCIER  NON CERTIFIE DE JUILLET 2017- DECEMBRE 2019</t>
  </si>
  <si>
    <t>Dépenses(Consommation du budget1)</t>
  </si>
  <si>
    <t>% de realisation Par rapport au budget total</t>
  </si>
  <si>
    <t>Narratif1</t>
  </si>
  <si>
    <t>Activitées réalisées</t>
  </si>
  <si>
    <r>
      <t>activit</t>
    </r>
    <r>
      <rPr>
        <sz val="10"/>
        <color theme="1"/>
        <rFont val="Calibri"/>
        <family val="2"/>
      </rPr>
      <t>és</t>
    </r>
    <r>
      <rPr>
        <sz val="10"/>
        <color theme="1"/>
        <rFont val="Cambria"/>
        <family val="1"/>
      </rPr>
      <t xml:space="preserve"> réalisées</t>
    </r>
  </si>
  <si>
    <t>Certaines activités sont réalisées et des matériels en cours de livraison</t>
  </si>
  <si>
    <t>Activité completement réalisée</t>
  </si>
  <si>
    <t>Engagement encours</t>
  </si>
  <si>
    <t xml:space="preserve">Les autres activités sont réalisées. La construction du PDV muée en construction du bureau de mines sous engagements en cours </t>
  </si>
  <si>
    <t>Activités réalisées</t>
  </si>
  <si>
    <r>
      <rPr>
        <sz val="10"/>
        <color theme="1"/>
        <rFont val="Cambria"/>
        <family val="1"/>
      </rPr>
      <t xml:space="preserve"> activit</t>
    </r>
    <r>
      <rPr>
        <sz val="10"/>
        <color theme="1"/>
        <rFont val="Calibri"/>
        <family val="2"/>
      </rPr>
      <t>é</t>
    </r>
    <r>
      <rPr>
        <sz val="10"/>
        <color theme="1"/>
        <rFont val="Cambria"/>
        <family val="1"/>
      </rPr>
      <t xml:space="preserve"> r</t>
    </r>
    <r>
      <rPr>
        <sz val="10"/>
        <color theme="1"/>
        <rFont val="Calibri"/>
        <family val="2"/>
      </rPr>
      <t>é</t>
    </r>
    <r>
      <rPr>
        <sz val="10"/>
        <color theme="1"/>
        <rFont val="Cambria"/>
        <family val="1"/>
      </rPr>
      <t>alis</t>
    </r>
    <r>
      <rPr>
        <sz val="10"/>
        <color theme="1"/>
        <rFont val="Calibri"/>
        <family val="2"/>
      </rPr>
      <t>éé</t>
    </r>
  </si>
  <si>
    <t>CS.0903.CD60.11.02.002</t>
  </si>
  <si>
    <t>Monitoring &amp; Evaluation/Project Development Assistant</t>
  </si>
  <si>
    <t xml:space="preserve">La consommation total du budget s'élève à 97% don’t près de 7%  des engagement en cours </t>
  </si>
  <si>
    <t>La part du budget allouée au genre a connu une réalisation de 56%:Thematiques, participation des femmes dans les reunions, frais de transport au participants locaux, restauration, acquisition des articles auprès des femmes marchande et les AGR</t>
  </si>
  <si>
    <t>Total  fonds reçu</t>
  </si>
  <si>
    <t xml:space="preserve">1070  femmes soit 53% ont bnéficié de la  sécurisation de leurs parcelles; 11 femmes  ont participé aux activités de terrain pour la sécurisation (bornage) et ont bénéficié de 2160$ de prime.  </t>
  </si>
  <si>
    <t>La birgade foncière est en phase de finissage. Ici, les femmes ont participé surtout dans les travaux de cnstruction (puisage d'eau, transport de certains matériaux comme le sable, le moelon, … Certains matérieux ont été achetés dans des quinquaillerie tenues par les femmes</t>
  </si>
  <si>
    <t xml:space="preserve">This amount has to be updated with 171 360,5 USD for SFCG receved for the extension </t>
  </si>
  <si>
    <t>Budget extension</t>
  </si>
  <si>
    <t>Date: DECEMBRE 2019</t>
  </si>
  <si>
    <t>Total Expenditure</t>
  </si>
  <si>
    <t>Total projet budget</t>
  </si>
  <si>
    <t xml:space="preserve">CARITAS DEVELOPPEMENT </t>
  </si>
  <si>
    <t>Date : 31 DECEMBRE 2019</t>
  </si>
  <si>
    <t>Depenses reelles de juillet 17 a DECEMBRE 2019</t>
  </si>
  <si>
    <t>Narratif financier</t>
  </si>
  <si>
    <t>cette activité a connu la participation de 36 personnes dont 6 femmes notamment les délégués de la Société Civile,  les representants du Bureau provincial de la jeunesse de l’Ituri et des 7 ETD, les membres de CLPD de la coordination de chaque ETD, l’Administrateur du Territoire, et  des délégués du gouvernement provincial</t>
  </si>
  <si>
    <t>280 jeunes filles et 280 jeunes garcons en ont joui lors de formation</t>
  </si>
  <si>
    <t>280 jeunes filles et 280 jeunes garcons en on profité lors de formation et ils serviront les deux genres</t>
  </si>
  <si>
    <t>Les formateurs sont recrutés parmi les femmes et les hommes issus des communautés de base, 30 formateurs locaux dont 4 femmes ont été recrutés pour assurer la formation professionnelle de  560 JAR repartis dans 7 filières pendant 4 mois.</t>
  </si>
  <si>
    <t>280 filles et 280 garcons ont bénéficer des collations pendant leur formation, es contrats de sous traitance ont été signés avec les services traiteurs dans 7 ETD afin de fournir un repas journalier au prix de 1,5 $ par JAR pour 560 apprenants pendant  2 mois et 10  jours.</t>
  </si>
  <si>
    <t>Au total, 7 Statuts et ROI ont été élaborés et légalisés pour les 38 groupements associatifs de 7 ETD du projet</t>
  </si>
  <si>
    <t>Activite non realisee</t>
  </si>
  <si>
    <t>Cette activité a réuni 380 dirigeants des microentreprises dont 90 femmes qui ont  partagé leurs expériences, capitalisé les lecons apprises. Ce cadre a aussi servi  à créer la cohésion entre ces dirigeants des groupements associatifs des differents sites.</t>
  </si>
  <si>
    <t>cette activité a rassemblé 28 personnes dont 11 femmes</t>
  </si>
  <si>
    <t>220 jeunes ont bénéficié de cette activité parmi lesquels 140 femme</t>
  </si>
  <si>
    <t>cette activité a bénéficié aux filles et garçons au nombre de 560,</t>
  </si>
  <si>
    <t xml:space="preserve">Au  total 80 jeunes à risque dont 51 femmes ayant des problèmes traumatiques de meme nature ont bénéficié de cette activité . </t>
  </si>
  <si>
    <t>les fournitures sont consommées en entierte</t>
  </si>
  <si>
    <t>achat fournitures du bureau ( cartouches, rames papier) au service des homms et femmes</t>
  </si>
  <si>
    <t>chat fournitures du bureau ( cartouches, rames papier) au service des homms et femmes</t>
  </si>
  <si>
    <t>le Lap-top  sert les animateurs et les animatrices</t>
  </si>
  <si>
    <t>la moto a servir les animateurs et les animatrices</t>
  </si>
  <si>
    <t>Les 3 motos onst servi les animatrices et animateurs et tous les bénéficiaires homms et femmes du projet</t>
  </si>
  <si>
    <t>Les frais de consommables des engins et d'entretien pourles deux annees</t>
  </si>
  <si>
    <t>Ce taux représente les frais relatifs aux missions  de suivi par la Coordination/CDJP-CARITAS pour les deux annees</t>
  </si>
  <si>
    <t>Ce taux représente les frais relatifs à 2 missions semestrielles de suivi pour les deux annees</t>
  </si>
  <si>
    <t>ette activité a été réalisée en faveur des hommes et des femmes bénéficiaires directs et indirects du projet</t>
  </si>
  <si>
    <t>Toutes les commandes ont ete honoreesen terme de Tshirts, panneaux de visibilité et SFCG a la responsabilité des stratégies de communiction</t>
  </si>
  <si>
    <t>SOLDE</t>
  </si>
  <si>
    <t>N.B: NOUS AVONS REMIS AU PNUD LE MONTANT DE</t>
  </si>
  <si>
    <t>5.715.33$ AU LIEU DE 5.567$, CAR IL Y A EU AJUSTEMENT DE CERTAINES DEPENSES.</t>
  </si>
  <si>
    <t xml:space="preserve">Ce budget à servir pour toute les missions de suivi des activités médias </t>
  </si>
  <si>
    <t>Juin  2017- Decembre 2019</t>
  </si>
  <si>
    <t>Date: DEC  2019</t>
  </si>
  <si>
    <t>Decembre 2019</t>
  </si>
  <si>
    <t>Date : NOVEMBRE  2019</t>
  </si>
  <si>
    <t xml:space="preserve">Fonds de Coherence pour la Stabilisation: Interim Financial Report </t>
  </si>
  <si>
    <t>(g) Total Expenditure</t>
  </si>
  <si>
    <t>(h) Balance Available</t>
  </si>
  <si>
    <t>UNHABITAT_All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</si>
</sst>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00_);_(&quot;$&quot;* \(#,##0.00\);_(&quot;$&quot;* &quot;-&quot;??_);_(@_)"/>
    <numFmt numFmtId="165" formatCode="_(* #,##0.00_);_(* \(#,##0.00\);_(* &quot;-&quot;??_);_(@_)"/>
    <numFmt numFmtId="166" formatCode="_-* #,##0.00\ _€_-;\-* #,##0.00\ _€_-;_-* &quot;-&quot;??\ _€_-;_-@_-"/>
    <numFmt numFmtId="167" formatCode="_ * #,##0.00_ ;_ * \-#,##0.00_ ;_ * &quot;-&quot;??_ ;_ @_ "/>
    <numFmt numFmtId="168" formatCode="_ * #,##0_ ;_ * \-#,##0_ ;_ * &quot;-&quot;??_ ;_ @_ "/>
    <numFmt numFmtId="169" formatCode="_([$$-409]* #,##0.00_);_([$$-409]* \(#,##0.00\);_([$$-409]* &quot;-&quot;??_);_(@_)"/>
    <numFmt numFmtId="170" formatCode="#,##0.00;[Red]#,##0.00"/>
    <numFmt numFmtId="171" formatCode="_-* #,##0\ _€_-;\-* #,##0\ _€_-;_-* &quot;-&quot;??\ _€_-;_-@_-"/>
    <numFmt numFmtId="172" formatCode="_(&quot;$&quot;* #,##0_);_(&quot;$&quot;* \(#,##0\);_(&quot;$&quot;* &quot;-&quot;??_);_(@_)"/>
    <numFmt numFmtId="173" formatCode="0.0%"/>
    <numFmt numFmtId="174" formatCode="#,##0.00_ ;\-#,##0.00\ "/>
    <numFmt numFmtId="175" formatCode="_(* #,##0_);_(* \(#,##0\);_(* &quot;-&quot;??_);_(@_)"/>
    <numFmt numFmtId="176" formatCode="_-[$$-409]* #,##0.00_ ;_-[$$-409]* \-#,##0.00\ ;_-[$$-409]* &quot;-&quot;??_ ;_-@_ "/>
    <numFmt numFmtId="177" formatCode="_-[$$-409]* #,##0.0_ ;_-[$$-409]* \-#,##0.0\ ;_-[$$-409]* &quot;-&quot;??_ ;_-@_ "/>
    <numFmt numFmtId="178" formatCode="#,##0_ ;\-#,##0\ "/>
    <numFmt numFmtId="179" formatCode="_ * #,##0.0_ ;_ * \-#,##0.0_ ;_ * &quot;-&quot;??_ ;_ @_ "/>
    <numFmt numFmtId="180" formatCode="[$-409]d\-mmm\-yy;@"/>
    <numFmt numFmtId="181" formatCode="[$-409]mmm\-yy;@"/>
    <numFmt numFmtId="182" formatCode="_(&quot;$&quot;* #,##0.0_);_(&quot;$&quot;* \(#,##0.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name val="Arial"/>
      <family val="2"/>
    </font>
    <font>
      <b/>
      <sz val="10"/>
      <color rgb="FFFF0000"/>
      <name val="Arial Narrow"/>
      <family val="2"/>
    </font>
    <font>
      <b/>
      <sz val="10"/>
      <name val="Arial Narrow"/>
      <family val="2"/>
    </font>
    <font>
      <sz val="10"/>
      <color rgb="FFFF0000"/>
      <name val="Calibri"/>
      <family val="2"/>
      <scheme val="minor"/>
    </font>
    <font>
      <b/>
      <sz val="10"/>
      <color theme="0"/>
      <name val="Arial"/>
      <family val="2"/>
    </font>
    <font>
      <b/>
      <sz val="10"/>
      <name val="Arial"/>
      <family val="2"/>
    </font>
    <font>
      <b/>
      <sz val="12"/>
      <name val="Calibri"/>
      <family val="2"/>
      <scheme val="minor"/>
    </font>
    <font>
      <sz val="11"/>
      <color rgb="FFFF0000"/>
      <name val="Calibri"/>
      <family val="2"/>
      <scheme val="minor"/>
    </font>
    <font>
      <b/>
      <sz val="11"/>
      <color theme="1"/>
      <name val="Calibri"/>
      <family val="2"/>
      <scheme val="minor"/>
    </font>
    <font>
      <b/>
      <sz val="10"/>
      <color rgb="FFFF0000"/>
      <name val="Arial"/>
      <family val="2"/>
    </font>
    <font>
      <b/>
      <i/>
      <sz val="10"/>
      <name val="Arial"/>
      <family val="2"/>
    </font>
    <font>
      <i/>
      <sz val="10"/>
      <name val="Arial"/>
      <family val="2"/>
    </font>
    <font>
      <b/>
      <sz val="14"/>
      <name val="Calibri"/>
      <family val="2"/>
      <scheme val="minor"/>
    </font>
    <font>
      <sz val="10"/>
      <name val="Arial Narrow"/>
      <family val="2"/>
    </font>
    <font>
      <b/>
      <sz val="10"/>
      <color rgb="FFFF0000"/>
      <name val="Calibri"/>
      <family val="2"/>
      <scheme val="minor"/>
    </font>
    <font>
      <sz val="10"/>
      <color theme="0"/>
      <name val="Calibri"/>
      <family val="2"/>
      <scheme val="minor"/>
    </font>
    <font>
      <sz val="10"/>
      <color theme="0"/>
      <name val="Arial"/>
      <family val="2"/>
    </font>
    <font>
      <b/>
      <i/>
      <sz val="10"/>
      <name val="Calibri"/>
      <family val="2"/>
      <scheme val="minor"/>
    </font>
    <font>
      <b/>
      <i/>
      <sz val="10"/>
      <color theme="1"/>
      <name val="Calibri"/>
      <family val="2"/>
      <scheme val="minor"/>
    </font>
    <font>
      <b/>
      <sz val="10"/>
      <color theme="1"/>
      <name val="Arial"/>
      <family val="2"/>
    </font>
    <font>
      <b/>
      <sz val="11"/>
      <name val="Calibri"/>
      <family val="2"/>
      <scheme val="minor"/>
    </font>
    <font>
      <i/>
      <sz val="10"/>
      <name val="Calibri"/>
      <family val="2"/>
      <scheme val="minor"/>
    </font>
    <font>
      <i/>
      <sz val="10"/>
      <color theme="1"/>
      <name val="Calibri"/>
      <family val="2"/>
      <scheme val="minor"/>
    </font>
    <font>
      <sz val="11"/>
      <color indexed="10"/>
      <name val="Calibri"/>
      <family val="2"/>
    </font>
    <font>
      <b/>
      <sz val="10"/>
      <color theme="0"/>
      <name val="Calibri"/>
      <family val="2"/>
      <scheme val="minor"/>
    </font>
    <font>
      <sz val="10"/>
      <name val="Arial"/>
      <family val="2"/>
      <charset val="204"/>
    </font>
    <font>
      <sz val="10"/>
      <color rgb="FFFF0000"/>
      <name val="Arial"/>
      <family val="2"/>
    </font>
    <font>
      <sz val="9"/>
      <name val="Arial"/>
      <family val="2"/>
    </font>
    <font>
      <sz val="10"/>
      <name val="Calibri"/>
      <family val="2"/>
    </font>
    <font>
      <b/>
      <sz val="10"/>
      <name val="Calibri"/>
      <family val="2"/>
    </font>
    <font>
      <sz val="10"/>
      <color indexed="10"/>
      <name val="Calibri"/>
      <family val="2"/>
    </font>
    <font>
      <sz val="10"/>
      <color indexed="8"/>
      <name val="Calibri"/>
      <family val="2"/>
    </font>
    <font>
      <b/>
      <sz val="12"/>
      <color rgb="FFFF0000"/>
      <name val="Calibri"/>
      <family val="2"/>
      <scheme val="minor"/>
    </font>
    <font>
      <b/>
      <i/>
      <sz val="10"/>
      <color theme="0"/>
      <name val="Calibri"/>
      <family val="2"/>
      <scheme val="minor"/>
    </font>
    <font>
      <b/>
      <i/>
      <u/>
      <sz val="10"/>
      <color theme="1"/>
      <name val="Calibri"/>
      <family val="2"/>
      <scheme val="minor"/>
    </font>
    <font>
      <sz val="10"/>
      <color indexed="8"/>
      <name val="Calibri"/>
      <family val="2"/>
      <scheme val="minor"/>
    </font>
    <font>
      <sz val="11"/>
      <name val="Cambria"/>
      <family val="1"/>
    </font>
    <font>
      <b/>
      <sz val="11"/>
      <name val="Cambria"/>
      <family val="1"/>
    </font>
    <font>
      <b/>
      <sz val="11"/>
      <name val="Arial Narrow"/>
      <family val="2"/>
    </font>
    <font>
      <b/>
      <sz val="11"/>
      <color rgb="FFFF0000"/>
      <name val="Cambria"/>
      <family val="1"/>
    </font>
    <font>
      <b/>
      <sz val="11"/>
      <color rgb="FFFF0000"/>
      <name val="Calibri"/>
      <family val="2"/>
      <scheme val="minor"/>
    </font>
    <font>
      <b/>
      <sz val="11"/>
      <color theme="0"/>
      <name val="Cambria"/>
      <family val="1"/>
    </font>
    <font>
      <sz val="11"/>
      <color theme="1"/>
      <name val="Cambria"/>
      <family val="1"/>
    </font>
    <font>
      <i/>
      <sz val="11"/>
      <name val="Cambria"/>
      <family val="1"/>
    </font>
    <font>
      <b/>
      <i/>
      <sz val="11"/>
      <color theme="1"/>
      <name val="Cambria"/>
      <family val="1"/>
    </font>
    <font>
      <b/>
      <i/>
      <sz val="11"/>
      <name val="Cambria"/>
      <family val="1"/>
    </font>
    <font>
      <sz val="11"/>
      <color theme="0"/>
      <name val="Cambria"/>
      <family val="1"/>
    </font>
    <font>
      <b/>
      <sz val="16"/>
      <name val="Calibri"/>
      <family val="2"/>
      <scheme val="minor"/>
    </font>
    <font>
      <b/>
      <sz val="11"/>
      <color theme="0"/>
      <name val="Arial"/>
      <family val="2"/>
    </font>
    <font>
      <b/>
      <sz val="12"/>
      <color theme="1"/>
      <name val="Calibri"/>
      <family val="2"/>
    </font>
    <font>
      <sz val="10"/>
      <color theme="1"/>
      <name val="Cambria"/>
      <family val="1"/>
      <scheme val="major"/>
    </font>
    <font>
      <sz val="10"/>
      <color theme="1"/>
      <name val="Calibri"/>
      <family val="2"/>
    </font>
    <font>
      <sz val="10"/>
      <color theme="1"/>
      <name val="Cambria"/>
      <family val="1"/>
    </font>
    <font>
      <b/>
      <sz val="10"/>
      <color theme="1"/>
      <name val="Cambria"/>
      <family val="1"/>
      <scheme val="major"/>
    </font>
    <font>
      <sz val="12"/>
      <color theme="1"/>
      <name val="Calibri"/>
      <family val="2"/>
      <scheme val="minor"/>
    </font>
    <font>
      <sz val="10"/>
      <color rgb="FFFF0000"/>
      <name val="Cambria"/>
      <family val="1"/>
      <scheme val="major"/>
    </font>
    <font>
      <sz val="10"/>
      <name val="Cambria"/>
      <family val="1"/>
      <scheme val="major"/>
    </font>
    <font>
      <sz val="10"/>
      <name val="Cambria"/>
      <family val="1"/>
    </font>
    <font>
      <b/>
      <sz val="10"/>
      <color theme="0"/>
      <name val="Cambria"/>
      <family val="1"/>
      <scheme val="major"/>
    </font>
    <font>
      <b/>
      <sz val="10"/>
      <color theme="1"/>
      <name val="Arial"/>
      <family val="2"/>
      <charset val="204"/>
    </font>
    <font>
      <b/>
      <i/>
      <sz val="10"/>
      <name val="Calibri"/>
      <family val="2"/>
    </font>
    <font>
      <b/>
      <sz val="10"/>
      <name val="Cambria"/>
      <family val="1"/>
    </font>
    <font>
      <sz val="10"/>
      <color theme="0"/>
      <name val="Cambria"/>
      <family val="1"/>
      <scheme val="major"/>
    </font>
    <font>
      <b/>
      <sz val="10"/>
      <color rgb="FF0000FF"/>
      <name val="Calibri"/>
      <family val="2"/>
      <scheme val="minor"/>
    </font>
    <font>
      <b/>
      <sz val="10"/>
      <color theme="1"/>
      <name val="Calibri"/>
      <family val="2"/>
    </font>
    <font>
      <b/>
      <i/>
      <sz val="10"/>
      <color theme="1"/>
      <name val="Calibri"/>
      <family val="2"/>
    </font>
    <font>
      <sz val="14"/>
      <name val="Calibri"/>
      <family val="2"/>
      <scheme val="minor"/>
    </font>
    <font>
      <b/>
      <sz val="14"/>
      <name val="Arial Narrow"/>
      <family val="2"/>
    </font>
    <font>
      <sz val="14"/>
      <name val="Arial Narrow"/>
      <family val="2"/>
    </font>
    <font>
      <b/>
      <sz val="14"/>
      <color rgb="FFFF0000"/>
      <name val="Arial Narrow"/>
      <family val="2"/>
    </font>
    <font>
      <b/>
      <sz val="14"/>
      <color rgb="FFFF0000"/>
      <name val="Calibri"/>
      <family val="2"/>
      <scheme val="minor"/>
    </font>
    <font>
      <b/>
      <sz val="14"/>
      <color theme="0"/>
      <name val="Arial"/>
      <family val="2"/>
    </font>
    <font>
      <sz val="14"/>
      <name val="Arial"/>
      <family val="2"/>
    </font>
    <font>
      <b/>
      <sz val="14"/>
      <name val="Arial"/>
      <family val="2"/>
    </font>
    <font>
      <sz val="14"/>
      <name val="Times New Roman"/>
      <family val="1"/>
    </font>
    <font>
      <sz val="14"/>
      <color theme="1"/>
      <name val="Calibri"/>
      <family val="2"/>
      <scheme val="minor"/>
    </font>
    <font>
      <b/>
      <sz val="14"/>
      <color theme="1"/>
      <name val="Calibri"/>
      <family val="2"/>
      <scheme val="minor"/>
    </font>
    <font>
      <sz val="14"/>
      <name val="Cambria"/>
      <family val="1"/>
      <scheme val="major"/>
    </font>
    <font>
      <sz val="14"/>
      <color rgb="FFFF0000"/>
      <name val="Times New Roman"/>
      <family val="1"/>
    </font>
    <font>
      <i/>
      <sz val="14"/>
      <color rgb="FF00B0F0"/>
      <name val="Times New Roman"/>
      <family val="1"/>
    </font>
    <font>
      <b/>
      <sz val="14"/>
      <name val="Cambria"/>
      <family val="1"/>
      <scheme val="major"/>
    </font>
    <font>
      <sz val="14"/>
      <color rgb="FFFF0000"/>
      <name val="Cambria"/>
      <family val="1"/>
      <scheme val="major"/>
    </font>
    <font>
      <i/>
      <u/>
      <sz val="14"/>
      <color indexed="15"/>
      <name val="Times New Roman"/>
      <family val="1"/>
    </font>
    <font>
      <b/>
      <i/>
      <sz val="14"/>
      <name val="Cambria"/>
      <family val="1"/>
      <scheme val="major"/>
    </font>
    <font>
      <i/>
      <sz val="14"/>
      <name val="Cambria"/>
      <family val="1"/>
      <scheme val="major"/>
    </font>
    <font>
      <b/>
      <i/>
      <sz val="14"/>
      <name val="Calibri"/>
      <family val="2"/>
      <scheme val="minor"/>
    </font>
    <font>
      <b/>
      <sz val="11"/>
      <color indexed="81"/>
      <name val="Tahoma"/>
      <family val="2"/>
    </font>
    <font>
      <sz val="11"/>
      <color indexed="81"/>
      <name val="Tahoma"/>
      <family val="2"/>
    </font>
    <font>
      <b/>
      <sz val="9"/>
      <color indexed="81"/>
      <name val="Tahoma"/>
      <family val="2"/>
    </font>
    <font>
      <sz val="9"/>
      <color indexed="81"/>
      <name val="Tahoma"/>
      <family val="2"/>
    </font>
    <font>
      <u/>
      <sz val="10"/>
      <name val="Calibri"/>
      <family val="2"/>
      <scheme val="minor"/>
    </font>
    <font>
      <b/>
      <sz val="12"/>
      <name val="Arial"/>
      <family val="2"/>
    </font>
    <font>
      <i/>
      <sz val="11"/>
      <name val="Calibri"/>
      <family val="2"/>
      <scheme val="minor"/>
    </font>
    <font>
      <b/>
      <u/>
      <sz val="26"/>
      <name val="Calibri"/>
      <family val="2"/>
    </font>
    <font>
      <b/>
      <sz val="10"/>
      <color rgb="FFFF0000"/>
      <name val="Cambria"/>
      <family val="1"/>
      <scheme val="major"/>
    </font>
    <font>
      <b/>
      <sz val="11"/>
      <color theme="1"/>
      <name val="Cambria"/>
      <family val="1"/>
    </font>
    <font>
      <b/>
      <sz val="11"/>
      <color theme="1"/>
      <name val="Arial"/>
      <family val="2"/>
    </font>
    <font>
      <sz val="8"/>
      <name val="Arial"/>
      <family val="2"/>
    </font>
    <font>
      <b/>
      <sz val="14"/>
      <color theme="2"/>
      <name val="Arial"/>
      <family val="2"/>
    </font>
    <font>
      <b/>
      <i/>
      <u/>
      <sz val="14"/>
      <name val="Calibri"/>
      <family val="2"/>
      <scheme val="minor"/>
    </font>
    <font>
      <sz val="11"/>
      <name val="Times New Roman"/>
      <family val="1"/>
    </font>
    <font>
      <sz val="10"/>
      <color rgb="FFFF0000"/>
      <name val="Arial Narrow"/>
      <family val="2"/>
    </font>
    <font>
      <sz val="10"/>
      <color rgb="FF3333FF"/>
      <name val="Calibri"/>
      <family val="2"/>
      <scheme val="minor"/>
    </font>
    <font>
      <b/>
      <sz val="11"/>
      <color rgb="FF0066FF"/>
      <name val="Cambria"/>
      <family val="1"/>
    </font>
    <font>
      <sz val="11"/>
      <color rgb="FF0066FF"/>
      <name val="Cambria"/>
      <family val="1"/>
    </font>
    <font>
      <b/>
      <i/>
      <sz val="11"/>
      <color rgb="FF0066FF"/>
      <name val="Cambria"/>
      <family val="1"/>
    </font>
    <font>
      <i/>
      <sz val="11"/>
      <color rgb="FF0066FF"/>
      <name val="Cambria"/>
      <family val="1"/>
    </font>
    <font>
      <sz val="10"/>
      <color rgb="FF0066FF"/>
      <name val="Calibri"/>
      <family val="2"/>
      <scheme val="minor"/>
    </font>
    <font>
      <sz val="11"/>
      <color rgb="FFFF0000"/>
      <name val="Cambria"/>
      <family val="1"/>
    </font>
    <font>
      <b/>
      <i/>
      <sz val="11"/>
      <color rgb="FFFF0000"/>
      <name val="Cambria"/>
      <family val="1"/>
    </font>
    <font>
      <b/>
      <sz val="11"/>
      <color rgb="FFFF0000"/>
      <name val="Calibri"/>
      <family val="2"/>
    </font>
    <font>
      <b/>
      <i/>
      <sz val="10"/>
      <color rgb="FFFF0000"/>
      <name val="Arial"/>
      <family val="2"/>
    </font>
    <font>
      <b/>
      <sz val="12"/>
      <color rgb="FFFF0000"/>
      <name val="Arial"/>
      <family val="2"/>
    </font>
    <font>
      <b/>
      <sz val="10"/>
      <color rgb="FF3333FF"/>
      <name val="Calibri"/>
      <family val="2"/>
      <scheme val="minor"/>
    </font>
    <font>
      <b/>
      <sz val="11"/>
      <color rgb="FFFF0000"/>
      <name val="Arial"/>
      <family val="2"/>
    </font>
    <font>
      <b/>
      <sz val="12"/>
      <color rgb="FFFF0000"/>
      <name val="Calibri"/>
      <family val="2"/>
    </font>
    <font>
      <sz val="12"/>
      <color rgb="FFFF0000"/>
      <name val="Calibri"/>
      <family val="2"/>
      <scheme val="minor"/>
    </font>
    <font>
      <b/>
      <i/>
      <sz val="10"/>
      <color rgb="FFFF0000"/>
      <name val="Calibri"/>
      <family val="2"/>
      <scheme val="minor"/>
    </font>
    <font>
      <b/>
      <sz val="10"/>
      <color rgb="FFFF0000"/>
      <name val="Arial"/>
      <family val="2"/>
      <charset val="204"/>
    </font>
    <font>
      <sz val="10"/>
      <color rgb="FFFF0000"/>
      <name val="Calibri"/>
      <family val="2"/>
    </font>
    <font>
      <b/>
      <sz val="10"/>
      <color rgb="FFFF0000"/>
      <name val="Cambria"/>
      <family val="1"/>
    </font>
    <font>
      <b/>
      <i/>
      <sz val="10"/>
      <color rgb="FF3333FF"/>
      <name val="Calibri"/>
      <family val="2"/>
      <scheme val="minor"/>
    </font>
    <font>
      <i/>
      <sz val="10"/>
      <color rgb="FF3333FF"/>
      <name val="Calibri"/>
      <family val="2"/>
      <scheme val="minor"/>
    </font>
  </fonts>
  <fills count="50">
    <fill>
      <patternFill patternType="none"/>
    </fill>
    <fill>
      <patternFill patternType="gray125"/>
    </fill>
    <fill>
      <patternFill patternType="solid">
        <fgColor rgb="FFD8D8D8"/>
        <bgColor indexed="64"/>
      </patternFill>
    </fill>
    <fill>
      <patternFill patternType="solid">
        <fgColor theme="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3333FF"/>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rgb="FF0066FF"/>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B1A0C7"/>
        <bgColor rgb="FF000000"/>
      </patternFill>
    </fill>
    <fill>
      <patternFill patternType="solid">
        <fgColor rgb="FFFFC000"/>
        <bgColor rgb="FF000000"/>
      </patternFill>
    </fill>
    <fill>
      <patternFill patternType="solid">
        <fgColor rgb="FFFFFF00"/>
        <bgColor rgb="FF000000"/>
      </patternFill>
    </fill>
    <fill>
      <patternFill patternType="solid">
        <fgColor rgb="FF00FF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bgColor indexed="64"/>
      </patternFill>
    </fill>
    <fill>
      <patternFill patternType="solid">
        <fgColor rgb="FF00CCFF"/>
        <bgColor indexed="64"/>
      </patternFill>
    </fill>
    <fill>
      <patternFill patternType="solid">
        <fgColor rgb="FFCCCCFF"/>
        <bgColor indexed="64"/>
      </patternFill>
    </fill>
    <fill>
      <patternFill patternType="solid">
        <fgColor theme="6" tint="0.39997558519241921"/>
        <bgColor indexed="64"/>
      </patternFill>
    </fill>
    <fill>
      <patternFill patternType="solid">
        <fgColor rgb="FF00B0F0"/>
        <bgColor rgb="FF000000"/>
      </patternFill>
    </fill>
    <fill>
      <patternFill patternType="solid">
        <fgColor rgb="FFFF66FF"/>
        <bgColor indexed="64"/>
      </patternFill>
    </fill>
    <fill>
      <patternFill patternType="solid">
        <fgColor rgb="FF66FF66"/>
        <bgColor indexed="64"/>
      </patternFill>
    </fill>
    <fill>
      <patternFill patternType="solid">
        <fgColor rgb="FFFFFFFF"/>
        <bgColor rgb="FF000000"/>
      </patternFill>
    </fill>
    <fill>
      <patternFill patternType="solid">
        <fgColor rgb="FF00FFFF"/>
        <bgColor indexed="64"/>
      </patternFill>
    </fill>
    <fill>
      <patternFill patternType="solid">
        <fgColor rgb="FF7030A0"/>
        <bgColor indexed="64"/>
      </patternFill>
    </fill>
    <fill>
      <patternFill patternType="solid">
        <fgColor theme="5" tint="-0.249977111117893"/>
        <bgColor indexed="64"/>
      </patternFill>
    </fill>
    <fill>
      <patternFill patternType="solid">
        <fgColor rgb="FFFF66CC"/>
        <bgColor indexed="64"/>
      </patternFill>
    </fill>
    <fill>
      <patternFill patternType="solid">
        <fgColor rgb="FFFF99FF"/>
        <bgColor indexed="64"/>
      </patternFill>
    </fill>
    <fill>
      <patternFill patternType="solid">
        <fgColor theme="0"/>
        <bgColor rgb="FF000000"/>
      </patternFill>
    </fill>
    <fill>
      <patternFill patternType="solid">
        <fgColor indexed="9"/>
        <bgColor indexed="64"/>
      </patternFill>
    </fill>
    <fill>
      <patternFill patternType="solid">
        <fgColor rgb="FF669900"/>
        <bgColor indexed="64"/>
      </patternFill>
    </fill>
    <fill>
      <patternFill patternType="solid">
        <fgColor theme="0" tint="-0.14999847407452621"/>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auto="1"/>
      </left>
      <right style="thin">
        <color auto="1"/>
      </right>
      <top/>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hair">
        <color indexed="64"/>
      </top>
      <bottom style="hair">
        <color indexed="64"/>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thin">
        <color auto="1"/>
      </left>
      <right style="medium">
        <color auto="1"/>
      </right>
      <top style="thin">
        <color auto="1"/>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rgb="FF000000"/>
      </left>
      <right/>
      <top style="thin">
        <color rgb="FF000000"/>
      </top>
      <bottom style="thin">
        <color rgb="FF000000"/>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auto="1"/>
      </right>
      <top/>
      <bottom style="medium">
        <color auto="1"/>
      </bottom>
      <diagonal/>
    </border>
    <border>
      <left style="thin">
        <color rgb="FF000000"/>
      </left>
      <right/>
      <top style="thin">
        <color rgb="FF000000"/>
      </top>
      <bottom/>
      <diagonal/>
    </border>
  </borders>
  <cellStyleXfs count="25">
    <xf numFmtId="0" fontId="0" fillId="0" borderId="0"/>
    <xf numFmtId="167" fontId="8" fillId="0" borderId="0" applyFont="0" applyFill="0" applyBorder="0" applyAlignment="0" applyProtection="0"/>
    <xf numFmtId="0" fontId="9" fillId="0" borderId="0"/>
    <xf numFmtId="9" fontId="8" fillId="0" borderId="0" applyFont="0" applyFill="0" applyBorder="0" applyAlignment="0" applyProtection="0"/>
    <xf numFmtId="165" fontId="14" fillId="0" borderId="0" applyFont="0" applyFill="0" applyBorder="0" applyAlignment="0" applyProtection="0"/>
    <xf numFmtId="167" fontId="8" fillId="0" borderId="0" applyFont="0" applyFill="0" applyBorder="0" applyAlignment="0" applyProtection="0"/>
    <xf numFmtId="0" fontId="7" fillId="0" borderId="0"/>
    <xf numFmtId="0" fontId="8" fillId="0" borderId="0"/>
    <xf numFmtId="166" fontId="6" fillId="0" borderId="0" applyFont="0" applyFill="0" applyBorder="0" applyAlignment="0" applyProtection="0"/>
    <xf numFmtId="0" fontId="8" fillId="0" borderId="0"/>
    <xf numFmtId="164" fontId="8" fillId="0" borderId="0" applyFont="0" applyFill="0" applyBorder="0" applyAlignment="0" applyProtection="0"/>
    <xf numFmtId="0" fontId="5" fillId="0" borderId="0"/>
    <xf numFmtId="0" fontId="8" fillId="0" borderId="34" applyNumberFormat="0" applyAlignment="0" applyProtection="0">
      <alignment horizontal="left" wrapText="1" indent="2"/>
    </xf>
    <xf numFmtId="9" fontId="8" fillId="0" borderId="0" applyFont="0" applyFill="0" applyBorder="0" applyAlignment="0" applyProtection="0"/>
    <xf numFmtId="0" fontId="8" fillId="0" borderId="0"/>
    <xf numFmtId="0" fontId="39" fillId="0" borderId="0"/>
    <xf numFmtId="0" fontId="8" fillId="0" borderId="0"/>
    <xf numFmtId="0" fontId="8" fillId="0" borderId="0"/>
    <xf numFmtId="167" fontId="8" fillId="0" borderId="0" applyFont="0" applyFill="0" applyBorder="0" applyAlignment="0" applyProtection="0"/>
    <xf numFmtId="0" fontId="8" fillId="0" borderId="0"/>
    <xf numFmtId="0" fontId="3" fillId="0" borderId="0"/>
    <xf numFmtId="166" fontId="3" fillId="0" borderId="0" applyFont="0" applyFill="0" applyBorder="0" applyAlignment="0" applyProtection="0"/>
    <xf numFmtId="0" fontId="2" fillId="0" borderId="0"/>
    <xf numFmtId="0" fontId="1" fillId="0" borderId="0"/>
    <xf numFmtId="0" fontId="1" fillId="0" borderId="0"/>
  </cellStyleXfs>
  <cellXfs count="3357">
    <xf numFmtId="0" fontId="0" fillId="0" borderId="0" xfId="0"/>
    <xf numFmtId="0" fontId="10" fillId="0" borderId="0" xfId="0" applyFont="1"/>
    <xf numFmtId="0" fontId="12" fillId="0" borderId="1" xfId="0" applyFont="1" applyBorder="1" applyAlignment="1">
      <alignment vertical="top" wrapText="1"/>
    </xf>
    <xf numFmtId="0" fontId="10" fillId="0" borderId="1" xfId="0" applyFont="1" applyBorder="1" applyAlignment="1">
      <alignment wrapText="1"/>
    </xf>
    <xf numFmtId="0" fontId="13" fillId="2" borderId="1" xfId="0" applyFont="1" applyFill="1" applyBorder="1" applyAlignment="1">
      <alignment horizontal="center" wrapText="1"/>
    </xf>
    <xf numFmtId="0" fontId="16" fillId="0" borderId="0" xfId="0" applyFont="1" applyBorder="1"/>
    <xf numFmtId="0" fontId="11" fillId="0" borderId="0" xfId="0" applyFont="1" applyBorder="1"/>
    <xf numFmtId="0" fontId="10" fillId="0" borderId="1" xfId="0" applyFont="1" applyBorder="1"/>
    <xf numFmtId="0" fontId="20" fillId="0" borderId="0" xfId="0" applyFont="1"/>
    <xf numFmtId="0" fontId="19" fillId="12" borderId="1" xfId="0" applyFont="1" applyFill="1" applyBorder="1"/>
    <xf numFmtId="167" fontId="19" fillId="12" borderId="1" xfId="1" applyFont="1" applyFill="1" applyBorder="1" applyAlignment="1">
      <alignment horizontal="center"/>
    </xf>
    <xf numFmtId="0" fontId="19" fillId="13" borderId="1" xfId="0" applyFont="1" applyFill="1" applyBorder="1" applyAlignment="1">
      <alignment vertical="center"/>
    </xf>
    <xf numFmtId="168" fontId="12" fillId="13" borderId="1" xfId="1" applyNumberFormat="1" applyFont="1" applyFill="1" applyBorder="1" applyAlignment="1">
      <alignment horizontal="center" vertical="center"/>
    </xf>
    <xf numFmtId="0" fontId="19" fillId="10" borderId="1" xfId="0" applyFont="1" applyFill="1" applyBorder="1" applyAlignment="1">
      <alignment vertical="center"/>
    </xf>
    <xf numFmtId="168" fontId="12" fillId="10" borderId="1" xfId="1" applyNumberFormat="1" applyFont="1" applyFill="1" applyBorder="1" applyAlignment="1">
      <alignment horizontal="center" vertical="center"/>
    </xf>
    <xf numFmtId="0" fontId="19" fillId="4" borderId="1" xfId="0" applyFont="1" applyFill="1" applyBorder="1" applyAlignment="1">
      <alignment vertical="center"/>
    </xf>
    <xf numFmtId="168" fontId="12" fillId="4" borderId="1" xfId="1" applyNumberFormat="1" applyFont="1" applyFill="1" applyBorder="1" applyAlignment="1">
      <alignment horizontal="center" vertical="center"/>
    </xf>
    <xf numFmtId="168" fontId="13" fillId="4" borderId="1" xfId="1" applyNumberFormat="1" applyFont="1" applyFill="1" applyBorder="1" applyAlignment="1">
      <alignment horizontal="center" vertical="center"/>
    </xf>
    <xf numFmtId="0" fontId="10" fillId="6" borderId="1" xfId="0" applyFont="1" applyFill="1" applyBorder="1"/>
    <xf numFmtId="0" fontId="22" fillId="12" borderId="1" xfId="0" applyFont="1" applyFill="1" applyBorder="1" applyAlignment="1">
      <alignment wrapText="1"/>
    </xf>
    <xf numFmtId="0" fontId="22" fillId="12" borderId="1" xfId="0" applyFont="1" applyFill="1" applyBorder="1" applyAlignment="1">
      <alignment horizontal="center" vertical="center" wrapText="1"/>
    </xf>
    <xf numFmtId="0" fontId="0" fillId="0" borderId="1" xfId="0" applyFont="1" applyBorder="1" applyAlignment="1">
      <alignment wrapText="1"/>
    </xf>
    <xf numFmtId="168" fontId="0" fillId="0" borderId="1" xfId="1" applyNumberFormat="1" applyFont="1" applyBorder="1" applyAlignment="1">
      <alignment vertical="center" wrapText="1"/>
    </xf>
    <xf numFmtId="9" fontId="0" fillId="0" borderId="1" xfId="3" applyFont="1" applyBorder="1" applyAlignment="1">
      <alignment vertical="center" wrapText="1"/>
    </xf>
    <xf numFmtId="168" fontId="0" fillId="0" borderId="1" xfId="0" applyNumberFormat="1" applyFont="1" applyBorder="1" applyAlignment="1">
      <alignment vertical="center" wrapText="1"/>
    </xf>
    <xf numFmtId="0" fontId="22" fillId="0" borderId="1" xfId="0" applyFont="1" applyBorder="1" applyAlignment="1">
      <alignment wrapText="1"/>
    </xf>
    <xf numFmtId="168" fontId="22" fillId="0" borderId="1" xfId="0" applyNumberFormat="1" applyFont="1" applyBorder="1" applyAlignment="1">
      <alignment wrapText="1"/>
    </xf>
    <xf numFmtId="9" fontId="22" fillId="0" borderId="1" xfId="3" applyFont="1" applyBorder="1" applyAlignment="1">
      <alignment wrapText="1"/>
    </xf>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9" fontId="8" fillId="0" borderId="1" xfId="0" applyNumberFormat="1" applyFont="1" applyFill="1" applyBorder="1" applyAlignment="1">
      <alignment vertical="center"/>
    </xf>
    <xf numFmtId="167" fontId="8" fillId="0" borderId="1" xfId="1" applyFont="1" applyFill="1" applyBorder="1" applyAlignment="1">
      <alignment vertical="center"/>
    </xf>
    <xf numFmtId="39" fontId="24" fillId="4" borderId="1" xfId="1" applyNumberFormat="1" applyFont="1" applyFill="1" applyBorder="1" applyAlignment="1">
      <alignment vertical="center"/>
    </xf>
    <xf numFmtId="39" fontId="24" fillId="4" borderId="4" xfId="1" applyNumberFormat="1" applyFont="1" applyFill="1" applyBorder="1" applyAlignment="1">
      <alignment vertical="center"/>
    </xf>
    <xf numFmtId="0" fontId="19" fillId="0" borderId="0" xfId="0" applyFont="1" applyAlignment="1">
      <alignment vertical="center"/>
    </xf>
    <xf numFmtId="0" fontId="8" fillId="0" borderId="1" xfId="0" applyFont="1" applyFill="1" applyBorder="1" applyAlignment="1">
      <alignment vertical="center"/>
    </xf>
    <xf numFmtId="0" fontId="19" fillId="0" borderId="0" xfId="0" applyFont="1" applyFill="1" applyBorder="1" applyAlignment="1">
      <alignment vertical="center" wrapText="1"/>
    </xf>
    <xf numFmtId="39" fontId="25" fillId="0" borderId="1" xfId="1" applyNumberFormat="1" applyFont="1" applyFill="1" applyBorder="1" applyAlignment="1">
      <alignment vertical="center"/>
    </xf>
    <xf numFmtId="9" fontId="0" fillId="0" borderId="1" xfId="1" applyNumberFormat="1" applyFont="1" applyBorder="1" applyAlignment="1">
      <alignment vertical="center" wrapText="1"/>
    </xf>
    <xf numFmtId="0" fontId="11" fillId="0" borderId="0" xfId="0" applyFont="1"/>
    <xf numFmtId="0" fontId="26" fillId="0" borderId="0" xfId="9" applyFont="1" applyBorder="1" applyAlignment="1">
      <alignment vertical="center"/>
    </xf>
    <xf numFmtId="0" fontId="26" fillId="0" borderId="0" xfId="9" applyFont="1" applyBorder="1" applyAlignment="1">
      <alignment horizontal="center" vertical="center"/>
    </xf>
    <xf numFmtId="9" fontId="26" fillId="0" borderId="0" xfId="3" applyFont="1" applyBorder="1" applyAlignment="1">
      <alignment horizontal="center" vertical="center"/>
    </xf>
    <xf numFmtId="0" fontId="10" fillId="0" borderId="0" xfId="9" applyFont="1" applyAlignment="1">
      <alignment vertical="center"/>
    </xf>
    <xf numFmtId="0" fontId="11" fillId="0" borderId="0" xfId="9" applyFont="1" applyAlignment="1">
      <alignment vertical="center"/>
    </xf>
    <xf numFmtId="0" fontId="10" fillId="6" borderId="0" xfId="9" applyFont="1" applyFill="1" applyBorder="1" applyAlignment="1">
      <alignment horizontal="center" vertical="center"/>
    </xf>
    <xf numFmtId="172" fontId="10" fillId="6" borderId="0" xfId="10" applyNumberFormat="1" applyFont="1" applyFill="1" applyBorder="1" applyAlignment="1">
      <alignment vertical="center"/>
    </xf>
    <xf numFmtId="172" fontId="10" fillId="6" borderId="0" xfId="10" applyNumberFormat="1" applyFont="1" applyFill="1" applyAlignment="1">
      <alignment vertical="center"/>
    </xf>
    <xf numFmtId="9" fontId="10" fillId="6" borderId="0" xfId="3" applyFont="1" applyFill="1" applyAlignment="1">
      <alignment horizontal="center" vertical="center"/>
    </xf>
    <xf numFmtId="0" fontId="15" fillId="6" borderId="0" xfId="9" applyFont="1" applyFill="1" applyBorder="1" applyAlignment="1">
      <alignment horizontal="center" vertical="center"/>
    </xf>
    <xf numFmtId="0" fontId="15" fillId="6" borderId="0" xfId="9" applyFont="1" applyFill="1" applyBorder="1" applyAlignment="1">
      <alignment vertical="center"/>
    </xf>
    <xf numFmtId="37" fontId="15" fillId="6" borderId="0" xfId="9" applyNumberFormat="1" applyFont="1" applyFill="1" applyBorder="1" applyAlignment="1">
      <alignment horizontal="center" vertical="center" wrapText="1"/>
    </xf>
    <xf numFmtId="0" fontId="10" fillId="0" borderId="0" xfId="9" applyFont="1" applyBorder="1" applyAlignment="1">
      <alignment vertical="center"/>
    </xf>
    <xf numFmtId="0" fontId="10" fillId="0" borderId="0" xfId="9" applyFont="1" applyFill="1" applyBorder="1" applyAlignment="1">
      <alignment vertical="center"/>
    </xf>
    <xf numFmtId="0" fontId="10" fillId="0" borderId="0" xfId="9" applyFont="1" applyFill="1" applyBorder="1" applyAlignment="1">
      <alignment horizontal="center" vertical="center" wrapText="1"/>
    </xf>
    <xf numFmtId="0" fontId="10" fillId="0" borderId="0" xfId="9" applyFont="1" applyBorder="1" applyAlignment="1">
      <alignment horizontal="center" vertical="center"/>
    </xf>
    <xf numFmtId="172" fontId="10" fillId="0" borderId="0" xfId="10" applyNumberFormat="1" applyFont="1" applyFill="1" applyBorder="1" applyAlignment="1">
      <alignment vertical="center"/>
    </xf>
    <xf numFmtId="172" fontId="10" fillId="0" borderId="0" xfId="10" applyNumberFormat="1" applyFont="1" applyAlignment="1">
      <alignment vertical="center"/>
    </xf>
    <xf numFmtId="0" fontId="18" fillId="17" borderId="1" xfId="9" applyFont="1" applyFill="1" applyBorder="1" applyAlignment="1">
      <alignment horizontal="center" vertical="center" wrapText="1"/>
    </xf>
    <xf numFmtId="0" fontId="19" fillId="9" borderId="4" xfId="9" applyFont="1" applyFill="1" applyBorder="1" applyAlignment="1">
      <alignment vertical="center"/>
    </xf>
    <xf numFmtId="0" fontId="19" fillId="9" borderId="3" xfId="9" applyFont="1" applyFill="1" applyBorder="1" applyAlignment="1">
      <alignment vertical="center" wrapText="1"/>
    </xf>
    <xf numFmtId="0" fontId="8" fillId="9" borderId="3" xfId="9" applyFont="1" applyFill="1" applyBorder="1" applyAlignment="1">
      <alignment horizontal="center" vertical="center" wrapText="1"/>
    </xf>
    <xf numFmtId="0" fontId="19" fillId="9" borderId="3" xfId="9" applyFont="1" applyFill="1" applyBorder="1" applyAlignment="1">
      <alignment horizontal="center" vertical="center" wrapText="1"/>
    </xf>
    <xf numFmtId="172" fontId="19" fillId="9" borderId="25" xfId="10" applyNumberFormat="1" applyFont="1" applyFill="1" applyBorder="1" applyAlignment="1">
      <alignment vertical="center" wrapText="1"/>
    </xf>
    <xf numFmtId="172" fontId="19" fillId="9" borderId="3" xfId="10" applyNumberFormat="1" applyFont="1" applyFill="1" applyBorder="1" applyAlignment="1">
      <alignment vertical="center" wrapText="1"/>
    </xf>
    <xf numFmtId="9" fontId="19" fillId="9" borderId="20" xfId="3" applyFont="1" applyFill="1" applyBorder="1" applyAlignment="1">
      <alignment horizontal="center" vertical="center" wrapText="1"/>
    </xf>
    <xf numFmtId="172" fontId="19" fillId="9" borderId="26" xfId="10" applyNumberFormat="1" applyFont="1" applyFill="1" applyBorder="1" applyAlignment="1">
      <alignment vertical="center" wrapText="1"/>
    </xf>
    <xf numFmtId="172" fontId="19" fillId="9" borderId="27" xfId="10" applyNumberFormat="1" applyFont="1" applyFill="1" applyBorder="1" applyAlignment="1">
      <alignment vertical="center" wrapText="1"/>
    </xf>
    <xf numFmtId="0" fontId="19" fillId="11" borderId="0" xfId="9" applyFont="1" applyFill="1" applyBorder="1" applyAlignment="1">
      <alignment vertical="center" wrapText="1"/>
    </xf>
    <xf numFmtId="0" fontId="19" fillId="11" borderId="9" xfId="9" applyFont="1" applyFill="1" applyBorder="1" applyAlignment="1">
      <alignment vertical="center" wrapText="1"/>
    </xf>
    <xf numFmtId="0" fontId="19" fillId="11" borderId="8" xfId="9" applyFont="1" applyFill="1" applyBorder="1" applyAlignment="1">
      <alignment vertical="center" wrapText="1"/>
    </xf>
    <xf numFmtId="0" fontId="19" fillId="3" borderId="4" xfId="9" applyFont="1" applyFill="1" applyBorder="1" applyAlignment="1">
      <alignment vertical="center"/>
    </xf>
    <xf numFmtId="0" fontId="19" fillId="3" borderId="3" xfId="9" applyFont="1" applyFill="1" applyBorder="1" applyAlignment="1">
      <alignment vertical="center"/>
    </xf>
    <xf numFmtId="0" fontId="8" fillId="3" borderId="3" xfId="9" applyFont="1" applyFill="1" applyBorder="1" applyAlignment="1">
      <alignment horizontal="center" vertical="center" wrapText="1"/>
    </xf>
    <xf numFmtId="0" fontId="19" fillId="3" borderId="3" xfId="9" applyFont="1" applyFill="1" applyBorder="1" applyAlignment="1">
      <alignment horizontal="center" vertical="center"/>
    </xf>
    <xf numFmtId="172" fontId="19" fillId="3" borderId="25" xfId="10" applyNumberFormat="1" applyFont="1" applyFill="1" applyBorder="1" applyAlignment="1">
      <alignment vertical="center"/>
    </xf>
    <xf numFmtId="172" fontId="19" fillId="3" borderId="3" xfId="10" applyNumberFormat="1" applyFont="1" applyFill="1" applyBorder="1" applyAlignment="1">
      <alignment vertical="center"/>
    </xf>
    <xf numFmtId="9" fontId="19" fillId="3" borderId="20" xfId="3" applyFont="1" applyFill="1" applyBorder="1" applyAlignment="1">
      <alignment horizontal="center" vertical="center"/>
    </xf>
    <xf numFmtId="172" fontId="19" fillId="3" borderId="26" xfId="10" applyNumberFormat="1" applyFont="1" applyFill="1" applyBorder="1" applyAlignment="1">
      <alignment vertical="center"/>
    </xf>
    <xf numFmtId="9" fontId="19" fillId="3" borderId="3" xfId="3" applyFont="1" applyFill="1" applyBorder="1" applyAlignment="1">
      <alignment horizontal="center" vertical="center"/>
    </xf>
    <xf numFmtId="0" fontId="10" fillId="0" borderId="1" xfId="9" applyFont="1" applyFill="1" applyBorder="1" applyAlignment="1">
      <alignment vertical="center" wrapText="1"/>
    </xf>
    <xf numFmtId="0" fontId="10" fillId="0" borderId="1" xfId="9" applyFont="1" applyFill="1" applyBorder="1" applyAlignment="1">
      <alignment horizontal="left" vertical="center" wrapText="1"/>
    </xf>
    <xf numFmtId="172" fontId="31" fillId="0" borderId="25" xfId="10" applyNumberFormat="1" applyFont="1" applyFill="1" applyBorder="1" applyAlignment="1">
      <alignment vertical="center"/>
    </xf>
    <xf numFmtId="172" fontId="10" fillId="0" borderId="25" xfId="10" applyNumberFormat="1" applyFont="1" applyFill="1" applyBorder="1" applyAlignment="1">
      <alignment vertical="center"/>
    </xf>
    <xf numFmtId="9" fontId="10" fillId="0" borderId="20" xfId="3" applyFont="1" applyFill="1" applyBorder="1" applyAlignment="1">
      <alignment horizontal="center" vertical="center"/>
    </xf>
    <xf numFmtId="0" fontId="10" fillId="0" borderId="7" xfId="9" applyFont="1" applyFill="1" applyBorder="1" applyAlignment="1">
      <alignment horizontal="left" vertical="center"/>
    </xf>
    <xf numFmtId="0" fontId="10" fillId="0" borderId="14" xfId="9" applyFont="1" applyFill="1" applyBorder="1" applyAlignment="1">
      <alignment horizontal="left" vertical="center" wrapText="1"/>
    </xf>
    <xf numFmtId="0" fontId="31" fillId="0" borderId="6" xfId="9" applyFont="1" applyFill="1" applyBorder="1" applyAlignment="1">
      <alignment horizontal="center" vertical="center" wrapText="1"/>
    </xf>
    <xf numFmtId="172" fontId="10" fillId="0" borderId="18" xfId="10" applyNumberFormat="1" applyFont="1" applyFill="1" applyBorder="1" applyAlignment="1">
      <alignment vertical="center"/>
    </xf>
    <xf numFmtId="0" fontId="11" fillId="0" borderId="0" xfId="9" applyFont="1" applyFill="1" applyBorder="1" applyAlignment="1">
      <alignment vertical="center"/>
    </xf>
    <xf numFmtId="0" fontId="10" fillId="0" borderId="25" xfId="10" applyNumberFormat="1" applyFont="1" applyFill="1" applyBorder="1" applyAlignment="1">
      <alignment vertical="center" wrapText="1"/>
    </xf>
    <xf numFmtId="0" fontId="11" fillId="0" borderId="0" xfId="9" applyFont="1" applyFill="1" applyAlignment="1">
      <alignment vertical="center"/>
    </xf>
    <xf numFmtId="0" fontId="10" fillId="0" borderId="0" xfId="9" applyFont="1" applyFill="1" applyAlignment="1">
      <alignment vertical="center"/>
    </xf>
    <xf numFmtId="0" fontId="11" fillId="4" borderId="1" xfId="9" applyFont="1" applyFill="1" applyBorder="1" applyAlignment="1">
      <alignment vertical="center" wrapText="1"/>
    </xf>
    <xf numFmtId="0" fontId="11" fillId="4" borderId="1" xfId="9" applyFont="1" applyFill="1" applyBorder="1" applyAlignment="1">
      <alignment horizontal="left" vertical="center" wrapText="1"/>
    </xf>
    <xf numFmtId="172" fontId="31" fillId="4" borderId="25" xfId="10" applyNumberFormat="1" applyFont="1" applyFill="1" applyBorder="1" applyAlignment="1">
      <alignment vertical="center"/>
    </xf>
    <xf numFmtId="172" fontId="11" fillId="4" borderId="25" xfId="10" applyNumberFormat="1" applyFont="1" applyFill="1" applyBorder="1" applyAlignment="1">
      <alignment vertical="center"/>
    </xf>
    <xf numFmtId="9" fontId="11" fillId="4" borderId="20" xfId="3" applyFont="1" applyFill="1" applyBorder="1" applyAlignment="1">
      <alignment horizontal="center" vertical="center"/>
    </xf>
    <xf numFmtId="9" fontId="11" fillId="4" borderId="2" xfId="3" applyFont="1" applyFill="1" applyBorder="1" applyAlignment="1">
      <alignment horizontal="center" vertical="center"/>
    </xf>
    <xf numFmtId="172" fontId="11" fillId="4" borderId="18" xfId="10" applyNumberFormat="1" applyFont="1" applyFill="1" applyBorder="1" applyAlignment="1">
      <alignment vertical="center"/>
    </xf>
    <xf numFmtId="0" fontId="11" fillId="4" borderId="25" xfId="10" applyNumberFormat="1" applyFont="1" applyFill="1" applyBorder="1" applyAlignment="1">
      <alignment vertical="center" wrapText="1"/>
    </xf>
    <xf numFmtId="0" fontId="11" fillId="8" borderId="4" xfId="9" applyFont="1" applyFill="1" applyBorder="1" applyAlignment="1">
      <alignment vertical="center"/>
    </xf>
    <xf numFmtId="0" fontId="11" fillId="8" borderId="3" xfId="9" applyFont="1" applyFill="1" applyBorder="1" applyAlignment="1">
      <alignment vertical="center"/>
    </xf>
    <xf numFmtId="0" fontId="11" fillId="8" borderId="3" xfId="9" applyFont="1" applyFill="1" applyBorder="1" applyAlignment="1">
      <alignment horizontal="left" vertical="center" wrapText="1"/>
    </xf>
    <xf numFmtId="0" fontId="31" fillId="8" borderId="4" xfId="9" applyFont="1" applyFill="1" applyBorder="1" applyAlignment="1">
      <alignment horizontal="center" vertical="center" wrapText="1"/>
    </xf>
    <xf numFmtId="172" fontId="31" fillId="8" borderId="25" xfId="10" applyNumberFormat="1" applyFont="1" applyFill="1" applyBorder="1" applyAlignment="1">
      <alignment vertical="center"/>
    </xf>
    <xf numFmtId="172" fontId="11" fillId="8" borderId="25" xfId="10" applyNumberFormat="1" applyFont="1" applyFill="1" applyBorder="1" applyAlignment="1">
      <alignment vertical="center"/>
    </xf>
    <xf numFmtId="9" fontId="11" fillId="8" borderId="20" xfId="3" applyFont="1" applyFill="1" applyBorder="1" applyAlignment="1">
      <alignment horizontal="center" vertical="center"/>
    </xf>
    <xf numFmtId="9" fontId="11" fillId="8" borderId="2" xfId="3" applyFont="1" applyFill="1" applyBorder="1" applyAlignment="1">
      <alignment horizontal="center" vertical="center"/>
    </xf>
    <xf numFmtId="172" fontId="11" fillId="8" borderId="18" xfId="10" applyNumberFormat="1" applyFont="1" applyFill="1" applyBorder="1" applyAlignment="1">
      <alignment vertical="center"/>
    </xf>
    <xf numFmtId="0" fontId="11" fillId="8" borderId="25" xfId="10" applyNumberFormat="1" applyFont="1" applyFill="1" applyBorder="1" applyAlignment="1">
      <alignment vertical="center" wrapText="1"/>
    </xf>
    <xf numFmtId="0" fontId="11" fillId="11" borderId="0" xfId="9" applyFont="1" applyFill="1" applyAlignment="1">
      <alignment vertical="center"/>
    </xf>
    <xf numFmtId="0" fontId="11" fillId="8" borderId="2" xfId="9" applyFont="1" applyFill="1" applyBorder="1" applyAlignment="1">
      <alignment horizontal="left" vertical="center" wrapText="1"/>
    </xf>
    <xf numFmtId="0" fontId="33" fillId="9" borderId="4" xfId="9" applyFont="1" applyFill="1" applyBorder="1" applyAlignment="1">
      <alignment vertical="center"/>
    </xf>
    <xf numFmtId="0" fontId="18" fillId="11" borderId="0" xfId="9" applyFont="1" applyFill="1" applyBorder="1" applyAlignment="1">
      <alignment vertical="center" wrapText="1"/>
    </xf>
    <xf numFmtId="0" fontId="18" fillId="11" borderId="8" xfId="9" applyFont="1" applyFill="1" applyBorder="1" applyAlignment="1">
      <alignment vertical="center" wrapText="1"/>
    </xf>
    <xf numFmtId="0" fontId="11" fillId="10" borderId="4" xfId="9" applyFont="1" applyFill="1" applyBorder="1" applyAlignment="1">
      <alignment vertical="center"/>
    </xf>
    <xf numFmtId="0" fontId="11" fillId="10" borderId="3" xfId="9" applyFont="1" applyFill="1" applyBorder="1" applyAlignment="1">
      <alignment vertical="center"/>
    </xf>
    <xf numFmtId="0" fontId="10" fillId="10" borderId="3" xfId="9" applyFont="1" applyFill="1" applyBorder="1" applyAlignment="1">
      <alignment horizontal="left" vertical="center" wrapText="1"/>
    </xf>
    <xf numFmtId="0" fontId="11" fillId="10" borderId="3" xfId="9" applyFont="1" applyFill="1" applyBorder="1" applyAlignment="1">
      <alignment horizontal="center" vertical="center" wrapText="1"/>
    </xf>
    <xf numFmtId="172" fontId="11" fillId="10" borderId="25" xfId="10" applyNumberFormat="1" applyFont="1" applyFill="1" applyBorder="1" applyAlignment="1">
      <alignment vertical="center" wrapText="1"/>
    </xf>
    <xf numFmtId="172" fontId="10" fillId="10" borderId="25" xfId="10" applyNumberFormat="1" applyFont="1" applyFill="1" applyBorder="1" applyAlignment="1">
      <alignment vertical="center" wrapText="1"/>
    </xf>
    <xf numFmtId="9" fontId="10" fillId="10" borderId="20" xfId="3" applyFont="1" applyFill="1" applyBorder="1" applyAlignment="1">
      <alignment horizontal="center" vertical="center" wrapText="1"/>
    </xf>
    <xf numFmtId="9" fontId="10" fillId="10" borderId="3" xfId="3" applyFont="1" applyFill="1" applyBorder="1" applyAlignment="1">
      <alignment horizontal="center" vertical="center" wrapText="1"/>
    </xf>
    <xf numFmtId="172" fontId="10" fillId="10" borderId="26" xfId="10" applyNumberFormat="1" applyFont="1" applyFill="1" applyBorder="1" applyAlignment="1">
      <alignment vertical="center" wrapText="1"/>
    </xf>
    <xf numFmtId="0" fontId="10" fillId="10" borderId="25" xfId="10" applyNumberFormat="1" applyFont="1" applyFill="1" applyBorder="1" applyAlignment="1">
      <alignment vertical="center" wrapText="1"/>
    </xf>
    <xf numFmtId="0" fontId="11" fillId="0" borderId="0" xfId="9" applyFont="1" applyFill="1" applyBorder="1" applyAlignment="1">
      <alignment vertical="center" wrapText="1"/>
    </xf>
    <xf numFmtId="0" fontId="11" fillId="0" borderId="5" xfId="9" applyFont="1" applyFill="1" applyBorder="1" applyAlignment="1">
      <alignment vertical="center" wrapText="1"/>
    </xf>
    <xf numFmtId="0" fontId="11" fillId="6" borderId="1" xfId="9" applyFont="1" applyFill="1" applyBorder="1" applyAlignment="1">
      <alignment vertical="center"/>
    </xf>
    <xf numFmtId="0" fontId="11" fillId="6" borderId="7" xfId="9" applyFont="1" applyFill="1" applyBorder="1" applyAlignment="1">
      <alignment horizontal="right" vertical="center"/>
    </xf>
    <xf numFmtId="0" fontId="10" fillId="6" borderId="14" xfId="9" applyFont="1" applyFill="1" applyBorder="1" applyAlignment="1">
      <alignment horizontal="left" vertical="center" wrapText="1"/>
    </xf>
    <xf numFmtId="0" fontId="31" fillId="6" borderId="6" xfId="9" applyFont="1" applyFill="1" applyBorder="1" applyAlignment="1">
      <alignment horizontal="center" vertical="center" wrapText="1"/>
    </xf>
    <xf numFmtId="172" fontId="31" fillId="6" borderId="25" xfId="10" applyNumberFormat="1" applyFont="1" applyFill="1" applyBorder="1" applyAlignment="1">
      <alignment vertical="center"/>
    </xf>
    <xf numFmtId="172" fontId="10" fillId="6" borderId="25" xfId="10" applyNumberFormat="1" applyFont="1" applyFill="1" applyBorder="1" applyAlignment="1">
      <alignment vertical="center"/>
    </xf>
    <xf numFmtId="9" fontId="10" fillId="6" borderId="20" xfId="3" applyFont="1" applyFill="1" applyBorder="1" applyAlignment="1">
      <alignment horizontal="center" vertical="center"/>
    </xf>
    <xf numFmtId="9" fontId="10" fillId="6" borderId="2" xfId="3" applyFont="1" applyFill="1" applyBorder="1" applyAlignment="1">
      <alignment horizontal="center" vertical="center"/>
    </xf>
    <xf numFmtId="172" fontId="10" fillId="6" borderId="18" xfId="10" applyNumberFormat="1" applyFont="1" applyFill="1" applyBorder="1" applyAlignment="1">
      <alignment vertical="center"/>
    </xf>
    <xf numFmtId="0" fontId="10" fillId="6" borderId="25" xfId="10" applyNumberFormat="1" applyFont="1" applyFill="1" applyBorder="1" applyAlignment="1">
      <alignment vertical="center" wrapText="1"/>
    </xf>
    <xf numFmtId="0" fontId="11" fillId="0" borderId="1" xfId="9" applyFont="1" applyFill="1" applyBorder="1" applyAlignment="1">
      <alignment vertical="center"/>
    </xf>
    <xf numFmtId="0" fontId="10" fillId="0" borderId="7" xfId="9" applyFont="1" applyFill="1" applyBorder="1" applyAlignment="1">
      <alignment horizontal="left" vertical="center" wrapText="1"/>
    </xf>
    <xf numFmtId="0" fontId="13" fillId="0" borderId="1" xfId="9" applyFont="1" applyFill="1" applyBorder="1" applyAlignment="1">
      <alignment vertical="center"/>
    </xf>
    <xf numFmtId="0" fontId="13" fillId="0" borderId="0" xfId="9" applyFont="1" applyFill="1" applyAlignment="1">
      <alignment vertical="center"/>
    </xf>
    <xf numFmtId="0" fontId="11" fillId="0" borderId="7" xfId="9" applyFont="1" applyFill="1" applyBorder="1" applyAlignment="1">
      <alignment horizontal="right" vertical="center"/>
    </xf>
    <xf numFmtId="9" fontId="10" fillId="0" borderId="2" xfId="3" applyFont="1" applyFill="1" applyBorder="1" applyAlignment="1">
      <alignment horizontal="center" vertical="center"/>
    </xf>
    <xf numFmtId="0" fontId="11" fillId="0" borderId="1" xfId="9" applyFont="1" applyFill="1" applyBorder="1" applyAlignment="1">
      <alignment horizontal="right" vertical="center"/>
    </xf>
    <xf numFmtId="0" fontId="11" fillId="4" borderId="7" xfId="9" applyFont="1" applyFill="1" applyBorder="1" applyAlignment="1">
      <alignment horizontal="right" vertical="center"/>
    </xf>
    <xf numFmtId="0" fontId="11" fillId="4" borderId="14" xfId="9" applyFont="1" applyFill="1" applyBorder="1" applyAlignment="1">
      <alignment horizontal="left" vertical="center" wrapText="1"/>
    </xf>
    <xf numFmtId="0" fontId="11" fillId="10" borderId="3" xfId="9" applyFont="1" applyFill="1" applyBorder="1" applyAlignment="1">
      <alignment horizontal="center" vertical="center"/>
    </xf>
    <xf numFmtId="172" fontId="11" fillId="10" borderId="25" xfId="10" applyNumberFormat="1" applyFont="1" applyFill="1" applyBorder="1" applyAlignment="1">
      <alignment vertical="center"/>
    </xf>
    <xf numFmtId="172" fontId="10" fillId="10" borderId="25" xfId="10" applyNumberFormat="1" applyFont="1" applyFill="1" applyBorder="1" applyAlignment="1">
      <alignment vertical="center"/>
    </xf>
    <xf numFmtId="9" fontId="10" fillId="10" borderId="20" xfId="3" applyFont="1" applyFill="1" applyBorder="1" applyAlignment="1">
      <alignment horizontal="center" vertical="center"/>
    </xf>
    <xf numFmtId="9" fontId="10" fillId="10" borderId="3" xfId="3" applyFont="1" applyFill="1" applyBorder="1" applyAlignment="1">
      <alignment horizontal="center" vertical="center"/>
    </xf>
    <xf numFmtId="172" fontId="10" fillId="10" borderId="26" xfId="10" applyNumberFormat="1" applyFont="1" applyFill="1" applyBorder="1" applyAlignment="1">
      <alignment vertical="center"/>
    </xf>
    <xf numFmtId="0" fontId="11" fillId="0" borderId="7" xfId="9" applyFont="1" applyFill="1" applyBorder="1" applyAlignment="1">
      <alignment horizontal="left" vertical="center"/>
    </xf>
    <xf numFmtId="0" fontId="11" fillId="4" borderId="2" xfId="9" applyFont="1" applyFill="1" applyBorder="1" applyAlignment="1">
      <alignment horizontal="right" vertical="center"/>
    </xf>
    <xf numFmtId="0" fontId="10" fillId="4" borderId="1" xfId="9" applyFont="1" applyFill="1" applyBorder="1" applyAlignment="1">
      <alignment horizontal="left" vertical="center" wrapText="1"/>
    </xf>
    <xf numFmtId="172" fontId="10" fillId="4" borderId="25" xfId="10" applyNumberFormat="1" applyFont="1" applyFill="1" applyBorder="1" applyAlignment="1">
      <alignment vertical="center"/>
    </xf>
    <xf numFmtId="9" fontId="10" fillId="4" borderId="20" xfId="3" applyFont="1" applyFill="1" applyBorder="1" applyAlignment="1">
      <alignment horizontal="center" vertical="center"/>
    </xf>
    <xf numFmtId="9" fontId="10" fillId="4" borderId="2" xfId="3" applyFont="1" applyFill="1" applyBorder="1" applyAlignment="1">
      <alignment horizontal="center" vertical="center"/>
    </xf>
    <xf numFmtId="172" fontId="10" fillId="4" borderId="18" xfId="10" applyNumberFormat="1" applyFont="1" applyFill="1" applyBorder="1" applyAlignment="1">
      <alignment vertical="center"/>
    </xf>
    <xf numFmtId="0" fontId="10" fillId="4" borderId="25" xfId="10" applyNumberFormat="1" applyFont="1" applyFill="1" applyBorder="1" applyAlignment="1">
      <alignment vertical="center" wrapText="1"/>
    </xf>
    <xf numFmtId="0" fontId="11" fillId="6" borderId="1" xfId="9" applyFont="1" applyFill="1" applyBorder="1" applyAlignment="1">
      <alignment horizontal="right" vertical="center"/>
    </xf>
    <xf numFmtId="0" fontId="11" fillId="6" borderId="7" xfId="9" applyFont="1" applyFill="1" applyBorder="1" applyAlignment="1">
      <alignment horizontal="left" vertical="center" wrapText="1"/>
    </xf>
    <xf numFmtId="0" fontId="11" fillId="4" borderId="14" xfId="9" applyFont="1" applyFill="1" applyBorder="1" applyAlignment="1">
      <alignment horizontal="center" vertical="center" wrapText="1"/>
    </xf>
    <xf numFmtId="0" fontId="11" fillId="8" borderId="2" xfId="9" applyFont="1" applyFill="1" applyBorder="1" applyAlignment="1">
      <alignment horizontal="center" vertical="center" wrapText="1"/>
    </xf>
    <xf numFmtId="172" fontId="31" fillId="8" borderId="25" xfId="10" applyNumberFormat="1" applyFont="1" applyFill="1" applyBorder="1" applyAlignment="1">
      <alignment horizontal="right" vertical="center"/>
    </xf>
    <xf numFmtId="172" fontId="11" fillId="8" borderId="25" xfId="10" applyNumberFormat="1" applyFont="1" applyFill="1" applyBorder="1" applyAlignment="1">
      <alignment horizontal="left" vertical="center"/>
    </xf>
    <xf numFmtId="172" fontId="11" fillId="8" borderId="18" xfId="10" applyNumberFormat="1" applyFont="1" applyFill="1" applyBorder="1" applyAlignment="1">
      <alignment horizontal="left" vertical="center"/>
    </xf>
    <xf numFmtId="0" fontId="11" fillId="8" borderId="25" xfId="10" applyNumberFormat="1" applyFont="1" applyFill="1" applyBorder="1" applyAlignment="1">
      <alignment horizontal="left" vertical="center" wrapText="1"/>
    </xf>
    <xf numFmtId="0" fontId="11" fillId="11" borderId="0" xfId="9" applyFont="1" applyFill="1" applyAlignment="1">
      <alignment horizontal="left" vertical="center"/>
    </xf>
    <xf numFmtId="0" fontId="11" fillId="9" borderId="5" xfId="9" applyFont="1" applyFill="1" applyBorder="1" applyAlignment="1">
      <alignment vertical="center"/>
    </xf>
    <xf numFmtId="0" fontId="11" fillId="9" borderId="6" xfId="9" applyFont="1" applyFill="1" applyBorder="1" applyAlignment="1">
      <alignment vertical="center"/>
    </xf>
    <xf numFmtId="0" fontId="10" fillId="9" borderId="6" xfId="9" applyFont="1" applyFill="1" applyBorder="1" applyAlignment="1">
      <alignment horizontal="center" vertical="center" wrapText="1"/>
    </xf>
    <xf numFmtId="0" fontId="11" fillId="9" borderId="6" xfId="9" applyFont="1" applyFill="1" applyBorder="1" applyAlignment="1">
      <alignment horizontal="center" vertical="center"/>
    </xf>
    <xf numFmtId="172" fontId="11" fillId="9" borderId="25" xfId="10" applyNumberFormat="1" applyFont="1" applyFill="1" applyBorder="1" applyAlignment="1">
      <alignment horizontal="center" vertical="center" wrapText="1"/>
    </xf>
    <xf numFmtId="172" fontId="10" fillId="9" borderId="25" xfId="10" applyNumberFormat="1" applyFont="1" applyFill="1" applyBorder="1" applyAlignment="1">
      <alignment horizontal="center" vertical="center" wrapText="1"/>
    </xf>
    <xf numFmtId="9" fontId="10" fillId="9" borderId="20" xfId="3" applyFont="1" applyFill="1" applyBorder="1" applyAlignment="1">
      <alignment horizontal="center" vertical="center" wrapText="1"/>
    </xf>
    <xf numFmtId="9" fontId="10" fillId="9" borderId="2" xfId="3" applyFont="1" applyFill="1" applyBorder="1" applyAlignment="1">
      <alignment horizontal="center" vertical="center" wrapText="1"/>
    </xf>
    <xf numFmtId="172" fontId="10" fillId="9" borderId="18" xfId="10" applyNumberFormat="1" applyFont="1" applyFill="1" applyBorder="1" applyAlignment="1">
      <alignment horizontal="center" vertical="center" wrapText="1"/>
    </xf>
    <xf numFmtId="0" fontId="10" fillId="9" borderId="25" xfId="10" applyNumberFormat="1" applyFont="1" applyFill="1" applyBorder="1" applyAlignment="1">
      <alignment horizontal="center" vertical="center" wrapText="1"/>
    </xf>
    <xf numFmtId="0" fontId="10" fillId="11" borderId="0" xfId="9" applyFont="1" applyFill="1" applyAlignment="1">
      <alignment vertical="center"/>
    </xf>
    <xf numFmtId="0" fontId="11" fillId="9" borderId="8" xfId="9" applyFont="1" applyFill="1" applyBorder="1" applyAlignment="1">
      <alignment vertical="center"/>
    </xf>
    <xf numFmtId="0" fontId="11" fillId="9" borderId="9" xfId="9" applyFont="1" applyFill="1" applyBorder="1" applyAlignment="1">
      <alignment vertical="center"/>
    </xf>
    <xf numFmtId="0" fontId="11" fillId="9" borderId="9" xfId="9" applyFont="1" applyFill="1" applyBorder="1" applyAlignment="1">
      <alignment horizontal="center" vertical="center" wrapText="1"/>
    </xf>
    <xf numFmtId="0" fontId="11" fillId="9" borderId="9" xfId="9" applyFont="1" applyFill="1" applyBorder="1" applyAlignment="1">
      <alignment horizontal="center" vertical="center"/>
    </xf>
    <xf numFmtId="172" fontId="11" fillId="9" borderId="25" xfId="10" applyNumberFormat="1" applyFont="1" applyFill="1" applyBorder="1" applyAlignment="1">
      <alignment vertical="center" wrapText="1"/>
    </xf>
    <xf numFmtId="9" fontId="11" fillId="9" borderId="20" xfId="3" applyFont="1" applyFill="1" applyBorder="1" applyAlignment="1">
      <alignment horizontal="center" vertical="center" wrapText="1"/>
    </xf>
    <xf numFmtId="9" fontId="11" fillId="9" borderId="2" xfId="3" applyFont="1" applyFill="1" applyBorder="1" applyAlignment="1">
      <alignment horizontal="center" vertical="center" wrapText="1"/>
    </xf>
    <xf numFmtId="172" fontId="11" fillId="9" borderId="18" xfId="10" applyNumberFormat="1" applyFont="1" applyFill="1" applyBorder="1" applyAlignment="1">
      <alignment horizontal="center" vertical="center" wrapText="1"/>
    </xf>
    <xf numFmtId="0" fontId="11" fillId="9" borderId="25" xfId="10" applyNumberFormat="1" applyFont="1" applyFill="1" applyBorder="1" applyAlignment="1">
      <alignment horizontal="center" vertical="center" wrapText="1"/>
    </xf>
    <xf numFmtId="0" fontId="11" fillId="0" borderId="8" xfId="9" applyFont="1" applyFill="1" applyBorder="1" applyAlignment="1">
      <alignment horizontal="left" vertical="center"/>
    </xf>
    <xf numFmtId="0" fontId="11" fillId="0" borderId="9" xfId="9" applyFont="1" applyFill="1" applyBorder="1" applyAlignment="1">
      <alignment horizontal="left" vertical="center"/>
    </xf>
    <xf numFmtId="0" fontId="10" fillId="0" borderId="9" xfId="9" applyFont="1" applyFill="1" applyBorder="1" applyAlignment="1">
      <alignment horizontal="center" vertical="center" wrapText="1"/>
    </xf>
    <xf numFmtId="0" fontId="10" fillId="0" borderId="9" xfId="9" applyFont="1" applyFill="1" applyBorder="1" applyAlignment="1">
      <alignment horizontal="right" vertical="center"/>
    </xf>
    <xf numFmtId="172" fontId="11" fillId="0" borderId="25" xfId="10" applyNumberFormat="1" applyFont="1" applyFill="1" applyBorder="1" applyAlignment="1">
      <alignment horizontal="center" vertical="center" wrapText="1"/>
    </xf>
    <xf numFmtId="172" fontId="10" fillId="0" borderId="25" xfId="10" applyNumberFormat="1" applyFont="1" applyFill="1" applyBorder="1" applyAlignment="1">
      <alignment horizontal="center" vertical="center" wrapText="1"/>
    </xf>
    <xf numFmtId="9" fontId="10" fillId="0" borderId="20" xfId="3" applyFont="1" applyFill="1" applyBorder="1" applyAlignment="1">
      <alignment horizontal="center" vertical="center" wrapText="1"/>
    </xf>
    <xf numFmtId="9" fontId="10" fillId="0" borderId="2" xfId="3" applyFont="1" applyFill="1" applyBorder="1" applyAlignment="1">
      <alignment horizontal="center" vertical="center" wrapText="1"/>
    </xf>
    <xf numFmtId="172" fontId="10" fillId="0" borderId="18" xfId="10" applyNumberFormat="1" applyFont="1" applyFill="1" applyBorder="1" applyAlignment="1">
      <alignment horizontal="center" vertical="center" wrapText="1"/>
    </xf>
    <xf numFmtId="0" fontId="10" fillId="0" borderId="25" xfId="10" applyNumberFormat="1" applyFont="1" applyFill="1" applyBorder="1" applyAlignment="1">
      <alignment horizontal="center" vertical="center" wrapText="1"/>
    </xf>
    <xf numFmtId="0" fontId="11" fillId="19" borderId="4" xfId="9" applyFont="1" applyFill="1" applyBorder="1" applyAlignment="1">
      <alignment vertical="center"/>
    </xf>
    <xf numFmtId="0" fontId="11" fillId="19" borderId="3" xfId="9" applyFont="1" applyFill="1" applyBorder="1" applyAlignment="1">
      <alignment vertical="center"/>
    </xf>
    <xf numFmtId="0" fontId="11" fillId="19" borderId="3" xfId="9" applyFont="1" applyFill="1" applyBorder="1" applyAlignment="1">
      <alignment horizontal="center" vertical="center" wrapText="1"/>
    </xf>
    <xf numFmtId="0" fontId="11" fillId="19" borderId="3" xfId="9" applyFont="1" applyFill="1" applyBorder="1" applyAlignment="1">
      <alignment horizontal="right" vertical="center"/>
    </xf>
    <xf numFmtId="172" fontId="11" fillId="19" borderId="25" xfId="10" applyNumberFormat="1" applyFont="1" applyFill="1" applyBorder="1" applyAlignment="1">
      <alignment vertical="center"/>
    </xf>
    <xf numFmtId="9" fontId="11" fillId="19" borderId="20" xfId="3" applyFont="1" applyFill="1" applyBorder="1" applyAlignment="1">
      <alignment horizontal="center" vertical="center"/>
    </xf>
    <xf numFmtId="9" fontId="11" fillId="19" borderId="2" xfId="3" applyFont="1" applyFill="1" applyBorder="1" applyAlignment="1">
      <alignment horizontal="center" vertical="center"/>
    </xf>
    <xf numFmtId="172" fontId="11" fillId="19" borderId="18" xfId="10" applyNumberFormat="1" applyFont="1" applyFill="1" applyBorder="1" applyAlignment="1">
      <alignment vertical="center"/>
    </xf>
    <xf numFmtId="0" fontId="11" fillId="19" borderId="25" xfId="10" applyNumberFormat="1" applyFont="1" applyFill="1" applyBorder="1" applyAlignment="1">
      <alignment vertical="center" wrapText="1"/>
    </xf>
    <xf numFmtId="0" fontId="11" fillId="9" borderId="4" xfId="9" applyFont="1" applyFill="1" applyBorder="1" applyAlignment="1">
      <alignment vertical="center"/>
    </xf>
    <xf numFmtId="0" fontId="11" fillId="9" borderId="3" xfId="9" applyFont="1" applyFill="1" applyBorder="1" applyAlignment="1">
      <alignment vertical="center"/>
    </xf>
    <xf numFmtId="0" fontId="10" fillId="9" borderId="3" xfId="9" applyFont="1" applyFill="1" applyBorder="1" applyAlignment="1">
      <alignment horizontal="center" vertical="center" wrapText="1"/>
    </xf>
    <xf numFmtId="0" fontId="11" fillId="9" borderId="3" xfId="9" applyFont="1" applyFill="1" applyBorder="1" applyAlignment="1">
      <alignment horizontal="right" vertical="center"/>
    </xf>
    <xf numFmtId="172" fontId="11" fillId="9" borderId="25" xfId="10" applyNumberFormat="1" applyFont="1" applyFill="1" applyBorder="1" applyAlignment="1">
      <alignment vertical="center"/>
    </xf>
    <xf numFmtId="172" fontId="10" fillId="9" borderId="25" xfId="10" applyNumberFormat="1" applyFont="1" applyFill="1" applyBorder="1" applyAlignment="1">
      <alignment vertical="center"/>
    </xf>
    <xf numFmtId="9" fontId="10" fillId="9" borderId="20" xfId="3" applyFont="1" applyFill="1" applyBorder="1" applyAlignment="1">
      <alignment horizontal="center" vertical="center"/>
    </xf>
    <xf numFmtId="9" fontId="10" fillId="9" borderId="2" xfId="3" applyFont="1" applyFill="1" applyBorder="1" applyAlignment="1">
      <alignment horizontal="center" vertical="center"/>
    </xf>
    <xf numFmtId="172" fontId="10" fillId="9" borderId="18" xfId="10" applyNumberFormat="1" applyFont="1" applyFill="1" applyBorder="1" applyAlignment="1">
      <alignment vertical="center"/>
    </xf>
    <xf numFmtId="0" fontId="10" fillId="9" borderId="25" xfId="10" applyNumberFormat="1" applyFont="1" applyFill="1" applyBorder="1" applyAlignment="1">
      <alignment vertical="center" wrapText="1"/>
    </xf>
    <xf numFmtId="0" fontId="10" fillId="20" borderId="4" xfId="9" applyFont="1" applyFill="1" applyBorder="1" applyAlignment="1">
      <alignment vertical="center"/>
    </xf>
    <xf numFmtId="0" fontId="10" fillId="20" borderId="3" xfId="9" applyFont="1" applyFill="1" applyBorder="1" applyAlignment="1">
      <alignment vertical="center"/>
    </xf>
    <xf numFmtId="0" fontId="10" fillId="20" borderId="3" xfId="9" applyFont="1" applyFill="1" applyBorder="1" applyAlignment="1">
      <alignment horizontal="center" vertical="center" wrapText="1"/>
    </xf>
    <xf numFmtId="0" fontId="10" fillId="20" borderId="3" xfId="9" applyFont="1" applyFill="1" applyBorder="1" applyAlignment="1">
      <alignment horizontal="right" vertical="center"/>
    </xf>
    <xf numFmtId="172" fontId="11" fillId="20" borderId="25" xfId="10" applyNumberFormat="1" applyFont="1" applyFill="1" applyBorder="1" applyAlignment="1">
      <alignment vertical="center"/>
    </xf>
    <xf numFmtId="172" fontId="10" fillId="20" borderId="25" xfId="10" applyNumberFormat="1" applyFont="1" applyFill="1" applyBorder="1" applyAlignment="1">
      <alignment vertical="center"/>
    </xf>
    <xf numFmtId="9" fontId="10" fillId="20" borderId="20" xfId="3" applyFont="1" applyFill="1" applyBorder="1" applyAlignment="1">
      <alignment horizontal="center" vertical="center"/>
    </xf>
    <xf numFmtId="9" fontId="10" fillId="20" borderId="2" xfId="3" applyFont="1" applyFill="1" applyBorder="1" applyAlignment="1">
      <alignment horizontal="center" vertical="center"/>
    </xf>
    <xf numFmtId="172" fontId="10" fillId="20" borderId="18" xfId="10" applyNumberFormat="1" applyFont="1" applyFill="1" applyBorder="1" applyAlignment="1">
      <alignment vertical="center"/>
    </xf>
    <xf numFmtId="0" fontId="10" fillId="20" borderId="25" xfId="10" applyNumberFormat="1" applyFont="1" applyFill="1" applyBorder="1" applyAlignment="1">
      <alignment vertical="center" wrapText="1"/>
    </xf>
    <xf numFmtId="0" fontId="34" fillId="19" borderId="4" xfId="9" applyFont="1" applyFill="1" applyBorder="1" applyAlignment="1">
      <alignment vertical="center"/>
    </xf>
    <xf numFmtId="0" fontId="34" fillId="19" borderId="3" xfId="9" applyFont="1" applyFill="1" applyBorder="1" applyAlignment="1">
      <alignment vertical="center"/>
    </xf>
    <xf numFmtId="0" fontId="34" fillId="19" borderId="3" xfId="9" applyFont="1" applyFill="1" applyBorder="1" applyAlignment="1">
      <alignment horizontal="center" vertical="center" wrapText="1"/>
    </xf>
    <xf numFmtId="0" fontId="34" fillId="19" borderId="3" xfId="9" applyFont="1" applyFill="1" applyBorder="1" applyAlignment="1">
      <alignment horizontal="right" vertical="center"/>
    </xf>
    <xf numFmtId="172" fontId="34" fillId="19" borderId="31" xfId="10" applyNumberFormat="1" applyFont="1" applyFill="1" applyBorder="1" applyAlignment="1">
      <alignment vertical="center"/>
    </xf>
    <xf numFmtId="9" fontId="34" fillId="19" borderId="32" xfId="3" applyFont="1" applyFill="1" applyBorder="1" applyAlignment="1">
      <alignment horizontal="center" vertical="center"/>
    </xf>
    <xf numFmtId="172" fontId="34" fillId="19" borderId="33" xfId="10" applyNumberFormat="1" applyFont="1" applyFill="1" applyBorder="1" applyAlignment="1">
      <alignment vertical="center"/>
    </xf>
    <xf numFmtId="173" fontId="34" fillId="19" borderId="31" xfId="3" applyNumberFormat="1" applyFont="1" applyFill="1" applyBorder="1" applyAlignment="1">
      <alignment horizontal="left" vertical="center" wrapText="1"/>
    </xf>
    <xf numFmtId="0" fontId="34" fillId="0" borderId="0" xfId="9" applyFont="1" applyAlignment="1">
      <alignment vertical="center"/>
    </xf>
    <xf numFmtId="0" fontId="10" fillId="0" borderId="0" xfId="9" applyFont="1" applyFill="1" applyAlignment="1">
      <alignment horizontal="center" vertical="center" wrapText="1"/>
    </xf>
    <xf numFmtId="0" fontId="10" fillId="0" borderId="0" xfId="9" applyFont="1" applyAlignment="1">
      <alignment horizontal="center" vertical="center"/>
    </xf>
    <xf numFmtId="172" fontId="10" fillId="0" borderId="0" xfId="10" applyNumberFormat="1" applyFont="1" applyFill="1" applyAlignment="1">
      <alignment vertical="center"/>
    </xf>
    <xf numFmtId="9" fontId="10" fillId="0" borderId="0" xfId="3" applyFont="1" applyFill="1" applyAlignment="1">
      <alignment horizontal="center" vertical="center"/>
    </xf>
    <xf numFmtId="0" fontId="11" fillId="0" borderId="5" xfId="9" applyFont="1" applyBorder="1" applyAlignment="1">
      <alignment vertical="center"/>
    </xf>
    <xf numFmtId="0" fontId="11" fillId="0" borderId="6" xfId="9" applyFont="1" applyBorder="1" applyAlignment="1">
      <alignment vertical="center"/>
    </xf>
    <xf numFmtId="0" fontId="10" fillId="0" borderId="6" xfId="9" applyFont="1" applyBorder="1" applyAlignment="1">
      <alignment horizontal="center" vertical="center" wrapText="1"/>
    </xf>
    <xf numFmtId="0" fontId="11" fillId="0" borderId="6" xfId="9" applyFont="1" applyBorder="1" applyAlignment="1">
      <alignment horizontal="center" vertical="center"/>
    </xf>
    <xf numFmtId="9" fontId="10" fillId="0" borderId="0" xfId="3" applyFont="1" applyAlignment="1">
      <alignment horizontal="center" vertical="center"/>
    </xf>
    <xf numFmtId="9" fontId="10" fillId="0" borderId="0" xfId="3" applyFont="1" applyAlignment="1">
      <alignment vertical="center"/>
    </xf>
    <xf numFmtId="0" fontId="10" fillId="0" borderId="12" xfId="9" applyFont="1" applyBorder="1" applyAlignment="1">
      <alignment vertical="center"/>
    </xf>
    <xf numFmtId="0" fontId="10" fillId="0" borderId="0" xfId="9" applyFont="1" applyBorder="1" applyAlignment="1">
      <alignment horizontal="center" vertical="center" wrapText="1"/>
    </xf>
    <xf numFmtId="172" fontId="10" fillId="0" borderId="0" xfId="10" applyNumberFormat="1" applyFont="1" applyBorder="1" applyAlignment="1">
      <alignment vertical="center"/>
    </xf>
    <xf numFmtId="9" fontId="10" fillId="0" borderId="0" xfId="3" applyFont="1" applyBorder="1" applyAlignment="1">
      <alignment horizontal="center" vertical="center"/>
    </xf>
    <xf numFmtId="0" fontId="11" fillId="0" borderId="0" xfId="9" applyFont="1" applyBorder="1" applyAlignment="1">
      <alignment horizontal="center" vertical="center"/>
    </xf>
    <xf numFmtId="0" fontId="10" fillId="0" borderId="6" xfId="9" applyFont="1" applyFill="1" applyBorder="1" applyAlignment="1">
      <alignment vertical="center"/>
    </xf>
    <xf numFmtId="0" fontId="10" fillId="0" borderId="6" xfId="9" applyFont="1" applyFill="1" applyBorder="1" applyAlignment="1">
      <alignment horizontal="center" vertical="center" wrapText="1"/>
    </xf>
    <xf numFmtId="0" fontId="10" fillId="0" borderId="6" xfId="9" applyFont="1" applyBorder="1" applyAlignment="1">
      <alignment horizontal="center" vertical="center"/>
    </xf>
    <xf numFmtId="0" fontId="10" fillId="0" borderId="9" xfId="9" applyFont="1" applyBorder="1" applyAlignment="1">
      <alignment vertical="center"/>
    </xf>
    <xf numFmtId="0" fontId="10" fillId="0" borderId="9" xfId="9" applyFont="1" applyFill="1" applyBorder="1" applyAlignment="1">
      <alignment vertical="center"/>
    </xf>
    <xf numFmtId="0" fontId="10" fillId="0" borderId="9" xfId="9" applyFont="1" applyBorder="1" applyAlignment="1">
      <alignment horizontal="center" vertical="center"/>
    </xf>
    <xf numFmtId="0" fontId="10" fillId="0" borderId="0" xfId="0" applyFont="1" applyAlignment="1">
      <alignment vertical="center"/>
    </xf>
    <xf numFmtId="0" fontId="12" fillId="0" borderId="1" xfId="0" applyFont="1" applyFill="1" applyBorder="1" applyAlignment="1">
      <alignment horizontal="left" vertical="center" wrapText="1"/>
    </xf>
    <xf numFmtId="9" fontId="10" fillId="0" borderId="1" xfId="3" applyFont="1" applyBorder="1" applyAlignment="1">
      <alignment vertic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0" fillId="0" borderId="1" xfId="0" applyFont="1" applyFill="1" applyBorder="1" applyAlignment="1">
      <alignment vertical="center" wrapText="1"/>
    </xf>
    <xf numFmtId="0" fontId="10" fillId="0" borderId="1" xfId="0" applyFont="1" applyBorder="1" applyAlignment="1">
      <alignment vertical="center"/>
    </xf>
    <xf numFmtId="0" fontId="13" fillId="6" borderId="1" xfId="0" applyFont="1" applyFill="1" applyBorder="1" applyAlignment="1">
      <alignment vertical="center" wrapText="1"/>
    </xf>
    <xf numFmtId="0" fontId="17" fillId="0" borderId="1" xfId="0" applyFont="1" applyBorder="1" applyAlignment="1">
      <alignment vertical="center" wrapText="1"/>
    </xf>
    <xf numFmtId="0" fontId="10" fillId="7" borderId="1" xfId="0" applyFont="1" applyFill="1" applyBorder="1" applyAlignment="1">
      <alignment vertical="center"/>
    </xf>
    <xf numFmtId="9" fontId="10" fillId="7" borderId="1" xfId="3" applyFont="1" applyFill="1" applyBorder="1" applyAlignment="1">
      <alignment vertical="center"/>
    </xf>
    <xf numFmtId="0" fontId="13" fillId="2" borderId="1" xfId="0" applyFont="1" applyFill="1" applyBorder="1" applyAlignment="1">
      <alignment vertical="center" wrapText="1"/>
    </xf>
    <xf numFmtId="0" fontId="10" fillId="0" borderId="0" xfId="0" applyFont="1" applyFill="1" applyBorder="1" applyAlignment="1">
      <alignment vertical="center"/>
    </xf>
    <xf numFmtId="0" fontId="0" fillId="0" borderId="1" xfId="0" applyFont="1" applyBorder="1" applyAlignment="1">
      <alignment vertical="center" wrapText="1"/>
    </xf>
    <xf numFmtId="0" fontId="15" fillId="0" borderId="1" xfId="0" applyFont="1" applyBorder="1" applyAlignment="1">
      <alignment horizontal="right" vertical="top"/>
    </xf>
    <xf numFmtId="0" fontId="10" fillId="0" borderId="1" xfId="0" applyFont="1" applyFill="1" applyBorder="1" applyAlignment="1">
      <alignment vertical="top" wrapText="1"/>
    </xf>
    <xf numFmtId="0" fontId="10" fillId="0" borderId="4" xfId="0" applyFont="1" applyBorder="1"/>
    <xf numFmtId="0" fontId="32" fillId="4" borderId="1" xfId="0" applyFont="1" applyFill="1" applyBorder="1" applyAlignment="1">
      <alignment vertical="top" wrapText="1"/>
    </xf>
    <xf numFmtId="0" fontId="11" fillId="0" borderId="0" xfId="0" applyFont="1" applyFill="1"/>
    <xf numFmtId="0" fontId="11" fillId="8" borderId="3" xfId="0" applyFont="1" applyFill="1" applyBorder="1" applyAlignment="1">
      <alignment horizontal="right" vertical="center"/>
    </xf>
    <xf numFmtId="0" fontId="11" fillId="0" borderId="0" xfId="0" applyFont="1" applyFill="1" applyBorder="1" applyAlignment="1">
      <alignment vertical="center" wrapText="1"/>
    </xf>
    <xf numFmtId="0" fontId="11" fillId="10" borderId="6" xfId="0" applyFont="1" applyFill="1" applyBorder="1" applyAlignment="1">
      <alignment horizontal="left" vertical="center" wrapText="1"/>
    </xf>
    <xf numFmtId="0" fontId="11" fillId="10" borderId="3" xfId="0" applyFont="1" applyFill="1" applyBorder="1" applyAlignment="1">
      <alignment vertical="center" wrapText="1"/>
    </xf>
    <xf numFmtId="0" fontId="10" fillId="0" borderId="7" xfId="0" applyFont="1" applyFill="1" applyBorder="1" applyAlignment="1">
      <alignment horizontal="left" vertical="center"/>
    </xf>
    <xf numFmtId="0" fontId="11" fillId="0" borderId="1" xfId="0" applyFont="1" applyFill="1" applyBorder="1" applyAlignment="1">
      <alignment horizontal="right" vertical="center"/>
    </xf>
    <xf numFmtId="4" fontId="10" fillId="0" borderId="1" xfId="1" applyNumberFormat="1" applyFont="1" applyFill="1" applyBorder="1" applyAlignment="1" applyProtection="1">
      <alignment horizontal="center" vertical="center"/>
      <protection locked="0"/>
    </xf>
    <xf numFmtId="0" fontId="11" fillId="5" borderId="1" xfId="0" applyFont="1" applyFill="1" applyBorder="1" applyAlignment="1">
      <alignment horizontal="left" vertical="center"/>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174" fontId="11" fillId="5" borderId="1" xfId="0" applyNumberFormat="1" applyFont="1" applyFill="1" applyBorder="1" applyAlignment="1">
      <alignment vertical="center" wrapText="1"/>
    </xf>
    <xf numFmtId="39" fontId="11" fillId="19" borderId="1" xfId="0" applyNumberFormat="1" applyFont="1" applyFill="1" applyBorder="1"/>
    <xf numFmtId="0" fontId="11" fillId="19" borderId="2" xfId="0" applyFont="1" applyFill="1" applyBorder="1" applyAlignment="1">
      <alignment horizontal="right" vertical="center"/>
    </xf>
    <xf numFmtId="0" fontId="11" fillId="19" borderId="1" xfId="0" applyFont="1" applyFill="1" applyBorder="1" applyAlignment="1">
      <alignment horizontal="left" vertical="center"/>
    </xf>
    <xf numFmtId="0" fontId="10" fillId="0" borderId="0" xfId="0" applyFont="1" applyFill="1"/>
    <xf numFmtId="0" fontId="10" fillId="0" borderId="6" xfId="0" applyFont="1" applyBorder="1"/>
    <xf numFmtId="0" fontId="10" fillId="0" borderId="0" xfId="0" applyFont="1" applyAlignment="1">
      <alignment vertical="center" wrapText="1"/>
    </xf>
    <xf numFmtId="0" fontId="10" fillId="0" borderId="0" xfId="0" applyFont="1" applyAlignment="1">
      <alignment wrapText="1"/>
    </xf>
    <xf numFmtId="0" fontId="10" fillId="10" borderId="3" xfId="0" applyFont="1" applyFill="1" applyBorder="1" applyAlignment="1">
      <alignment vertical="center" wrapText="1"/>
    </xf>
    <xf numFmtId="0" fontId="13" fillId="0" borderId="1" xfId="0" applyFont="1" applyBorder="1" applyAlignment="1">
      <alignment vertical="center" wrapText="1"/>
    </xf>
    <xf numFmtId="168" fontId="10" fillId="0" borderId="0" xfId="0" applyNumberFormat="1" applyFont="1"/>
    <xf numFmtId="0" fontId="8" fillId="0" borderId="0" xfId="0" applyFont="1" applyFill="1" applyBorder="1" applyAlignment="1">
      <alignment horizontal="center"/>
    </xf>
    <xf numFmtId="0" fontId="8" fillId="0" borderId="0" xfId="0" applyFont="1"/>
    <xf numFmtId="0" fontId="19" fillId="5" borderId="1" xfId="0" applyFont="1" applyFill="1" applyBorder="1" applyAlignment="1">
      <alignment horizontal="center" vertical="center" wrapText="1"/>
    </xf>
    <xf numFmtId="0" fontId="19" fillId="5" borderId="4" xfId="0" applyFont="1" applyFill="1" applyBorder="1" applyAlignment="1">
      <alignment horizontal="center" vertical="center" wrapText="1"/>
    </xf>
    <xf numFmtId="9" fontId="19" fillId="5" borderId="4" xfId="0" applyNumberFormat="1" applyFont="1" applyFill="1" applyBorder="1" applyAlignment="1">
      <alignment horizontal="center" vertical="center" wrapText="1"/>
    </xf>
    <xf numFmtId="39" fontId="24" fillId="0" borderId="1" xfId="1" applyNumberFormat="1" applyFont="1" applyFill="1" applyBorder="1" applyAlignment="1">
      <alignment vertical="center"/>
    </xf>
    <xf numFmtId="39" fontId="24" fillId="0" borderId="4" xfId="1" applyNumberFormat="1" applyFont="1" applyFill="1" applyBorder="1" applyAlignment="1">
      <alignment vertical="center"/>
    </xf>
    <xf numFmtId="0" fontId="8" fillId="0" borderId="0" xfId="0" applyFont="1" applyAlignment="1">
      <alignment vertical="top"/>
    </xf>
    <xf numFmtId="4" fontId="8" fillId="0" borderId="0" xfId="0" applyNumberFormat="1" applyFont="1" applyAlignment="1">
      <alignment vertical="center"/>
    </xf>
    <xf numFmtId="9" fontId="8" fillId="0" borderId="0" xfId="0" applyNumberFormat="1" applyFont="1" applyAlignment="1">
      <alignment vertical="center"/>
    </xf>
    <xf numFmtId="170" fontId="8" fillId="0" borderId="0" xfId="0" applyNumberFormat="1" applyFont="1" applyBorder="1" applyAlignment="1">
      <alignment vertical="center"/>
    </xf>
    <xf numFmtId="0" fontId="19" fillId="4" borderId="1" xfId="0" applyFont="1" applyFill="1" applyBorder="1" applyAlignment="1">
      <alignment vertical="center" wrapText="1"/>
    </xf>
    <xf numFmtId="0" fontId="24" fillId="4" borderId="1" xfId="0" applyFont="1" applyFill="1" applyBorder="1" applyAlignment="1">
      <alignment vertical="center" wrapText="1"/>
    </xf>
    <xf numFmtId="0" fontId="24" fillId="4" borderId="3" xfId="0" applyFont="1" applyFill="1" applyBorder="1" applyAlignment="1">
      <alignment vertical="center" wrapText="1"/>
    </xf>
    <xf numFmtId="170" fontId="24" fillId="4" borderId="1" xfId="0" applyNumberFormat="1" applyFont="1" applyFill="1" applyBorder="1" applyAlignment="1">
      <alignment vertical="center" wrapText="1"/>
    </xf>
    <xf numFmtId="39" fontId="19" fillId="4" borderId="4" xfId="1" applyNumberFormat="1" applyFont="1" applyFill="1" applyBorder="1" applyAlignment="1">
      <alignment vertical="top"/>
    </xf>
    <xf numFmtId="4" fontId="19" fillId="4" borderId="1" xfId="0" applyNumberFormat="1" applyFont="1" applyFill="1" applyBorder="1" applyAlignment="1">
      <alignment vertical="center"/>
    </xf>
    <xf numFmtId="9" fontId="19" fillId="4" borderId="1" xfId="0" applyNumberFormat="1" applyFont="1" applyFill="1" applyBorder="1" applyAlignment="1">
      <alignment vertical="center"/>
    </xf>
    <xf numFmtId="0" fontId="8" fillId="0" borderId="1" xfId="0" applyFont="1" applyFill="1" applyBorder="1" applyAlignment="1">
      <alignment horizontal="left" vertical="center" wrapText="1"/>
    </xf>
    <xf numFmtId="0" fontId="24" fillId="15" borderId="1" xfId="0" applyFont="1" applyFill="1" applyBorder="1" applyAlignment="1">
      <alignment horizontal="left" vertical="center" wrapText="1"/>
    </xf>
    <xf numFmtId="170" fontId="24" fillId="15" borderId="1" xfId="0" applyNumberFormat="1" applyFont="1" applyFill="1" applyBorder="1" applyAlignment="1">
      <alignment horizontal="left" vertical="center" wrapText="1"/>
    </xf>
    <xf numFmtId="39" fontId="24" fillId="15" borderId="1" xfId="1" applyNumberFormat="1" applyFont="1" applyFill="1" applyBorder="1" applyAlignment="1">
      <alignment horizontal="right" vertical="center"/>
    </xf>
    <xf numFmtId="39" fontId="24" fillId="15" borderId="1" xfId="1" applyNumberFormat="1" applyFont="1" applyFill="1" applyBorder="1" applyAlignment="1">
      <alignment horizontal="left" vertical="center"/>
    </xf>
    <xf numFmtId="39" fontId="19" fillId="15" borderId="4" xfId="1" applyNumberFormat="1" applyFont="1" applyFill="1" applyBorder="1" applyAlignment="1">
      <alignment horizontal="left" vertical="top"/>
    </xf>
    <xf numFmtId="9" fontId="24" fillId="15" borderId="4" xfId="1" applyNumberFormat="1" applyFont="1" applyFill="1" applyBorder="1" applyAlignment="1">
      <alignment horizontal="right" vertical="center"/>
    </xf>
    <xf numFmtId="39" fontId="24" fillId="15" borderId="4" xfId="1" applyNumberFormat="1" applyFont="1" applyFill="1" applyBorder="1" applyAlignment="1">
      <alignment horizontal="left" vertical="center"/>
    </xf>
    <xf numFmtId="0" fontId="19" fillId="0" borderId="0" xfId="0" applyFont="1" applyFill="1" applyAlignment="1">
      <alignment vertical="center"/>
    </xf>
    <xf numFmtId="4" fontId="8" fillId="0" borderId="1" xfId="0" applyNumberFormat="1" applyFont="1" applyFill="1" applyBorder="1" applyAlignment="1">
      <alignment vertical="center"/>
    </xf>
    <xf numFmtId="0" fontId="19" fillId="11" borderId="0" xfId="0" applyFont="1" applyFill="1" applyAlignment="1">
      <alignment vertical="center"/>
    </xf>
    <xf numFmtId="0" fontId="19" fillId="22" borderId="6" xfId="0" applyFont="1" applyFill="1" applyBorder="1" applyAlignment="1">
      <alignment horizontal="left" vertical="center" wrapText="1"/>
    </xf>
    <xf numFmtId="0" fontId="19" fillId="22" borderId="6" xfId="0" applyFont="1" applyFill="1" applyBorder="1" applyAlignment="1">
      <alignment vertical="center" wrapText="1"/>
    </xf>
    <xf numFmtId="0" fontId="19" fillId="22" borderId="3" xfId="0" applyFont="1" applyFill="1" applyBorder="1" applyAlignment="1">
      <alignment vertical="center" wrapText="1"/>
    </xf>
    <xf numFmtId="170" fontId="19" fillId="22" borderId="3" xfId="0" applyNumberFormat="1" applyFont="1" applyFill="1" applyBorder="1" applyAlignment="1">
      <alignment vertical="center" wrapText="1"/>
    </xf>
    <xf numFmtId="0" fontId="19" fillId="22" borderId="3" xfId="0" applyFont="1" applyFill="1" applyBorder="1" applyAlignment="1">
      <alignment vertical="top" wrapText="1"/>
    </xf>
    <xf numFmtId="9" fontId="19" fillId="22" borderId="3" xfId="0" applyNumberFormat="1" applyFont="1" applyFill="1" applyBorder="1" applyAlignment="1">
      <alignment vertical="center" wrapText="1"/>
    </xf>
    <xf numFmtId="0" fontId="8" fillId="0" borderId="14" xfId="0" applyFont="1" applyFill="1" applyBorder="1" applyAlignment="1">
      <alignment horizontal="left" vertical="center" wrapText="1"/>
    </xf>
    <xf numFmtId="39" fontId="8" fillId="0" borderId="4" xfId="1" applyNumberFormat="1" applyFont="1" applyFill="1" applyBorder="1" applyAlignment="1">
      <alignment vertical="top"/>
    </xf>
    <xf numFmtId="0" fontId="19" fillId="4" borderId="14" xfId="0" applyFont="1" applyFill="1" applyBorder="1" applyAlignment="1">
      <alignment horizontal="right" vertical="center"/>
    </xf>
    <xf numFmtId="0" fontId="19" fillId="4" borderId="1" xfId="0" applyFont="1" applyFill="1" applyBorder="1" applyAlignment="1">
      <alignment horizontal="right"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25" fillId="0" borderId="7" xfId="0" applyFont="1" applyFill="1" applyBorder="1" applyAlignment="1">
      <alignment vertical="center" wrapText="1"/>
    </xf>
    <xf numFmtId="0" fontId="25" fillId="0" borderId="1" xfId="0" applyFont="1" applyFill="1" applyBorder="1" applyAlignment="1">
      <alignment vertical="center" wrapText="1"/>
    </xf>
    <xf numFmtId="170" fontId="25" fillId="0" borderId="1" xfId="0" applyNumberFormat="1" applyFont="1" applyFill="1" applyBorder="1" applyAlignment="1">
      <alignment vertical="center" wrapText="1"/>
    </xf>
    <xf numFmtId="0" fontId="19" fillId="11" borderId="0" xfId="0" applyFont="1" applyFill="1" applyAlignment="1">
      <alignment horizontal="left" vertical="center"/>
    </xf>
    <xf numFmtId="170" fontId="8" fillId="0" borderId="0" xfId="0" applyNumberFormat="1" applyFont="1" applyAlignment="1">
      <alignment vertical="center"/>
    </xf>
    <xf numFmtId="9" fontId="8" fillId="0" borderId="0" xfId="3" applyNumberFormat="1" applyFont="1" applyAlignment="1">
      <alignment vertical="top"/>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170" fontId="19" fillId="0" borderId="0" xfId="0" applyNumberFormat="1" applyFont="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vertical="top"/>
    </xf>
    <xf numFmtId="0" fontId="19" fillId="0" borderId="0" xfId="0" applyFont="1" applyBorder="1" applyAlignment="1">
      <alignment vertical="center"/>
    </xf>
    <xf numFmtId="0" fontId="8" fillId="0" borderId="6" xfId="0"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9" xfId="0" applyFont="1" applyFill="1" applyBorder="1" applyAlignment="1">
      <alignment vertical="center"/>
    </xf>
    <xf numFmtId="0" fontId="8" fillId="0" borderId="10" xfId="0" applyFont="1" applyBorder="1" applyAlignment="1">
      <alignment vertical="center"/>
    </xf>
    <xf numFmtId="39" fontId="19" fillId="5" borderId="1" xfId="0" applyNumberFormat="1" applyFont="1" applyFill="1" applyBorder="1" applyAlignment="1">
      <alignment horizontal="right" vertical="center" wrapText="1"/>
    </xf>
    <xf numFmtId="39" fontId="19" fillId="5" borderId="4" xfId="0" applyNumberFormat="1" applyFont="1" applyFill="1" applyBorder="1" applyAlignment="1">
      <alignment horizontal="right" vertical="center" wrapText="1"/>
    </xf>
    <xf numFmtId="39" fontId="8" fillId="4" borderId="1" xfId="1" applyNumberFormat="1" applyFont="1" applyFill="1" applyBorder="1" applyAlignment="1">
      <alignment vertical="center"/>
    </xf>
    <xf numFmtId="39" fontId="19" fillId="4" borderId="1" xfId="1" applyNumberFormat="1" applyFont="1" applyFill="1" applyBorder="1" applyAlignment="1">
      <alignment vertical="center"/>
    </xf>
    <xf numFmtId="9" fontId="8" fillId="4" borderId="1" xfId="0" applyNumberFormat="1" applyFont="1" applyFill="1" applyBorder="1" applyAlignment="1">
      <alignment vertical="center"/>
    </xf>
    <xf numFmtId="4" fontId="8" fillId="4" borderId="1" xfId="0" applyNumberFormat="1" applyFont="1" applyFill="1" applyBorder="1" applyAlignment="1">
      <alignment vertical="center"/>
    </xf>
    <xf numFmtId="0" fontId="8" fillId="4" borderId="1" xfId="0" applyFont="1" applyFill="1" applyBorder="1" applyAlignment="1">
      <alignment vertical="center"/>
    </xf>
    <xf numFmtId="167" fontId="19" fillId="4" borderId="1" xfId="1" applyFont="1" applyFill="1" applyBorder="1" applyAlignment="1">
      <alignment vertical="center"/>
    </xf>
    <xf numFmtId="167" fontId="19" fillId="4" borderId="4" xfId="1" applyFont="1" applyFill="1" applyBorder="1" applyAlignment="1">
      <alignment vertical="center"/>
    </xf>
    <xf numFmtId="9" fontId="8" fillId="4" borderId="4" xfId="3" applyFont="1" applyFill="1" applyBorder="1" applyAlignment="1">
      <alignment vertical="center"/>
    </xf>
    <xf numFmtId="9" fontId="19" fillId="15" borderId="1" xfId="0" applyNumberFormat="1" applyFont="1" applyFill="1" applyBorder="1" applyAlignment="1">
      <alignment vertical="center"/>
    </xf>
    <xf numFmtId="4" fontId="19" fillId="15" borderId="1" xfId="0" applyNumberFormat="1" applyFont="1" applyFill="1" applyBorder="1" applyAlignment="1">
      <alignment vertical="center"/>
    </xf>
    <xf numFmtId="0" fontId="19" fillId="4" borderId="0" xfId="0" applyFont="1" applyFill="1" applyAlignment="1">
      <alignment vertical="center"/>
    </xf>
    <xf numFmtId="39" fontId="24" fillId="15" borderId="1" xfId="1" applyNumberFormat="1" applyFont="1" applyFill="1" applyBorder="1" applyAlignment="1">
      <alignment vertical="center"/>
    </xf>
    <xf numFmtId="39" fontId="24" fillId="15" borderId="4" xfId="1" applyNumberFormat="1" applyFont="1" applyFill="1" applyBorder="1" applyAlignment="1">
      <alignment vertical="center"/>
    </xf>
    <xf numFmtId="0" fontId="19" fillId="15" borderId="1" xfId="0" applyFont="1" applyFill="1" applyBorder="1" applyAlignment="1">
      <alignment vertical="center"/>
    </xf>
    <xf numFmtId="4" fontId="19" fillId="15" borderId="4" xfId="0" applyNumberFormat="1" applyFont="1" applyFill="1" applyBorder="1" applyAlignment="1">
      <alignment vertical="center"/>
    </xf>
    <xf numFmtId="39" fontId="19" fillId="4" borderId="1" xfId="1" applyNumberFormat="1" applyFont="1" applyFill="1" applyBorder="1" applyAlignment="1">
      <alignment horizontal="right" vertical="center"/>
    </xf>
    <xf numFmtId="9" fontId="19" fillId="4" borderId="4" xfId="1" applyNumberFormat="1" applyFont="1" applyFill="1" applyBorder="1" applyAlignment="1">
      <alignment vertical="center"/>
    </xf>
    <xf numFmtId="39" fontId="19" fillId="4" borderId="4" xfId="0" applyNumberFormat="1" applyFont="1" applyFill="1" applyBorder="1" applyAlignment="1">
      <alignment vertical="center"/>
    </xf>
    <xf numFmtId="0" fontId="19" fillId="5" borderId="14" xfId="0" applyFont="1" applyFill="1" applyBorder="1" applyAlignment="1">
      <alignment horizontal="center" vertical="center" wrapText="1"/>
    </xf>
    <xf numFmtId="0" fontId="19" fillId="5" borderId="11" xfId="0" applyFont="1" applyFill="1" applyBorder="1" applyAlignment="1">
      <alignment horizontal="center" vertical="center" wrapText="1"/>
    </xf>
    <xf numFmtId="39" fontId="19" fillId="15" borderId="1" xfId="0" applyNumberFormat="1" applyFont="1" applyFill="1" applyBorder="1" applyAlignment="1">
      <alignment vertical="center"/>
    </xf>
    <xf numFmtId="0" fontId="19" fillId="4" borderId="7" xfId="0" applyFont="1" applyFill="1" applyBorder="1" applyAlignment="1">
      <alignment horizontal="right" vertical="center"/>
    </xf>
    <xf numFmtId="0" fontId="8" fillId="0" borderId="7" xfId="0" applyFont="1" applyFill="1" applyBorder="1" applyAlignment="1">
      <alignment horizontal="right" vertical="center"/>
    </xf>
    <xf numFmtId="0" fontId="19" fillId="4" borderId="2" xfId="0" applyFont="1" applyFill="1" applyBorder="1" applyAlignment="1">
      <alignment horizontal="right" vertical="center"/>
    </xf>
    <xf numFmtId="0" fontId="8" fillId="0" borderId="0" xfId="0" applyFont="1" applyBorder="1" applyAlignment="1">
      <alignment vertical="center" wrapText="1"/>
    </xf>
    <xf numFmtId="39" fontId="19" fillId="4" borderId="1" xfId="0" applyNumberFormat="1" applyFont="1" applyFill="1" applyBorder="1" applyAlignment="1">
      <alignment vertical="center"/>
    </xf>
    <xf numFmtId="0" fontId="19" fillId="21" borderId="2" xfId="0" applyFont="1" applyFill="1" applyBorder="1" applyAlignment="1">
      <alignment vertical="center"/>
    </xf>
    <xf numFmtId="0" fontId="24" fillId="21" borderId="1" xfId="0" applyFont="1" applyFill="1" applyBorder="1" applyAlignment="1">
      <alignment vertical="center" wrapText="1"/>
    </xf>
    <xf numFmtId="170" fontId="24" fillId="21" borderId="1" xfId="0" applyNumberFormat="1" applyFont="1" applyFill="1" applyBorder="1" applyAlignment="1">
      <alignment vertical="center" wrapText="1"/>
    </xf>
    <xf numFmtId="39" fontId="24" fillId="21" borderId="1" xfId="1" applyNumberFormat="1" applyFont="1" applyFill="1" applyBorder="1" applyAlignment="1">
      <alignment vertical="center"/>
    </xf>
    <xf numFmtId="39" fontId="24" fillId="21" borderId="4" xfId="1" applyNumberFormat="1" applyFont="1" applyFill="1" applyBorder="1" applyAlignment="1">
      <alignment vertical="center"/>
    </xf>
    <xf numFmtId="39" fontId="19" fillId="21" borderId="4" xfId="1" applyNumberFormat="1" applyFont="1" applyFill="1" applyBorder="1" applyAlignment="1">
      <alignment vertical="top"/>
    </xf>
    <xf numFmtId="9" fontId="24" fillId="21" borderId="4" xfId="1" applyNumberFormat="1" applyFont="1" applyFill="1" applyBorder="1" applyAlignment="1">
      <alignment vertical="center"/>
    </xf>
    <xf numFmtId="9" fontId="19" fillId="21" borderId="1" xfId="0" applyNumberFormat="1" applyFont="1" applyFill="1" applyBorder="1" applyAlignment="1">
      <alignment vertical="center"/>
    </xf>
    <xf numFmtId="0" fontId="19" fillId="21" borderId="1" xfId="0" applyFont="1" applyFill="1" applyBorder="1" applyAlignment="1">
      <alignment vertical="center"/>
    </xf>
    <xf numFmtId="0" fontId="19" fillId="22" borderId="0" xfId="0" applyFont="1" applyFill="1" applyAlignment="1">
      <alignment vertical="center"/>
    </xf>
    <xf numFmtId="39" fontId="19" fillId="7" borderId="1" xfId="0" applyNumberFormat="1" applyFont="1" applyFill="1" applyBorder="1" applyAlignment="1">
      <alignment vertical="center"/>
    </xf>
    <xf numFmtId="39" fontId="19" fillId="7" borderId="4" xfId="0" applyNumberFormat="1" applyFont="1" applyFill="1" applyBorder="1" applyAlignment="1">
      <alignment vertical="center"/>
    </xf>
    <xf numFmtId="4" fontId="19" fillId="21" borderId="1" xfId="0" applyNumberFormat="1" applyFont="1" applyFill="1" applyBorder="1" applyAlignment="1">
      <alignment vertical="center"/>
    </xf>
    <xf numFmtId="0" fontId="24" fillId="21" borderId="1" xfId="0" applyFont="1" applyFill="1" applyBorder="1" applyAlignment="1">
      <alignment horizontal="left" vertical="center" wrapText="1"/>
    </xf>
    <xf numFmtId="170" fontId="24" fillId="21" borderId="1" xfId="0" applyNumberFormat="1" applyFont="1" applyFill="1" applyBorder="1" applyAlignment="1">
      <alignment horizontal="left" vertical="center" wrapText="1"/>
    </xf>
    <xf numFmtId="39" fontId="24" fillId="21" borderId="1" xfId="1" applyNumberFormat="1" applyFont="1" applyFill="1" applyBorder="1" applyAlignment="1">
      <alignment horizontal="right" vertical="center"/>
    </xf>
    <xf numFmtId="39" fontId="24" fillId="21" borderId="1" xfId="1" applyNumberFormat="1" applyFont="1" applyFill="1" applyBorder="1" applyAlignment="1">
      <alignment horizontal="left" vertical="center"/>
    </xf>
    <xf numFmtId="39" fontId="24" fillId="21" borderId="4" xfId="1" applyNumberFormat="1" applyFont="1" applyFill="1" applyBorder="1" applyAlignment="1">
      <alignment horizontal="right" vertical="center"/>
    </xf>
    <xf numFmtId="39" fontId="19" fillId="21" borderId="4" xfId="1" applyNumberFormat="1" applyFont="1" applyFill="1" applyBorder="1" applyAlignment="1">
      <alignment horizontal="left" vertical="top"/>
    </xf>
    <xf numFmtId="4" fontId="24" fillId="21" borderId="4" xfId="1" applyNumberFormat="1" applyFont="1" applyFill="1" applyBorder="1" applyAlignment="1">
      <alignment horizontal="right" vertical="center"/>
    </xf>
    <xf numFmtId="9" fontId="24" fillId="21" borderId="4" xfId="1" applyNumberFormat="1" applyFont="1" applyFill="1" applyBorder="1" applyAlignment="1">
      <alignment horizontal="right" vertical="center"/>
    </xf>
    <xf numFmtId="39" fontId="24" fillId="21" borderId="4" xfId="1" applyNumberFormat="1" applyFont="1" applyFill="1" applyBorder="1" applyAlignment="1">
      <alignment horizontal="left" vertical="center"/>
    </xf>
    <xf numFmtId="0" fontId="19" fillId="5" borderId="4" xfId="0" applyFont="1" applyFill="1" applyBorder="1" applyAlignment="1">
      <alignment horizontal="center" vertical="top" wrapText="1"/>
    </xf>
    <xf numFmtId="4" fontId="19" fillId="5" borderId="4" xfId="0" applyNumberFormat="1" applyFont="1" applyFill="1" applyBorder="1" applyAlignment="1">
      <alignment horizontal="center" vertical="center" wrapText="1"/>
    </xf>
    <xf numFmtId="0" fontId="19" fillId="0" borderId="0" xfId="0" applyFont="1" applyAlignment="1">
      <alignment horizontal="center" vertical="center"/>
    </xf>
    <xf numFmtId="39" fontId="19" fillId="5" borderId="1" xfId="0" applyNumberFormat="1" applyFont="1" applyFill="1" applyBorder="1" applyAlignment="1">
      <alignment vertical="center" wrapText="1"/>
    </xf>
    <xf numFmtId="39" fontId="19" fillId="5" borderId="4" xfId="0" applyNumberFormat="1" applyFont="1" applyFill="1" applyBorder="1" applyAlignment="1">
      <alignment vertical="center"/>
    </xf>
    <xf numFmtId="4" fontId="19" fillId="5" borderId="4" xfId="0" applyNumberFormat="1" applyFont="1" applyFill="1" applyBorder="1" applyAlignment="1">
      <alignment horizontal="right" vertical="center" wrapText="1"/>
    </xf>
    <xf numFmtId="9" fontId="19" fillId="5" borderId="4" xfId="0" applyNumberFormat="1" applyFont="1" applyFill="1" applyBorder="1" applyAlignment="1">
      <alignment horizontal="right" vertical="center" wrapText="1"/>
    </xf>
    <xf numFmtId="39" fontId="19" fillId="7" borderId="4" xfId="0" applyNumberFormat="1" applyFont="1" applyFill="1" applyBorder="1" applyAlignment="1">
      <alignment vertical="top"/>
    </xf>
    <xf numFmtId="4" fontId="19" fillId="7" borderId="4" xfId="0" applyNumberFormat="1" applyFont="1" applyFill="1" applyBorder="1" applyAlignment="1">
      <alignment vertical="center"/>
    </xf>
    <xf numFmtId="9" fontId="19" fillId="7" borderId="4" xfId="0" applyNumberFormat="1" applyFont="1" applyFill="1" applyBorder="1" applyAlignment="1">
      <alignment vertical="center"/>
    </xf>
    <xf numFmtId="168" fontId="15" fillId="0" borderId="1" xfId="0" applyNumberFormat="1" applyFont="1" applyBorder="1" applyAlignment="1">
      <alignment horizontal="left" vertical="center"/>
    </xf>
    <xf numFmtId="0" fontId="10" fillId="19" borderId="1" xfId="0" applyFont="1" applyFill="1" applyBorder="1" applyAlignment="1">
      <alignment vertical="center" wrapText="1"/>
    </xf>
    <xf numFmtId="0" fontId="10" fillId="19" borderId="1"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11" borderId="1" xfId="0" applyFont="1" applyFill="1" applyBorder="1" applyAlignment="1">
      <alignment vertical="center" wrapText="1"/>
    </xf>
    <xf numFmtId="0" fontId="11" fillId="27" borderId="4" xfId="0" applyFont="1" applyFill="1" applyBorder="1" applyAlignment="1">
      <alignment horizontal="left" vertical="center" wrapText="1"/>
    </xf>
    <xf numFmtId="0" fontId="11" fillId="27" borderId="3" xfId="0" applyFont="1" applyFill="1" applyBorder="1" applyAlignment="1">
      <alignment horizontal="left" vertical="center" wrapText="1"/>
    </xf>
    <xf numFmtId="0" fontId="11" fillId="27" borderId="1" xfId="0" applyFont="1" applyFill="1" applyBorder="1" applyAlignment="1">
      <alignment vertical="center" wrapText="1"/>
    </xf>
    <xf numFmtId="0" fontId="11" fillId="0" borderId="1" xfId="0" applyFont="1" applyFill="1" applyBorder="1" applyAlignment="1">
      <alignment vertical="center" wrapText="1"/>
    </xf>
    <xf numFmtId="168" fontId="11" fillId="29" borderId="1" xfId="5" applyNumberFormat="1" applyFont="1" applyFill="1" applyBorder="1" applyAlignment="1">
      <alignment vertical="center" wrapText="1"/>
    </xf>
    <xf numFmtId="0" fontId="10" fillId="0" borderId="14" xfId="0" applyFont="1" applyFill="1" applyBorder="1" applyAlignment="1">
      <alignment horizontal="left" vertical="center"/>
    </xf>
    <xf numFmtId="0" fontId="10" fillId="29" borderId="3" xfId="0" applyFont="1" applyFill="1" applyBorder="1" applyAlignment="1">
      <alignment vertical="center" wrapText="1"/>
    </xf>
    <xf numFmtId="167" fontId="11" fillId="29" borderId="1" xfId="5" applyFont="1" applyFill="1" applyBorder="1" applyAlignment="1">
      <alignment vertical="center" wrapText="1"/>
    </xf>
    <xf numFmtId="0" fontId="11" fillId="29" borderId="1" xfId="0" applyFont="1" applyFill="1" applyBorder="1" applyAlignment="1">
      <alignment vertical="center" wrapText="1"/>
    </xf>
    <xf numFmtId="0" fontId="10" fillId="0" borderId="1" xfId="0" applyFont="1" applyFill="1" applyBorder="1" applyAlignment="1">
      <alignment horizontal="righ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9" borderId="1" xfId="0" applyFont="1" applyFill="1" applyBorder="1" applyAlignment="1">
      <alignment vertical="center" wrapText="1"/>
    </xf>
    <xf numFmtId="1" fontId="11" fillId="9" borderId="1" xfId="0" applyNumberFormat="1" applyFont="1" applyFill="1" applyBorder="1" applyAlignment="1">
      <alignment vertical="center" wrapText="1"/>
    </xf>
    <xf numFmtId="0" fontId="11" fillId="9" borderId="1" xfId="0" applyFont="1" applyFill="1" applyBorder="1" applyAlignment="1">
      <alignment horizontal="center" vertical="center" wrapText="1"/>
    </xf>
    <xf numFmtId="0" fontId="11" fillId="9" borderId="4" xfId="0" applyFont="1" applyFill="1" applyBorder="1" applyAlignment="1">
      <alignment horizontal="center" vertical="center" wrapText="1"/>
    </xf>
    <xf numFmtId="9" fontId="11" fillId="9" borderId="1" xfId="3" applyFont="1" applyFill="1" applyBorder="1" applyAlignment="1">
      <alignment horizontal="center" vertical="center" wrapText="1"/>
    </xf>
    <xf numFmtId="39" fontId="11" fillId="9" borderId="1" xfId="0" applyNumberFormat="1" applyFont="1" applyFill="1" applyBorder="1" applyAlignment="1">
      <alignment vertical="center" wrapText="1"/>
    </xf>
    <xf numFmtId="39" fontId="11" fillId="9" borderId="4" xfId="0" applyNumberFormat="1" applyFont="1" applyFill="1" applyBorder="1" applyAlignment="1">
      <alignment vertical="center" wrapText="1"/>
    </xf>
    <xf numFmtId="167" fontId="10" fillId="0" borderId="0" xfId="1" applyFont="1"/>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Fill="1" applyAlignment="1">
      <alignment vertical="center"/>
    </xf>
    <xf numFmtId="39" fontId="10" fillId="0" borderId="1" xfId="1" applyNumberFormat="1" applyFont="1" applyFill="1" applyBorder="1" applyAlignment="1">
      <alignment horizontal="right" vertical="center"/>
    </xf>
    <xf numFmtId="39" fontId="10" fillId="0" borderId="1" xfId="1" applyNumberFormat="1" applyFont="1" applyFill="1" applyBorder="1" applyAlignment="1">
      <alignment vertical="center"/>
    </xf>
    <xf numFmtId="39" fontId="10" fillId="0" borderId="1" xfId="1" applyNumberFormat="1" applyFont="1" applyFill="1" applyBorder="1" applyAlignment="1">
      <alignment vertical="center" wrapText="1"/>
    </xf>
    <xf numFmtId="0" fontId="11" fillId="0" borderId="0" xfId="0" applyFont="1" applyAlignment="1">
      <alignment vertical="center"/>
    </xf>
    <xf numFmtId="0" fontId="31" fillId="8" borderId="1" xfId="0" applyFont="1" applyFill="1" applyBorder="1" applyAlignment="1">
      <alignment horizontal="left" vertical="center" wrapText="1"/>
    </xf>
    <xf numFmtId="0" fontId="31" fillId="8" borderId="1" xfId="0" applyFont="1" applyFill="1" applyBorder="1" applyAlignment="1">
      <alignment horizontal="center" vertical="center" wrapText="1"/>
    </xf>
    <xf numFmtId="39" fontId="31" fillId="8" borderId="1" xfId="1" applyNumberFormat="1" applyFont="1" applyFill="1" applyBorder="1" applyAlignment="1">
      <alignment horizontal="right" vertical="center"/>
    </xf>
    <xf numFmtId="39" fontId="31" fillId="8" borderId="1" xfId="1" applyNumberFormat="1" applyFont="1" applyFill="1" applyBorder="1" applyAlignment="1">
      <alignment horizontal="center" vertical="center"/>
    </xf>
    <xf numFmtId="10" fontId="31" fillId="8" borderId="1" xfId="3" applyNumberFormat="1" applyFont="1" applyFill="1" applyBorder="1" applyAlignment="1">
      <alignment horizontal="right" vertical="center"/>
    </xf>
    <xf numFmtId="39" fontId="31" fillId="8" borderId="1" xfId="1" applyNumberFormat="1" applyFont="1" applyFill="1" applyBorder="1" applyAlignment="1">
      <alignment horizontal="right" vertical="center" wrapText="1"/>
    </xf>
    <xf numFmtId="0" fontId="11" fillId="0" borderId="0" xfId="0" applyFont="1" applyFill="1" applyAlignment="1">
      <alignment vertical="center"/>
    </xf>
    <xf numFmtId="0" fontId="11" fillId="10" borderId="3" xfId="0" applyFont="1" applyFill="1" applyBorder="1" applyAlignment="1">
      <alignment horizontal="center" vertical="center" wrapText="1"/>
    </xf>
    <xf numFmtId="0" fontId="11" fillId="10" borderId="3" xfId="0" applyFont="1" applyFill="1" applyBorder="1" applyAlignment="1">
      <alignment horizontal="right" vertical="center" wrapText="1"/>
    </xf>
    <xf numFmtId="10" fontId="11" fillId="10" borderId="3" xfId="3" applyNumberFormat="1" applyFont="1" applyFill="1" applyBorder="1" applyAlignment="1">
      <alignment vertical="center" wrapText="1"/>
    </xf>
    <xf numFmtId="0" fontId="11" fillId="0" borderId="1" xfId="0" applyFont="1" applyFill="1" applyBorder="1" applyAlignment="1">
      <alignment vertical="center"/>
    </xf>
    <xf numFmtId="0" fontId="10" fillId="0" borderId="7" xfId="0" applyFont="1" applyFill="1" applyBorder="1" applyAlignment="1">
      <alignment horizontal="left" vertical="center" wrapText="1"/>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3" fillId="4" borderId="1" xfId="0" applyFont="1" applyFill="1" applyBorder="1" applyAlignment="1">
      <alignment vertical="center" wrapText="1"/>
    </xf>
    <xf numFmtId="39" fontId="11" fillId="4" borderId="1" xfId="1" applyNumberFormat="1" applyFont="1" applyFill="1" applyBorder="1" applyAlignment="1">
      <alignment horizontal="right" vertical="center"/>
    </xf>
    <xf numFmtId="39" fontId="11" fillId="4" borderId="1" xfId="1" applyNumberFormat="1" applyFont="1" applyFill="1" applyBorder="1" applyAlignment="1">
      <alignment horizontal="center" vertical="center"/>
    </xf>
    <xf numFmtId="10" fontId="11" fillId="4" borderId="1" xfId="3" applyNumberFormat="1" applyFont="1" applyFill="1" applyBorder="1" applyAlignment="1">
      <alignment horizontal="right" vertical="center"/>
    </xf>
    <xf numFmtId="39" fontId="11" fillId="4" borderId="1" xfId="1" applyNumberFormat="1" applyFont="1" applyFill="1" applyBorder="1" applyAlignment="1">
      <alignment horizontal="right" vertical="center"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wrapText="1"/>
    </xf>
    <xf numFmtId="39" fontId="11" fillId="8" borderId="1" xfId="1" applyNumberFormat="1" applyFont="1" applyFill="1" applyBorder="1" applyAlignment="1">
      <alignment horizontal="right" vertical="center"/>
    </xf>
    <xf numFmtId="39" fontId="11" fillId="8" borderId="1" xfId="1" applyNumberFormat="1" applyFont="1" applyFill="1" applyBorder="1" applyAlignment="1">
      <alignment horizontal="center" vertical="center"/>
    </xf>
    <xf numFmtId="10" fontId="11" fillId="8" borderId="1" xfId="3" applyNumberFormat="1" applyFont="1" applyFill="1" applyBorder="1" applyAlignment="1">
      <alignment horizontal="right" vertical="center"/>
    </xf>
    <xf numFmtId="39" fontId="11" fillId="8" borderId="1" xfId="1" applyNumberFormat="1" applyFont="1" applyFill="1" applyBorder="1" applyAlignment="1">
      <alignment horizontal="right" vertical="center" wrapText="1"/>
    </xf>
    <xf numFmtId="0" fontId="11" fillId="11" borderId="0" xfId="0" applyFont="1" applyFill="1" applyAlignment="1">
      <alignment horizontal="left" vertical="center"/>
    </xf>
    <xf numFmtId="0" fontId="11" fillId="5" borderId="1" xfId="0" applyFont="1" applyFill="1" applyBorder="1" applyAlignment="1">
      <alignment horizontal="center" vertical="center"/>
    </xf>
    <xf numFmtId="174" fontId="11" fillId="5" borderId="1" xfId="0" applyNumberFormat="1" applyFont="1" applyFill="1" applyBorder="1" applyAlignment="1">
      <alignment horizontal="right" vertical="center" wrapText="1"/>
    </xf>
    <xf numFmtId="174" fontId="11" fillId="5" borderId="1" xfId="0" applyNumberFormat="1" applyFont="1" applyFill="1" applyBorder="1" applyAlignment="1">
      <alignment horizontal="center" vertical="center" wrapText="1"/>
    </xf>
    <xf numFmtId="10" fontId="11" fillId="5" borderId="1" xfId="3" applyNumberFormat="1" applyFont="1" applyFill="1" applyBorder="1" applyAlignment="1">
      <alignment horizontal="right" vertical="center" wrapText="1"/>
    </xf>
    <xf numFmtId="0" fontId="11" fillId="5" borderId="1" xfId="0" applyFont="1" applyFill="1" applyBorder="1" applyAlignment="1">
      <alignment horizontal="right" vertical="center" wrapText="1"/>
    </xf>
    <xf numFmtId="10" fontId="11" fillId="5" borderId="1" xfId="3" applyNumberFormat="1" applyFont="1" applyFill="1" applyBorder="1" applyAlignment="1">
      <alignment vertical="center" wrapText="1"/>
    </xf>
    <xf numFmtId="10" fontId="11" fillId="5" borderId="4" xfId="3" applyNumberFormat="1" applyFont="1" applyFill="1" applyBorder="1" applyAlignment="1">
      <alignment horizontal="center" vertical="center" wrapText="1"/>
    </xf>
    <xf numFmtId="9" fontId="10" fillId="19" borderId="1" xfId="0" applyNumberFormat="1" applyFont="1" applyFill="1" applyBorder="1" applyAlignment="1">
      <alignment horizontal="center" vertical="center" wrapText="1"/>
    </xf>
    <xf numFmtId="39" fontId="11" fillId="19" borderId="1" xfId="0" applyNumberFormat="1" applyFont="1" applyFill="1" applyBorder="1" applyAlignment="1">
      <alignment horizontal="right" vertical="center"/>
    </xf>
    <xf numFmtId="39" fontId="11" fillId="19" borderId="1" xfId="0" applyNumberFormat="1" applyFont="1" applyFill="1" applyBorder="1" applyAlignment="1">
      <alignment horizontal="center" vertical="center"/>
    </xf>
    <xf numFmtId="10" fontId="11" fillId="19" borderId="1" xfId="3" applyNumberFormat="1" applyFont="1" applyFill="1" applyBorder="1" applyAlignment="1">
      <alignment horizontal="right" vertical="center"/>
    </xf>
    <xf numFmtId="39" fontId="11" fillId="19" borderId="1" xfId="0" applyNumberFormat="1" applyFont="1" applyFill="1" applyBorder="1" applyAlignment="1">
      <alignment horizontal="right" vertical="center" wrapText="1"/>
    </xf>
    <xf numFmtId="0" fontId="11" fillId="19" borderId="1"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10" fontId="10" fillId="0" borderId="0" xfId="3" applyNumberFormat="1" applyFont="1" applyAlignment="1">
      <alignment vertical="center"/>
    </xf>
    <xf numFmtId="10" fontId="11" fillId="0" borderId="0" xfId="3" applyNumberFormat="1" applyFont="1" applyAlignment="1">
      <alignment vertical="center"/>
    </xf>
    <xf numFmtId="0" fontId="10" fillId="0" borderId="12" xfId="0" applyFont="1" applyBorder="1" applyAlignment="1">
      <alignment vertical="center"/>
    </xf>
    <xf numFmtId="0" fontId="10" fillId="0" borderId="13" xfId="0" applyFont="1" applyBorder="1" applyAlignment="1">
      <alignment horizontal="center" vertical="center"/>
    </xf>
    <xf numFmtId="174" fontId="11" fillId="0" borderId="0" xfId="0" applyNumberFormat="1" applyFont="1" applyAlignment="1">
      <alignment horizontal="right" vertical="center"/>
    </xf>
    <xf numFmtId="0" fontId="10" fillId="0" borderId="6" xfId="0" applyFont="1" applyBorder="1" applyAlignment="1">
      <alignment vertical="center"/>
    </xf>
    <xf numFmtId="0" fontId="10" fillId="0" borderId="7"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horizontal="center" vertical="center"/>
    </xf>
    <xf numFmtId="9" fontId="11" fillId="10" borderId="3" xfId="0" applyNumberFormat="1" applyFont="1" applyFill="1" applyBorder="1" applyAlignment="1">
      <alignment vertical="center" wrapText="1"/>
    </xf>
    <xf numFmtId="9" fontId="11" fillId="4" borderId="1" xfId="1" applyNumberFormat="1" applyFont="1" applyFill="1" applyBorder="1" applyAlignment="1">
      <alignment horizontal="right" vertical="center"/>
    </xf>
    <xf numFmtId="9" fontId="11" fillId="19" borderId="1" xfId="0" applyNumberFormat="1" applyFont="1" applyFill="1" applyBorder="1" applyAlignment="1">
      <alignment horizontal="right" vertical="center"/>
    </xf>
    <xf numFmtId="0" fontId="10" fillId="4" borderId="1" xfId="0" applyFont="1" applyFill="1" applyBorder="1" applyAlignment="1">
      <alignment vertical="center" wrapText="1"/>
    </xf>
    <xf numFmtId="39" fontId="35" fillId="8" borderId="4" xfId="1" applyNumberFormat="1" applyFont="1" applyFill="1" applyBorder="1" applyAlignment="1">
      <alignment vertical="center" wrapText="1"/>
    </xf>
    <xf numFmtId="39" fontId="10" fillId="19" borderId="4" xfId="0" applyNumberFormat="1" applyFont="1" applyFill="1" applyBorder="1" applyAlignment="1">
      <alignment vertical="center" wrapText="1"/>
    </xf>
    <xf numFmtId="0" fontId="11" fillId="4" borderId="1" xfId="0" applyFont="1" applyFill="1" applyBorder="1" applyAlignment="1">
      <alignment vertical="center" wrapText="1"/>
    </xf>
    <xf numFmtId="39" fontId="31" fillId="8" borderId="4" xfId="1" applyNumberFormat="1" applyFont="1" applyFill="1" applyBorder="1" applyAlignment="1">
      <alignment horizontal="left" vertical="center" wrapText="1"/>
    </xf>
    <xf numFmtId="39" fontId="31" fillId="8" borderId="4" xfId="1" applyNumberFormat="1" applyFont="1" applyFill="1" applyBorder="1" applyAlignment="1">
      <alignment vertical="center" wrapText="1"/>
    </xf>
    <xf numFmtId="39" fontId="11" fillId="19" borderId="4" xfId="0" applyNumberFormat="1" applyFont="1" applyFill="1" applyBorder="1" applyAlignment="1">
      <alignment vertical="center" wrapText="1"/>
    </xf>
    <xf numFmtId="0" fontId="11" fillId="0" borderId="7" xfId="0" applyFont="1" applyFill="1" applyBorder="1" applyAlignment="1">
      <alignment horizontal="left" vertical="center"/>
    </xf>
    <xf numFmtId="9" fontId="10" fillId="0" borderId="1" xfId="3" applyFont="1" applyFill="1" applyBorder="1" applyAlignment="1">
      <alignment horizontal="left" vertical="center" wrapText="1"/>
    </xf>
    <xf numFmtId="39" fontId="10" fillId="0" borderId="1" xfId="1" applyNumberFormat="1" applyFont="1" applyFill="1" applyBorder="1" applyAlignment="1">
      <alignment horizontal="left" vertical="center" wrapText="1"/>
    </xf>
    <xf numFmtId="0" fontId="10" fillId="0" borderId="0" xfId="0" applyFont="1" applyAlignment="1">
      <alignment horizontal="left" vertical="center"/>
    </xf>
    <xf numFmtId="0" fontId="11" fillId="29" borderId="1" xfId="5" applyNumberFormat="1" applyFont="1" applyFill="1" applyBorder="1" applyAlignment="1">
      <alignment vertical="center" wrapText="1"/>
    </xf>
    <xf numFmtId="0" fontId="11" fillId="9" borderId="1" xfId="3" applyNumberFormat="1" applyFont="1" applyFill="1" applyBorder="1" applyAlignment="1">
      <alignment horizontal="center" vertical="center" wrapText="1"/>
    </xf>
    <xf numFmtId="0" fontId="11" fillId="9" borderId="4" xfId="5" applyNumberFormat="1" applyFont="1" applyFill="1" applyBorder="1" applyAlignment="1">
      <alignment horizontal="center" vertical="center" wrapText="1"/>
    </xf>
    <xf numFmtId="167" fontId="11" fillId="9" borderId="1" xfId="1" applyFont="1" applyFill="1" applyBorder="1" applyAlignment="1">
      <alignment horizontal="center" vertical="center" wrapText="1"/>
    </xf>
    <xf numFmtId="0" fontId="18" fillId="14" borderId="1" xfId="2" applyNumberFormat="1" applyFont="1" applyFill="1" applyBorder="1" applyAlignment="1">
      <alignment horizontal="center" vertical="center" wrapText="1"/>
    </xf>
    <xf numFmtId="0" fontId="38" fillId="17" borderId="11" xfId="0" applyFont="1" applyFill="1" applyBorder="1" applyAlignment="1">
      <alignment horizontal="center" vertical="center" wrapText="1"/>
    </xf>
    <xf numFmtId="0" fontId="38" fillId="17" borderId="11" xfId="7" applyFont="1" applyFill="1" applyBorder="1" applyAlignment="1">
      <alignment horizontal="center" vertical="center" wrapText="1"/>
    </xf>
    <xf numFmtId="167" fontId="38" fillId="17" borderId="8" xfId="1" applyFont="1" applyFill="1" applyBorder="1" applyAlignment="1">
      <alignment horizontal="center" vertical="center" wrapText="1"/>
    </xf>
    <xf numFmtId="0" fontId="13" fillId="0" borderId="1" xfId="0" applyFont="1" applyBorder="1" applyAlignment="1">
      <alignment vertical="center"/>
    </xf>
    <xf numFmtId="0" fontId="12" fillId="0" borderId="1" xfId="0" applyFont="1" applyFill="1" applyBorder="1" applyAlignment="1">
      <alignment vertical="center" wrapText="1"/>
    </xf>
    <xf numFmtId="0" fontId="11" fillId="28" borderId="4" xfId="0" applyFont="1" applyFill="1" applyBorder="1" applyAlignment="1">
      <alignment vertical="center"/>
    </xf>
    <xf numFmtId="0" fontId="11" fillId="28" borderId="3" xfId="0" applyFont="1" applyFill="1" applyBorder="1" applyAlignment="1">
      <alignment vertical="center"/>
    </xf>
    <xf numFmtId="0" fontId="11" fillId="28" borderId="2" xfId="0" applyFont="1" applyFill="1" applyBorder="1" applyAlignment="1">
      <alignment vertical="center"/>
    </xf>
    <xf numFmtId="0" fontId="11" fillId="29" borderId="1" xfId="0" applyFont="1" applyFill="1" applyBorder="1" applyAlignment="1">
      <alignment horizontal="right" vertical="center"/>
    </xf>
    <xf numFmtId="0" fontId="11" fillId="29" borderId="3" xfId="0" applyFont="1" applyFill="1" applyBorder="1" applyAlignment="1">
      <alignment horizontal="right" vertical="center"/>
    </xf>
    <xf numFmtId="0" fontId="10" fillId="0" borderId="4"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 xfId="0" applyFont="1" applyFill="1" applyBorder="1" applyAlignment="1">
      <alignment horizontal="left" vertical="center"/>
    </xf>
    <xf numFmtId="0" fontId="11" fillId="29" borderId="7" xfId="0" applyFont="1" applyFill="1" applyBorder="1" applyAlignment="1">
      <alignment horizontal="right" vertical="center"/>
    </xf>
    <xf numFmtId="0" fontId="11" fillId="29" borderId="14" xfId="0" applyFont="1" applyFill="1" applyBorder="1" applyAlignment="1">
      <alignment horizontal="right" vertical="center"/>
    </xf>
    <xf numFmtId="0" fontId="11" fillId="9" borderId="1" xfId="0" applyFont="1" applyFill="1" applyBorder="1" applyAlignment="1">
      <alignment horizontal="left" vertical="center"/>
    </xf>
    <xf numFmtId="0" fontId="11" fillId="9" borderId="8" xfId="0" applyFont="1" applyFill="1" applyBorder="1" applyAlignment="1">
      <alignment horizontal="left" vertical="center"/>
    </xf>
    <xf numFmtId="0" fontId="11" fillId="9" borderId="9" xfId="0" applyFont="1" applyFill="1" applyBorder="1" applyAlignment="1">
      <alignment horizontal="left" vertical="center"/>
    </xf>
    <xf numFmtId="39" fontId="11" fillId="9" borderId="1" xfId="0" applyNumberFormat="1" applyFont="1" applyFill="1" applyBorder="1" applyAlignment="1">
      <alignment horizontal="left" vertical="center"/>
    </xf>
    <xf numFmtId="0" fontId="28" fillId="0" borderId="0" xfId="0" applyFont="1" applyFill="1"/>
    <xf numFmtId="0" fontId="15" fillId="0" borderId="0" xfId="0" applyFont="1" applyFill="1" applyBorder="1"/>
    <xf numFmtId="0" fontId="15" fillId="0" borderId="0" xfId="0" applyFont="1" applyFill="1" applyBorder="1" applyAlignment="1">
      <alignment horizontal="left"/>
    </xf>
    <xf numFmtId="168" fontId="13" fillId="10" borderId="1" xfId="1" applyNumberFormat="1" applyFont="1" applyFill="1" applyBorder="1" applyAlignment="1">
      <alignment horizontal="center" vertical="center"/>
    </xf>
    <xf numFmtId="9" fontId="10" fillId="0" borderId="0" xfId="3" applyFont="1"/>
    <xf numFmtId="9" fontId="13" fillId="2" borderId="14" xfId="3" applyFont="1" applyFill="1" applyBorder="1" applyAlignment="1">
      <alignment horizontal="center" wrapText="1"/>
    </xf>
    <xf numFmtId="9" fontId="19" fillId="12" borderId="1" xfId="3" applyFont="1" applyFill="1" applyBorder="1" applyAlignment="1">
      <alignment horizontal="center"/>
    </xf>
    <xf numFmtId="9" fontId="18" fillId="14" borderId="1" xfId="3" applyFont="1" applyFill="1" applyBorder="1" applyAlignment="1">
      <alignment horizontal="center" vertical="center" wrapText="1"/>
    </xf>
    <xf numFmtId="0" fontId="18" fillId="14" borderId="1" xfId="2" applyNumberFormat="1" applyFont="1" applyFill="1" applyBorder="1" applyAlignment="1">
      <alignment horizontal="center" vertical="center" wrapText="1"/>
    </xf>
    <xf numFmtId="39" fontId="12" fillId="0" borderId="1" xfId="0" applyNumberFormat="1" applyFont="1" applyBorder="1" applyAlignment="1">
      <alignment vertical="center"/>
    </xf>
    <xf numFmtId="39" fontId="13" fillId="2" borderId="1" xfId="0" applyNumberFormat="1" applyFont="1" applyFill="1" applyBorder="1" applyAlignment="1">
      <alignment vertical="center"/>
    </xf>
    <xf numFmtId="9" fontId="13" fillId="2" borderId="1" xfId="3" applyFont="1" applyFill="1" applyBorder="1" applyAlignment="1">
      <alignment vertical="center"/>
    </xf>
    <xf numFmtId="9" fontId="11" fillId="7" borderId="1" xfId="3" applyFont="1" applyFill="1" applyBorder="1" applyAlignment="1">
      <alignment vertical="center"/>
    </xf>
    <xf numFmtId="0" fontId="11" fillId="7" borderId="1" xfId="0" applyFont="1" applyFill="1" applyBorder="1" applyAlignment="1">
      <alignment vertical="center"/>
    </xf>
    <xf numFmtId="9" fontId="11" fillId="0" borderId="1" xfId="3" applyFont="1" applyBorder="1" applyAlignment="1">
      <alignment vertical="center"/>
    </xf>
    <xf numFmtId="39" fontId="13" fillId="0" borderId="1" xfId="0" applyNumberFormat="1" applyFont="1" applyFill="1" applyBorder="1" applyAlignment="1">
      <alignment vertical="center" wrapText="1"/>
    </xf>
    <xf numFmtId="0" fontId="11" fillId="31" borderId="1" xfId="0" applyFont="1" applyFill="1" applyBorder="1"/>
    <xf numFmtId="0" fontId="19" fillId="12" borderId="1" xfId="0" applyFont="1" applyFill="1" applyBorder="1" applyAlignment="1">
      <alignment horizontal="center"/>
    </xf>
    <xf numFmtId="0" fontId="8" fillId="0" borderId="1" xfId="1" applyNumberFormat="1" applyFont="1" applyFill="1" applyBorder="1" applyAlignment="1">
      <alignment vertical="center" wrapText="1"/>
    </xf>
    <xf numFmtId="0" fontId="4" fillId="0" borderId="1" xfId="1" applyNumberFormat="1" applyFont="1" applyFill="1" applyBorder="1" applyAlignment="1">
      <alignment vertical="center" wrapText="1"/>
    </xf>
    <xf numFmtId="0" fontId="8" fillId="0" borderId="1" xfId="1" applyNumberFormat="1" applyFont="1" applyBorder="1" applyAlignment="1">
      <alignment vertical="center" wrapText="1"/>
    </xf>
    <xf numFmtId="0" fontId="4" fillId="0" borderId="1" xfId="1" applyNumberFormat="1" applyFont="1" applyBorder="1" applyAlignment="1">
      <alignment vertical="center" wrapText="1"/>
    </xf>
    <xf numFmtId="168" fontId="0" fillId="0" borderId="1" xfId="1" applyNumberFormat="1" applyFont="1" applyBorder="1" applyAlignment="1">
      <alignment horizontal="right" vertical="center" wrapText="1"/>
    </xf>
    <xf numFmtId="9" fontId="4" fillId="0" borderId="1" xfId="3" applyFont="1" applyFill="1" applyBorder="1" applyAlignment="1">
      <alignment vertical="center" wrapText="1"/>
    </xf>
    <xf numFmtId="9" fontId="4" fillId="0" borderId="1" xfId="3" applyFont="1" applyBorder="1" applyAlignment="1">
      <alignment vertical="center" wrapText="1"/>
    </xf>
    <xf numFmtId="9" fontId="0" fillId="0" borderId="1" xfId="3" applyFont="1" applyBorder="1" applyAlignment="1">
      <alignment horizontal="right" vertical="center" wrapText="1"/>
    </xf>
    <xf numFmtId="168" fontId="19" fillId="31" borderId="1" xfId="1" applyNumberFormat="1" applyFont="1" applyFill="1" applyBorder="1" applyAlignment="1">
      <alignment horizontal="right" vertical="center" wrapText="1"/>
    </xf>
    <xf numFmtId="9" fontId="19" fillId="31" borderId="1" xfId="3" applyFont="1" applyFill="1" applyBorder="1" applyAlignment="1">
      <alignment horizontal="right" vertical="center" wrapText="1"/>
    </xf>
    <xf numFmtId="168" fontId="22" fillId="31" borderId="1" xfId="0" applyNumberFormat="1" applyFont="1" applyFill="1" applyBorder="1" applyAlignment="1">
      <alignment horizontal="right" vertical="center" wrapText="1"/>
    </xf>
    <xf numFmtId="9" fontId="22" fillId="31" borderId="1" xfId="3" applyFont="1" applyFill="1" applyBorder="1" applyAlignment="1">
      <alignment horizontal="right" vertical="center" wrapText="1"/>
    </xf>
    <xf numFmtId="0" fontId="22" fillId="31" borderId="1" xfId="0" applyFont="1" applyFill="1" applyBorder="1" applyAlignment="1">
      <alignment horizontal="left" vertical="center" wrapText="1"/>
    </xf>
    <xf numFmtId="0" fontId="0" fillId="0" borderId="1" xfId="0" applyFont="1" applyFill="1" applyBorder="1" applyAlignment="1">
      <alignment wrapText="1"/>
    </xf>
    <xf numFmtId="165" fontId="0" fillId="0" borderId="1" xfId="0" applyNumberFormat="1" applyFont="1" applyFill="1" applyBorder="1" applyAlignment="1">
      <alignment vertical="center" wrapText="1"/>
    </xf>
    <xf numFmtId="9" fontId="0" fillId="0" borderId="1" xfId="3" applyFont="1" applyFill="1" applyBorder="1" applyAlignment="1">
      <alignment vertical="center" wrapText="1"/>
    </xf>
    <xf numFmtId="165" fontId="0" fillId="0" borderId="1" xfId="1" applyNumberFormat="1" applyFont="1" applyFill="1" applyBorder="1" applyAlignment="1">
      <alignment horizontal="right" vertical="center" wrapText="1"/>
    </xf>
    <xf numFmtId="9" fontId="0" fillId="0" borderId="1" xfId="1" applyNumberFormat="1" applyFont="1" applyFill="1" applyBorder="1" applyAlignment="1">
      <alignment vertical="center" wrapText="1"/>
    </xf>
    <xf numFmtId="168" fontId="0" fillId="0" borderId="1" xfId="1" applyNumberFormat="1" applyFont="1" applyFill="1" applyBorder="1" applyAlignment="1">
      <alignment vertical="center" wrapText="1"/>
    </xf>
    <xf numFmtId="168" fontId="0" fillId="0" borderId="1" xfId="1" applyNumberFormat="1" applyFont="1" applyFill="1" applyBorder="1" applyAlignment="1">
      <alignment horizontal="right" vertical="center" wrapText="1"/>
    </xf>
    <xf numFmtId="9" fontId="0" fillId="0" borderId="1" xfId="3" applyFont="1" applyFill="1" applyBorder="1" applyAlignment="1">
      <alignment horizontal="right" vertical="center" wrapText="1"/>
    </xf>
    <xf numFmtId="39" fontId="0" fillId="0" borderId="1" xfId="1" applyNumberFormat="1" applyFont="1" applyBorder="1" applyAlignment="1">
      <alignment horizontal="right" vertical="center" wrapText="1"/>
    </xf>
    <xf numFmtId="39" fontId="0" fillId="0" borderId="1" xfId="1" applyNumberFormat="1" applyFont="1" applyFill="1" applyBorder="1" applyAlignment="1">
      <alignment horizontal="right" vertical="center" wrapText="1"/>
    </xf>
    <xf numFmtId="39" fontId="19" fillId="31" borderId="1" xfId="1" applyNumberFormat="1" applyFont="1" applyFill="1" applyBorder="1" applyAlignment="1">
      <alignment horizontal="right" vertical="center" wrapText="1"/>
    </xf>
    <xf numFmtId="4" fontId="28" fillId="0" borderId="0" xfId="0" applyNumberFormat="1" applyFont="1"/>
    <xf numFmtId="9" fontId="10" fillId="0" borderId="1" xfId="3" applyFont="1" applyFill="1" applyBorder="1" applyAlignment="1">
      <alignment vertical="center"/>
    </xf>
    <xf numFmtId="39" fontId="10" fillId="0" borderId="1" xfId="5" applyNumberFormat="1" applyFont="1" applyFill="1" applyBorder="1" applyAlignment="1">
      <alignment horizontal="right" vertical="center"/>
    </xf>
    <xf numFmtId="0" fontId="11" fillId="8"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6" xfId="0" applyFont="1" applyFill="1" applyBorder="1" applyAlignment="1">
      <alignment horizontal="left" vertical="center"/>
    </xf>
    <xf numFmtId="9" fontId="11" fillId="9" borderId="4" xfId="3" applyFont="1" applyFill="1" applyBorder="1" applyAlignment="1">
      <alignment horizontal="right" vertical="center" wrapText="1"/>
    </xf>
    <xf numFmtId="0" fontId="10" fillId="0" borderId="7" xfId="0" applyFont="1" applyFill="1" applyBorder="1" applyAlignment="1">
      <alignment horizontal="center" vertical="center" wrapText="1"/>
    </xf>
    <xf numFmtId="9" fontId="11" fillId="0" borderId="1" xfId="3" applyFont="1" applyFill="1" applyBorder="1" applyAlignment="1">
      <alignment horizontal="right" vertical="center"/>
    </xf>
    <xf numFmtId="9" fontId="11" fillId="4" borderId="1" xfId="3" applyFont="1" applyFill="1" applyBorder="1" applyAlignment="1">
      <alignment vertical="center"/>
    </xf>
    <xf numFmtId="9" fontId="11" fillId="0" borderId="4" xfId="3" applyFont="1" applyFill="1" applyBorder="1" applyAlignment="1">
      <alignment horizontal="right" vertical="center"/>
    </xf>
    <xf numFmtId="0" fontId="16" fillId="0" borderId="0" xfId="0" applyFont="1" applyFill="1" applyBorder="1"/>
    <xf numFmtId="0" fontId="42" fillId="0" borderId="0" xfId="0" applyFont="1" applyFill="1" applyBorder="1"/>
    <xf numFmtId="0" fontId="16" fillId="0" borderId="0" xfId="0" applyFont="1" applyFill="1" applyBorder="1" applyAlignment="1">
      <alignment horizontal="left"/>
    </xf>
    <xf numFmtId="175" fontId="28" fillId="11" borderId="1" xfId="1" applyNumberFormat="1" applyFont="1" applyFill="1" applyBorder="1" applyAlignment="1">
      <alignment horizontal="center" vertical="center"/>
    </xf>
    <xf numFmtId="168" fontId="11" fillId="0" borderId="0" xfId="1" applyNumberFormat="1" applyFont="1"/>
    <xf numFmtId="175" fontId="28" fillId="11" borderId="1" xfId="1" applyNumberFormat="1" applyFont="1" applyFill="1" applyBorder="1"/>
    <xf numFmtId="0" fontId="16" fillId="0" borderId="0" xfId="0" applyFont="1" applyBorder="1" applyAlignment="1">
      <alignment horizontal="center"/>
    </xf>
    <xf numFmtId="167" fontId="11" fillId="0" borderId="0" xfId="1" applyFont="1"/>
    <xf numFmtId="0" fontId="13" fillId="2" borderId="1" xfId="0" applyFont="1" applyFill="1" applyBorder="1" applyAlignment="1">
      <alignment horizontal="left" vertical="center" wrapText="1"/>
    </xf>
    <xf numFmtId="0" fontId="11" fillId="32"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2" borderId="14" xfId="0" applyFont="1" applyFill="1" applyBorder="1" applyAlignment="1">
      <alignment horizontal="left" vertical="center" wrapText="1"/>
    </xf>
    <xf numFmtId="165" fontId="10" fillId="32" borderId="1" xfId="1" applyNumberFormat="1" applyFont="1" applyFill="1" applyBorder="1" applyAlignment="1">
      <alignment horizontal="center" vertical="center"/>
    </xf>
    <xf numFmtId="165" fontId="12" fillId="19" borderId="1" xfId="1" applyNumberFormat="1" applyFont="1" applyFill="1" applyBorder="1" applyAlignment="1">
      <alignment horizontal="center" vertical="center"/>
    </xf>
    <xf numFmtId="165" fontId="12" fillId="11" borderId="1" xfId="1" applyNumberFormat="1" applyFont="1" applyFill="1" applyBorder="1" applyAlignment="1">
      <alignment horizontal="center" vertical="center"/>
    </xf>
    <xf numFmtId="165" fontId="10" fillId="19" borderId="1" xfId="1" applyNumberFormat="1" applyFont="1" applyFill="1" applyBorder="1" applyAlignment="1">
      <alignment horizontal="center" vertical="center"/>
    </xf>
    <xf numFmtId="165" fontId="12" fillId="32" borderId="1" xfId="1" applyNumberFormat="1" applyFont="1" applyFill="1" applyBorder="1" applyAlignment="1">
      <alignment horizontal="center" vertical="center"/>
    </xf>
    <xf numFmtId="165" fontId="13" fillId="4" borderId="1" xfId="1" applyNumberFormat="1" applyFont="1" applyFill="1" applyBorder="1" applyAlignment="1">
      <alignment horizontal="center" vertical="center"/>
    </xf>
    <xf numFmtId="9" fontId="17" fillId="0" borderId="1" xfId="3" applyFont="1" applyBorder="1" applyAlignment="1">
      <alignment horizontal="center" vertical="center"/>
    </xf>
    <xf numFmtId="9" fontId="10" fillId="0" borderId="1" xfId="3" applyFont="1" applyBorder="1" applyAlignment="1">
      <alignment horizontal="center" vertical="center"/>
    </xf>
    <xf numFmtId="0" fontId="12" fillId="11" borderId="1" xfId="0" applyFont="1" applyFill="1" applyBorder="1" applyAlignment="1">
      <alignment vertical="center" wrapText="1"/>
    </xf>
    <xf numFmtId="0" fontId="13" fillId="33" borderId="1" xfId="0" applyFont="1" applyFill="1" applyBorder="1" applyAlignment="1">
      <alignment vertical="center" wrapText="1"/>
    </xf>
    <xf numFmtId="175" fontId="12" fillId="33" borderId="1" xfId="1" applyNumberFormat="1" applyFont="1" applyFill="1" applyBorder="1" applyAlignment="1">
      <alignment horizontal="center" vertical="center"/>
    </xf>
    <xf numFmtId="167" fontId="12" fillId="33" borderId="1" xfId="1" applyFont="1" applyFill="1" applyBorder="1" applyAlignment="1">
      <alignment horizontal="center" vertical="center"/>
    </xf>
    <xf numFmtId="168" fontId="12" fillId="33" borderId="1" xfId="1" applyNumberFormat="1" applyFont="1" applyFill="1" applyBorder="1" applyAlignment="1">
      <alignment horizontal="center" vertical="center"/>
    </xf>
    <xf numFmtId="168" fontId="13" fillId="33" borderId="1" xfId="1" applyNumberFormat="1" applyFont="1" applyFill="1" applyBorder="1" applyAlignment="1">
      <alignment horizontal="center" vertical="center"/>
    </xf>
    <xf numFmtId="9" fontId="10" fillId="33" borderId="1" xfId="3" applyFont="1" applyFill="1" applyBorder="1" applyAlignment="1">
      <alignment horizontal="center" vertical="center"/>
    </xf>
    <xf numFmtId="0" fontId="10" fillId="10" borderId="1" xfId="0" applyFont="1" applyFill="1" applyBorder="1" applyAlignment="1">
      <alignment vertical="center"/>
    </xf>
    <xf numFmtId="175" fontId="10" fillId="10" borderId="1" xfId="1" applyNumberFormat="1" applyFont="1" applyFill="1" applyBorder="1" applyAlignment="1">
      <alignment horizontal="center" vertical="center"/>
    </xf>
    <xf numFmtId="167" fontId="12" fillId="10" borderId="1" xfId="1" applyFont="1" applyFill="1" applyBorder="1" applyAlignment="1">
      <alignment horizontal="center" vertical="center"/>
    </xf>
    <xf numFmtId="9" fontId="10" fillId="10" borderId="1" xfId="3" applyFont="1" applyFill="1" applyBorder="1" applyAlignment="1">
      <alignment horizontal="center" vertical="center"/>
    </xf>
    <xf numFmtId="175" fontId="13" fillId="4" borderId="1" xfId="1" applyNumberFormat="1" applyFont="1" applyFill="1" applyBorder="1" applyAlignment="1">
      <alignment horizontal="center" vertical="center"/>
    </xf>
    <xf numFmtId="167" fontId="12" fillId="4" borderId="1" xfId="1" applyFont="1" applyFill="1" applyBorder="1" applyAlignment="1">
      <alignment horizontal="center" vertical="center"/>
    </xf>
    <xf numFmtId="179" fontId="12" fillId="4" borderId="1" xfId="1" applyNumberFormat="1" applyFont="1" applyFill="1" applyBorder="1" applyAlignment="1">
      <alignment horizontal="center" vertical="center"/>
    </xf>
    <xf numFmtId="179" fontId="13" fillId="4" borderId="1" xfId="1" applyNumberFormat="1" applyFont="1" applyFill="1" applyBorder="1" applyAlignment="1">
      <alignment horizontal="center" vertical="center"/>
    </xf>
    <xf numFmtId="168" fontId="46" fillId="4" borderId="1" xfId="1" applyNumberFormat="1" applyFont="1" applyFill="1" applyBorder="1" applyAlignment="1">
      <alignment horizontal="center" vertical="center"/>
    </xf>
    <xf numFmtId="9" fontId="13" fillId="4" borderId="1" xfId="0" applyNumberFormat="1" applyFont="1" applyFill="1" applyBorder="1" applyAlignment="1">
      <alignment horizontal="center" vertical="center"/>
    </xf>
    <xf numFmtId="165" fontId="10" fillId="0" borderId="0" xfId="0" applyNumberFormat="1" applyFont="1"/>
    <xf numFmtId="167" fontId="28" fillId="0" borderId="0" xfId="1" applyFont="1"/>
    <xf numFmtId="167" fontId="10" fillId="0" borderId="0" xfId="0" applyNumberFormat="1" applyFont="1"/>
    <xf numFmtId="0" fontId="8" fillId="0" borderId="0" xfId="0" applyFont="1" applyFill="1" applyBorder="1" applyAlignment="1"/>
    <xf numFmtId="37" fontId="8" fillId="0" borderId="0" xfId="0" applyNumberFormat="1" applyFont="1" applyFill="1" applyBorder="1" applyAlignment="1">
      <alignment horizontal="right"/>
    </xf>
    <xf numFmtId="167" fontId="8" fillId="0" borderId="0" xfId="1" applyFont="1" applyFill="1" applyBorder="1" applyAlignment="1"/>
    <xf numFmtId="165" fontId="8" fillId="0" borderId="0" xfId="0" applyNumberFormat="1" applyFont="1" applyFill="1" applyBorder="1" applyAlignment="1"/>
    <xf numFmtId="0" fontId="8" fillId="0" borderId="0" xfId="0" applyNumberFormat="1" applyFont="1" applyFill="1" applyBorder="1" applyAlignment="1">
      <alignment horizontal="center"/>
    </xf>
    <xf numFmtId="0" fontId="8" fillId="0" borderId="0" xfId="0" applyFont="1" applyFill="1" applyBorder="1" applyAlignment="1">
      <alignment horizontal="right"/>
    </xf>
    <xf numFmtId="165" fontId="8" fillId="0" borderId="0" xfId="0" applyNumberFormat="1"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center"/>
    </xf>
    <xf numFmtId="175" fontId="13" fillId="34" borderId="1" xfId="1" applyNumberFormat="1" applyFont="1" applyFill="1" applyBorder="1" applyAlignment="1">
      <alignment horizontal="center" vertical="center"/>
    </xf>
    <xf numFmtId="175" fontId="13" fillId="35" borderId="1" xfId="1" applyNumberFormat="1" applyFont="1" applyFill="1" applyBorder="1" applyAlignment="1">
      <alignment horizontal="center" vertical="center"/>
    </xf>
    <xf numFmtId="175" fontId="13" fillId="30" borderId="1" xfId="1" applyNumberFormat="1" applyFont="1" applyFill="1" applyBorder="1" applyAlignment="1">
      <alignment horizontal="center" vertical="center"/>
    </xf>
    <xf numFmtId="167" fontId="0" fillId="0" borderId="0" xfId="1" applyFont="1"/>
    <xf numFmtId="167" fontId="23" fillId="0" borderId="0" xfId="1" applyFont="1"/>
    <xf numFmtId="0" fontId="22" fillId="12" borderId="1" xfId="0" applyFont="1" applyFill="1" applyBorder="1" applyAlignment="1">
      <alignment horizontal="center" wrapText="1"/>
    </xf>
    <xf numFmtId="9" fontId="40" fillId="0" borderId="1" xfId="3" applyFont="1" applyBorder="1" applyAlignment="1">
      <alignment vertical="center" wrapText="1"/>
    </xf>
    <xf numFmtId="165" fontId="0" fillId="0" borderId="0" xfId="0" applyNumberFormat="1"/>
    <xf numFmtId="9" fontId="22" fillId="0" borderId="1" xfId="0" applyNumberFormat="1" applyFont="1" applyBorder="1" applyAlignment="1">
      <alignment wrapText="1"/>
    </xf>
    <xf numFmtId="179" fontId="22" fillId="0" borderId="1" xfId="1" applyNumberFormat="1" applyFont="1" applyBorder="1" applyAlignment="1">
      <alignment wrapText="1"/>
    </xf>
    <xf numFmtId="168" fontId="22" fillId="0" borderId="1" xfId="1" applyNumberFormat="1" applyFont="1" applyBorder="1" applyAlignment="1">
      <alignment wrapText="1"/>
    </xf>
    <xf numFmtId="9" fontId="0" fillId="0" borderId="1" xfId="3" applyFont="1" applyBorder="1" applyAlignment="1">
      <alignment wrapText="1"/>
    </xf>
    <xf numFmtId="9" fontId="0" fillId="0" borderId="0" xfId="3" applyFont="1"/>
    <xf numFmtId="176" fontId="11" fillId="10" borderId="3" xfId="0" applyNumberFormat="1" applyFont="1" applyFill="1" applyBorder="1" applyAlignment="1">
      <alignment vertical="center" wrapText="1"/>
    </xf>
    <xf numFmtId="176" fontId="11" fillId="5" borderId="1" xfId="0" applyNumberFormat="1" applyFont="1" applyFill="1" applyBorder="1" applyAlignment="1">
      <alignment vertical="center" wrapText="1"/>
    </xf>
    <xf numFmtId="0" fontId="11" fillId="0" borderId="0" xfId="0" applyFont="1" applyAlignment="1">
      <alignment vertical="center" wrapText="1"/>
    </xf>
    <xf numFmtId="0" fontId="11" fillId="0" borderId="0" xfId="0" applyFont="1" applyBorder="1" applyAlignment="1">
      <alignment vertical="center"/>
    </xf>
    <xf numFmtId="0" fontId="11" fillId="9" borderId="5"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xf>
    <xf numFmtId="167" fontId="10" fillId="0" borderId="1" xfId="1" applyFont="1" applyFill="1" applyBorder="1" applyAlignment="1">
      <alignment vertical="center"/>
    </xf>
    <xf numFmtId="9" fontId="10" fillId="0" borderId="1" xfId="3" applyFont="1" applyFill="1" applyBorder="1" applyAlignment="1">
      <alignment horizontal="right" vertical="center"/>
    </xf>
    <xf numFmtId="167" fontId="10" fillId="0" borderId="1" xfId="1" applyFont="1" applyFill="1" applyBorder="1" applyAlignment="1">
      <alignment horizontal="right" vertical="center"/>
    </xf>
    <xf numFmtId="9" fontId="11" fillId="8" borderId="1" xfId="3" applyFont="1" applyFill="1" applyBorder="1" applyAlignment="1">
      <alignment horizontal="right" vertical="center"/>
    </xf>
    <xf numFmtId="0" fontId="10" fillId="8" borderId="1" xfId="0" applyFont="1" applyFill="1" applyBorder="1" applyAlignment="1">
      <alignment vertical="center"/>
    </xf>
    <xf numFmtId="39" fontId="31" fillId="0" borderId="1" xfId="1" applyNumberFormat="1" applyFont="1" applyFill="1" applyBorder="1" applyAlignment="1">
      <alignment vertical="center"/>
    </xf>
    <xf numFmtId="0" fontId="10" fillId="0" borderId="1" xfId="0" applyFont="1" applyFill="1" applyBorder="1" applyAlignment="1">
      <alignment horizontal="right" vertical="center"/>
    </xf>
    <xf numFmtId="0" fontId="10" fillId="0" borderId="13" xfId="0" applyFont="1" applyFill="1" applyBorder="1" applyAlignment="1">
      <alignment horizontal="left" vertical="center"/>
    </xf>
    <xf numFmtId="0" fontId="10" fillId="0" borderId="11" xfId="0" applyFont="1" applyFill="1" applyBorder="1" applyAlignment="1">
      <alignment vertical="center" wrapText="1"/>
    </xf>
    <xf numFmtId="167" fontId="10" fillId="0" borderId="11" xfId="1" applyFont="1" applyFill="1" applyBorder="1" applyAlignment="1">
      <alignment vertical="center" wrapText="1"/>
    </xf>
    <xf numFmtId="9" fontId="10" fillId="0" borderId="11" xfId="3" applyFont="1" applyFill="1" applyBorder="1" applyAlignment="1">
      <alignment horizontal="right" vertical="center"/>
    </xf>
    <xf numFmtId="0" fontId="11" fillId="10" borderId="6" xfId="0" applyFont="1" applyFill="1" applyBorder="1" applyAlignment="1">
      <alignment horizontal="center" vertical="center" wrapText="1"/>
    </xf>
    <xf numFmtId="2" fontId="11" fillId="10" borderId="3" xfId="0" applyNumberFormat="1" applyFont="1" applyFill="1" applyBorder="1" applyAlignment="1">
      <alignment vertical="center" wrapText="1"/>
    </xf>
    <xf numFmtId="9" fontId="11" fillId="10" borderId="3" xfId="3" applyFont="1" applyFill="1" applyBorder="1" applyAlignment="1">
      <alignment vertical="center" wrapText="1"/>
    </xf>
    <xf numFmtId="9" fontId="11" fillId="10" borderId="3" xfId="3" applyFont="1" applyFill="1" applyBorder="1" applyAlignment="1">
      <alignment horizontal="right" vertical="center" wrapText="1"/>
    </xf>
    <xf numFmtId="2" fontId="10" fillId="0" borderId="1" xfId="1" applyNumberFormat="1" applyFont="1" applyFill="1" applyBorder="1" applyAlignment="1" applyProtection="1">
      <alignment horizontal="center" vertical="center"/>
      <protection locked="0"/>
    </xf>
    <xf numFmtId="2" fontId="11" fillId="5" borderId="1" xfId="0" applyNumberFormat="1" applyFont="1" applyFill="1" applyBorder="1" applyAlignment="1">
      <alignment horizontal="left" vertical="center"/>
    </xf>
    <xf numFmtId="9" fontId="11" fillId="5" borderId="4" xfId="3" applyFont="1" applyFill="1" applyBorder="1" applyAlignment="1">
      <alignment horizontal="right" vertical="center" wrapText="1"/>
    </xf>
    <xf numFmtId="0" fontId="11" fillId="5" borderId="4" xfId="0" applyFont="1" applyFill="1" applyBorder="1" applyAlignment="1">
      <alignment horizontal="left" vertical="center" wrapText="1"/>
    </xf>
    <xf numFmtId="9" fontId="11" fillId="19" borderId="1" xfId="3" applyFont="1" applyFill="1" applyBorder="1"/>
    <xf numFmtId="0" fontId="11" fillId="19" borderId="2" xfId="0" applyFont="1" applyFill="1" applyBorder="1" applyAlignment="1">
      <alignment horizontal="center" vertical="center"/>
    </xf>
    <xf numFmtId="2" fontId="11" fillId="19" borderId="1" xfId="0" applyNumberFormat="1" applyFont="1" applyFill="1" applyBorder="1" applyAlignment="1">
      <alignment horizontal="left" vertical="center"/>
    </xf>
    <xf numFmtId="39" fontId="11" fillId="0" borderId="1" xfId="1" applyNumberFormat="1" applyFont="1" applyFill="1" applyBorder="1" applyAlignment="1">
      <alignment horizontal="right" vertical="center"/>
    </xf>
    <xf numFmtId="9" fontId="10" fillId="0" borderId="4" xfId="3" applyFont="1" applyFill="1" applyBorder="1" applyAlignment="1">
      <alignment horizontal="right" vertical="center"/>
    </xf>
    <xf numFmtId="0" fontId="11" fillId="5" borderId="5" xfId="0" applyFont="1" applyFill="1" applyBorder="1" applyAlignment="1">
      <alignment vertical="center"/>
    </xf>
    <xf numFmtId="0" fontId="11" fillId="5" borderId="8" xfId="0" applyFont="1" applyFill="1" applyBorder="1" applyAlignment="1">
      <alignment vertical="center"/>
    </xf>
    <xf numFmtId="39" fontId="11" fillId="10" borderId="3" xfId="0" applyNumberFormat="1" applyFont="1" applyFill="1" applyBorder="1" applyAlignment="1">
      <alignment horizontal="right" vertical="center" wrapText="1"/>
    </xf>
    <xf numFmtId="39" fontId="10" fillId="0" borderId="4" xfId="5" applyNumberFormat="1" applyFont="1" applyFill="1" applyBorder="1" applyAlignment="1">
      <alignment horizontal="right" vertical="center"/>
    </xf>
    <xf numFmtId="39" fontId="11" fillId="5" borderId="1" xfId="0" applyNumberFormat="1" applyFont="1" applyFill="1" applyBorder="1" applyAlignment="1">
      <alignment horizontal="right" vertical="center" wrapText="1"/>
    </xf>
    <xf numFmtId="39" fontId="11" fillId="5" borderId="4" xfId="0" applyNumberFormat="1" applyFont="1" applyFill="1" applyBorder="1" applyAlignment="1">
      <alignment horizontal="right" vertical="center" wrapText="1"/>
    </xf>
    <xf numFmtId="39" fontId="11" fillId="8" borderId="1" xfId="0" applyNumberFormat="1" applyFont="1" applyFill="1" applyBorder="1" applyAlignment="1">
      <alignment vertical="center"/>
    </xf>
    <xf numFmtId="39" fontId="11" fillId="10" borderId="3" xfId="0" applyNumberFormat="1" applyFont="1" applyFill="1" applyBorder="1" applyAlignment="1">
      <alignment vertical="center" wrapText="1"/>
    </xf>
    <xf numFmtId="39" fontId="10" fillId="0" borderId="1" xfId="0" applyNumberFormat="1" applyFont="1" applyFill="1" applyBorder="1" applyAlignment="1">
      <alignment vertical="center"/>
    </xf>
    <xf numFmtId="39" fontId="11" fillId="5" borderId="4" xfId="0" applyNumberFormat="1" applyFont="1" applyFill="1" applyBorder="1" applyAlignment="1">
      <alignment vertical="center" wrapText="1"/>
    </xf>
    <xf numFmtId="39" fontId="10" fillId="0" borderId="11" xfId="1" applyNumberFormat="1" applyFont="1" applyFill="1" applyBorder="1" applyAlignment="1">
      <alignment horizontal="right" vertical="center"/>
    </xf>
    <xf numFmtId="39" fontId="10" fillId="0" borderId="4" xfId="0" applyNumberFormat="1" applyFont="1" applyFill="1" applyBorder="1" applyAlignment="1">
      <alignment horizontal="right" vertical="center"/>
    </xf>
    <xf numFmtId="2" fontId="10" fillId="0" borderId="1" xfId="0" applyNumberFormat="1" applyFont="1" applyFill="1" applyBorder="1" applyAlignment="1">
      <alignment horizontal="right" vertical="center" wrapText="1"/>
    </xf>
    <xf numFmtId="0" fontId="11" fillId="4" borderId="1" xfId="0" applyFont="1" applyFill="1" applyBorder="1" applyAlignment="1">
      <alignment horizontal="left" vertical="center" wrapText="1"/>
    </xf>
    <xf numFmtId="2" fontId="11" fillId="4" borderId="1" xfId="0" applyNumberFormat="1" applyFont="1" applyFill="1" applyBorder="1" applyAlignment="1">
      <alignment horizontal="justify" vertical="center" wrapText="1"/>
    </xf>
    <xf numFmtId="39" fontId="11" fillId="4" borderId="1" xfId="0" applyNumberFormat="1" applyFont="1" applyFill="1" applyBorder="1" applyAlignment="1">
      <alignment horizontal="right" vertical="center" wrapText="1"/>
    </xf>
    <xf numFmtId="9" fontId="10" fillId="0" borderId="1" xfId="3" applyFont="1" applyFill="1" applyBorder="1" applyAlignment="1">
      <alignment horizontal="right" vertical="center" wrapText="1"/>
    </xf>
    <xf numFmtId="9" fontId="11" fillId="4" borderId="1" xfId="3" applyFont="1" applyFill="1" applyBorder="1" applyAlignment="1">
      <alignment horizontal="left" vertical="center" wrapText="1"/>
    </xf>
    <xf numFmtId="9" fontId="11" fillId="4" borderId="1" xfId="3" applyFont="1" applyFill="1" applyBorder="1" applyAlignment="1">
      <alignment horizontal="right" vertical="center" wrapText="1"/>
    </xf>
    <xf numFmtId="0" fontId="11" fillId="0" borderId="1" xfId="0" applyFont="1" applyBorder="1" applyAlignment="1">
      <alignment vertical="center" wrapText="1"/>
    </xf>
    <xf numFmtId="0" fontId="10" fillId="11" borderId="1" xfId="0" applyFont="1" applyFill="1" applyBorder="1" applyAlignment="1">
      <alignment horizontal="left" wrapText="1"/>
    </xf>
    <xf numFmtId="0" fontId="10" fillId="0" borderId="1" xfId="12" applyNumberFormat="1" applyFont="1" applyFill="1" applyBorder="1" applyAlignment="1">
      <alignment horizontal="left" vertical="center" wrapText="1"/>
    </xf>
    <xf numFmtId="2" fontId="10" fillId="0" borderId="1" xfId="1" applyNumberFormat="1" applyFont="1" applyFill="1" applyBorder="1" applyAlignment="1" applyProtection="1">
      <alignment horizontal="center" vertical="center" wrapText="1"/>
      <protection locked="0"/>
    </xf>
    <xf numFmtId="2" fontId="10" fillId="0" borderId="1" xfId="1" applyNumberFormat="1" applyFont="1" applyFill="1" applyBorder="1" applyAlignment="1">
      <alignment horizontal="center" vertical="center" wrapText="1"/>
    </xf>
    <xf numFmtId="39" fontId="10" fillId="0" borderId="1" xfId="1" applyNumberFormat="1" applyFont="1" applyFill="1" applyBorder="1" applyAlignment="1">
      <alignment horizontal="right" vertical="center" wrapText="1"/>
    </xf>
    <xf numFmtId="39"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vertical="center" wrapText="1"/>
    </xf>
    <xf numFmtId="39" fontId="10" fillId="0" borderId="1" xfId="0" applyNumberFormat="1" applyFont="1" applyFill="1" applyBorder="1" applyAlignment="1">
      <alignment horizontal="right" vertical="center" wrapText="1"/>
    </xf>
    <xf numFmtId="2" fontId="10" fillId="0" borderId="1" xfId="3" applyNumberFormat="1" applyFont="1" applyFill="1" applyBorder="1" applyAlignment="1" applyProtection="1">
      <alignment horizontal="center" vertical="center" wrapText="1"/>
      <protection locked="0"/>
    </xf>
    <xf numFmtId="167" fontId="10" fillId="0" borderId="1" xfId="1" applyFont="1" applyFill="1" applyBorder="1" applyAlignment="1">
      <alignment horizontal="center" vertical="center"/>
    </xf>
    <xf numFmtId="2" fontId="10" fillId="0" borderId="1" xfId="0" applyNumberFormat="1" applyFont="1" applyFill="1" applyBorder="1" applyAlignment="1" applyProtection="1">
      <alignment horizontal="center" vertical="center"/>
    </xf>
    <xf numFmtId="2" fontId="10" fillId="0" borderId="1" xfId="1" applyNumberFormat="1" applyFont="1" applyFill="1" applyBorder="1" applyAlignment="1" applyProtection="1">
      <alignment horizontal="center" vertical="center"/>
    </xf>
    <xf numFmtId="2" fontId="10" fillId="0" borderId="1"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39" fontId="10" fillId="0" borderId="11" xfId="0" applyNumberFormat="1" applyFont="1" applyFill="1" applyBorder="1" applyAlignment="1">
      <alignment vertical="center"/>
    </xf>
    <xf numFmtId="39" fontId="10" fillId="0" borderId="0" xfId="0" applyNumberFormat="1" applyFont="1" applyAlignment="1">
      <alignment horizontal="right" vertical="center"/>
    </xf>
    <xf numFmtId="173" fontId="10" fillId="6" borderId="0" xfId="3" applyNumberFormat="1" applyFont="1" applyFill="1" applyAlignment="1">
      <alignment horizontal="center" vertical="center"/>
    </xf>
    <xf numFmtId="173" fontId="10" fillId="0" borderId="0" xfId="3" applyNumberFormat="1" applyFont="1" applyAlignment="1">
      <alignment horizontal="center" vertical="center"/>
    </xf>
    <xf numFmtId="172" fontId="11" fillId="0" borderId="0" xfId="10" applyNumberFormat="1" applyFont="1" applyBorder="1" applyAlignment="1">
      <alignment horizontal="center" vertical="center"/>
    </xf>
    <xf numFmtId="172" fontId="11" fillId="0" borderId="17" xfId="10" applyNumberFormat="1" applyFont="1" applyBorder="1" applyAlignment="1">
      <alignment vertical="center"/>
    </xf>
    <xf numFmtId="172" fontId="11" fillId="0" borderId="56" xfId="10" applyNumberFormat="1" applyFont="1" applyBorder="1" applyAlignment="1">
      <alignment vertical="center"/>
    </xf>
    <xf numFmtId="0" fontId="11" fillId="0" borderId="0" xfId="9" applyFont="1" applyBorder="1" applyAlignment="1">
      <alignment vertical="center"/>
    </xf>
    <xf numFmtId="0" fontId="11" fillId="0" borderId="0" xfId="9" applyFont="1" applyBorder="1" applyAlignment="1">
      <alignment vertical="center" wrapText="1"/>
    </xf>
    <xf numFmtId="173" fontId="8" fillId="9" borderId="3" xfId="3" applyNumberFormat="1" applyFont="1" applyFill="1" applyBorder="1" applyAlignment="1">
      <alignment horizontal="center" vertical="center" wrapText="1"/>
    </xf>
    <xf numFmtId="172" fontId="19" fillId="9" borderId="9" xfId="10" applyNumberFormat="1" applyFont="1" applyFill="1" applyBorder="1" applyAlignment="1">
      <alignment vertical="center" wrapText="1"/>
    </xf>
    <xf numFmtId="172" fontId="19" fillId="9" borderId="59" xfId="10" applyNumberFormat="1" applyFont="1" applyFill="1" applyBorder="1" applyAlignment="1">
      <alignment vertical="center" wrapText="1"/>
    </xf>
    <xf numFmtId="173" fontId="8" fillId="3" borderId="3" xfId="3" applyNumberFormat="1" applyFont="1" applyFill="1" applyBorder="1" applyAlignment="1">
      <alignment horizontal="center" vertical="center"/>
    </xf>
    <xf numFmtId="173" fontId="10" fillId="0" borderId="2" xfId="3" applyNumberFormat="1" applyFont="1" applyFill="1" applyBorder="1" applyAlignment="1">
      <alignment horizontal="center" vertical="center"/>
    </xf>
    <xf numFmtId="172" fontId="10" fillId="0" borderId="4" xfId="10" applyNumberFormat="1" applyFont="1" applyFill="1" applyBorder="1" applyAlignment="1">
      <alignment vertical="center"/>
    </xf>
    <xf numFmtId="172" fontId="10" fillId="0" borderId="1" xfId="10" applyNumberFormat="1" applyFont="1" applyFill="1" applyBorder="1" applyAlignment="1">
      <alignment vertical="center"/>
    </xf>
    <xf numFmtId="173" fontId="11" fillId="4" borderId="2" xfId="3" applyNumberFormat="1" applyFont="1" applyFill="1" applyBorder="1" applyAlignment="1">
      <alignment horizontal="center" vertical="center"/>
    </xf>
    <xf numFmtId="172" fontId="11" fillId="4" borderId="4" xfId="10" applyNumberFormat="1" applyFont="1" applyFill="1" applyBorder="1" applyAlignment="1">
      <alignment vertical="center"/>
    </xf>
    <xf numFmtId="172" fontId="11" fillId="4" borderId="1" xfId="10" applyNumberFormat="1" applyFont="1" applyFill="1" applyBorder="1" applyAlignment="1">
      <alignment vertical="center"/>
    </xf>
    <xf numFmtId="0" fontId="11" fillId="0" borderId="28" xfId="9" applyFont="1" applyBorder="1" applyAlignment="1">
      <alignment vertical="center"/>
    </xf>
    <xf numFmtId="173" fontId="11" fillId="8" borderId="2" xfId="3" applyNumberFormat="1" applyFont="1" applyFill="1" applyBorder="1" applyAlignment="1">
      <alignment horizontal="center" vertical="center"/>
    </xf>
    <xf numFmtId="172" fontId="11" fillId="8" borderId="4" xfId="10" applyNumberFormat="1" applyFont="1" applyFill="1" applyBorder="1" applyAlignment="1">
      <alignment vertical="center"/>
    </xf>
    <xf numFmtId="172" fontId="11" fillId="8" borderId="1" xfId="10" applyNumberFormat="1" applyFont="1" applyFill="1" applyBorder="1" applyAlignment="1">
      <alignment vertical="center"/>
    </xf>
    <xf numFmtId="0" fontId="11" fillId="11" borderId="28" xfId="9" applyFont="1" applyFill="1" applyBorder="1" applyAlignment="1">
      <alignment vertical="center"/>
    </xf>
    <xf numFmtId="173" fontId="11" fillId="11" borderId="51" xfId="3" applyNumberFormat="1" applyFont="1" applyFill="1" applyBorder="1" applyAlignment="1">
      <alignment horizontal="left" vertical="center"/>
    </xf>
    <xf numFmtId="173" fontId="10" fillId="10" borderId="3" xfId="3" applyNumberFormat="1" applyFont="1" applyFill="1" applyBorder="1" applyAlignment="1">
      <alignment horizontal="center" vertical="center" wrapText="1"/>
    </xf>
    <xf numFmtId="172" fontId="10" fillId="10" borderId="3" xfId="10" applyNumberFormat="1" applyFont="1" applyFill="1" applyBorder="1" applyAlignment="1">
      <alignment vertical="center" wrapText="1"/>
    </xf>
    <xf numFmtId="0" fontId="10" fillId="0" borderId="28" xfId="9" applyFont="1" applyFill="1" applyBorder="1" applyAlignment="1">
      <alignment vertical="center" wrapText="1"/>
    </xf>
    <xf numFmtId="173" fontId="10" fillId="6" borderId="2" xfId="3" applyNumberFormat="1" applyFont="1" applyFill="1" applyBorder="1" applyAlignment="1">
      <alignment horizontal="center" vertical="center"/>
    </xf>
    <xf numFmtId="172" fontId="10" fillId="6" borderId="4" xfId="10" applyNumberFormat="1" applyFont="1" applyFill="1" applyBorder="1" applyAlignment="1">
      <alignment vertical="center"/>
    </xf>
    <xf numFmtId="172" fontId="10" fillId="6" borderId="1" xfId="10" applyNumberFormat="1" applyFont="1" applyFill="1" applyBorder="1" applyAlignment="1">
      <alignment vertical="center"/>
    </xf>
    <xf numFmtId="0" fontId="10" fillId="6" borderId="0" xfId="9" applyFont="1" applyFill="1" applyAlignment="1">
      <alignment vertical="center"/>
    </xf>
    <xf numFmtId="173" fontId="10" fillId="10" borderId="3" xfId="3" applyNumberFormat="1" applyFont="1" applyFill="1" applyBorder="1" applyAlignment="1">
      <alignment horizontal="center" vertical="center"/>
    </xf>
    <xf numFmtId="172" fontId="10" fillId="10" borderId="3" xfId="10" applyNumberFormat="1" applyFont="1" applyFill="1" applyBorder="1" applyAlignment="1">
      <alignment vertical="center"/>
    </xf>
    <xf numFmtId="173" fontId="10" fillId="4" borderId="2" xfId="3" applyNumberFormat="1" applyFont="1" applyFill="1" applyBorder="1" applyAlignment="1">
      <alignment horizontal="center" vertical="center"/>
    </xf>
    <xf numFmtId="172" fontId="10" fillId="4" borderId="4" xfId="10" applyNumberFormat="1" applyFont="1" applyFill="1" applyBorder="1" applyAlignment="1">
      <alignment vertical="center"/>
    </xf>
    <xf numFmtId="172" fontId="10" fillId="4" borderId="1" xfId="10" applyNumberFormat="1" applyFont="1" applyFill="1" applyBorder="1" applyAlignment="1">
      <alignment vertical="center"/>
    </xf>
    <xf numFmtId="172" fontId="11" fillId="8" borderId="4" xfId="10" applyNumberFormat="1" applyFont="1" applyFill="1" applyBorder="1" applyAlignment="1">
      <alignment horizontal="left" vertical="center"/>
    </xf>
    <xf numFmtId="172" fontId="11" fillId="8" borderId="1" xfId="10" applyNumberFormat="1" applyFont="1" applyFill="1" applyBorder="1" applyAlignment="1">
      <alignment horizontal="left" vertical="center"/>
    </xf>
    <xf numFmtId="9" fontId="11" fillId="11" borderId="51" xfId="3" applyFont="1" applyFill="1" applyBorder="1" applyAlignment="1">
      <alignment horizontal="left" vertical="center"/>
    </xf>
    <xf numFmtId="173" fontId="10" fillId="9" borderId="2" xfId="3" applyNumberFormat="1" applyFont="1" applyFill="1" applyBorder="1" applyAlignment="1">
      <alignment horizontal="center" vertical="center" wrapText="1"/>
    </xf>
    <xf numFmtId="172" fontId="10" fillId="9" borderId="4" xfId="10" applyNumberFormat="1" applyFont="1" applyFill="1" applyBorder="1" applyAlignment="1">
      <alignment horizontal="center" vertical="center" wrapText="1"/>
    </xf>
    <xf numFmtId="172" fontId="10" fillId="9" borderId="1" xfId="10" applyNumberFormat="1" applyFont="1" applyFill="1" applyBorder="1" applyAlignment="1">
      <alignment horizontal="center" vertical="center" wrapText="1"/>
    </xf>
    <xf numFmtId="173" fontId="11" fillId="9" borderId="2" xfId="3" applyNumberFormat="1" applyFont="1" applyFill="1" applyBorder="1" applyAlignment="1">
      <alignment horizontal="center" vertical="center" wrapText="1"/>
    </xf>
    <xf numFmtId="172" fontId="11" fillId="9" borderId="4" xfId="10" applyNumberFormat="1" applyFont="1" applyFill="1" applyBorder="1" applyAlignment="1">
      <alignment horizontal="center" vertical="center" wrapText="1"/>
    </xf>
    <xf numFmtId="172" fontId="11" fillId="9" borderId="1" xfId="10" applyNumberFormat="1" applyFont="1" applyFill="1" applyBorder="1" applyAlignment="1">
      <alignment horizontal="center" vertical="center" wrapText="1"/>
    </xf>
    <xf numFmtId="173" fontId="10" fillId="0" borderId="2" xfId="3" applyNumberFormat="1" applyFont="1" applyFill="1" applyBorder="1" applyAlignment="1">
      <alignment horizontal="center" vertical="center" wrapText="1"/>
    </xf>
    <xf numFmtId="172" fontId="10" fillId="0" borderId="4" xfId="10" applyNumberFormat="1" applyFont="1" applyFill="1" applyBorder="1" applyAlignment="1">
      <alignment horizontal="center" vertical="center" wrapText="1"/>
    </xf>
    <xf numFmtId="172" fontId="10" fillId="0" borderId="1" xfId="10" applyNumberFormat="1" applyFont="1" applyFill="1" applyBorder="1" applyAlignment="1">
      <alignment horizontal="center" vertical="center" wrapText="1"/>
    </xf>
    <xf numFmtId="173" fontId="11" fillId="19" borderId="2" xfId="3" applyNumberFormat="1" applyFont="1" applyFill="1" applyBorder="1" applyAlignment="1">
      <alignment horizontal="center" vertical="center"/>
    </xf>
    <xf numFmtId="172" fontId="11" fillId="19" borderId="4" xfId="10" applyNumberFormat="1" applyFont="1" applyFill="1" applyBorder="1" applyAlignment="1">
      <alignment vertical="center"/>
    </xf>
    <xf numFmtId="172" fontId="11" fillId="19" borderId="1" xfId="10" applyNumberFormat="1" applyFont="1" applyFill="1" applyBorder="1" applyAlignment="1">
      <alignment vertical="center"/>
    </xf>
    <xf numFmtId="173" fontId="10" fillId="9" borderId="2" xfId="3" applyNumberFormat="1" applyFont="1" applyFill="1" applyBorder="1" applyAlignment="1">
      <alignment horizontal="center" vertical="center"/>
    </xf>
    <xf numFmtId="172" fontId="10" fillId="9" borderId="4" xfId="10" applyNumberFormat="1" applyFont="1" applyFill="1" applyBorder="1" applyAlignment="1">
      <alignment vertical="center"/>
    </xf>
    <xf numFmtId="172" fontId="10" fillId="9" borderId="1" xfId="10" applyNumberFormat="1" applyFont="1" applyFill="1" applyBorder="1" applyAlignment="1">
      <alignment vertical="center"/>
    </xf>
    <xf numFmtId="173" fontId="10" fillId="20" borderId="2" xfId="3" applyNumberFormat="1" applyFont="1" applyFill="1" applyBorder="1" applyAlignment="1">
      <alignment horizontal="center" vertical="center"/>
    </xf>
    <xf numFmtId="172" fontId="10" fillId="20" borderId="4" xfId="10" applyNumberFormat="1" applyFont="1" applyFill="1" applyBorder="1" applyAlignment="1">
      <alignment vertical="center"/>
    </xf>
    <xf numFmtId="172" fontId="10" fillId="20" borderId="1" xfId="10" applyNumberFormat="1" applyFont="1" applyFill="1" applyBorder="1" applyAlignment="1">
      <alignment vertical="center"/>
    </xf>
    <xf numFmtId="173" fontId="34" fillId="19" borderId="2" xfId="3" applyNumberFormat="1" applyFont="1" applyFill="1" applyBorder="1" applyAlignment="1">
      <alignment horizontal="center" vertical="center"/>
    </xf>
    <xf numFmtId="172" fontId="34" fillId="19" borderId="4" xfId="10" applyNumberFormat="1" applyFont="1" applyFill="1" applyBorder="1" applyAlignment="1">
      <alignment vertical="center"/>
    </xf>
    <xf numFmtId="9" fontId="34" fillId="19" borderId="16" xfId="3" applyFont="1" applyFill="1" applyBorder="1" applyAlignment="1">
      <alignment horizontal="center" vertical="center"/>
    </xf>
    <xf numFmtId="172" fontId="34" fillId="19" borderId="60" xfId="10" applyNumberFormat="1" applyFont="1" applyFill="1" applyBorder="1" applyAlignment="1">
      <alignment vertical="center"/>
    </xf>
    <xf numFmtId="182" fontId="10" fillId="0" borderId="0" xfId="10" applyNumberFormat="1" applyFont="1" applyAlignment="1">
      <alignment vertical="center"/>
    </xf>
    <xf numFmtId="173" fontId="10" fillId="0" borderId="0" xfId="3" applyNumberFormat="1" applyFont="1" applyBorder="1" applyAlignment="1">
      <alignment horizontal="center" vertical="center"/>
    </xf>
    <xf numFmtId="2" fontId="10" fillId="0" borderId="0" xfId="0" applyNumberFormat="1" applyFont="1" applyFill="1" applyAlignment="1">
      <alignment horizontal="center" vertical="center"/>
    </xf>
    <xf numFmtId="39" fontId="35" fillId="8" borderId="4" xfId="1" applyNumberFormat="1" applyFont="1" applyFill="1" applyBorder="1" applyAlignment="1">
      <alignment horizontal="left" vertical="center" wrapText="1"/>
    </xf>
    <xf numFmtId="9" fontId="11" fillId="5" borderId="4"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176"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right" vertical="center" wrapText="1"/>
    </xf>
    <xf numFmtId="10" fontId="11" fillId="10" borderId="3" xfId="0" applyNumberFormat="1" applyFont="1" applyFill="1" applyBorder="1" applyAlignment="1">
      <alignment vertical="center" wrapText="1"/>
    </xf>
    <xf numFmtId="10" fontId="11" fillId="4" borderId="1" xfId="1" applyNumberFormat="1" applyFont="1" applyFill="1" applyBorder="1" applyAlignment="1">
      <alignment horizontal="right" vertical="center"/>
    </xf>
    <xf numFmtId="10" fontId="11" fillId="5" borderId="1" xfId="0" applyNumberFormat="1" applyFont="1" applyFill="1" applyBorder="1" applyAlignment="1">
      <alignment vertical="center" wrapText="1"/>
    </xf>
    <xf numFmtId="10" fontId="11" fillId="19" borderId="1" xfId="3" applyNumberFormat="1" applyFont="1" applyFill="1" applyBorder="1" applyAlignment="1">
      <alignment horizontal="right" vertical="center" wrapText="1"/>
    </xf>
    <xf numFmtId="10" fontId="11" fillId="19" borderId="1" xfId="0" applyNumberFormat="1" applyFont="1" applyFill="1" applyBorder="1" applyAlignment="1">
      <alignment horizontal="right" vertical="center"/>
    </xf>
    <xf numFmtId="9" fontId="11" fillId="0" borderId="0" xfId="3" applyFont="1" applyAlignment="1">
      <alignment vertical="center"/>
    </xf>
    <xf numFmtId="10" fontId="11" fillId="0" borderId="0" xfId="0" applyNumberFormat="1" applyFont="1" applyAlignment="1">
      <alignment vertical="center"/>
    </xf>
    <xf numFmtId="0" fontId="38" fillId="26" borderId="4" xfId="0" applyFont="1" applyFill="1" applyBorder="1" applyAlignment="1">
      <alignment horizontal="left" vertical="center"/>
    </xf>
    <xf numFmtId="0" fontId="38" fillId="26" borderId="3" xfId="0" applyFont="1" applyFill="1" applyBorder="1" applyAlignment="1">
      <alignment horizontal="left" vertical="center" wrapText="1"/>
    </xf>
    <xf numFmtId="0" fontId="13" fillId="10" borderId="4" xfId="0" applyFont="1" applyFill="1" applyBorder="1" applyAlignment="1">
      <alignment horizontal="left" vertical="center"/>
    </xf>
    <xf numFmtId="0" fontId="13" fillId="10" borderId="3" xfId="0" applyFont="1" applyFill="1" applyBorder="1" applyAlignment="1">
      <alignment horizontal="center" vertical="center" wrapText="1"/>
    </xf>
    <xf numFmtId="0" fontId="13" fillId="10" borderId="3" xfId="0" applyFont="1" applyFill="1" applyBorder="1" applyAlignment="1">
      <alignment vertical="center" wrapText="1"/>
    </xf>
    <xf numFmtId="0" fontId="38" fillId="10" borderId="3" xfId="0" applyFont="1" applyFill="1" applyBorder="1" applyAlignment="1">
      <alignment horizontal="left" vertical="center" wrapText="1"/>
    </xf>
    <xf numFmtId="0" fontId="13" fillId="0" borderId="4" xfId="0" applyFont="1" applyBorder="1" applyAlignment="1">
      <alignment vertical="center"/>
    </xf>
    <xf numFmtId="0" fontId="13" fillId="0" borderId="3" xfId="0" applyFont="1" applyBorder="1" applyAlignment="1">
      <alignment vertical="center"/>
    </xf>
    <xf numFmtId="0" fontId="13" fillId="7" borderId="1" xfId="0" applyFont="1" applyFill="1" applyBorder="1" applyAlignment="1">
      <alignment vertical="center"/>
    </xf>
    <xf numFmtId="0" fontId="13" fillId="7" borderId="3" xfId="0" applyFont="1" applyFill="1" applyBorder="1" applyAlignment="1">
      <alignment vertical="center"/>
    </xf>
    <xf numFmtId="0" fontId="38" fillId="8" borderId="3" xfId="0" applyFont="1" applyFill="1" applyBorder="1" applyAlignment="1">
      <alignment horizontal="left" vertical="center" wrapText="1"/>
    </xf>
    <xf numFmtId="176" fontId="38" fillId="8" borderId="1" xfId="0" applyNumberFormat="1" applyFont="1" applyFill="1" applyBorder="1" applyAlignment="1">
      <alignment horizontal="left" vertical="center" wrapText="1"/>
    </xf>
    <xf numFmtId="0" fontId="38" fillId="8" borderId="1" xfId="0" applyFont="1" applyFill="1" applyBorder="1" applyAlignment="1">
      <alignment horizontal="left" vertical="center" wrapText="1"/>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1" xfId="0" applyFont="1" applyFill="1" applyBorder="1" applyAlignment="1">
      <alignment vertical="center" wrapText="1"/>
    </xf>
    <xf numFmtId="2" fontId="13" fillId="3" borderId="1" xfId="0" applyNumberFormat="1" applyFont="1" applyFill="1" applyBorder="1" applyAlignment="1">
      <alignment vertical="center" wrapText="1"/>
    </xf>
    <xf numFmtId="167" fontId="13" fillId="3" borderId="1" xfId="5" applyFont="1" applyFill="1" applyBorder="1" applyAlignment="1">
      <alignment vertical="center" wrapText="1"/>
    </xf>
    <xf numFmtId="0" fontId="13" fillId="3" borderId="1" xfId="5" applyNumberFormat="1" applyFont="1" applyFill="1" applyBorder="1" applyAlignment="1">
      <alignment vertical="center" wrapText="1"/>
    </xf>
    <xf numFmtId="0" fontId="10" fillId="11" borderId="0" xfId="0" applyFont="1" applyFill="1"/>
    <xf numFmtId="0" fontId="11" fillId="28" borderId="4" xfId="0" applyFont="1" applyFill="1" applyBorder="1" applyAlignment="1">
      <alignment vertical="center" wrapText="1"/>
    </xf>
    <xf numFmtId="0" fontId="11" fillId="28" borderId="3" xfId="0" applyFont="1" applyFill="1" applyBorder="1" applyAlignment="1">
      <alignment vertical="center" wrapText="1"/>
    </xf>
    <xf numFmtId="9" fontId="10" fillId="10" borderId="1" xfId="13" applyFont="1" applyFill="1" applyBorder="1"/>
    <xf numFmtId="9" fontId="31" fillId="10" borderId="1" xfId="0" applyNumberFormat="1" applyFont="1" applyFill="1" applyBorder="1" applyAlignment="1">
      <alignment horizontal="left" vertical="top" wrapText="1"/>
    </xf>
    <xf numFmtId="168" fontId="11" fillId="10" borderId="1" xfId="5" applyNumberFormat="1" applyFont="1" applyFill="1" applyBorder="1" applyAlignment="1">
      <alignment vertical="center"/>
    </xf>
    <xf numFmtId="0" fontId="11" fillId="29" borderId="3" xfId="0" applyFont="1" applyFill="1" applyBorder="1" applyAlignment="1">
      <alignment horizontal="left" wrapText="1"/>
    </xf>
    <xf numFmtId="0" fontId="11" fillId="29" borderId="1" xfId="0" applyFont="1" applyFill="1" applyBorder="1" applyAlignment="1">
      <alignment horizontal="left" wrapText="1"/>
    </xf>
    <xf numFmtId="9" fontId="11" fillId="4" borderId="1" xfId="13" applyFont="1" applyFill="1" applyBorder="1"/>
    <xf numFmtId="9" fontId="11" fillId="4" borderId="4" xfId="0" applyNumberFormat="1" applyFont="1" applyFill="1" applyBorder="1"/>
    <xf numFmtId="0" fontId="11" fillId="4" borderId="4" xfId="0" applyFont="1" applyFill="1" applyBorder="1"/>
    <xf numFmtId="0" fontId="10" fillId="29" borderId="3" xfId="0" applyFont="1" applyFill="1" applyBorder="1" applyAlignment="1">
      <alignment wrapText="1"/>
    </xf>
    <xf numFmtId="0" fontId="10" fillId="29" borderId="1" xfId="0" applyFont="1" applyFill="1" applyBorder="1" applyAlignment="1">
      <alignment wrapText="1"/>
    </xf>
    <xf numFmtId="1" fontId="10" fillId="29" borderId="9" xfId="5" applyNumberFormat="1" applyFont="1" applyFill="1" applyBorder="1" applyAlignment="1">
      <alignment horizontal="right"/>
    </xf>
    <xf numFmtId="0" fontId="10" fillId="29" borderId="3" xfId="0" applyFont="1" applyFill="1" applyBorder="1" applyAlignment="1">
      <alignment horizontal="left" wrapText="1"/>
    </xf>
    <xf numFmtId="1" fontId="10" fillId="29" borderId="1" xfId="5" applyNumberFormat="1" applyFont="1" applyFill="1" applyBorder="1" applyAlignment="1">
      <alignment horizontal="right"/>
    </xf>
    <xf numFmtId="1" fontId="11" fillId="29" borderId="1" xfId="5" applyNumberFormat="1" applyFont="1" applyFill="1" applyBorder="1" applyAlignment="1">
      <alignment horizontal="right"/>
    </xf>
    <xf numFmtId="0" fontId="11" fillId="28" borderId="3" xfId="0" applyFont="1" applyFill="1" applyBorder="1" applyAlignment="1">
      <alignment horizontal="left" vertical="center"/>
    </xf>
    <xf numFmtId="0" fontId="31" fillId="29" borderId="3" xfId="0" applyFont="1" applyFill="1" applyBorder="1" applyAlignment="1">
      <alignment horizontal="left" vertical="top" wrapText="1"/>
    </xf>
    <xf numFmtId="0" fontId="31" fillId="29" borderId="3" xfId="0" applyFont="1" applyFill="1" applyBorder="1" applyAlignment="1">
      <alignment vertical="top" wrapText="1"/>
    </xf>
    <xf numFmtId="0" fontId="10" fillId="7" borderId="4" xfId="0" applyFont="1" applyFill="1" applyBorder="1" applyAlignment="1">
      <alignment vertical="top" wrapText="1"/>
    </xf>
    <xf numFmtId="0" fontId="10" fillId="7" borderId="4" xfId="0" applyFont="1" applyFill="1" applyBorder="1"/>
    <xf numFmtId="0" fontId="31" fillId="29" borderId="1" xfId="0" applyFont="1" applyFill="1" applyBorder="1" applyAlignment="1">
      <alignment vertical="top" wrapText="1"/>
    </xf>
    <xf numFmtId="0" fontId="31" fillId="29" borderId="7" xfId="0" applyFont="1" applyFill="1" applyBorder="1" applyAlignment="1">
      <alignment vertical="top" wrapText="1"/>
    </xf>
    <xf numFmtId="37" fontId="11" fillId="29" borderId="4" xfId="5" applyNumberFormat="1" applyFont="1" applyFill="1" applyBorder="1" applyAlignment="1">
      <alignment horizontal="right"/>
    </xf>
    <xf numFmtId="0" fontId="11" fillId="37" borderId="4" xfId="0" applyFont="1" applyFill="1" applyBorder="1" applyAlignment="1">
      <alignment vertical="center"/>
    </xf>
    <xf numFmtId="0" fontId="11" fillId="37" borderId="3" xfId="0" applyFont="1" applyFill="1" applyBorder="1" applyAlignment="1">
      <alignment vertical="center"/>
    </xf>
    <xf numFmtId="0" fontId="11" fillId="37" borderId="2" xfId="0" applyFont="1" applyFill="1" applyBorder="1" applyAlignment="1">
      <alignment vertical="center"/>
    </xf>
    <xf numFmtId="0" fontId="31" fillId="37" borderId="1" xfId="0" applyFont="1" applyFill="1" applyBorder="1" applyAlignment="1">
      <alignment horizontal="left" vertical="top" wrapText="1"/>
    </xf>
    <xf numFmtId="37" fontId="31" fillId="37" borderId="1" xfId="0" applyNumberFormat="1" applyFont="1" applyFill="1" applyBorder="1" applyAlignment="1">
      <alignment horizontal="left" vertical="top" wrapText="1"/>
    </xf>
    <xf numFmtId="176" fontId="13" fillId="8" borderId="1" xfId="0" applyNumberFormat="1" applyFont="1" applyFill="1" applyBorder="1" applyAlignment="1">
      <alignment vertical="center"/>
    </xf>
    <xf numFmtId="9" fontId="10" fillId="8" borderId="1" xfId="13" applyFont="1" applyFill="1" applyBorder="1"/>
    <xf numFmtId="9" fontId="13" fillId="8" borderId="1" xfId="0" applyNumberFormat="1" applyFont="1" applyFill="1" applyBorder="1" applyAlignment="1">
      <alignment vertical="center"/>
    </xf>
    <xf numFmtId="167" fontId="10" fillId="8" borderId="1" xfId="1" applyFont="1" applyFill="1" applyBorder="1"/>
    <xf numFmtId="9" fontId="10" fillId="8" borderId="1" xfId="3" applyFont="1" applyFill="1" applyBorder="1"/>
    <xf numFmtId="9" fontId="11" fillId="9" borderId="4" xfId="3" applyFont="1" applyFill="1" applyBorder="1" applyAlignment="1">
      <alignment horizontal="center" vertical="center" wrapText="1"/>
    </xf>
    <xf numFmtId="0" fontId="11" fillId="9" borderId="10" xfId="0" applyFont="1" applyFill="1" applyBorder="1" applyAlignment="1">
      <alignment horizontal="left" vertical="center"/>
    </xf>
    <xf numFmtId="1" fontId="11" fillId="19" borderId="1" xfId="0" applyNumberFormat="1" applyFont="1" applyFill="1" applyBorder="1"/>
    <xf numFmtId="0" fontId="11" fillId="9" borderId="4" xfId="0" applyFont="1" applyFill="1" applyBorder="1" applyAlignment="1">
      <alignment horizontal="left"/>
    </xf>
    <xf numFmtId="0" fontId="11" fillId="9" borderId="3" xfId="0" applyFont="1" applyFill="1" applyBorder="1" applyAlignment="1">
      <alignment horizontal="left"/>
    </xf>
    <xf numFmtId="0" fontId="11" fillId="9" borderId="2" xfId="0" applyFont="1" applyFill="1" applyBorder="1" applyAlignment="1">
      <alignment horizontal="left"/>
    </xf>
    <xf numFmtId="0" fontId="10" fillId="9" borderId="1" xfId="0" applyFont="1" applyFill="1" applyBorder="1" applyAlignment="1">
      <alignment vertical="top" wrapText="1"/>
    </xf>
    <xf numFmtId="39" fontId="11" fillId="9" borderId="1" xfId="0" applyNumberFormat="1" applyFont="1" applyFill="1" applyBorder="1"/>
    <xf numFmtId="1" fontId="11" fillId="9" borderId="1" xfId="0" applyNumberFormat="1" applyFont="1" applyFill="1" applyBorder="1"/>
    <xf numFmtId="39" fontId="11" fillId="9" borderId="4" xfId="0" applyNumberFormat="1" applyFont="1" applyFill="1" applyBorder="1"/>
    <xf numFmtId="9" fontId="11" fillId="9" borderId="1" xfId="3" applyFont="1" applyFill="1" applyBorder="1"/>
    <xf numFmtId="9" fontId="11" fillId="9" borderId="4" xfId="3" applyFont="1" applyFill="1" applyBorder="1"/>
    <xf numFmtId="0" fontId="10" fillId="20" borderId="4" xfId="0" applyFont="1" applyFill="1" applyBorder="1" applyAlignment="1">
      <alignment horizontal="right" vertical="top" wrapText="1"/>
    </xf>
    <xf numFmtId="0" fontId="10" fillId="20" borderId="3" xfId="0" applyFont="1" applyFill="1" applyBorder="1" applyAlignment="1">
      <alignment horizontal="right" vertical="top" wrapText="1"/>
    </xf>
    <xf numFmtId="0" fontId="10" fillId="20" borderId="2" xfId="0" applyFont="1" applyFill="1" applyBorder="1" applyAlignment="1">
      <alignment horizontal="right" vertical="top" wrapText="1"/>
    </xf>
    <xf numFmtId="0" fontId="10" fillId="20" borderId="1" xfId="0" applyFont="1" applyFill="1" applyBorder="1" applyAlignment="1">
      <alignment vertical="top" wrapText="1"/>
    </xf>
    <xf numFmtId="39" fontId="11" fillId="20" borderId="1" xfId="0" applyNumberFormat="1" applyFont="1" applyFill="1" applyBorder="1"/>
    <xf numFmtId="1" fontId="11" fillId="20" borderId="1" xfId="0" applyNumberFormat="1" applyFont="1" applyFill="1" applyBorder="1"/>
    <xf numFmtId="39" fontId="11" fillId="20" borderId="4" xfId="0" applyNumberFormat="1" applyFont="1" applyFill="1" applyBorder="1"/>
    <xf numFmtId="9" fontId="11" fillId="20" borderId="1" xfId="3" applyFont="1" applyFill="1" applyBorder="1"/>
    <xf numFmtId="9" fontId="11" fillId="20" borderId="4" xfId="3" applyFont="1" applyFill="1" applyBorder="1"/>
    <xf numFmtId="0" fontId="11" fillId="20" borderId="1" xfId="3" applyNumberFormat="1" applyFont="1" applyFill="1" applyBorder="1"/>
    <xf numFmtId="37" fontId="11" fillId="19" borderId="1" xfId="0" applyNumberFormat="1" applyFont="1" applyFill="1" applyBorder="1"/>
    <xf numFmtId="39" fontId="11" fillId="19" borderId="4" xfId="5" applyNumberFormat="1" applyFont="1" applyFill="1" applyBorder="1"/>
    <xf numFmtId="9" fontId="11" fillId="19" borderId="14" xfId="3" applyFont="1" applyFill="1" applyBorder="1" applyAlignment="1">
      <alignment vertical="center" wrapText="1"/>
    </xf>
    <xf numFmtId="9" fontId="11" fillId="19" borderId="14" xfId="3" applyFont="1" applyFill="1" applyBorder="1"/>
    <xf numFmtId="167" fontId="11" fillId="19" borderId="14" xfId="1" applyFont="1" applyFill="1" applyBorder="1" applyAlignment="1">
      <alignment horizontal="center"/>
    </xf>
    <xf numFmtId="9" fontId="11" fillId="19" borderId="14" xfId="3" applyFont="1" applyFill="1" applyBorder="1" applyAlignment="1">
      <alignment vertical="top" wrapText="1"/>
    </xf>
    <xf numFmtId="0" fontId="28" fillId="0" borderId="1" xfId="0" applyFont="1" applyBorder="1"/>
    <xf numFmtId="0" fontId="11" fillId="0" borderId="14" xfId="0" applyFont="1" applyBorder="1" applyAlignment="1">
      <alignment vertical="center" wrapText="1"/>
    </xf>
    <xf numFmtId="0" fontId="11" fillId="36" borderId="1" xfId="0" applyFont="1" applyFill="1" applyBorder="1" applyAlignment="1">
      <alignment horizontal="left" vertical="center" wrapText="1"/>
    </xf>
    <xf numFmtId="39" fontId="10" fillId="0" borderId="1" xfId="1" applyNumberFormat="1" applyFont="1" applyFill="1" applyBorder="1" applyAlignment="1">
      <alignment horizontal="left" vertical="center"/>
    </xf>
    <xf numFmtId="0" fontId="11" fillId="8" borderId="1" xfId="0" applyFont="1" applyFill="1" applyBorder="1" applyAlignment="1">
      <alignment horizontal="left" vertical="center"/>
    </xf>
    <xf numFmtId="0" fontId="10" fillId="0" borderId="0" xfId="0" applyFont="1" applyFill="1" applyAlignment="1">
      <alignment horizontal="left" vertical="center"/>
    </xf>
    <xf numFmtId="0" fontId="10" fillId="4" borderId="1"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0" xfId="0" applyFont="1" applyFill="1" applyBorder="1" applyAlignment="1">
      <alignment horizontal="center" vertical="center"/>
    </xf>
    <xf numFmtId="0" fontId="10" fillId="19" borderId="2" xfId="0" applyFont="1" applyFill="1" applyBorder="1" applyAlignment="1">
      <alignment horizontal="center" vertical="center"/>
    </xf>
    <xf numFmtId="0" fontId="10" fillId="8" borderId="1" xfId="0" applyFont="1" applyFill="1" applyBorder="1" applyAlignment="1">
      <alignment horizontal="center" vertical="center" wrapText="1"/>
    </xf>
    <xf numFmtId="2" fontId="50" fillId="0" borderId="0" xfId="0" applyNumberFormat="1" applyFont="1" applyAlignment="1">
      <alignment horizontal="center"/>
    </xf>
    <xf numFmtId="0" fontId="50" fillId="0" borderId="0" xfId="0" applyFont="1"/>
    <xf numFmtId="0" fontId="50" fillId="0" borderId="0" xfId="0" applyFont="1" applyAlignment="1">
      <alignment horizontal="center"/>
    </xf>
    <xf numFmtId="175" fontId="54" fillId="11" borderId="1" xfId="1" applyNumberFormat="1" applyFont="1" applyFill="1" applyBorder="1" applyAlignment="1">
      <alignment horizontal="left" vertical="center"/>
    </xf>
    <xf numFmtId="0" fontId="55" fillId="17" borderId="21" xfId="0" applyFont="1" applyFill="1" applyBorder="1" applyAlignment="1">
      <alignment horizontal="center" vertical="center" wrapText="1"/>
    </xf>
    <xf numFmtId="0" fontId="55" fillId="17" borderId="35" xfId="0" applyFont="1" applyFill="1" applyBorder="1" applyAlignment="1">
      <alignment horizontal="left" vertical="center" wrapText="1"/>
    </xf>
    <xf numFmtId="0" fontId="55" fillId="17" borderId="35" xfId="0" applyFont="1" applyFill="1" applyBorder="1" applyAlignment="1">
      <alignment horizontal="center" vertical="center" wrapText="1"/>
    </xf>
    <xf numFmtId="39" fontId="55" fillId="17" borderId="35" xfId="7" applyNumberFormat="1" applyFont="1" applyFill="1" applyBorder="1" applyAlignment="1">
      <alignment horizontal="center" vertical="center" wrapText="1"/>
    </xf>
    <xf numFmtId="2" fontId="55" fillId="17" borderId="35" xfId="7" applyNumberFormat="1" applyFont="1" applyFill="1" applyBorder="1" applyAlignment="1">
      <alignment horizontal="center" vertical="center" wrapText="1"/>
    </xf>
    <xf numFmtId="39" fontId="55" fillId="17" borderId="35" xfId="7" applyNumberFormat="1" applyFont="1" applyFill="1" applyBorder="1" applyAlignment="1">
      <alignment vertical="center" wrapText="1"/>
    </xf>
    <xf numFmtId="2" fontId="50" fillId="0" borderId="1" xfId="0" applyNumberFormat="1" applyFont="1" applyBorder="1" applyAlignment="1">
      <alignment horizontal="center"/>
    </xf>
    <xf numFmtId="0" fontId="56" fillId="0" borderId="1" xfId="0" applyFont="1" applyBorder="1" applyAlignment="1">
      <alignment vertical="top" wrapText="1"/>
    </xf>
    <xf numFmtId="0" fontId="50" fillId="0" borderId="4" xfId="0" applyFont="1" applyBorder="1"/>
    <xf numFmtId="0" fontId="56" fillId="0" borderId="14" xfId="0" applyFont="1" applyBorder="1" applyAlignment="1">
      <alignment vertical="top" wrapText="1"/>
    </xf>
    <xf numFmtId="0" fontId="50" fillId="0" borderId="5" xfId="0" applyFont="1" applyBorder="1"/>
    <xf numFmtId="9" fontId="57" fillId="0" borderId="1" xfId="13" applyFont="1" applyBorder="1" applyAlignment="1">
      <alignment horizontal="center"/>
    </xf>
    <xf numFmtId="0" fontId="58" fillId="4" borderId="41" xfId="0" applyFont="1" applyFill="1" applyBorder="1" applyAlignment="1">
      <alignment vertical="top" wrapText="1"/>
    </xf>
    <xf numFmtId="39" fontId="59" fillId="4" borderId="41" xfId="1" applyNumberFormat="1" applyFont="1" applyFill="1" applyBorder="1"/>
    <xf numFmtId="39" fontId="59" fillId="4" borderId="23" xfId="1" applyNumberFormat="1" applyFont="1" applyFill="1" applyBorder="1" applyAlignment="1">
      <alignment horizontal="center"/>
    </xf>
    <xf numFmtId="2" fontId="59" fillId="4" borderId="41" xfId="1" applyNumberFormat="1" applyFont="1" applyFill="1" applyBorder="1" applyAlignment="1">
      <alignment horizontal="center"/>
    </xf>
    <xf numFmtId="39" fontId="59" fillId="4" borderId="23" xfId="1" applyNumberFormat="1" applyFont="1" applyFill="1" applyBorder="1"/>
    <xf numFmtId="9" fontId="59" fillId="4" borderId="41" xfId="13" applyFont="1" applyFill="1" applyBorder="1" applyAlignment="1">
      <alignment horizontal="center"/>
    </xf>
    <xf numFmtId="0" fontId="60" fillId="4" borderId="24" xfId="0" applyFont="1" applyFill="1" applyBorder="1"/>
    <xf numFmtId="0" fontId="50" fillId="0" borderId="8" xfId="0" applyFont="1" applyBorder="1"/>
    <xf numFmtId="9" fontId="51" fillId="4" borderId="41" xfId="13" applyFont="1" applyFill="1" applyBorder="1" applyAlignment="1">
      <alignment horizontal="center"/>
    </xf>
    <xf numFmtId="0" fontId="50" fillId="4" borderId="41" xfId="0" applyFont="1" applyFill="1" applyBorder="1"/>
    <xf numFmtId="0" fontId="50" fillId="4" borderId="24" xfId="0" applyFont="1" applyFill="1" applyBorder="1"/>
    <xf numFmtId="0" fontId="56" fillId="0" borderId="15" xfId="0" applyFont="1" applyBorder="1" applyAlignment="1">
      <alignment vertical="top" wrapText="1"/>
    </xf>
    <xf numFmtId="0" fontId="50" fillId="0" borderId="12" xfId="0" applyFont="1" applyBorder="1"/>
    <xf numFmtId="0" fontId="51" fillId="4" borderId="41" xfId="0" applyFont="1" applyFill="1" applyBorder="1"/>
    <xf numFmtId="0" fontId="51" fillId="4" borderId="24" xfId="0" applyFont="1" applyFill="1" applyBorder="1"/>
    <xf numFmtId="0" fontId="51" fillId="0" borderId="0" xfId="0" applyFont="1"/>
    <xf numFmtId="0" fontId="58" fillId="11" borderId="11" xfId="0" applyFont="1" applyFill="1" applyBorder="1" applyAlignment="1">
      <alignment vertical="top" wrapText="1"/>
    </xf>
    <xf numFmtId="39" fontId="50" fillId="11" borderId="11" xfId="1" applyNumberFormat="1" applyFont="1" applyFill="1" applyBorder="1"/>
    <xf numFmtId="39" fontId="59" fillId="11" borderId="11" xfId="1" applyNumberFormat="1" applyFont="1" applyFill="1" applyBorder="1"/>
    <xf numFmtId="39" fontId="57" fillId="11" borderId="8" xfId="1" applyNumberFormat="1" applyFont="1" applyFill="1" applyBorder="1" applyAlignment="1">
      <alignment horizontal="center"/>
    </xf>
    <xf numFmtId="2" fontId="57" fillId="11" borderId="11" xfId="1" applyNumberFormat="1" applyFont="1" applyFill="1" applyBorder="1" applyAlignment="1">
      <alignment horizontal="center"/>
    </xf>
    <xf numFmtId="39" fontId="59" fillId="11" borderId="8" xfId="1" applyNumberFormat="1" applyFont="1" applyFill="1" applyBorder="1"/>
    <xf numFmtId="0" fontId="58" fillId="11" borderId="1" xfId="0" applyFont="1" applyFill="1" applyBorder="1" applyAlignment="1">
      <alignment vertical="top" wrapText="1"/>
    </xf>
    <xf numFmtId="39" fontId="50" fillId="11" borderId="1" xfId="1" applyNumberFormat="1" applyFont="1" applyFill="1" applyBorder="1"/>
    <xf numFmtId="39" fontId="59" fillId="11" borderId="1" xfId="1" applyNumberFormat="1" applyFont="1" applyFill="1" applyBorder="1"/>
    <xf numFmtId="39" fontId="50" fillId="11" borderId="1" xfId="1" applyNumberFormat="1" applyFont="1" applyFill="1" applyBorder="1" applyAlignment="1">
      <alignment horizontal="center"/>
    </xf>
    <xf numFmtId="39" fontId="59" fillId="11" borderId="4" xfId="1" applyNumberFormat="1" applyFont="1" applyFill="1" applyBorder="1"/>
    <xf numFmtId="39" fontId="50" fillId="11" borderId="11" xfId="1" applyNumberFormat="1" applyFont="1" applyFill="1" applyBorder="1" applyAlignment="1">
      <alignment horizontal="center"/>
    </xf>
    <xf numFmtId="9" fontId="50" fillId="11" borderId="8" xfId="13" applyFont="1" applyFill="1" applyBorder="1" applyAlignment="1">
      <alignment horizontal="center"/>
    </xf>
    <xf numFmtId="0" fontId="51" fillId="11" borderId="4" xfId="0" applyFont="1" applyFill="1" applyBorder="1"/>
    <xf numFmtId="0" fontId="51" fillId="11" borderId="18" xfId="0" applyFont="1" applyFill="1" applyBorder="1"/>
    <xf numFmtId="9" fontId="51" fillId="4" borderId="23" xfId="13" applyFont="1" applyFill="1" applyBorder="1" applyAlignment="1">
      <alignment horizontal="center"/>
    </xf>
    <xf numFmtId="0" fontId="51" fillId="4" borderId="23" xfId="0" applyFont="1" applyFill="1" applyBorder="1"/>
    <xf numFmtId="0" fontId="59" fillId="8" borderId="47" xfId="0" applyFont="1" applyFill="1" applyBorder="1" applyAlignment="1">
      <alignment horizontal="left" vertical="top" wrapText="1"/>
    </xf>
    <xf numFmtId="39" fontId="59" fillId="8" borderId="47" xfId="1" applyNumberFormat="1" applyFont="1" applyFill="1" applyBorder="1" applyAlignment="1">
      <alignment horizontal="center"/>
    </xf>
    <xf numFmtId="39" fontId="59" fillId="8" borderId="47" xfId="1" applyNumberFormat="1" applyFont="1" applyFill="1" applyBorder="1" applyAlignment="1">
      <alignment horizontal="left"/>
    </xf>
    <xf numFmtId="9" fontId="59" fillId="8" borderId="47" xfId="13" applyFont="1" applyFill="1" applyBorder="1" applyAlignment="1">
      <alignment horizontal="center"/>
    </xf>
    <xf numFmtId="39" fontId="59" fillId="8" borderId="48" xfId="1" applyNumberFormat="1" applyFont="1" applyFill="1" applyBorder="1" applyAlignment="1">
      <alignment horizontal="left"/>
    </xf>
    <xf numFmtId="39" fontId="59" fillId="8" borderId="49" xfId="1" applyNumberFormat="1" applyFont="1" applyFill="1" applyBorder="1" applyAlignment="1">
      <alignment horizontal="left"/>
    </xf>
    <xf numFmtId="39" fontId="50" fillId="11" borderId="15" xfId="1" applyNumberFormat="1" applyFont="1" applyFill="1" applyBorder="1"/>
    <xf numFmtId="0" fontId="50" fillId="4" borderId="49" xfId="0" applyFont="1" applyFill="1" applyBorder="1"/>
    <xf numFmtId="0" fontId="56" fillId="0" borderId="52" xfId="0" applyFont="1" applyBorder="1" applyAlignment="1">
      <alignment wrapText="1"/>
    </xf>
    <xf numFmtId="0" fontId="56" fillId="0" borderId="15" xfId="0" applyFont="1" applyBorder="1" applyAlignment="1">
      <alignment wrapText="1"/>
    </xf>
    <xf numFmtId="0" fontId="50" fillId="0" borderId="1" xfId="0" applyFont="1" applyBorder="1"/>
    <xf numFmtId="0" fontId="50" fillId="0" borderId="1" xfId="0" applyFont="1" applyBorder="1" applyAlignment="1">
      <alignment wrapText="1"/>
    </xf>
    <xf numFmtId="0" fontId="58" fillId="4" borderId="1" xfId="0" applyFont="1" applyFill="1" applyBorder="1" applyAlignment="1">
      <alignment vertical="top" wrapText="1"/>
    </xf>
    <xf numFmtId="39" fontId="59" fillId="4" borderId="1" xfId="1" applyNumberFormat="1" applyFont="1" applyFill="1" applyBorder="1" applyAlignment="1">
      <alignment horizontal="center"/>
    </xf>
    <xf numFmtId="39" fontId="59" fillId="4" borderId="1" xfId="1" applyNumberFormat="1" applyFont="1" applyFill="1" applyBorder="1"/>
    <xf numFmtId="39" fontId="59" fillId="4" borderId="4" xfId="1" applyNumberFormat="1" applyFont="1" applyFill="1" applyBorder="1" applyAlignment="1">
      <alignment horizontal="center"/>
    </xf>
    <xf numFmtId="2" fontId="59" fillId="4" borderId="1" xfId="1" applyNumberFormat="1" applyFont="1" applyFill="1" applyBorder="1" applyAlignment="1">
      <alignment horizontal="center"/>
    </xf>
    <xf numFmtId="39" fontId="59" fillId="4" borderId="4" xfId="1" applyNumberFormat="1" applyFont="1" applyFill="1" applyBorder="1"/>
    <xf numFmtId="9" fontId="59" fillId="4" borderId="1" xfId="13" applyFont="1" applyFill="1" applyBorder="1" applyAlignment="1">
      <alignment horizontal="center"/>
    </xf>
    <xf numFmtId="0" fontId="59" fillId="4" borderId="1" xfId="0" applyFont="1" applyFill="1" applyBorder="1"/>
    <xf numFmtId="0" fontId="50" fillId="4" borderId="1" xfId="0" applyFont="1" applyFill="1" applyBorder="1"/>
    <xf numFmtId="0" fontId="59" fillId="8" borderId="1" xfId="0" applyFont="1" applyFill="1" applyBorder="1" applyAlignment="1">
      <alignment horizontal="left" vertical="top" wrapText="1"/>
    </xf>
    <xf numFmtId="39" fontId="59" fillId="8" borderId="1" xfId="1" applyNumberFormat="1" applyFont="1" applyFill="1" applyBorder="1" applyAlignment="1">
      <alignment horizontal="center"/>
    </xf>
    <xf numFmtId="9" fontId="59" fillId="8" borderId="4" xfId="13" applyFont="1" applyFill="1" applyBorder="1" applyAlignment="1">
      <alignment horizontal="center"/>
    </xf>
    <xf numFmtId="39" fontId="59" fillId="8" borderId="4" xfId="1" applyNumberFormat="1" applyFont="1" applyFill="1" applyBorder="1" applyAlignment="1">
      <alignment horizontal="left"/>
    </xf>
    <xf numFmtId="0" fontId="59" fillId="8" borderId="1" xfId="0" applyFont="1" applyFill="1" applyBorder="1" applyAlignment="1">
      <alignment vertical="top" wrapText="1"/>
    </xf>
    <xf numFmtId="39" fontId="59" fillId="8" borderId="4" xfId="1" applyNumberFormat="1" applyFont="1" applyFill="1" applyBorder="1"/>
    <xf numFmtId="0" fontId="51" fillId="11" borderId="0" xfId="0" applyFont="1" applyFill="1"/>
    <xf numFmtId="0" fontId="51" fillId="10" borderId="4" xfId="0" applyFont="1" applyFill="1" applyBorder="1" applyAlignment="1">
      <alignment horizontal="left" vertical="center" wrapText="1"/>
    </xf>
    <xf numFmtId="0" fontId="51" fillId="10" borderId="6" xfId="0" applyFont="1" applyFill="1" applyBorder="1" applyAlignment="1">
      <alignment horizontal="left" vertical="center" wrapText="1"/>
    </xf>
    <xf numFmtId="0" fontId="51" fillId="10" borderId="6" xfId="0" applyFont="1" applyFill="1" applyBorder="1" applyAlignment="1">
      <alignment vertical="center" wrapText="1"/>
    </xf>
    <xf numFmtId="0" fontId="51" fillId="10" borderId="3" xfId="0" applyFont="1" applyFill="1" applyBorder="1" applyAlignment="1">
      <alignment vertical="center" wrapText="1"/>
    </xf>
    <xf numFmtId="0" fontId="51" fillId="10" borderId="3" xfId="0" applyFont="1" applyFill="1" applyBorder="1" applyAlignment="1">
      <alignment horizontal="center" vertical="center" wrapText="1"/>
    </xf>
    <xf numFmtId="39" fontId="51" fillId="10" borderId="3" xfId="0" applyNumberFormat="1" applyFont="1" applyFill="1" applyBorder="1" applyAlignment="1">
      <alignment horizontal="center" vertical="center" wrapText="1"/>
    </xf>
    <xf numFmtId="2" fontId="51" fillId="10" borderId="3" xfId="0" applyNumberFormat="1" applyFont="1" applyFill="1" applyBorder="1" applyAlignment="1">
      <alignment horizontal="center" vertical="center" wrapText="1"/>
    </xf>
    <xf numFmtId="39" fontId="51" fillId="10" borderId="3" xfId="0" applyNumberFormat="1" applyFont="1" applyFill="1" applyBorder="1" applyAlignment="1">
      <alignment vertical="center" wrapText="1"/>
    </xf>
    <xf numFmtId="0" fontId="51" fillId="4" borderId="1" xfId="0" applyFont="1" applyFill="1" applyBorder="1" applyAlignment="1">
      <alignment horizontal="center"/>
    </xf>
    <xf numFmtId="9" fontId="51" fillId="4" borderId="1" xfId="13" applyFont="1" applyFill="1" applyBorder="1" applyAlignment="1">
      <alignment horizontal="center"/>
    </xf>
    <xf numFmtId="0" fontId="51" fillId="4" borderId="1" xfId="0" applyFont="1" applyFill="1" applyBorder="1"/>
    <xf numFmtId="0" fontId="51" fillId="11" borderId="0" xfId="0" applyFont="1" applyFill="1" applyAlignment="1">
      <alignment horizontal="left"/>
    </xf>
    <xf numFmtId="0" fontId="51" fillId="5" borderId="1" xfId="0" applyFont="1" applyFill="1" applyBorder="1" applyAlignment="1">
      <alignment horizontal="left" vertical="center"/>
    </xf>
    <xf numFmtId="0" fontId="51" fillId="5" borderId="1" xfId="0" applyFont="1" applyFill="1" applyBorder="1" applyAlignment="1">
      <alignment vertical="center" wrapText="1"/>
    </xf>
    <xf numFmtId="39" fontId="51" fillId="5" borderId="4" xfId="0" applyNumberFormat="1" applyFont="1" applyFill="1" applyBorder="1" applyAlignment="1">
      <alignment horizontal="center" vertical="center" wrapText="1"/>
    </xf>
    <xf numFmtId="2" fontId="51" fillId="5" borderId="1" xfId="0" applyNumberFormat="1" applyFont="1" applyFill="1" applyBorder="1" applyAlignment="1">
      <alignment horizontal="center" vertical="center" wrapText="1"/>
    </xf>
    <xf numFmtId="39" fontId="51" fillId="5" borderId="4" xfId="0" applyNumberFormat="1" applyFont="1" applyFill="1" applyBorder="1" applyAlignment="1">
      <alignment vertical="center" wrapText="1"/>
    </xf>
    <xf numFmtId="0" fontId="51" fillId="5" borderId="4" xfId="0" applyFont="1" applyFill="1" applyBorder="1" applyAlignment="1">
      <alignment horizontal="center" vertical="center" wrapText="1"/>
    </xf>
    <xf numFmtId="9" fontId="51" fillId="5" borderId="4" xfId="13" applyFont="1" applyFill="1" applyBorder="1" applyAlignment="1">
      <alignment horizontal="center" vertical="center" wrapText="1"/>
    </xf>
    <xf numFmtId="0" fontId="42" fillId="19" borderId="4" xfId="0" applyFont="1" applyFill="1" applyBorder="1" applyAlignment="1">
      <alignment horizontal="right" vertical="top" wrapText="1"/>
    </xf>
    <xf numFmtId="0" fontId="50" fillId="19" borderId="1" xfId="0" applyFont="1" applyFill="1" applyBorder="1" applyAlignment="1">
      <alignment vertical="top" wrapText="1"/>
    </xf>
    <xf numFmtId="39" fontId="51" fillId="19" borderId="1" xfId="0" applyNumberFormat="1" applyFont="1" applyFill="1" applyBorder="1" applyAlignment="1">
      <alignment horizontal="center"/>
    </xf>
    <xf numFmtId="9" fontId="51" fillId="19" borderId="4" xfId="13" applyFont="1" applyFill="1" applyBorder="1" applyAlignment="1">
      <alignment horizontal="center"/>
    </xf>
    <xf numFmtId="39" fontId="51" fillId="19" borderId="4" xfId="0" applyNumberFormat="1" applyFont="1" applyFill="1" applyBorder="1"/>
    <xf numFmtId="0" fontId="51" fillId="19" borderId="2" xfId="0" applyFont="1" applyFill="1" applyBorder="1" applyAlignment="1">
      <alignment horizontal="right" vertical="center"/>
    </xf>
    <xf numFmtId="0" fontId="51" fillId="19" borderId="1" xfId="0" applyFont="1" applyFill="1" applyBorder="1" applyAlignment="1">
      <alignment horizontal="left" vertical="center"/>
    </xf>
    <xf numFmtId="39" fontId="51" fillId="19" borderId="1" xfId="0" applyNumberFormat="1" applyFont="1" applyFill="1" applyBorder="1"/>
    <xf numFmtId="39" fontId="51" fillId="19" borderId="4" xfId="0" applyNumberFormat="1" applyFont="1" applyFill="1" applyBorder="1" applyAlignment="1">
      <alignment horizontal="center"/>
    </xf>
    <xf numFmtId="2" fontId="51" fillId="19" borderId="1" xfId="0" applyNumberFormat="1" applyFont="1" applyFill="1" applyBorder="1" applyAlignment="1">
      <alignment horizontal="center"/>
    </xf>
    <xf numFmtId="0" fontId="51" fillId="0" borderId="5" xfId="0" applyFont="1" applyBorder="1"/>
    <xf numFmtId="0" fontId="51" fillId="0" borderId="6" xfId="0" applyFont="1" applyBorder="1" applyAlignment="1">
      <alignment horizontal="left"/>
    </xf>
    <xf numFmtId="0" fontId="51" fillId="0" borderId="6" xfId="0" applyFont="1" applyBorder="1"/>
    <xf numFmtId="0" fontId="51" fillId="0" borderId="7" xfId="0" applyFont="1" applyBorder="1"/>
    <xf numFmtId="39" fontId="50" fillId="0" borderId="0" xfId="0" applyNumberFormat="1" applyFont="1" applyAlignment="1">
      <alignment horizontal="center"/>
    </xf>
    <xf numFmtId="0" fontId="50" fillId="0" borderId="13" xfId="0" applyFont="1" applyBorder="1"/>
    <xf numFmtId="0" fontId="50" fillId="0" borderId="6" xfId="0" applyFont="1" applyBorder="1"/>
    <xf numFmtId="0" fontId="50" fillId="0" borderId="7" xfId="0" applyFont="1" applyBorder="1"/>
    <xf numFmtId="0" fontId="50" fillId="0" borderId="9" xfId="0" applyFont="1" applyBorder="1"/>
    <xf numFmtId="0" fontId="50" fillId="0" borderId="10" xfId="0" applyFont="1" applyBorder="1"/>
    <xf numFmtId="39" fontId="11" fillId="0" borderId="4" xfId="1" applyNumberFormat="1" applyFont="1" applyFill="1" applyBorder="1" applyAlignment="1">
      <alignment horizontal="right" vertical="center"/>
    </xf>
    <xf numFmtId="39" fontId="11" fillId="0" borderId="1" xfId="0" applyNumberFormat="1" applyFont="1" applyFill="1" applyBorder="1" applyAlignment="1">
      <alignment vertical="center"/>
    </xf>
    <xf numFmtId="0" fontId="10" fillId="0" borderId="11" xfId="0" applyFont="1" applyFill="1" applyBorder="1" applyAlignment="1">
      <alignment horizontal="left" vertical="center" wrapText="1"/>
    </xf>
    <xf numFmtId="0" fontId="8" fillId="0" borderId="1" xfId="6" applyFont="1" applyFill="1" applyBorder="1" applyAlignment="1">
      <alignment horizontal="left" vertical="center" wrapText="1"/>
    </xf>
    <xf numFmtId="0" fontId="8" fillId="0" borderId="7" xfId="0" applyFont="1" applyFill="1" applyBorder="1" applyAlignment="1">
      <alignment horizontal="left" vertical="center"/>
    </xf>
    <xf numFmtId="0" fontId="8" fillId="0" borderId="14"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171" fontId="8" fillId="0" borderId="1" xfId="8" applyNumberFormat="1" applyFont="1" applyFill="1" applyBorder="1" applyAlignment="1">
      <alignment horizontal="center" vertical="center"/>
    </xf>
    <xf numFmtId="0" fontId="8" fillId="0" borderId="1" xfId="0" applyFont="1" applyFill="1" applyBorder="1" applyAlignment="1">
      <alignment horizontal="center" vertical="center" wrapText="1"/>
    </xf>
    <xf numFmtId="168" fontId="8" fillId="0" borderId="1" xfId="1" applyNumberFormat="1" applyFont="1" applyFill="1" applyBorder="1" applyAlignment="1">
      <alignment horizontal="center" vertical="center"/>
    </xf>
    <xf numFmtId="39" fontId="8" fillId="0" borderId="1" xfId="1" applyNumberFormat="1" applyFont="1" applyFill="1" applyBorder="1" applyAlignment="1">
      <alignment vertical="top" wrapText="1"/>
    </xf>
    <xf numFmtId="0" fontId="8" fillId="0" borderId="1" xfId="7" applyFont="1" applyFill="1" applyBorder="1" applyAlignment="1">
      <alignment horizontal="left" vertical="center" wrapText="1" shrinkToFit="1"/>
    </xf>
    <xf numFmtId="167" fontId="8" fillId="0" borderId="1" xfId="1"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3" xfId="0" applyFont="1" applyFill="1" applyBorder="1" applyAlignment="1">
      <alignment horizontal="left" vertical="center"/>
    </xf>
    <xf numFmtId="0" fontId="8" fillId="0" borderId="15" xfId="0" applyFont="1" applyFill="1" applyBorder="1" applyAlignment="1">
      <alignment horizontal="left" vertical="center" wrapText="1"/>
    </xf>
    <xf numFmtId="0" fontId="8" fillId="0" borderId="11" xfId="0" applyFont="1" applyFill="1" applyBorder="1" applyAlignment="1">
      <alignment vertical="center" wrapText="1"/>
    </xf>
    <xf numFmtId="167" fontId="8" fillId="0" borderId="11" xfId="1" applyFont="1" applyFill="1" applyBorder="1" applyAlignment="1">
      <alignment vertical="center" wrapText="1"/>
    </xf>
    <xf numFmtId="39" fontId="25" fillId="0" borderId="11" xfId="1" applyNumberFormat="1" applyFont="1" applyFill="1" applyBorder="1" applyAlignment="1">
      <alignment vertical="center"/>
    </xf>
    <xf numFmtId="167" fontId="8" fillId="0" borderId="11" xfId="1" applyFont="1" applyFill="1" applyBorder="1" applyAlignment="1">
      <alignment vertical="center"/>
    </xf>
    <xf numFmtId="39" fontId="8" fillId="0" borderId="8" xfId="1" applyNumberFormat="1" applyFont="1" applyFill="1" applyBorder="1" applyAlignment="1">
      <alignment vertical="top"/>
    </xf>
    <xf numFmtId="9" fontId="8" fillId="0" borderId="11"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 xfId="0" applyFont="1" applyFill="1" applyBorder="1" applyAlignment="1">
      <alignment vertical="top" wrapText="1"/>
    </xf>
    <xf numFmtId="0" fontId="8" fillId="0" borderId="4" xfId="0" applyFont="1" applyFill="1" applyBorder="1" applyAlignment="1">
      <alignment horizontal="left" vertical="center"/>
    </xf>
    <xf numFmtId="167" fontId="8" fillId="0" borderId="1" xfId="1" applyFont="1" applyFill="1" applyBorder="1" applyAlignment="1">
      <alignment vertical="center" wrapText="1"/>
    </xf>
    <xf numFmtId="0" fontId="8" fillId="0" borderId="2" xfId="0" applyFont="1" applyFill="1" applyBorder="1" applyAlignment="1">
      <alignment horizontal="left" vertical="top"/>
    </xf>
    <xf numFmtId="0" fontId="8" fillId="0" borderId="4" xfId="0" applyFont="1" applyFill="1" applyBorder="1" applyAlignment="1">
      <alignment horizontal="left" vertical="center" wrapText="1"/>
    </xf>
    <xf numFmtId="9" fontId="8" fillId="0" borderId="1" xfId="3" applyFont="1" applyFill="1" applyBorder="1" applyAlignment="1">
      <alignment vertical="center" wrapText="1"/>
    </xf>
    <xf numFmtId="170" fontId="8" fillId="0" borderId="1" xfId="1" applyNumberFormat="1" applyFont="1" applyFill="1" applyBorder="1" applyAlignment="1">
      <alignment vertical="center" wrapText="1"/>
    </xf>
    <xf numFmtId="39" fontId="8" fillId="0" borderId="1" xfId="1" applyNumberFormat="1" applyFont="1" applyFill="1" applyBorder="1" applyAlignment="1">
      <alignment vertical="center"/>
    </xf>
    <xf numFmtId="39" fontId="8" fillId="0" borderId="1" xfId="1" applyNumberFormat="1" applyFont="1" applyFill="1" applyBorder="1" applyAlignment="1">
      <alignment vertical="top"/>
    </xf>
    <xf numFmtId="168" fontId="28" fillId="0" borderId="1" xfId="1" applyNumberFormat="1" applyFont="1" applyBorder="1" applyAlignment="1">
      <alignment horizontal="left" vertical="center"/>
    </xf>
    <xf numFmtId="167" fontId="28" fillId="0" borderId="1" xfId="1" applyFont="1" applyBorder="1" applyAlignment="1">
      <alignment horizontal="left" vertical="center"/>
    </xf>
    <xf numFmtId="170" fontId="11" fillId="8" borderId="1" xfId="0" applyNumberFormat="1" applyFont="1" applyFill="1" applyBorder="1" applyAlignment="1">
      <alignment vertical="center" wrapText="1"/>
    </xf>
    <xf numFmtId="9" fontId="11" fillId="8" borderId="1" xfId="3" applyFont="1" applyFill="1" applyBorder="1" applyAlignment="1">
      <alignment vertical="center"/>
    </xf>
    <xf numFmtId="171" fontId="10" fillId="0" borderId="1" xfId="8" applyNumberFormat="1" applyFont="1" applyFill="1" applyBorder="1" applyAlignment="1">
      <alignment horizontal="center" vertical="center"/>
    </xf>
    <xf numFmtId="2" fontId="10" fillId="0" borderId="3" xfId="0" applyNumberFormat="1" applyFont="1" applyFill="1" applyBorder="1" applyAlignment="1">
      <alignment vertical="center"/>
    </xf>
    <xf numFmtId="39" fontId="10" fillId="0" borderId="3" xfId="0" applyNumberFormat="1" applyFont="1" applyFill="1" applyBorder="1" applyAlignment="1">
      <alignment horizontal="right" vertical="center"/>
    </xf>
    <xf numFmtId="9" fontId="10" fillId="0" borderId="2" xfId="3" applyFont="1" applyFill="1" applyBorder="1" applyAlignment="1">
      <alignment horizontal="right" vertical="center"/>
    </xf>
    <xf numFmtId="9" fontId="10" fillId="0" borderId="1" xfId="3" applyFont="1" applyFill="1" applyBorder="1" applyAlignment="1">
      <alignment horizontal="left" vertical="center"/>
    </xf>
    <xf numFmtId="0" fontId="10" fillId="0" borderId="1" xfId="6" applyFont="1" applyFill="1" applyBorder="1" applyAlignment="1">
      <alignment horizontal="left" vertical="center" wrapText="1"/>
    </xf>
    <xf numFmtId="0" fontId="10" fillId="0" borderId="1" xfId="7" applyFont="1" applyFill="1" applyBorder="1" applyAlignment="1">
      <alignment horizontal="left" vertical="center" wrapText="1" shrinkToFit="1"/>
    </xf>
    <xf numFmtId="9" fontId="11" fillId="0" borderId="1" xfId="3" applyFont="1" applyFill="1" applyBorder="1" applyAlignment="1">
      <alignment vertical="center"/>
    </xf>
    <xf numFmtId="2" fontId="11" fillId="0" borderId="1" xfId="0" applyNumberFormat="1" applyFont="1" applyFill="1" applyBorder="1" applyAlignment="1">
      <alignment vertical="center" wrapText="1"/>
    </xf>
    <xf numFmtId="2" fontId="10" fillId="0" borderId="1" xfId="0" applyNumberFormat="1" applyFont="1" applyFill="1" applyBorder="1" applyAlignment="1">
      <alignment horizontal="justify" vertical="center" wrapText="1"/>
    </xf>
    <xf numFmtId="39" fontId="10" fillId="0" borderId="4" xfId="0" applyNumberFormat="1" applyFont="1" applyFill="1" applyBorder="1" applyAlignment="1">
      <alignment horizontal="right" vertical="center" wrapText="1"/>
    </xf>
    <xf numFmtId="2" fontId="10" fillId="0" borderId="1" xfId="0" applyNumberFormat="1" applyFont="1" applyFill="1" applyBorder="1" applyAlignment="1">
      <alignment horizontal="center" vertical="center"/>
    </xf>
    <xf numFmtId="39" fontId="10" fillId="0" borderId="4" xfId="1" applyNumberFormat="1" applyFont="1" applyFill="1" applyBorder="1" applyAlignment="1">
      <alignment vertical="center"/>
    </xf>
    <xf numFmtId="39" fontId="10" fillId="0" borderId="0" xfId="0" applyNumberFormat="1" applyFont="1" applyFill="1" applyAlignment="1">
      <alignment horizontal="right" vertical="center"/>
    </xf>
    <xf numFmtId="9" fontId="10" fillId="0" borderId="4" xfId="3" applyFont="1" applyFill="1" applyBorder="1" applyAlignment="1">
      <alignment vertical="center"/>
    </xf>
    <xf numFmtId="39" fontId="10" fillId="0" borderId="1" xfId="3" applyNumberFormat="1" applyFont="1" applyFill="1" applyBorder="1" applyAlignment="1">
      <alignment vertical="center"/>
    </xf>
    <xf numFmtId="2" fontId="11" fillId="4" borderId="1" xfId="0" applyNumberFormat="1" applyFont="1" applyFill="1" applyBorder="1" applyAlignment="1">
      <alignment vertical="center" wrapText="1"/>
    </xf>
    <xf numFmtId="39" fontId="11" fillId="8" borderId="1" xfId="1" applyNumberFormat="1" applyFont="1" applyFill="1" applyBorder="1" applyAlignment="1">
      <alignment vertical="center"/>
    </xf>
    <xf numFmtId="9" fontId="11" fillId="5" borderId="4" xfId="3" applyFont="1" applyFill="1" applyBorder="1" applyAlignment="1">
      <alignment vertical="center" wrapText="1"/>
    </xf>
    <xf numFmtId="9" fontId="11" fillId="4" borderId="1" xfId="3" applyFont="1" applyFill="1" applyBorder="1" applyAlignment="1">
      <alignment horizontal="right" vertical="center"/>
    </xf>
    <xf numFmtId="2" fontId="11" fillId="4" borderId="1" xfId="0" applyNumberFormat="1" applyFont="1" applyFill="1" applyBorder="1" applyAlignment="1">
      <alignment horizontal="right" vertical="center" wrapText="1"/>
    </xf>
    <xf numFmtId="2" fontId="10" fillId="0" borderId="1" xfId="0" applyNumberFormat="1" applyFont="1" applyFill="1" applyBorder="1" applyAlignment="1">
      <alignment horizontal="right" vertical="center"/>
    </xf>
    <xf numFmtId="2" fontId="10" fillId="0" borderId="1" xfId="3" applyNumberFormat="1" applyFont="1" applyFill="1" applyBorder="1" applyAlignment="1" applyProtection="1">
      <alignment horizontal="right" vertical="center" wrapText="1"/>
      <protection locked="0"/>
    </xf>
    <xf numFmtId="0" fontId="11" fillId="8" borderId="1" xfId="0" applyFont="1" applyFill="1" applyBorder="1" applyAlignment="1">
      <alignment horizontal="right" vertical="center"/>
    </xf>
    <xf numFmtId="2" fontId="11" fillId="10" borderId="3" xfId="0" applyNumberFormat="1" applyFont="1" applyFill="1" applyBorder="1" applyAlignment="1">
      <alignment horizontal="right" vertical="center" wrapText="1"/>
    </xf>
    <xf numFmtId="0" fontId="10" fillId="0" borderId="11" xfId="0" applyFont="1" applyFill="1" applyBorder="1" applyAlignment="1">
      <alignment horizontal="right" vertical="center" wrapText="1"/>
    </xf>
    <xf numFmtId="167" fontId="10" fillId="0" borderId="11" xfId="1" applyFont="1" applyFill="1" applyBorder="1" applyAlignment="1">
      <alignment horizontal="right" vertical="center" wrapText="1"/>
    </xf>
    <xf numFmtId="9" fontId="10" fillId="0" borderId="3" xfId="3" applyFont="1" applyFill="1" applyBorder="1" applyAlignment="1">
      <alignment horizontal="right" vertical="center"/>
    </xf>
    <xf numFmtId="168" fontId="10" fillId="0" borderId="1" xfId="1" applyNumberFormat="1" applyFont="1" applyFill="1" applyBorder="1" applyAlignment="1">
      <alignment horizontal="right" vertical="center"/>
    </xf>
    <xf numFmtId="9" fontId="11" fillId="5" borderId="1" xfId="3" applyFont="1" applyFill="1" applyBorder="1" applyAlignment="1">
      <alignment horizontal="right" vertical="center" wrapText="1"/>
    </xf>
    <xf numFmtId="2" fontId="11" fillId="5" borderId="1" xfId="0" applyNumberFormat="1" applyFont="1" applyFill="1" applyBorder="1" applyAlignment="1">
      <alignment horizontal="right" vertical="center" wrapText="1"/>
    </xf>
    <xf numFmtId="9" fontId="11" fillId="36" borderId="1" xfId="3" applyFont="1" applyFill="1" applyBorder="1" applyAlignment="1">
      <alignment vertical="center" wrapText="1"/>
    </xf>
    <xf numFmtId="0" fontId="10" fillId="0" borderId="0" xfId="0" applyFont="1" applyFill="1" applyBorder="1" applyAlignment="1">
      <alignment horizontal="left" vertical="center"/>
    </xf>
    <xf numFmtId="2" fontId="11" fillId="0" borderId="0" xfId="0" applyNumberFormat="1" applyFont="1" applyBorder="1" applyAlignment="1">
      <alignment vertical="center"/>
    </xf>
    <xf numFmtId="39" fontId="10" fillId="0" borderId="0" xfId="0" applyNumberFormat="1" applyFont="1" applyFill="1" applyBorder="1" applyAlignment="1">
      <alignment horizontal="right" vertical="center"/>
    </xf>
    <xf numFmtId="9" fontId="10" fillId="0" borderId="0" xfId="3" applyFont="1" applyFill="1" applyBorder="1" applyAlignment="1">
      <alignment horizontal="right" vertical="center"/>
    </xf>
    <xf numFmtId="2" fontId="10" fillId="0" borderId="0" xfId="0" applyNumberFormat="1" applyFont="1" applyFill="1" applyBorder="1" applyAlignment="1">
      <alignment horizontal="right" vertical="center"/>
    </xf>
    <xf numFmtId="9" fontId="10" fillId="0" borderId="0" xfId="3" applyFont="1" applyAlignment="1">
      <alignment horizontal="right" vertical="center"/>
    </xf>
    <xf numFmtId="39" fontId="10" fillId="0" borderId="0" xfId="0" applyNumberFormat="1" applyFont="1" applyAlignment="1">
      <alignment vertical="center"/>
    </xf>
    <xf numFmtId="0" fontId="28" fillId="0" borderId="1" xfId="0" applyFont="1" applyFill="1" applyBorder="1" applyAlignment="1">
      <alignment horizontal="right" vertical="center"/>
    </xf>
    <xf numFmtId="2" fontId="10" fillId="0" borderId="0" xfId="0" applyNumberFormat="1" applyFont="1" applyBorder="1" applyAlignment="1">
      <alignment vertical="center"/>
    </xf>
    <xf numFmtId="0" fontId="28" fillId="0" borderId="1" xfId="0" applyFont="1" applyBorder="1" applyAlignment="1">
      <alignment horizontal="right" vertical="center"/>
    </xf>
    <xf numFmtId="2" fontId="11" fillId="0" borderId="0" xfId="0" applyNumberFormat="1" applyFont="1" applyBorder="1" applyAlignment="1">
      <alignment horizontal="center" vertical="center"/>
    </xf>
    <xf numFmtId="39" fontId="11" fillId="0" borderId="0" xfId="0" applyNumberFormat="1" applyFont="1" applyBorder="1" applyAlignment="1">
      <alignment horizontal="right" vertical="center"/>
    </xf>
    <xf numFmtId="9" fontId="11" fillId="0" borderId="0" xfId="3" applyFont="1" applyBorder="1" applyAlignment="1">
      <alignment horizontal="right" vertical="center"/>
    </xf>
    <xf numFmtId="2" fontId="11" fillId="0" borderId="0" xfId="0" applyNumberFormat="1" applyFont="1" applyBorder="1" applyAlignment="1">
      <alignment horizontal="right" vertical="center"/>
    </xf>
    <xf numFmtId="9" fontId="10" fillId="36" borderId="1" xfId="3" applyFont="1" applyFill="1" applyBorder="1" applyAlignment="1">
      <alignment vertical="center"/>
    </xf>
    <xf numFmtId="39" fontId="10" fillId="36" borderId="1" xfId="0" applyNumberFormat="1" applyFont="1" applyFill="1" applyBorder="1" applyAlignment="1">
      <alignment vertical="center"/>
    </xf>
    <xf numFmtId="0" fontId="10" fillId="36" borderId="1" xfId="0" applyFont="1" applyFill="1" applyBorder="1" applyAlignment="1">
      <alignment vertical="center"/>
    </xf>
    <xf numFmtId="0" fontId="11" fillId="4" borderId="2" xfId="0" applyFont="1" applyFill="1" applyBorder="1" applyAlignment="1">
      <alignment horizontal="left" vertical="center" wrapText="1"/>
    </xf>
    <xf numFmtId="2" fontId="11" fillId="4" borderId="1" xfId="1" applyNumberFormat="1" applyFont="1" applyFill="1" applyBorder="1" applyAlignment="1">
      <alignment horizontal="right" vertical="center"/>
    </xf>
    <xf numFmtId="9" fontId="11" fillId="4" borderId="4" xfId="3" applyFont="1" applyFill="1" applyBorder="1" applyAlignment="1">
      <alignment horizontal="right" vertical="center"/>
    </xf>
    <xf numFmtId="39" fontId="11" fillId="4" borderId="4" xfId="1" applyNumberFormat="1" applyFont="1" applyFill="1" applyBorder="1" applyAlignment="1">
      <alignment horizontal="right" vertical="center"/>
    </xf>
    <xf numFmtId="39" fontId="11" fillId="4" borderId="4" xfId="1" applyNumberFormat="1" applyFont="1" applyFill="1" applyBorder="1" applyAlignment="1">
      <alignment horizontal="left" vertical="center"/>
    </xf>
    <xf numFmtId="39" fontId="11" fillId="4" borderId="1" xfId="0" applyNumberFormat="1" applyFont="1" applyFill="1" applyBorder="1" applyAlignment="1">
      <alignment vertical="center"/>
    </xf>
    <xf numFmtId="0" fontId="11" fillId="4" borderId="1" xfId="0" applyFont="1" applyFill="1" applyBorder="1" applyAlignment="1">
      <alignment vertical="center"/>
    </xf>
    <xf numFmtId="39" fontId="11" fillId="4" borderId="1" xfId="1" applyNumberFormat="1" applyFont="1" applyFill="1" applyBorder="1" applyAlignment="1">
      <alignment vertical="center"/>
    </xf>
    <xf numFmtId="2" fontId="11" fillId="0" borderId="1" xfId="1" applyNumberFormat="1" applyFont="1" applyFill="1" applyBorder="1" applyAlignment="1">
      <alignment horizontal="right" vertical="center"/>
    </xf>
    <xf numFmtId="39" fontId="11" fillId="0" borderId="4" xfId="1" applyNumberFormat="1" applyFont="1" applyFill="1" applyBorder="1" applyAlignment="1">
      <alignment horizontal="left" vertical="center"/>
    </xf>
    <xf numFmtId="2" fontId="11" fillId="8" borderId="1" xfId="0" applyNumberFormat="1" applyFont="1" applyFill="1" applyBorder="1" applyAlignment="1">
      <alignment horizontal="left" vertical="center" wrapText="1"/>
    </xf>
    <xf numFmtId="2" fontId="11" fillId="8" borderId="1" xfId="1" applyNumberFormat="1" applyFont="1" applyFill="1" applyBorder="1" applyAlignment="1">
      <alignment horizontal="right" vertical="center"/>
    </xf>
    <xf numFmtId="9" fontId="11" fillId="8" borderId="4" xfId="3" applyFont="1" applyFill="1" applyBorder="1" applyAlignment="1">
      <alignment horizontal="right" vertical="center"/>
    </xf>
    <xf numFmtId="39" fontId="11" fillId="8" borderId="4" xfId="1" applyNumberFormat="1" applyFont="1" applyFill="1" applyBorder="1" applyAlignment="1">
      <alignment horizontal="left" vertical="center"/>
    </xf>
    <xf numFmtId="9" fontId="11" fillId="8" borderId="4" xfId="3" applyFont="1" applyFill="1" applyBorder="1" applyAlignment="1">
      <alignment vertical="center"/>
    </xf>
    <xf numFmtId="39" fontId="11" fillId="8" borderId="4" xfId="1" applyNumberFormat="1" applyFont="1" applyFill="1" applyBorder="1" applyAlignment="1">
      <alignment horizontal="left" vertical="center" wrapText="1"/>
    </xf>
    <xf numFmtId="39" fontId="11" fillId="8" borderId="4" xfId="1" applyNumberFormat="1" applyFont="1" applyFill="1" applyBorder="1" applyAlignment="1">
      <alignment vertical="center"/>
    </xf>
    <xf numFmtId="39" fontId="11" fillId="4" borderId="1" xfId="5" applyNumberFormat="1" applyFont="1" applyFill="1" applyBorder="1" applyAlignment="1">
      <alignment horizontal="right" vertical="center"/>
    </xf>
    <xf numFmtId="2" fontId="11" fillId="4" borderId="1" xfId="5" applyNumberFormat="1" applyFont="1" applyFill="1" applyBorder="1" applyAlignment="1">
      <alignment horizontal="right" vertical="center"/>
    </xf>
    <xf numFmtId="9" fontId="11" fillId="4" borderId="1" xfId="3" applyFont="1" applyFill="1" applyBorder="1" applyAlignment="1">
      <alignment horizontal="left" vertical="center"/>
    </xf>
    <xf numFmtId="9" fontId="11" fillId="4" borderId="4" xfId="3" applyFont="1" applyFill="1" applyBorder="1" applyAlignment="1">
      <alignment vertical="center"/>
    </xf>
    <xf numFmtId="39" fontId="11" fillId="4" borderId="1" xfId="3" applyNumberFormat="1" applyFont="1" applyFill="1" applyBorder="1" applyAlignment="1">
      <alignment vertical="center"/>
    </xf>
    <xf numFmtId="9" fontId="10" fillId="4" borderId="1" xfId="3" applyFont="1" applyFill="1" applyBorder="1" applyAlignment="1">
      <alignment vertical="center"/>
    </xf>
    <xf numFmtId="0" fontId="10" fillId="0" borderId="53" xfId="0" applyFont="1" applyFill="1" applyBorder="1" applyAlignment="1">
      <alignment horizontal="left" vertical="center" wrapText="1"/>
    </xf>
    <xf numFmtId="9" fontId="10" fillId="0" borderId="4" xfId="3" applyFont="1" applyFill="1" applyBorder="1" applyAlignment="1">
      <alignment horizontal="left" vertical="center"/>
    </xf>
    <xf numFmtId="2" fontId="11" fillId="8" borderId="1" xfId="0" applyNumberFormat="1" applyFont="1" applyFill="1" applyBorder="1" applyAlignment="1">
      <alignment vertical="center" wrapText="1"/>
    </xf>
    <xf numFmtId="0" fontId="11" fillId="11" borderId="0" xfId="0" applyFont="1" applyFill="1" applyAlignment="1">
      <alignment vertical="center"/>
    </xf>
    <xf numFmtId="0" fontId="10" fillId="15" borderId="1" xfId="0" applyFont="1" applyFill="1" applyBorder="1" applyAlignment="1">
      <alignment horizontal="center" vertical="center" wrapText="1"/>
    </xf>
    <xf numFmtId="2" fontId="11" fillId="15" borderId="1" xfId="0" applyNumberFormat="1" applyFont="1" applyFill="1" applyBorder="1" applyAlignment="1">
      <alignment vertical="center" wrapText="1"/>
    </xf>
    <xf numFmtId="39" fontId="11" fillId="15" borderId="1" xfId="1" applyNumberFormat="1" applyFont="1" applyFill="1" applyBorder="1" applyAlignment="1">
      <alignment horizontal="right" vertical="center"/>
    </xf>
    <xf numFmtId="9" fontId="11" fillId="15" borderId="1" xfId="3" applyFont="1" applyFill="1" applyBorder="1" applyAlignment="1">
      <alignment horizontal="right" vertical="center"/>
    </xf>
    <xf numFmtId="2" fontId="11" fillId="15" borderId="1" xfId="1" applyNumberFormat="1" applyFont="1" applyFill="1" applyBorder="1" applyAlignment="1">
      <alignment horizontal="right" vertical="center"/>
    </xf>
    <xf numFmtId="39" fontId="11" fillId="15" borderId="4" xfId="1" applyNumberFormat="1" applyFont="1" applyFill="1" applyBorder="1" applyAlignment="1">
      <alignment horizontal="right" vertical="center"/>
    </xf>
    <xf numFmtId="39" fontId="11" fillId="15" borderId="4" xfId="1" applyNumberFormat="1" applyFont="1" applyFill="1" applyBorder="1" applyAlignment="1">
      <alignment horizontal="left" vertical="center"/>
    </xf>
    <xf numFmtId="9" fontId="11" fillId="15" borderId="4" xfId="3" applyFont="1" applyFill="1" applyBorder="1" applyAlignment="1">
      <alignment vertical="center"/>
    </xf>
    <xf numFmtId="39" fontId="11" fillId="15" borderId="4" xfId="1" applyNumberFormat="1" applyFont="1" applyFill="1" applyBorder="1" applyAlignment="1">
      <alignment horizontal="left" vertical="center" wrapText="1"/>
    </xf>
    <xf numFmtId="39" fontId="11" fillId="15" borderId="4" xfId="1" applyNumberFormat="1" applyFont="1" applyFill="1" applyBorder="1" applyAlignment="1">
      <alignment vertical="center"/>
    </xf>
    <xf numFmtId="39" fontId="10" fillId="0" borderId="4" xfId="1" applyNumberFormat="1" applyFont="1" applyFill="1" applyBorder="1" applyAlignment="1">
      <alignment horizontal="left" vertical="center"/>
    </xf>
    <xf numFmtId="0" fontId="10" fillId="0" borderId="3" xfId="0" applyFont="1" applyFill="1" applyBorder="1" applyAlignment="1">
      <alignment vertical="center" wrapText="1"/>
    </xf>
    <xf numFmtId="39" fontId="10" fillId="0" borderId="53" xfId="0" applyNumberFormat="1" applyFont="1" applyFill="1" applyBorder="1" applyAlignment="1">
      <alignment horizontal="left" vertical="center" wrapText="1"/>
    </xf>
    <xf numFmtId="0" fontId="10" fillId="0" borderId="3" xfId="0" applyFont="1" applyFill="1" applyBorder="1" applyAlignment="1">
      <alignment horizontal="left" vertical="center"/>
    </xf>
    <xf numFmtId="2" fontId="11" fillId="15" borderId="1" xfId="0" applyNumberFormat="1" applyFont="1" applyFill="1" applyBorder="1" applyAlignment="1">
      <alignment horizontal="left" vertical="center" wrapText="1"/>
    </xf>
    <xf numFmtId="2" fontId="10" fillId="19" borderId="1" xfId="0" applyNumberFormat="1" applyFont="1" applyFill="1" applyBorder="1" applyAlignment="1">
      <alignment vertical="center" wrapText="1"/>
    </xf>
    <xf numFmtId="9" fontId="11" fillId="19" borderId="1" xfId="3" applyFont="1" applyFill="1" applyBorder="1" applyAlignment="1">
      <alignment horizontal="right" vertical="center"/>
    </xf>
    <xf numFmtId="2" fontId="11" fillId="19" borderId="1" xfId="0" applyNumberFormat="1" applyFont="1" applyFill="1" applyBorder="1" applyAlignment="1">
      <alignment horizontal="right" vertical="center"/>
    </xf>
    <xf numFmtId="9" fontId="11" fillId="19" borderId="4" xfId="3" applyFont="1" applyFill="1" applyBorder="1" applyAlignment="1">
      <alignment horizontal="right" vertical="center"/>
    </xf>
    <xf numFmtId="39" fontId="11" fillId="19" borderId="4" xfId="0" applyNumberFormat="1" applyFont="1" applyFill="1" applyBorder="1" applyAlignment="1">
      <alignment horizontal="right" vertical="center"/>
    </xf>
    <xf numFmtId="39" fontId="11" fillId="19" borderId="4" xfId="0" applyNumberFormat="1" applyFont="1" applyFill="1" applyBorder="1" applyAlignment="1">
      <alignment horizontal="left" vertical="center"/>
    </xf>
    <xf numFmtId="9" fontId="11" fillId="19" borderId="4" xfId="3" applyFont="1" applyFill="1" applyBorder="1" applyAlignment="1">
      <alignment vertical="center"/>
    </xf>
    <xf numFmtId="39" fontId="11" fillId="19" borderId="4" xfId="0" applyNumberFormat="1" applyFont="1" applyFill="1" applyBorder="1" applyAlignment="1">
      <alignment horizontal="left" vertical="center" wrapText="1"/>
    </xf>
    <xf numFmtId="39" fontId="11" fillId="19" borderId="4" xfId="0" applyNumberFormat="1" applyFont="1" applyFill="1" applyBorder="1" applyAlignment="1">
      <alignment vertical="center"/>
    </xf>
    <xf numFmtId="37" fontId="11" fillId="19" borderId="1" xfId="0" applyNumberFormat="1" applyFont="1" applyFill="1" applyBorder="1" applyAlignment="1">
      <alignment horizontal="right" vertical="center"/>
    </xf>
    <xf numFmtId="2" fontId="10" fillId="0" borderId="0" xfId="0" applyNumberFormat="1" applyFont="1" applyAlignment="1">
      <alignment vertical="center"/>
    </xf>
    <xf numFmtId="9" fontId="10" fillId="0" borderId="0" xfId="3" applyFont="1" applyFill="1" applyAlignment="1">
      <alignment horizontal="right" vertical="center"/>
    </xf>
    <xf numFmtId="2" fontId="10" fillId="0" borderId="0" xfId="0" applyNumberFormat="1" applyFont="1" applyFill="1" applyAlignment="1">
      <alignment horizontal="right" vertical="center"/>
    </xf>
    <xf numFmtId="9" fontId="10" fillId="0" borderId="0" xfId="3" applyNumberFormat="1" applyFont="1" applyAlignment="1">
      <alignment horizontal="left" vertical="center"/>
    </xf>
    <xf numFmtId="0" fontId="11" fillId="0" borderId="6" xfId="0" applyFont="1" applyBorder="1" applyAlignment="1">
      <alignment horizontal="left" vertical="center"/>
    </xf>
    <xf numFmtId="0" fontId="10" fillId="0" borderId="6" xfId="0" applyFont="1" applyBorder="1" applyAlignment="1">
      <alignment horizontal="center" vertical="center"/>
    </xf>
    <xf numFmtId="2" fontId="11" fillId="0" borderId="7" xfId="0" applyNumberFormat="1" applyFont="1" applyBorder="1" applyAlignment="1">
      <alignment vertical="center"/>
    </xf>
    <xf numFmtId="2" fontId="11" fillId="0" borderId="0" xfId="0" applyNumberFormat="1" applyFont="1" applyAlignment="1">
      <alignment vertical="center"/>
    </xf>
    <xf numFmtId="39" fontId="11" fillId="0" borderId="0" xfId="0" applyNumberFormat="1" applyFont="1" applyAlignment="1">
      <alignment horizontal="right" vertical="center"/>
    </xf>
    <xf numFmtId="2" fontId="11" fillId="0" borderId="0" xfId="0" applyNumberFormat="1" applyFont="1" applyAlignment="1">
      <alignment horizontal="right" vertical="center"/>
    </xf>
    <xf numFmtId="0" fontId="11" fillId="0" borderId="12" xfId="0" applyFont="1" applyBorder="1" applyAlignment="1">
      <alignment vertical="center"/>
    </xf>
    <xf numFmtId="0" fontId="10" fillId="0" borderId="0" xfId="0" applyFont="1" applyBorder="1" applyAlignment="1">
      <alignment horizontal="left" vertical="center"/>
    </xf>
    <xf numFmtId="2" fontId="10" fillId="0" borderId="13" xfId="0" applyNumberFormat="1" applyFont="1" applyBorder="1" applyAlignment="1">
      <alignment vertical="center"/>
    </xf>
    <xf numFmtId="39" fontId="10" fillId="0" borderId="0" xfId="0" applyNumberFormat="1" applyFont="1" applyBorder="1" applyAlignment="1">
      <alignment horizontal="right" vertical="center"/>
    </xf>
    <xf numFmtId="9" fontId="10" fillId="0" borderId="0" xfId="3" applyFont="1" applyBorder="1" applyAlignment="1">
      <alignment horizontal="right" vertical="center"/>
    </xf>
    <xf numFmtId="2" fontId="10" fillId="0" borderId="0" xfId="0" applyNumberFormat="1" applyFont="1" applyBorder="1" applyAlignment="1">
      <alignment horizontal="right" vertical="center"/>
    </xf>
    <xf numFmtId="2" fontId="10" fillId="0" borderId="7" xfId="0" applyNumberFormat="1" applyFont="1" applyBorder="1" applyAlignment="1">
      <alignment vertical="center"/>
    </xf>
    <xf numFmtId="2" fontId="10" fillId="0" borderId="0" xfId="0" applyNumberFormat="1" applyFont="1" applyAlignment="1">
      <alignment horizontal="right" vertical="center"/>
    </xf>
    <xf numFmtId="0" fontId="11" fillId="0" borderId="9" xfId="0" applyFont="1" applyBorder="1" applyAlignment="1">
      <alignment vertical="center"/>
    </xf>
    <xf numFmtId="0" fontId="10" fillId="0" borderId="9" xfId="0" applyFont="1" applyFill="1" applyBorder="1" applyAlignment="1">
      <alignment horizontal="left" vertical="center"/>
    </xf>
    <xf numFmtId="0" fontId="10" fillId="0" borderId="9" xfId="0" applyFont="1" applyBorder="1" applyAlignment="1">
      <alignment horizontal="center" vertical="center"/>
    </xf>
    <xf numFmtId="2" fontId="10" fillId="0" borderId="10" xfId="0" applyNumberFormat="1" applyFont="1" applyBorder="1" applyAlignment="1">
      <alignment vertical="center"/>
    </xf>
    <xf numFmtId="0" fontId="61" fillId="0" borderId="0" xfId="0" applyFont="1" applyBorder="1" applyAlignment="1">
      <alignment horizontal="center" vertical="center"/>
    </xf>
    <xf numFmtId="0" fontId="38" fillId="17" borderId="11" xfId="0" applyFont="1" applyFill="1" applyBorder="1" applyAlignment="1">
      <alignment horizontal="left" vertical="center" wrapText="1"/>
    </xf>
    <xf numFmtId="9" fontId="38" fillId="14" borderId="11" xfId="3" applyFont="1" applyFill="1" applyBorder="1" applyAlignment="1">
      <alignment vertical="center" wrapText="1"/>
    </xf>
    <xf numFmtId="39" fontId="38" fillId="14" borderId="11" xfId="2" applyNumberFormat="1" applyFont="1" applyFill="1" applyBorder="1" applyAlignment="1">
      <alignment vertical="center" wrapText="1"/>
    </xf>
    <xf numFmtId="0" fontId="29" fillId="0" borderId="0" xfId="0" applyFont="1" applyAlignment="1">
      <alignment vertical="center"/>
    </xf>
    <xf numFmtId="0" fontId="38" fillId="17" borderId="11" xfId="0" applyFont="1" applyFill="1" applyBorder="1" applyAlignment="1">
      <alignment vertical="center" wrapText="1"/>
    </xf>
    <xf numFmtId="2" fontId="38" fillId="17" borderId="11" xfId="0" applyNumberFormat="1" applyFont="1" applyFill="1" applyBorder="1" applyAlignment="1">
      <alignment vertical="center" wrapText="1"/>
    </xf>
    <xf numFmtId="39" fontId="38" fillId="17" borderId="11" xfId="2" applyNumberFormat="1" applyFont="1" applyFill="1" applyBorder="1" applyAlignment="1">
      <alignment vertical="center" wrapText="1"/>
    </xf>
    <xf numFmtId="9" fontId="38" fillId="17" borderId="11" xfId="3" applyFont="1" applyFill="1" applyBorder="1" applyAlignment="1">
      <alignment vertical="center" wrapText="1"/>
    </xf>
    <xf numFmtId="0" fontId="38" fillId="17" borderId="11" xfId="2" applyNumberFormat="1" applyFont="1" applyFill="1" applyBorder="1" applyAlignment="1">
      <alignment vertical="center" wrapText="1"/>
    </xf>
    <xf numFmtId="0" fontId="38" fillId="14" borderId="11" xfId="2" applyNumberFormat="1" applyFont="1" applyFill="1" applyBorder="1" applyAlignment="1">
      <alignment vertical="center" wrapText="1"/>
    </xf>
    <xf numFmtId="39" fontId="11" fillId="0" borderId="1" xfId="0" applyNumberFormat="1" applyFont="1" applyBorder="1" applyAlignment="1">
      <alignment vertical="center"/>
    </xf>
    <xf numFmtId="0" fontId="34" fillId="12" borderId="1" xfId="0" applyFont="1" applyFill="1" applyBorder="1" applyAlignment="1">
      <alignment horizontal="center" vertical="center" wrapText="1"/>
    </xf>
    <xf numFmtId="37" fontId="0" fillId="0" borderId="1" xfId="1" applyNumberFormat="1" applyFont="1" applyBorder="1" applyAlignment="1">
      <alignment horizontal="right" vertical="center" wrapText="1"/>
    </xf>
    <xf numFmtId="168" fontId="12" fillId="13" borderId="1" xfId="1" applyNumberFormat="1" applyFont="1" applyFill="1" applyBorder="1" applyAlignment="1">
      <alignment horizontal="right" vertical="center"/>
    </xf>
    <xf numFmtId="3" fontId="12" fillId="13" borderId="1" xfId="3" applyNumberFormat="1" applyFont="1" applyFill="1" applyBorder="1" applyAlignment="1">
      <alignment horizontal="right" vertical="center"/>
    </xf>
    <xf numFmtId="168" fontId="13" fillId="13" borderId="1" xfId="1" applyNumberFormat="1" applyFont="1" applyFill="1" applyBorder="1" applyAlignment="1">
      <alignment horizontal="right" vertical="center"/>
    </xf>
    <xf numFmtId="168" fontId="12" fillId="10" borderId="1" xfId="1" applyNumberFormat="1" applyFont="1" applyFill="1" applyBorder="1" applyAlignment="1">
      <alignment horizontal="right" vertical="center"/>
    </xf>
    <xf numFmtId="3" fontId="12" fillId="10" borderId="1" xfId="3" applyNumberFormat="1" applyFont="1" applyFill="1" applyBorder="1" applyAlignment="1">
      <alignment horizontal="right" vertical="center"/>
    </xf>
    <xf numFmtId="168" fontId="13" fillId="10" borderId="1" xfId="1" applyNumberFormat="1" applyFont="1" applyFill="1" applyBorder="1" applyAlignment="1">
      <alignment horizontal="right" vertical="center"/>
    </xf>
    <xf numFmtId="168" fontId="12" fillId="4" borderId="1" xfId="1" applyNumberFormat="1" applyFont="1" applyFill="1" applyBorder="1" applyAlignment="1">
      <alignment horizontal="right" vertical="center"/>
    </xf>
    <xf numFmtId="3" fontId="12" fillId="4" borderId="1" xfId="3" applyNumberFormat="1" applyFont="1" applyFill="1" applyBorder="1" applyAlignment="1">
      <alignment horizontal="right" vertical="center"/>
    </xf>
    <xf numFmtId="168" fontId="13" fillId="4" borderId="1" xfId="1" applyNumberFormat="1" applyFont="1" applyFill="1" applyBorder="1" applyAlignment="1">
      <alignment horizontal="right" vertical="center"/>
    </xf>
    <xf numFmtId="165" fontId="10" fillId="6" borderId="1" xfId="0" applyNumberFormat="1" applyFont="1" applyFill="1" applyBorder="1" applyAlignment="1">
      <alignment horizontal="right"/>
    </xf>
    <xf numFmtId="3" fontId="10" fillId="6" borderId="1" xfId="3" applyNumberFormat="1" applyFont="1" applyFill="1" applyBorder="1" applyAlignment="1">
      <alignment horizontal="right"/>
    </xf>
    <xf numFmtId="168" fontId="13" fillId="0" borderId="1" xfId="1" applyNumberFormat="1" applyFont="1" applyFill="1" applyBorder="1" applyAlignment="1">
      <alignment horizontal="right" vertical="center"/>
    </xf>
    <xf numFmtId="165" fontId="11" fillId="31" borderId="1" xfId="0" applyNumberFormat="1" applyFont="1" applyFill="1" applyBorder="1" applyAlignment="1">
      <alignment horizontal="right"/>
    </xf>
    <xf numFmtId="4" fontId="10" fillId="0" borderId="0" xfId="0" applyNumberFormat="1" applyFont="1"/>
    <xf numFmtId="168" fontId="15" fillId="0" borderId="1" xfId="5" applyNumberFormat="1" applyFont="1" applyBorder="1" applyAlignment="1">
      <alignment horizontal="left" vertical="center"/>
    </xf>
    <xf numFmtId="167" fontId="15" fillId="0" borderId="1" xfId="5" applyFont="1" applyBorder="1" applyAlignment="1">
      <alignment horizontal="left" vertical="center"/>
    </xf>
    <xf numFmtId="0" fontId="19" fillId="11" borderId="8" xfId="0" applyFont="1" applyFill="1" applyBorder="1" applyAlignment="1">
      <alignment vertical="center" wrapText="1"/>
    </xf>
    <xf numFmtId="0" fontId="62" fillId="26" borderId="4" xfId="0" applyFont="1" applyFill="1" applyBorder="1" applyAlignment="1">
      <alignment horizontal="left" vertical="center" wrapText="1"/>
    </xf>
    <xf numFmtId="0" fontId="62" fillId="10" borderId="1" xfId="0" applyFont="1" applyFill="1" applyBorder="1" applyAlignment="1">
      <alignment horizontal="left" vertical="center" wrapText="1"/>
    </xf>
    <xf numFmtId="0" fontId="63" fillId="0" borderId="1" xfId="0" applyFont="1" applyBorder="1" applyAlignment="1">
      <alignment vertical="center"/>
    </xf>
    <xf numFmtId="9" fontId="62" fillId="8" borderId="1" xfId="3" applyFont="1" applyFill="1" applyBorder="1" applyAlignment="1">
      <alignment horizontal="right" vertical="center" wrapText="1"/>
    </xf>
    <xf numFmtId="9" fontId="62" fillId="8" borderId="4" xfId="3" applyFont="1" applyFill="1" applyBorder="1" applyAlignment="1">
      <alignment horizontal="right" vertical="center" wrapText="1"/>
    </xf>
    <xf numFmtId="167" fontId="62" fillId="8" borderId="1" xfId="1" applyFont="1" applyFill="1" applyBorder="1" applyAlignment="1">
      <alignment horizontal="right" vertical="center" wrapText="1"/>
    </xf>
    <xf numFmtId="9" fontId="72" fillId="8" borderId="1" xfId="3" applyFont="1" applyFill="1" applyBorder="1" applyAlignment="1">
      <alignment horizontal="left" vertical="top" wrapText="1"/>
    </xf>
    <xf numFmtId="9" fontId="73" fillId="3" borderId="1" xfId="3" applyFont="1" applyFill="1" applyBorder="1" applyAlignment="1">
      <alignment vertical="center" wrapText="1"/>
    </xf>
    <xf numFmtId="9" fontId="73" fillId="3" borderId="4" xfId="3" applyFont="1" applyFill="1" applyBorder="1" applyAlignment="1">
      <alignment vertical="center" wrapText="1"/>
    </xf>
    <xf numFmtId="167" fontId="73" fillId="3" borderId="1" xfId="1" applyFont="1" applyFill="1" applyBorder="1" applyAlignment="1">
      <alignment vertical="center" wrapText="1"/>
    </xf>
    <xf numFmtId="9" fontId="75" fillId="27" borderId="1" xfId="3" applyFont="1" applyFill="1" applyBorder="1" applyAlignment="1">
      <alignment vertical="center" wrapText="1"/>
    </xf>
    <xf numFmtId="9" fontId="75" fillId="27" borderId="4" xfId="3" applyFont="1" applyFill="1" applyBorder="1" applyAlignment="1">
      <alignment vertical="center" wrapText="1"/>
    </xf>
    <xf numFmtId="0" fontId="75" fillId="27" borderId="1" xfId="3" applyNumberFormat="1" applyFont="1" applyFill="1" applyBorder="1" applyAlignment="1">
      <alignment vertical="center" wrapText="1"/>
    </xf>
    <xf numFmtId="9" fontId="70" fillId="10" borderId="1" xfId="3" applyFont="1" applyFill="1" applyBorder="1"/>
    <xf numFmtId="9" fontId="70" fillId="10" borderId="4" xfId="3" applyFont="1" applyFill="1" applyBorder="1"/>
    <xf numFmtId="0" fontId="70" fillId="10" borderId="1" xfId="3" applyNumberFormat="1" applyFont="1" applyFill="1" applyBorder="1"/>
    <xf numFmtId="9" fontId="75" fillId="4" borderId="1" xfId="3" applyFont="1" applyFill="1" applyBorder="1" applyAlignment="1">
      <alignment wrapText="1"/>
    </xf>
    <xf numFmtId="9" fontId="75" fillId="4" borderId="4" xfId="3" applyFont="1" applyFill="1" applyBorder="1"/>
    <xf numFmtId="9" fontId="75" fillId="4" borderId="1" xfId="3" applyFont="1" applyFill="1" applyBorder="1"/>
    <xf numFmtId="167" fontId="75" fillId="4" borderId="1" xfId="3" applyNumberFormat="1" applyFont="1" applyFill="1" applyBorder="1"/>
    <xf numFmtId="9" fontId="75" fillId="29" borderId="1" xfId="3" applyFont="1" applyFill="1" applyBorder="1" applyAlignment="1">
      <alignment vertical="center" wrapText="1"/>
    </xf>
    <xf numFmtId="9" fontId="75" fillId="29" borderId="4" xfId="3" applyFont="1" applyFill="1" applyBorder="1" applyAlignment="1">
      <alignment vertical="center" wrapText="1"/>
    </xf>
    <xf numFmtId="0" fontId="75" fillId="4" borderId="1" xfId="3" applyNumberFormat="1" applyFont="1" applyFill="1" applyBorder="1"/>
    <xf numFmtId="9" fontId="75" fillId="28" borderId="1" xfId="3" applyFont="1" applyFill="1" applyBorder="1" applyAlignment="1">
      <alignment vertical="center"/>
    </xf>
    <xf numFmtId="9" fontId="75" fillId="28" borderId="4" xfId="3" applyFont="1" applyFill="1" applyBorder="1" applyAlignment="1">
      <alignment vertical="center"/>
    </xf>
    <xf numFmtId="9" fontId="70" fillId="11" borderId="1" xfId="3" applyFont="1" applyFill="1" applyBorder="1"/>
    <xf numFmtId="9" fontId="70" fillId="11" borderId="4" xfId="3" applyFont="1" applyFill="1" applyBorder="1"/>
    <xf numFmtId="0" fontId="75" fillId="28" borderId="1" xfId="3" applyNumberFormat="1" applyFont="1" applyFill="1" applyBorder="1" applyAlignment="1">
      <alignment vertical="center"/>
    </xf>
    <xf numFmtId="9" fontId="71" fillId="8" borderId="1" xfId="3" applyFont="1" applyFill="1" applyBorder="1"/>
    <xf numFmtId="9" fontId="71" fillId="8" borderId="4" xfId="3" applyFont="1" applyFill="1" applyBorder="1"/>
    <xf numFmtId="2" fontId="50" fillId="0" borderId="14" xfId="0" applyNumberFormat="1" applyFont="1" applyBorder="1" applyAlignment="1">
      <alignment horizontal="center"/>
    </xf>
    <xf numFmtId="2" fontId="50" fillId="0" borderId="11" xfId="0" applyNumberFormat="1" applyFont="1" applyBorder="1" applyAlignment="1">
      <alignment horizontal="center"/>
    </xf>
    <xf numFmtId="173" fontId="10" fillId="0" borderId="2" xfId="3" applyNumberFormat="1" applyFont="1" applyBorder="1" applyAlignment="1">
      <alignment horizontal="center" vertical="center"/>
    </xf>
    <xf numFmtId="172" fontId="10" fillId="0" borderId="4" xfId="10" applyNumberFormat="1" applyFont="1" applyBorder="1" applyAlignment="1">
      <alignment vertical="center"/>
    </xf>
    <xf numFmtId="9" fontId="10" fillId="0" borderId="2" xfId="3" applyFont="1" applyBorder="1" applyAlignment="1">
      <alignment horizontal="center" vertical="center"/>
    </xf>
    <xf numFmtId="172" fontId="10" fillId="0" borderId="18" xfId="10" applyNumberFormat="1" applyFont="1" applyBorder="1" applyAlignment="1">
      <alignment vertical="center"/>
    </xf>
    <xf numFmtId="0" fontId="10" fillId="0" borderId="25" xfId="10" applyNumberFormat="1" applyFont="1" applyBorder="1" applyAlignment="1">
      <alignment vertical="center" wrapText="1"/>
    </xf>
    <xf numFmtId="172" fontId="10" fillId="0" borderId="1" xfId="10" applyNumberFormat="1" applyFont="1" applyBorder="1" applyAlignment="1">
      <alignment vertical="center"/>
    </xf>
    <xf numFmtId="172" fontId="10" fillId="0" borderId="25" xfId="10" applyNumberFormat="1" applyFont="1" applyBorder="1" applyAlignment="1">
      <alignment vertical="center"/>
    </xf>
    <xf numFmtId="0" fontId="11" fillId="6" borderId="7" xfId="9" applyFont="1" applyFill="1" applyBorder="1" applyAlignment="1">
      <alignment horizontal="left" vertical="center"/>
    </xf>
    <xf numFmtId="0" fontId="31" fillId="6" borderId="6" xfId="9" applyFont="1" applyFill="1" applyBorder="1" applyAlignment="1">
      <alignment horizontal="left" vertical="center" wrapText="1"/>
    </xf>
    <xf numFmtId="0" fontId="10" fillId="6" borderId="7" xfId="9" applyFont="1" applyFill="1" applyBorder="1" applyAlignment="1">
      <alignment horizontal="left" vertical="center"/>
    </xf>
    <xf numFmtId="0" fontId="12" fillId="0" borderId="1" xfId="0" applyFont="1" applyBorder="1" applyAlignment="1">
      <alignment horizontal="justify" vertical="center" wrapText="1"/>
    </xf>
    <xf numFmtId="0" fontId="12" fillId="8" borderId="1" xfId="0" applyFont="1" applyFill="1" applyBorder="1" applyAlignment="1">
      <alignment vertical="center" wrapText="1"/>
    </xf>
    <xf numFmtId="0" fontId="12" fillId="0" borderId="1" xfId="0" applyFont="1" applyBorder="1" applyAlignment="1">
      <alignment horizontal="right" vertical="center" wrapText="1"/>
    </xf>
    <xf numFmtId="176" fontId="12" fillId="0" borderId="1" xfId="0" applyNumberFormat="1" applyFont="1" applyBorder="1" applyAlignment="1">
      <alignment vertical="center" wrapText="1"/>
    </xf>
    <xf numFmtId="176" fontId="12" fillId="7" borderId="1" xfId="0" applyNumberFormat="1" applyFont="1" applyFill="1" applyBorder="1" applyAlignment="1">
      <alignment vertical="center" wrapText="1"/>
    </xf>
    <xf numFmtId="39" fontId="12" fillId="7" borderId="1" xfId="5" applyNumberFormat="1" applyFont="1" applyFill="1" applyBorder="1" applyAlignment="1">
      <alignment vertical="center"/>
    </xf>
    <xf numFmtId="9" fontId="12" fillId="7" borderId="1" xfId="5" applyNumberFormat="1" applyFont="1" applyFill="1" applyBorder="1" applyAlignment="1">
      <alignment vertical="center"/>
    </xf>
    <xf numFmtId="39" fontId="12" fillId="38" borderId="1" xfId="5" applyNumberFormat="1" applyFont="1" applyFill="1" applyBorder="1" applyAlignment="1">
      <alignment vertical="center"/>
    </xf>
    <xf numFmtId="9" fontId="64" fillId="0" borderId="1" xfId="3" applyFont="1" applyBorder="1" applyAlignment="1">
      <alignment wrapText="1"/>
    </xf>
    <xf numFmtId="9" fontId="64" fillId="0" borderId="1" xfId="3" applyFont="1" applyBorder="1"/>
    <xf numFmtId="9" fontId="10" fillId="0" borderId="1" xfId="3" applyFont="1" applyBorder="1"/>
    <xf numFmtId="165" fontId="10" fillId="0" borderId="1" xfId="1" applyNumberFormat="1" applyFont="1" applyBorder="1"/>
    <xf numFmtId="0" fontId="32" fillId="19" borderId="1" xfId="0" applyFont="1" applyFill="1" applyBorder="1" applyAlignment="1">
      <alignment horizontal="justify" vertical="center" wrapText="1"/>
    </xf>
    <xf numFmtId="0" fontId="12" fillId="19" borderId="1" xfId="0" applyFont="1" applyFill="1" applyBorder="1" applyAlignment="1">
      <alignment vertical="center" wrapText="1"/>
    </xf>
    <xf numFmtId="0" fontId="12" fillId="19" borderId="1" xfId="0" applyFont="1" applyFill="1" applyBorder="1" applyAlignment="1">
      <alignment horizontal="center" vertical="center" wrapText="1"/>
    </xf>
    <xf numFmtId="0" fontId="12" fillId="19" borderId="1" xfId="0" applyFont="1" applyFill="1" applyBorder="1" applyAlignment="1">
      <alignment horizontal="right" vertical="top" wrapText="1"/>
    </xf>
    <xf numFmtId="176" fontId="12" fillId="19" borderId="1" xfId="0" applyNumberFormat="1" applyFont="1" applyFill="1" applyBorder="1" applyAlignment="1">
      <alignment horizontal="right" vertical="top" wrapText="1"/>
    </xf>
    <xf numFmtId="176" fontId="13" fillId="19" borderId="1" xfId="5" applyNumberFormat="1" applyFont="1" applyFill="1" applyBorder="1"/>
    <xf numFmtId="39" fontId="12" fillId="19" borderId="1" xfId="5" applyNumberFormat="1" applyFont="1" applyFill="1" applyBorder="1" applyAlignment="1">
      <alignment vertical="center"/>
    </xf>
    <xf numFmtId="39" fontId="12" fillId="19" borderId="1" xfId="5" applyNumberFormat="1" applyFont="1" applyFill="1" applyBorder="1"/>
    <xf numFmtId="39" fontId="13" fillId="19" borderId="1" xfId="5" applyNumberFormat="1" applyFont="1" applyFill="1" applyBorder="1"/>
    <xf numFmtId="39" fontId="12" fillId="19" borderId="4" xfId="5" applyNumberFormat="1" applyFont="1" applyFill="1" applyBorder="1"/>
    <xf numFmtId="39" fontId="13" fillId="19" borderId="4" xfId="5" applyNumberFormat="1" applyFont="1" applyFill="1" applyBorder="1"/>
    <xf numFmtId="9" fontId="64" fillId="19" borderId="1" xfId="3" applyFont="1" applyFill="1" applyBorder="1"/>
    <xf numFmtId="0" fontId="13" fillId="0" borderId="4" xfId="0" applyFont="1" applyBorder="1" applyAlignment="1">
      <alignment vertical="center" wrapText="1"/>
    </xf>
    <xf numFmtId="9" fontId="63" fillId="0" borderId="1" xfId="3" applyFont="1" applyBorder="1" applyAlignment="1">
      <alignment vertical="center"/>
    </xf>
    <xf numFmtId="176" fontId="12" fillId="7" borderId="1" xfId="5" applyNumberFormat="1" applyFont="1" applyFill="1" applyBorder="1" applyAlignment="1">
      <alignment vertical="center"/>
    </xf>
    <xf numFmtId="39" fontId="12" fillId="7" borderId="4" xfId="5" applyNumberFormat="1" applyFont="1" applyFill="1" applyBorder="1" applyAlignment="1">
      <alignment vertical="center"/>
    </xf>
    <xf numFmtId="167" fontId="12" fillId="38" borderId="1" xfId="5" applyFont="1" applyFill="1" applyBorder="1" applyAlignment="1">
      <alignment vertical="center"/>
    </xf>
    <xf numFmtId="0" fontId="77" fillId="30" borderId="0" xfId="0" applyFont="1" applyFill="1"/>
    <xf numFmtId="0" fontId="12" fillId="8" borderId="1" xfId="0" applyFont="1" applyFill="1" applyBorder="1" applyAlignment="1">
      <alignment vertical="top" wrapText="1"/>
    </xf>
    <xf numFmtId="0" fontId="12" fillId="0" borderId="1" xfId="0" applyFont="1" applyBorder="1" applyAlignment="1">
      <alignment horizontal="right" vertical="top" wrapText="1"/>
    </xf>
    <xf numFmtId="176" fontId="12" fillId="0" borderId="1" xfId="0" applyNumberFormat="1" applyFont="1" applyBorder="1" applyAlignment="1">
      <alignment horizontal="right" vertical="top" wrapText="1"/>
    </xf>
    <xf numFmtId="176" fontId="12" fillId="7" borderId="1" xfId="5" applyNumberFormat="1" applyFont="1" applyFill="1" applyBorder="1"/>
    <xf numFmtId="39" fontId="12" fillId="7" borderId="1" xfId="5" applyNumberFormat="1" applyFont="1" applyFill="1" applyBorder="1"/>
    <xf numFmtId="39" fontId="12" fillId="7" borderId="4" xfId="5" applyNumberFormat="1" applyFont="1" applyFill="1" applyBorder="1"/>
    <xf numFmtId="0" fontId="12" fillId="0" borderId="1" xfId="0" applyFont="1" applyBorder="1" applyAlignment="1">
      <alignment horizontal="justify" vertical="center"/>
    </xf>
    <xf numFmtId="0" fontId="12" fillId="8" borderId="3" xfId="0" applyFont="1" applyFill="1" applyBorder="1" applyAlignment="1">
      <alignment horizontal="left" vertical="top" wrapText="1"/>
    </xf>
    <xf numFmtId="176" fontId="12" fillId="7" borderId="1" xfId="0" applyNumberFormat="1" applyFont="1" applyFill="1" applyBorder="1" applyAlignment="1">
      <alignment horizontal="right" vertical="center" wrapText="1"/>
    </xf>
    <xf numFmtId="9" fontId="63" fillId="0" borderId="4" xfId="3" applyFont="1" applyBorder="1" applyAlignment="1">
      <alignment vertical="center"/>
    </xf>
    <xf numFmtId="176" fontId="12" fillId="0" borderId="1" xfId="0" applyNumberFormat="1" applyFont="1" applyBorder="1" applyAlignment="1">
      <alignment horizontal="right" vertical="center" wrapText="1"/>
    </xf>
    <xf numFmtId="9" fontId="64" fillId="0" borderId="4" xfId="3" applyFont="1" applyBorder="1"/>
    <xf numFmtId="165" fontId="10" fillId="0" borderId="1" xfId="0" applyNumberFormat="1" applyFont="1" applyBorder="1"/>
    <xf numFmtId="176" fontId="12" fillId="7" borderId="1" xfId="0" applyNumberFormat="1" applyFont="1" applyFill="1" applyBorder="1" applyAlignment="1">
      <alignment horizontal="right" vertical="top" wrapText="1"/>
    </xf>
    <xf numFmtId="9" fontId="64" fillId="19" borderId="4" xfId="3" applyFont="1" applyFill="1" applyBorder="1"/>
    <xf numFmtId="0" fontId="12" fillId="0" borderId="1" xfId="0" applyFont="1" applyBorder="1" applyAlignment="1">
      <alignment wrapText="1"/>
    </xf>
    <xf numFmtId="0" fontId="13" fillId="40" borderId="11" xfId="20" applyFont="1" applyFill="1" applyBorder="1" applyAlignment="1">
      <alignment horizontal="left" vertical="center"/>
    </xf>
    <xf numFmtId="176" fontId="12" fillId="7" borderId="4" xfId="5" applyNumberFormat="1" applyFont="1" applyFill="1" applyBorder="1" applyAlignment="1">
      <alignment horizontal="right" vertical="center"/>
    </xf>
    <xf numFmtId="0" fontId="12" fillId="0" borderId="3" xfId="0" applyFont="1" applyBorder="1" applyAlignment="1">
      <alignment horizontal="right" vertical="center" wrapText="1"/>
    </xf>
    <xf numFmtId="176" fontId="12" fillId="11" borderId="1" xfId="5" applyNumberFormat="1" applyFont="1" applyFill="1" applyBorder="1"/>
    <xf numFmtId="167" fontId="10" fillId="0" borderId="1" xfId="1" applyFont="1" applyBorder="1"/>
    <xf numFmtId="0" fontId="77" fillId="41" borderId="0" xfId="0" applyFont="1" applyFill="1"/>
    <xf numFmtId="0" fontId="12" fillId="0" borderId="1" xfId="0" applyFont="1" applyBorder="1"/>
    <xf numFmtId="0" fontId="12" fillId="42" borderId="3" xfId="0" applyFont="1" applyFill="1" applyBorder="1" applyAlignment="1">
      <alignment horizontal="left" vertical="center" wrapText="1"/>
    </xf>
    <xf numFmtId="0" fontId="13" fillId="40" borderId="11" xfId="20" applyFont="1" applyFill="1" applyBorder="1" applyAlignment="1">
      <alignment horizontal="right" vertical="center"/>
    </xf>
    <xf numFmtId="0" fontId="12" fillId="11" borderId="1" xfId="0" applyFont="1" applyFill="1" applyBorder="1" applyAlignment="1">
      <alignment horizontal="right" vertical="top" wrapText="1"/>
    </xf>
    <xf numFmtId="0" fontId="12" fillId="0" borderId="1" xfId="0" applyFont="1" applyBorder="1" applyAlignment="1">
      <alignment horizontal="right" wrapText="1"/>
    </xf>
    <xf numFmtId="176" fontId="12" fillId="0" borderId="1" xfId="0" applyNumberFormat="1" applyFont="1" applyBorder="1" applyAlignment="1">
      <alignment horizontal="right" wrapText="1"/>
    </xf>
    <xf numFmtId="0" fontId="12" fillId="0" borderId="3" xfId="0" applyFont="1" applyBorder="1" applyAlignment="1">
      <alignment horizontal="right" wrapText="1"/>
    </xf>
    <xf numFmtId="175" fontId="12" fillId="0" borderId="2" xfId="1" applyNumberFormat="1" applyFont="1" applyBorder="1" applyAlignment="1">
      <alignment horizontal="right" wrapText="1"/>
    </xf>
    <xf numFmtId="0" fontId="12" fillId="0" borderId="2" xfId="0" applyFont="1" applyBorder="1" applyAlignment="1">
      <alignment horizontal="right" wrapText="1"/>
    </xf>
    <xf numFmtId="0" fontId="17" fillId="0" borderId="1" xfId="0" applyFont="1" applyBorder="1" applyAlignment="1">
      <alignment horizontal="left" vertical="center" wrapText="1"/>
    </xf>
    <xf numFmtId="0" fontId="31" fillId="19" borderId="1" xfId="0" applyFont="1" applyFill="1" applyBorder="1" applyAlignment="1">
      <alignment horizontal="justify" vertical="center" wrapText="1"/>
    </xf>
    <xf numFmtId="0" fontId="10" fillId="19" borderId="1" xfId="0" applyFont="1" applyFill="1" applyBorder="1" applyAlignment="1">
      <alignment horizontal="right" vertical="top" wrapText="1"/>
    </xf>
    <xf numFmtId="176" fontId="10" fillId="19" borderId="1" xfId="0" applyNumberFormat="1" applyFont="1" applyFill="1" applyBorder="1" applyAlignment="1">
      <alignment horizontal="right" vertical="top" wrapText="1"/>
    </xf>
    <xf numFmtId="39" fontId="11" fillId="19" borderId="1" xfId="5" applyNumberFormat="1" applyFont="1" applyFill="1" applyBorder="1"/>
    <xf numFmtId="39" fontId="10" fillId="19" borderId="1" xfId="5" applyNumberFormat="1" applyFont="1" applyFill="1" applyBorder="1" applyAlignment="1">
      <alignment vertical="center"/>
    </xf>
    <xf numFmtId="39" fontId="10" fillId="19" borderId="1" xfId="5" applyNumberFormat="1" applyFont="1" applyFill="1" applyBorder="1"/>
    <xf numFmtId="39" fontId="10" fillId="19" borderId="4" xfId="5" applyNumberFormat="1" applyFont="1" applyFill="1" applyBorder="1"/>
    <xf numFmtId="0" fontId="64" fillId="19" borderId="1" xfId="3" applyNumberFormat="1" applyFont="1" applyFill="1" applyBorder="1"/>
    <xf numFmtId="0" fontId="10" fillId="0" borderId="14" xfId="0" applyFont="1" applyBorder="1"/>
    <xf numFmtId="9" fontId="12" fillId="7" borderId="1" xfId="5" applyNumberFormat="1" applyFont="1" applyFill="1" applyBorder="1"/>
    <xf numFmtId="2" fontId="10" fillId="0" borderId="1" xfId="0" applyNumberFormat="1" applyFont="1" applyBorder="1"/>
    <xf numFmtId="9" fontId="64" fillId="19" borderId="11" xfId="3" applyFont="1" applyFill="1" applyBorder="1"/>
    <xf numFmtId="176" fontId="11" fillId="19" borderId="1" xfId="5" applyNumberFormat="1" applyFont="1" applyFill="1" applyBorder="1"/>
    <xf numFmtId="0" fontId="13" fillId="10" borderId="4" xfId="0" applyFont="1" applyFill="1" applyBorder="1" applyAlignment="1">
      <alignment horizontal="left" vertical="center" wrapText="1"/>
    </xf>
    <xf numFmtId="0" fontId="13" fillId="10" borderId="3" xfId="0" applyFont="1" applyFill="1" applyBorder="1" applyAlignment="1">
      <alignment horizontal="left" vertical="center" wrapText="1"/>
    </xf>
    <xf numFmtId="0" fontId="38" fillId="10" borderId="4" xfId="0" applyFont="1" applyFill="1" applyBorder="1" applyAlignment="1">
      <alignment horizontal="left" vertical="center" wrapText="1"/>
    </xf>
    <xf numFmtId="9" fontId="62" fillId="10" borderId="1" xfId="3" applyFont="1" applyFill="1" applyBorder="1" applyAlignment="1">
      <alignment horizontal="left" vertical="center" wrapText="1"/>
    </xf>
    <xf numFmtId="9" fontId="62" fillId="10" borderId="4" xfId="3" applyFont="1" applyFill="1" applyBorder="1" applyAlignment="1">
      <alignment horizontal="left" vertical="center" wrapText="1"/>
    </xf>
    <xf numFmtId="0" fontId="62" fillId="10" borderId="1" xfId="3" applyNumberFormat="1" applyFont="1" applyFill="1" applyBorder="1" applyAlignment="1">
      <alignment horizontal="left" vertical="center" wrapText="1"/>
    </xf>
    <xf numFmtId="0" fontId="12" fillId="0" borderId="3" xfId="0" applyFont="1" applyBorder="1" applyAlignment="1">
      <alignment vertical="center"/>
    </xf>
    <xf numFmtId="0" fontId="12" fillId="7" borderId="1" xfId="0" applyFont="1" applyFill="1" applyBorder="1" applyAlignment="1">
      <alignment vertical="center"/>
    </xf>
    <xf numFmtId="0" fontId="12" fillId="7" borderId="3" xfId="0" applyFont="1" applyFill="1" applyBorder="1" applyAlignment="1">
      <alignment vertical="center"/>
    </xf>
    <xf numFmtId="176" fontId="12" fillId="7" borderId="1" xfId="0" applyNumberFormat="1" applyFont="1" applyFill="1" applyBorder="1"/>
    <xf numFmtId="39" fontId="12" fillId="7" borderId="1" xfId="0" applyNumberFormat="1" applyFont="1" applyFill="1" applyBorder="1"/>
    <xf numFmtId="39" fontId="13" fillId="19" borderId="1" xfId="0" applyNumberFormat="1" applyFont="1" applyFill="1" applyBorder="1"/>
    <xf numFmtId="0" fontId="12" fillId="7" borderId="2" xfId="0" applyFont="1" applyFill="1" applyBorder="1" applyAlignment="1">
      <alignment vertical="center"/>
    </xf>
    <xf numFmtId="176" fontId="12" fillId="7" borderId="1" xfId="0" applyNumberFormat="1" applyFont="1" applyFill="1" applyBorder="1" applyAlignment="1">
      <alignment horizontal="right" wrapText="1"/>
    </xf>
    <xf numFmtId="39" fontId="12" fillId="19" borderId="1" xfId="5" applyNumberFormat="1" applyFont="1" applyFill="1" applyBorder="1" applyAlignment="1">
      <alignment horizontal="right"/>
    </xf>
    <xf numFmtId="39" fontId="13" fillId="19" borderId="1" xfId="5" applyNumberFormat="1" applyFont="1" applyFill="1" applyBorder="1" applyAlignment="1">
      <alignment horizontal="right"/>
    </xf>
    <xf numFmtId="39" fontId="12" fillId="7" borderId="1" xfId="5" applyNumberFormat="1" applyFont="1" applyFill="1" applyBorder="1" applyAlignment="1">
      <alignment horizontal="right"/>
    </xf>
    <xf numFmtId="176" fontId="12" fillId="7" borderId="1" xfId="5" applyNumberFormat="1" applyFont="1" applyFill="1" applyBorder="1" applyAlignment="1">
      <alignment horizontal="right"/>
    </xf>
    <xf numFmtId="0" fontId="12" fillId="19" borderId="1" xfId="0" applyFont="1" applyFill="1" applyBorder="1" applyAlignment="1">
      <alignment vertical="top" wrapText="1"/>
    </xf>
    <xf numFmtId="0" fontId="32" fillId="19" borderId="1" xfId="0" applyFont="1" applyFill="1" applyBorder="1" applyAlignment="1">
      <alignment vertical="top" wrapText="1"/>
    </xf>
    <xf numFmtId="0" fontId="32" fillId="19" borderId="1" xfId="0" applyFont="1" applyFill="1" applyBorder="1" applyAlignment="1">
      <alignment horizontal="right" vertical="top" wrapText="1"/>
    </xf>
    <xf numFmtId="9" fontId="68" fillId="0" borderId="1" xfId="3" applyFont="1" applyBorder="1" applyAlignment="1">
      <alignment vertical="center"/>
    </xf>
    <xf numFmtId="9" fontId="68" fillId="0" borderId="4" xfId="3" applyFont="1" applyBorder="1" applyAlignment="1">
      <alignment vertical="center"/>
    </xf>
    <xf numFmtId="0" fontId="12" fillId="8" borderId="1" xfId="0" applyFont="1" applyFill="1" applyBorder="1" applyAlignment="1">
      <alignment horizontal="left" vertical="center" wrapText="1"/>
    </xf>
    <xf numFmtId="0" fontId="12" fillId="11" borderId="1" xfId="0" applyFont="1" applyFill="1" applyBorder="1" applyAlignment="1">
      <alignment horizontal="right" vertical="center" wrapText="1"/>
    </xf>
    <xf numFmtId="176" fontId="12" fillId="7" borderId="1" xfId="0" applyNumberFormat="1" applyFont="1" applyFill="1" applyBorder="1" applyAlignment="1">
      <alignment vertical="center"/>
    </xf>
    <xf numFmtId="0" fontId="77" fillId="10" borderId="0" xfId="0" applyFont="1" applyFill="1"/>
    <xf numFmtId="176" fontId="10" fillId="19" borderId="1" xfId="5" applyNumberFormat="1" applyFont="1" applyFill="1" applyBorder="1"/>
    <xf numFmtId="176" fontId="31" fillId="19" borderId="1" xfId="0" applyNumberFormat="1" applyFont="1" applyFill="1" applyBorder="1" applyAlignment="1">
      <alignment horizontal="justify" vertical="center" wrapText="1"/>
    </xf>
    <xf numFmtId="39" fontId="31" fillId="19" borderId="1" xfId="0" applyNumberFormat="1" applyFont="1" applyFill="1" applyBorder="1" applyAlignment="1">
      <alignment horizontal="justify" vertical="center" wrapText="1"/>
    </xf>
    <xf numFmtId="0" fontId="12" fillId="8" borderId="3" xfId="0" applyFont="1" applyFill="1" applyBorder="1" applyAlignment="1">
      <alignment horizontal="left" vertical="center" wrapText="1"/>
    </xf>
    <xf numFmtId="176" fontId="12" fillId="7" borderId="1" xfId="10" applyNumberFormat="1" applyFont="1" applyFill="1" applyBorder="1" applyAlignment="1">
      <alignment horizontal="right" vertical="center"/>
    </xf>
    <xf numFmtId="39" fontId="12" fillId="7" borderId="1" xfId="0" applyNumberFormat="1" applyFont="1" applyFill="1" applyBorder="1" applyAlignment="1">
      <alignment vertical="center"/>
    </xf>
    <xf numFmtId="176" fontId="11" fillId="19" borderId="1" xfId="5" applyNumberFormat="1" applyFont="1" applyFill="1" applyBorder="1" applyAlignment="1">
      <alignment vertical="center"/>
    </xf>
    <xf numFmtId="39" fontId="17" fillId="19" borderId="1" xfId="5" applyNumberFormat="1" applyFont="1" applyFill="1" applyBorder="1"/>
    <xf numFmtId="39" fontId="13" fillId="19" borderId="1" xfId="0" applyNumberFormat="1" applyFont="1" applyFill="1" applyBorder="1" applyAlignment="1">
      <alignment vertical="center"/>
    </xf>
    <xf numFmtId="39" fontId="17" fillId="7" borderId="4" xfId="5" applyNumberFormat="1" applyFont="1" applyFill="1" applyBorder="1"/>
    <xf numFmtId="9" fontId="69" fillId="0" borderId="1" xfId="3" applyFont="1" applyBorder="1"/>
    <xf numFmtId="9" fontId="69" fillId="0" borderId="4" xfId="3" applyFont="1" applyBorder="1"/>
    <xf numFmtId="0" fontId="12" fillId="11" borderId="1" xfId="0" applyFont="1" applyFill="1" applyBorder="1" applyAlignment="1">
      <alignment horizontal="left" vertical="top" wrapText="1"/>
    </xf>
    <xf numFmtId="176" fontId="12" fillId="7" borderId="1" xfId="10" applyNumberFormat="1" applyFont="1" applyFill="1" applyBorder="1" applyAlignment="1">
      <alignment horizontal="right"/>
    </xf>
    <xf numFmtId="0" fontId="10" fillId="0" borderId="3" xfId="0" applyFont="1" applyBorder="1" applyAlignment="1">
      <alignment horizontal="right" vertical="center" wrapText="1"/>
    </xf>
    <xf numFmtId="176" fontId="10" fillId="7" borderId="1" xfId="10" applyNumberFormat="1" applyFont="1" applyFill="1" applyBorder="1" applyAlignment="1">
      <alignment horizontal="right"/>
    </xf>
    <xf numFmtId="0" fontId="12" fillId="0" borderId="1" xfId="0" applyFont="1" applyBorder="1" applyAlignment="1">
      <alignment horizontal="left" vertical="center" wrapText="1"/>
    </xf>
    <xf numFmtId="0" fontId="13" fillId="0" borderId="3" xfId="0" applyFont="1" applyBorder="1" applyAlignment="1">
      <alignment horizontal="left" vertical="center" wrapText="1"/>
    </xf>
    <xf numFmtId="0" fontId="12" fillId="7" borderId="1" xfId="0" applyFont="1" applyFill="1" applyBorder="1" applyAlignment="1">
      <alignment horizontal="left" vertical="center" wrapText="1"/>
    </xf>
    <xf numFmtId="0" fontId="10" fillId="0" borderId="1" xfId="0" applyFont="1" applyBorder="1" applyAlignment="1">
      <alignment horizontal="right" vertical="center" wrapText="1"/>
    </xf>
    <xf numFmtId="0" fontId="10" fillId="7" borderId="1" xfId="0" applyFont="1" applyFill="1" applyBorder="1" applyAlignment="1">
      <alignment horizontal="right" vertical="center" wrapText="1"/>
    </xf>
    <xf numFmtId="0" fontId="11" fillId="19" borderId="1" xfId="0" applyFont="1" applyFill="1" applyBorder="1" applyAlignment="1">
      <alignment horizontal="right" vertical="center" wrapText="1"/>
    </xf>
    <xf numFmtId="0" fontId="38" fillId="19" borderId="1" xfId="0" applyFont="1" applyFill="1" applyBorder="1" applyAlignment="1">
      <alignment horizontal="left" vertical="center" wrapText="1"/>
    </xf>
    <xf numFmtId="0" fontId="12" fillId="19" borderId="1" xfId="0" applyFont="1" applyFill="1" applyBorder="1" applyAlignment="1">
      <alignment vertical="center"/>
    </xf>
    <xf numFmtId="0" fontId="38" fillId="11" borderId="1" xfId="0" applyFont="1" applyFill="1" applyBorder="1" applyAlignment="1">
      <alignment horizontal="left" vertical="center" wrapText="1"/>
    </xf>
    <xf numFmtId="0" fontId="38" fillId="7"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9" fontId="62" fillId="11" borderId="1" xfId="3" applyFont="1" applyFill="1" applyBorder="1" applyAlignment="1">
      <alignment horizontal="left" vertical="center" wrapText="1"/>
    </xf>
    <xf numFmtId="9" fontId="62" fillId="11" borderId="4" xfId="3" applyFont="1" applyFill="1" applyBorder="1" applyAlignment="1">
      <alignment horizontal="left" vertical="center" wrapText="1"/>
    </xf>
    <xf numFmtId="176" fontId="10" fillId="7" borderId="1" xfId="10" applyNumberFormat="1" applyFont="1" applyFill="1" applyBorder="1" applyAlignment="1">
      <alignment horizontal="right" vertical="center"/>
    </xf>
    <xf numFmtId="0" fontId="10" fillId="43" borderId="1" xfId="0" applyFont="1" applyFill="1" applyBorder="1" applyAlignment="1">
      <alignment horizontal="left" vertical="center" wrapText="1"/>
    </xf>
    <xf numFmtId="0" fontId="10" fillId="11" borderId="1" xfId="0" applyFont="1" applyFill="1" applyBorder="1" applyAlignment="1">
      <alignment horizontal="right" vertical="top" wrapText="1"/>
    </xf>
    <xf numFmtId="0" fontId="11" fillId="11" borderId="1" xfId="0" applyFont="1" applyFill="1" applyBorder="1" applyAlignment="1">
      <alignment horizontal="left" vertical="center" wrapText="1"/>
    </xf>
    <xf numFmtId="176" fontId="10" fillId="7" borderId="1" xfId="0" applyNumberFormat="1" applyFont="1" applyFill="1" applyBorder="1" applyAlignment="1">
      <alignment vertical="center"/>
    </xf>
    <xf numFmtId="9" fontId="70" fillId="0" borderId="1" xfId="3" applyFont="1" applyBorder="1"/>
    <xf numFmtId="9" fontId="70" fillId="0" borderId="4" xfId="3" applyFont="1" applyBorder="1"/>
    <xf numFmtId="9" fontId="70" fillId="0" borderId="1" xfId="3" applyFont="1" applyBorder="1" applyAlignment="1">
      <alignment wrapText="1"/>
    </xf>
    <xf numFmtId="0" fontId="10" fillId="8" borderId="1" xfId="0" applyFont="1" applyFill="1" applyBorder="1" applyAlignment="1">
      <alignment horizontal="left" vertical="center" wrapText="1"/>
    </xf>
    <xf numFmtId="0" fontId="10" fillId="10" borderId="0" xfId="0" applyFont="1" applyFill="1"/>
    <xf numFmtId="0" fontId="11" fillId="19" borderId="1" xfId="5" applyNumberFormat="1" applyFont="1" applyFill="1" applyBorder="1"/>
    <xf numFmtId="0" fontId="12" fillId="0" borderId="4" xfId="0" applyFont="1" applyBorder="1" applyAlignment="1">
      <alignment vertical="center"/>
    </xf>
    <xf numFmtId="0" fontId="12" fillId="42" borderId="1" xfId="0" applyFont="1" applyFill="1" applyBorder="1" applyAlignment="1">
      <alignment horizontal="left" vertical="center" wrapText="1"/>
    </xf>
    <xf numFmtId="176" fontId="10" fillId="7" borderId="1" xfId="5" applyNumberFormat="1" applyFont="1" applyFill="1" applyBorder="1"/>
    <xf numFmtId="176" fontId="13" fillId="19" borderId="1" xfId="0" applyNumberFormat="1" applyFont="1" applyFill="1" applyBorder="1" applyAlignment="1">
      <alignment horizontal="justify" vertical="center" wrapText="1"/>
    </xf>
    <xf numFmtId="176" fontId="10" fillId="19" borderId="1" xfId="0" applyNumberFormat="1" applyFont="1" applyFill="1" applyBorder="1" applyAlignment="1">
      <alignment horizontal="justify" vertical="center" wrapText="1"/>
    </xf>
    <xf numFmtId="0" fontId="13" fillId="19" borderId="1" xfId="0" applyFont="1" applyFill="1" applyBorder="1" applyAlignment="1">
      <alignment vertical="center"/>
    </xf>
    <xf numFmtId="176" fontId="10" fillId="7" borderId="1" xfId="5" applyNumberFormat="1" applyFont="1" applyFill="1" applyBorder="1" applyAlignment="1">
      <alignment vertical="center"/>
    </xf>
    <xf numFmtId="0" fontId="12" fillId="0" borderId="2" xfId="0" applyFont="1" applyBorder="1" applyAlignment="1">
      <alignment vertical="center"/>
    </xf>
    <xf numFmtId="0" fontId="10" fillId="11" borderId="1" xfId="0" applyFont="1" applyFill="1" applyBorder="1" applyAlignment="1">
      <alignment horizontal="justify" vertical="center" wrapText="1"/>
    </xf>
    <xf numFmtId="0" fontId="13" fillId="11" borderId="1" xfId="0" applyFont="1" applyFill="1" applyBorder="1" applyAlignment="1">
      <alignment horizontal="left" vertical="center" wrapText="1"/>
    </xf>
    <xf numFmtId="0" fontId="10" fillId="8" borderId="1" xfId="0" applyFont="1" applyFill="1" applyBorder="1" applyAlignment="1">
      <alignment vertical="top" wrapText="1"/>
    </xf>
    <xf numFmtId="176" fontId="11" fillId="19" borderId="1" xfId="10" applyNumberFormat="1" applyFont="1" applyFill="1" applyBorder="1" applyAlignment="1">
      <alignment horizontal="justify" vertical="center" wrapText="1"/>
    </xf>
    <xf numFmtId="0" fontId="13" fillId="8" borderId="1" xfId="0" applyFont="1" applyFill="1" applyBorder="1" applyAlignment="1">
      <alignment horizontal="left" vertical="center"/>
    </xf>
    <xf numFmtId="0" fontId="10" fillId="11" borderId="1" xfId="0" applyFont="1" applyFill="1" applyBorder="1" applyAlignment="1">
      <alignment vertical="top" wrapText="1"/>
    </xf>
    <xf numFmtId="167" fontId="12" fillId="11" borderId="1" xfId="5" applyFont="1" applyFill="1" applyBorder="1" applyAlignment="1">
      <alignment horizontal="left" vertical="top" wrapText="1"/>
    </xf>
    <xf numFmtId="167" fontId="10" fillId="7" borderId="1" xfId="5" applyFont="1" applyFill="1" applyBorder="1" applyAlignment="1">
      <alignment vertical="center"/>
    </xf>
    <xf numFmtId="39" fontId="10" fillId="11" borderId="1" xfId="5" applyNumberFormat="1" applyFont="1" applyFill="1" applyBorder="1"/>
    <xf numFmtId="37" fontId="10" fillId="11" borderId="1" xfId="5" applyNumberFormat="1" applyFont="1" applyFill="1" applyBorder="1" applyAlignment="1">
      <alignment vertical="center"/>
    </xf>
    <xf numFmtId="39" fontId="10" fillId="11" borderId="1" xfId="5" applyNumberFormat="1" applyFont="1" applyFill="1" applyBorder="1" applyAlignment="1">
      <alignment vertical="center"/>
    </xf>
    <xf numFmtId="39" fontId="10" fillId="7" borderId="1" xfId="5" applyNumberFormat="1" applyFont="1" applyFill="1" applyBorder="1" applyAlignment="1">
      <alignment vertical="center"/>
    </xf>
    <xf numFmtId="39" fontId="10" fillId="11" borderId="4" xfId="5" applyNumberFormat="1" applyFont="1" applyFill="1" applyBorder="1" applyAlignment="1">
      <alignment vertical="center"/>
    </xf>
    <xf numFmtId="39" fontId="11" fillId="7" borderId="1" xfId="5" applyNumberFormat="1" applyFont="1" applyFill="1" applyBorder="1" applyAlignment="1">
      <alignment vertical="center"/>
    </xf>
    <xf numFmtId="39" fontId="11" fillId="7" borderId="4" xfId="5" applyNumberFormat="1" applyFont="1" applyFill="1" applyBorder="1" applyAlignment="1">
      <alignment vertical="center"/>
    </xf>
    <xf numFmtId="9" fontId="42" fillId="11" borderId="1" xfId="3" applyFont="1" applyFill="1" applyBorder="1"/>
    <xf numFmtId="9" fontId="42" fillId="11" borderId="4" xfId="3" applyFont="1" applyFill="1" applyBorder="1"/>
    <xf numFmtId="9" fontId="10" fillId="11" borderId="1" xfId="3" applyFont="1" applyFill="1" applyBorder="1"/>
    <xf numFmtId="167" fontId="10" fillId="11" borderId="1" xfId="1" applyFont="1" applyFill="1" applyBorder="1"/>
    <xf numFmtId="0" fontId="10" fillId="11" borderId="1" xfId="0" applyFont="1" applyFill="1" applyBorder="1"/>
    <xf numFmtId="0" fontId="12" fillId="11" borderId="1" xfId="14" applyFont="1" applyFill="1" applyBorder="1" applyAlignment="1">
      <alignment horizontal="left" vertical="center" wrapText="1"/>
    </xf>
    <xf numFmtId="0" fontId="10" fillId="43" borderId="1" xfId="0" applyFont="1" applyFill="1" applyBorder="1" applyAlignment="1">
      <alignment vertical="top" wrapText="1"/>
    </xf>
    <xf numFmtId="9" fontId="12" fillId="11" borderId="1" xfId="0" applyNumberFormat="1" applyFont="1" applyFill="1" applyBorder="1" applyAlignment="1">
      <alignment horizontal="center" vertical="center"/>
    </xf>
    <xf numFmtId="167" fontId="10" fillId="11" borderId="1" xfId="5" applyFont="1" applyFill="1" applyBorder="1" applyAlignment="1">
      <alignment vertical="center"/>
    </xf>
    <xf numFmtId="168" fontId="10" fillId="11" borderId="1" xfId="5" applyNumberFormat="1" applyFont="1" applyFill="1" applyBorder="1" applyAlignment="1">
      <alignment vertical="center"/>
    </xf>
    <xf numFmtId="9" fontId="11" fillId="7" borderId="1" xfId="5" applyNumberFormat="1" applyFont="1" applyFill="1" applyBorder="1" applyAlignment="1">
      <alignment vertical="center"/>
    </xf>
    <xf numFmtId="0" fontId="10" fillId="11" borderId="1" xfId="0" applyFont="1" applyFill="1" applyBorder="1" applyAlignment="1">
      <alignment wrapText="1"/>
    </xf>
    <xf numFmtId="0" fontId="10" fillId="42" borderId="1" xfId="0" applyFont="1" applyFill="1" applyBorder="1" applyAlignment="1">
      <alignment vertical="top" wrapText="1"/>
    </xf>
    <xf numFmtId="0" fontId="10" fillId="39" borderId="0" xfId="0" applyFont="1" applyFill="1"/>
    <xf numFmtId="9" fontId="12" fillId="11" borderId="1" xfId="0" applyNumberFormat="1" applyFont="1" applyFill="1" applyBorder="1" applyAlignment="1">
      <alignment horizontal="center"/>
    </xf>
    <xf numFmtId="0" fontId="12" fillId="11" borderId="1" xfId="0" applyFont="1" applyFill="1" applyBorder="1" applyAlignment="1">
      <alignment vertical="top" wrapText="1"/>
    </xf>
    <xf numFmtId="167" fontId="12" fillId="11" borderId="1" xfId="5" applyFont="1" applyFill="1" applyBorder="1" applyAlignment="1">
      <alignment vertical="top" wrapText="1"/>
    </xf>
    <xf numFmtId="0" fontId="49" fillId="11" borderId="1" xfId="0" applyFont="1" applyFill="1" applyBorder="1" applyAlignment="1">
      <alignment horizontal="left"/>
    </xf>
    <xf numFmtId="0" fontId="49" fillId="11" borderId="1" xfId="0" applyFont="1" applyFill="1" applyBorder="1" applyAlignment="1">
      <alignment horizontal="left" wrapText="1"/>
    </xf>
    <xf numFmtId="0" fontId="49" fillId="11" borderId="1" xfId="15" applyFont="1" applyFill="1" applyBorder="1" applyAlignment="1">
      <alignment horizontal="left"/>
    </xf>
    <xf numFmtId="0" fontId="49" fillId="11" borderId="1" xfId="15" applyFont="1" applyFill="1" applyBorder="1" applyAlignment="1">
      <alignment horizontal="left" wrapText="1"/>
    </xf>
    <xf numFmtId="0" fontId="49" fillId="11" borderId="1" xfId="0" applyFont="1" applyFill="1" applyBorder="1"/>
    <xf numFmtId="167" fontId="10" fillId="11" borderId="1" xfId="5" applyFont="1" applyFill="1" applyBorder="1" applyAlignment="1">
      <alignment wrapText="1"/>
    </xf>
    <xf numFmtId="0" fontId="49" fillId="11" borderId="1" xfId="15" applyFont="1" applyFill="1" applyBorder="1" applyAlignment="1">
      <alignment horizontal="left" vertical="center" wrapText="1"/>
    </xf>
    <xf numFmtId="9" fontId="64" fillId="0" borderId="1" xfId="3" applyFont="1" applyBorder="1" applyAlignment="1">
      <alignment vertical="center" wrapText="1"/>
    </xf>
    <xf numFmtId="0" fontId="12" fillId="11" borderId="1" xfId="15" applyFont="1" applyFill="1" applyBorder="1" applyAlignment="1">
      <alignment horizontal="left" vertical="top" wrapText="1"/>
    </xf>
    <xf numFmtId="0" fontId="10" fillId="11" borderId="1" xfId="15" applyFont="1" applyFill="1" applyBorder="1" applyAlignment="1">
      <alignment horizontal="left" vertical="top" wrapText="1"/>
    </xf>
    <xf numFmtId="167" fontId="32" fillId="4" borderId="1" xfId="5" applyFont="1" applyFill="1" applyBorder="1" applyAlignment="1">
      <alignment vertical="top" wrapText="1"/>
    </xf>
    <xf numFmtId="167" fontId="31" fillId="4" borderId="1" xfId="5" applyFont="1" applyFill="1" applyBorder="1"/>
    <xf numFmtId="39" fontId="31" fillId="4" borderId="1" xfId="5" applyNumberFormat="1" applyFont="1" applyFill="1" applyBorder="1"/>
    <xf numFmtId="39" fontId="31" fillId="4" borderId="1" xfId="5" applyNumberFormat="1" applyFont="1" applyFill="1" applyBorder="1" applyAlignment="1">
      <alignment vertical="center"/>
    </xf>
    <xf numFmtId="39" fontId="31" fillId="4" borderId="4" xfId="5" applyNumberFormat="1" applyFont="1" applyFill="1" applyBorder="1" applyAlignment="1">
      <alignment vertical="center"/>
    </xf>
    <xf numFmtId="9" fontId="74" fillId="4" borderId="1" xfId="3" applyFont="1" applyFill="1" applyBorder="1"/>
    <xf numFmtId="9" fontId="74" fillId="4" borderId="4" xfId="3" applyFont="1" applyFill="1" applyBorder="1"/>
    <xf numFmtId="0" fontId="13" fillId="8" borderId="1" xfId="0" applyFont="1" applyFill="1" applyBorder="1" applyAlignment="1">
      <alignment horizontal="left" vertical="top" wrapText="1"/>
    </xf>
    <xf numFmtId="4" fontId="32" fillId="8" borderId="1" xfId="0" applyNumberFormat="1" applyFont="1" applyFill="1" applyBorder="1" applyAlignment="1">
      <alignment horizontal="center" vertical="top" wrapText="1"/>
    </xf>
    <xf numFmtId="167" fontId="47" fillId="8" borderId="1" xfId="5" applyFont="1" applyFill="1" applyBorder="1"/>
    <xf numFmtId="39" fontId="32" fillId="8" borderId="1" xfId="5" applyNumberFormat="1" applyFont="1" applyFill="1" applyBorder="1"/>
    <xf numFmtId="2" fontId="32" fillId="8" borderId="1" xfId="5" applyNumberFormat="1" applyFont="1" applyFill="1" applyBorder="1"/>
    <xf numFmtId="2" fontId="32" fillId="8" borderId="1" xfId="5" applyNumberFormat="1" applyFont="1" applyFill="1" applyBorder="1" applyAlignment="1">
      <alignment horizontal="center"/>
    </xf>
    <xf numFmtId="4" fontId="36" fillId="8" borderId="1" xfId="5" applyNumberFormat="1" applyFont="1" applyFill="1" applyBorder="1" applyAlignment="1">
      <alignment horizontal="center"/>
    </xf>
    <xf numFmtId="39" fontId="47" fillId="8" borderId="1" xfId="5" applyNumberFormat="1" applyFont="1" applyFill="1" applyBorder="1"/>
    <xf numFmtId="9" fontId="64" fillId="8" borderId="1" xfId="3" applyFont="1" applyFill="1" applyBorder="1" applyAlignment="1">
      <alignment vertical="top" wrapText="1"/>
    </xf>
    <xf numFmtId="9" fontId="32" fillId="8" borderId="4" xfId="3" applyFont="1" applyFill="1" applyBorder="1"/>
    <xf numFmtId="9" fontId="32" fillId="8" borderId="1" xfId="3" applyFont="1" applyFill="1" applyBorder="1"/>
    <xf numFmtId="167" fontId="32" fillId="8" borderId="1" xfId="1" applyFont="1" applyFill="1" applyBorder="1"/>
    <xf numFmtId="0" fontId="11" fillId="44" borderId="14" xfId="20" applyFont="1" applyFill="1" applyBorder="1" applyAlignment="1">
      <alignment horizontal="left" vertical="center"/>
    </xf>
    <xf numFmtId="0" fontId="10" fillId="44" borderId="7" xfId="20" applyFont="1" applyFill="1" applyBorder="1" applyAlignment="1">
      <alignment horizontal="left" vertical="center"/>
    </xf>
    <xf numFmtId="0" fontId="10" fillId="44" borderId="1" xfId="20" applyFont="1" applyFill="1" applyBorder="1" applyAlignment="1">
      <alignment horizontal="left" vertical="center"/>
    </xf>
    <xf numFmtId="0" fontId="10" fillId="44" borderId="1" xfId="0" applyFont="1" applyFill="1" applyBorder="1" applyAlignment="1">
      <alignment horizontal="right" vertical="top" wrapText="1"/>
    </xf>
    <xf numFmtId="0" fontId="10" fillId="44" borderId="1" xfId="0" applyFont="1" applyFill="1" applyBorder="1" applyAlignment="1">
      <alignment vertical="top" wrapText="1"/>
    </xf>
    <xf numFmtId="177" fontId="10" fillId="44" borderId="1" xfId="0" applyNumberFormat="1" applyFont="1" applyFill="1" applyBorder="1" applyAlignment="1">
      <alignment vertical="top" wrapText="1"/>
    </xf>
    <xf numFmtId="176" fontId="38" fillId="44" borderId="3" xfId="0" applyNumberFormat="1" applyFont="1" applyFill="1" applyBorder="1" applyAlignment="1">
      <alignment horizontal="left" vertical="center" wrapText="1"/>
    </xf>
    <xf numFmtId="9" fontId="10" fillId="44" borderId="14" xfId="13" applyFont="1" applyFill="1" applyBorder="1"/>
    <xf numFmtId="39" fontId="10" fillId="44" borderId="14" xfId="5" applyNumberFormat="1" applyFont="1" applyFill="1" applyBorder="1"/>
    <xf numFmtId="176" fontId="10" fillId="44" borderId="14" xfId="13" applyNumberFormat="1" applyFont="1" applyFill="1" applyBorder="1"/>
    <xf numFmtId="176" fontId="38" fillId="44" borderId="6" xfId="0" applyNumberFormat="1" applyFont="1" applyFill="1" applyBorder="1" applyAlignment="1">
      <alignment horizontal="left" vertical="center" wrapText="1"/>
    </xf>
    <xf numFmtId="168" fontId="11" fillId="44" borderId="14" xfId="5" applyNumberFormat="1" applyFont="1" applyFill="1" applyBorder="1" applyAlignment="1">
      <alignment vertical="center"/>
    </xf>
    <xf numFmtId="9" fontId="32" fillId="44" borderId="1" xfId="3" applyFont="1" applyFill="1" applyBorder="1" applyAlignment="1">
      <alignment wrapText="1"/>
    </xf>
    <xf numFmtId="9" fontId="32" fillId="44" borderId="4" xfId="3" applyFont="1" applyFill="1" applyBorder="1"/>
    <xf numFmtId="9" fontId="32" fillId="44" borderId="1" xfId="3" applyFont="1" applyFill="1" applyBorder="1"/>
    <xf numFmtId="167" fontId="32" fillId="44" borderId="1" xfId="1" applyFont="1" applyFill="1" applyBorder="1"/>
    <xf numFmtId="0" fontId="38" fillId="45" borderId="3" xfId="0" applyFont="1" applyFill="1" applyBorder="1" applyAlignment="1">
      <alignment wrapText="1"/>
    </xf>
    <xf numFmtId="0" fontId="38" fillId="46" borderId="1" xfId="0" applyFont="1" applyFill="1" applyBorder="1" applyAlignment="1">
      <alignment vertical="center" wrapText="1"/>
    </xf>
    <xf numFmtId="9" fontId="29" fillId="11" borderId="1" xfId="13" applyFont="1" applyFill="1" applyBorder="1"/>
    <xf numFmtId="9" fontId="47" fillId="11" borderId="1" xfId="0" applyNumberFormat="1" applyFont="1" applyFill="1" applyBorder="1" applyAlignment="1">
      <alignment horizontal="left" vertical="top" wrapText="1"/>
    </xf>
    <xf numFmtId="168" fontId="38" fillId="11" borderId="1" xfId="5" applyNumberFormat="1" applyFont="1" applyFill="1" applyBorder="1" applyAlignment="1">
      <alignment vertical="center"/>
    </xf>
    <xf numFmtId="9" fontId="76" fillId="11" borderId="1" xfId="3" applyFont="1" applyFill="1" applyBorder="1"/>
    <xf numFmtId="9" fontId="76" fillId="11" borderId="4" xfId="3" applyFont="1" applyFill="1" applyBorder="1"/>
    <xf numFmtId="0" fontId="70" fillId="5" borderId="1" xfId="0" applyFont="1" applyFill="1" applyBorder="1" applyAlignment="1">
      <alignment horizontal="left"/>
    </xf>
    <xf numFmtId="0" fontId="12" fillId="26" borderId="1" xfId="0" applyFont="1" applyFill="1" applyBorder="1" applyAlignment="1">
      <alignment horizontal="left" vertical="top" wrapText="1"/>
    </xf>
    <xf numFmtId="0" fontId="10" fillId="46" borderId="11" xfId="16" applyFont="1" applyFill="1" applyBorder="1" applyAlignment="1">
      <alignment horizontal="left" vertical="center" wrapText="1"/>
    </xf>
    <xf numFmtId="175" fontId="10" fillId="11" borderId="1" xfId="5" applyNumberFormat="1" applyFont="1" applyFill="1" applyBorder="1" applyAlignment="1">
      <alignment horizontal="center"/>
    </xf>
    <xf numFmtId="175" fontId="10" fillId="11" borderId="1" xfId="5" applyNumberFormat="1" applyFont="1" applyFill="1" applyBorder="1" applyAlignment="1">
      <alignment horizontal="right"/>
    </xf>
    <xf numFmtId="38" fontId="10" fillId="11" borderId="1" xfId="5" applyNumberFormat="1" applyFont="1" applyFill="1" applyBorder="1" applyAlignment="1">
      <alignment horizontal="right"/>
    </xf>
    <xf numFmtId="38" fontId="10" fillId="7" borderId="1" xfId="5" applyNumberFormat="1" applyFont="1" applyFill="1" applyBorder="1" applyAlignment="1">
      <alignment horizontal="right"/>
    </xf>
    <xf numFmtId="0" fontId="10" fillId="7" borderId="4" xfId="0" applyFont="1" applyFill="1" applyBorder="1" applyAlignment="1">
      <alignment vertical="center"/>
    </xf>
    <xf numFmtId="0" fontId="70" fillId="5" borderId="1" xfId="17" applyFont="1" applyFill="1" applyBorder="1" applyAlignment="1">
      <alignment horizontal="left"/>
    </xf>
    <xf numFmtId="0" fontId="10" fillId="46" borderId="1" xfId="16" applyFont="1" applyFill="1" applyBorder="1" applyAlignment="1">
      <alignment horizontal="left" vertical="center" wrapText="1"/>
    </xf>
    <xf numFmtId="38" fontId="10" fillId="11" borderId="3" xfId="5" applyNumberFormat="1" applyFont="1" applyFill="1" applyBorder="1" applyAlignment="1">
      <alignment horizontal="right"/>
    </xf>
    <xf numFmtId="0" fontId="10" fillId="0" borderId="4" xfId="0" applyFont="1" applyBorder="1" applyAlignment="1">
      <alignment horizontal="left" vertical="center"/>
    </xf>
    <xf numFmtId="167" fontId="10" fillId="7" borderId="1" xfId="5" applyFont="1" applyFill="1" applyBorder="1" applyAlignment="1">
      <alignment vertical="center" wrapText="1"/>
    </xf>
    <xf numFmtId="167" fontId="10" fillId="0" borderId="1" xfId="5" applyFont="1" applyBorder="1" applyAlignment="1">
      <alignment horizontal="center" vertical="center"/>
    </xf>
    <xf numFmtId="0" fontId="10" fillId="0" borderId="4" xfId="20" applyFont="1" applyBorder="1" applyAlignment="1">
      <alignment horizontal="left" vertical="center"/>
    </xf>
    <xf numFmtId="167" fontId="10" fillId="7" borderId="3" xfId="5" applyFont="1" applyFill="1" applyBorder="1" applyAlignment="1">
      <alignment vertical="center" wrapText="1"/>
    </xf>
    <xf numFmtId="0" fontId="10" fillId="48" borderId="14" xfId="0" applyFont="1" applyFill="1" applyBorder="1" applyAlignment="1">
      <alignment horizontal="left" vertical="center"/>
    </xf>
    <xf numFmtId="0" fontId="10" fillId="40" borderId="1" xfId="0" applyFont="1" applyFill="1" applyBorder="1" applyAlignment="1">
      <alignment horizontal="left" vertical="center" wrapText="1"/>
    </xf>
    <xf numFmtId="167" fontId="10" fillId="49" borderId="4" xfId="5" applyFont="1" applyFill="1" applyBorder="1" applyAlignment="1">
      <alignment vertical="center" wrapText="1"/>
    </xf>
    <xf numFmtId="0" fontId="10" fillId="0" borderId="1" xfId="20" applyFont="1" applyBorder="1" applyAlignment="1">
      <alignment horizontal="right" vertical="center"/>
    </xf>
    <xf numFmtId="166" fontId="10" fillId="7" borderId="3" xfId="0" applyNumberFormat="1" applyFont="1" applyFill="1" applyBorder="1" applyAlignment="1">
      <alignment vertical="center" wrapText="1"/>
    </xf>
    <xf numFmtId="39" fontId="10" fillId="7" borderId="4" xfId="10" applyNumberFormat="1" applyFont="1" applyFill="1" applyBorder="1" applyAlignment="1">
      <alignment vertical="center"/>
    </xf>
    <xf numFmtId="0" fontId="10" fillId="43" borderId="14" xfId="0" applyFont="1" applyFill="1" applyBorder="1" applyAlignment="1">
      <alignment horizontal="left" vertical="center"/>
    </xf>
    <xf numFmtId="168" fontId="10" fillId="7" borderId="4" xfId="5" applyNumberFormat="1" applyFont="1" applyFill="1" applyBorder="1" applyAlignment="1">
      <alignment horizontal="right" vertical="top" wrapText="1"/>
    </xf>
    <xf numFmtId="0" fontId="10" fillId="42" borderId="14" xfId="0" applyFont="1" applyFill="1" applyBorder="1" applyAlignment="1">
      <alignment horizontal="left" vertical="center"/>
    </xf>
    <xf numFmtId="37" fontId="10" fillId="7" borderId="4" xfId="5" applyNumberFormat="1" applyFont="1" applyFill="1" applyBorder="1" applyAlignment="1">
      <alignment vertical="center"/>
    </xf>
    <xf numFmtId="0" fontId="10" fillId="42" borderId="6" xfId="0" applyFont="1" applyFill="1" applyBorder="1" applyAlignment="1">
      <alignment horizontal="left" vertical="center"/>
    </xf>
    <xf numFmtId="0" fontId="10" fillId="30" borderId="14" xfId="0" applyFont="1" applyFill="1" applyBorder="1" applyAlignment="1">
      <alignment horizontal="left" vertical="center"/>
    </xf>
    <xf numFmtId="167" fontId="10" fillId="7" borderId="4" xfId="5" applyFont="1" applyFill="1" applyBorder="1"/>
    <xf numFmtId="167" fontId="10" fillId="7" borderId="4" xfId="5" applyFont="1" applyFill="1" applyBorder="1" applyAlignment="1">
      <alignment vertical="center"/>
    </xf>
    <xf numFmtId="0" fontId="10" fillId="7" borderId="4" xfId="5" applyNumberFormat="1" applyFont="1" applyFill="1" applyBorder="1" applyAlignment="1">
      <alignment vertical="center"/>
    </xf>
    <xf numFmtId="0" fontId="70" fillId="11" borderId="1" xfId="17" applyFont="1" applyFill="1" applyBorder="1" applyAlignment="1">
      <alignment horizontal="justify" wrapText="1"/>
    </xf>
    <xf numFmtId="175" fontId="70" fillId="11" borderId="1" xfId="18" applyNumberFormat="1" applyFont="1" applyFill="1" applyBorder="1" applyAlignment="1">
      <alignment horizontal="center" vertical="center"/>
    </xf>
    <xf numFmtId="0" fontId="10" fillId="0" borderId="1" xfId="20" applyFont="1" applyBorder="1" applyAlignment="1">
      <alignment horizontal="left" vertical="center"/>
    </xf>
    <xf numFmtId="39" fontId="10" fillId="7" borderId="4" xfId="5" applyNumberFormat="1" applyFont="1" applyFill="1" applyBorder="1" applyAlignment="1">
      <alignment vertical="center"/>
    </xf>
    <xf numFmtId="0" fontId="10" fillId="0" borderId="7" xfId="20" applyFont="1" applyBorder="1" applyAlignment="1">
      <alignment horizontal="left" vertical="center"/>
    </xf>
    <xf numFmtId="9" fontId="80" fillId="0" borderId="0" xfId="0" applyNumberFormat="1" applyFont="1" applyAlignment="1">
      <alignment horizontal="right"/>
    </xf>
    <xf numFmtId="0" fontId="80" fillId="0" borderId="0" xfId="0" applyFont="1" applyAlignment="1">
      <alignment horizontal="right"/>
    </xf>
    <xf numFmtId="0" fontId="80" fillId="0" borderId="0" xfId="0" applyFont="1"/>
    <xf numFmtId="9" fontId="80" fillId="0" borderId="0" xfId="0" applyNumberFormat="1" applyFont="1"/>
    <xf numFmtId="0" fontId="80" fillId="0" borderId="0" xfId="0" applyFont="1" applyAlignment="1">
      <alignment horizontal="left"/>
    </xf>
    <xf numFmtId="0" fontId="85" fillId="17" borderId="11" xfId="0" applyFont="1" applyFill="1" applyBorder="1" applyAlignment="1">
      <alignment horizontal="center" vertical="center" wrapText="1"/>
    </xf>
    <xf numFmtId="9" fontId="85" fillId="17" borderId="11" xfId="2" applyNumberFormat="1" applyFont="1" applyFill="1" applyBorder="1" applyAlignment="1">
      <alignment horizontal="center" vertical="center" wrapText="1"/>
    </xf>
    <xf numFmtId="9" fontId="85" fillId="14" borderId="11" xfId="2" applyNumberFormat="1" applyFont="1" applyFill="1" applyBorder="1" applyAlignment="1">
      <alignment horizontal="center" vertical="center" wrapText="1"/>
    </xf>
    <xf numFmtId="0" fontId="80" fillId="0" borderId="0" xfId="0" applyFont="1" applyAlignment="1">
      <alignment horizontal="center" vertical="center"/>
    </xf>
    <xf numFmtId="0" fontId="88" fillId="0" borderId="1" xfId="0" applyFont="1" applyBorder="1" applyAlignment="1">
      <alignment wrapText="1"/>
    </xf>
    <xf numFmtId="39" fontId="80" fillId="7" borderId="1" xfId="1" applyNumberFormat="1" applyFont="1" applyFill="1" applyBorder="1" applyAlignment="1">
      <alignment horizontal="right" wrapText="1"/>
    </xf>
    <xf numFmtId="167" fontId="80" fillId="7" borderId="1" xfId="1" applyFont="1" applyFill="1" applyBorder="1" applyAlignment="1">
      <alignment horizontal="right" wrapText="1"/>
    </xf>
    <xf numFmtId="9" fontId="80" fillId="0" borderId="1" xfId="0" applyNumberFormat="1" applyFont="1" applyBorder="1" applyAlignment="1">
      <alignment horizontal="right"/>
    </xf>
    <xf numFmtId="0" fontId="80" fillId="0" borderId="4" xfId="0" applyFont="1" applyBorder="1" applyAlignment="1">
      <alignment horizontal="right"/>
    </xf>
    <xf numFmtId="0" fontId="80" fillId="0" borderId="4" xfId="0" applyFont="1" applyBorder="1" applyAlignment="1">
      <alignment horizontal="left" wrapText="1"/>
    </xf>
    <xf numFmtId="0" fontId="80" fillId="0" borderId="1" xfId="0" applyFont="1" applyBorder="1" applyAlignment="1">
      <alignment horizontal="left" wrapText="1"/>
    </xf>
    <xf numFmtId="3" fontId="80" fillId="0" borderId="4" xfId="0" applyNumberFormat="1" applyFont="1" applyBorder="1" applyAlignment="1">
      <alignment horizontal="right"/>
    </xf>
    <xf numFmtId="0" fontId="26" fillId="4" borderId="1" xfId="0" applyFont="1" applyFill="1" applyBorder="1" applyAlignment="1">
      <alignment wrapText="1"/>
    </xf>
    <xf numFmtId="0" fontId="80" fillId="4" borderId="1" xfId="0" applyFont="1" applyFill="1" applyBorder="1" applyAlignment="1">
      <alignment wrapText="1"/>
    </xf>
    <xf numFmtId="39" fontId="80" fillId="4" borderId="1" xfId="1" applyNumberFormat="1" applyFont="1" applyFill="1" applyBorder="1" applyAlignment="1">
      <alignment horizontal="right" wrapText="1"/>
    </xf>
    <xf numFmtId="167" fontId="80" fillId="4" borderId="1" xfId="1" applyFont="1" applyFill="1" applyBorder="1" applyAlignment="1">
      <alignment horizontal="right" wrapText="1"/>
    </xf>
    <xf numFmtId="39" fontId="80" fillId="4" borderId="4" xfId="1" applyNumberFormat="1" applyFont="1" applyFill="1" applyBorder="1" applyAlignment="1">
      <alignment horizontal="right" wrapText="1"/>
    </xf>
    <xf numFmtId="39" fontId="26" fillId="4" borderId="1" xfId="1" applyNumberFormat="1" applyFont="1" applyFill="1" applyBorder="1" applyAlignment="1">
      <alignment horizontal="right" wrapText="1"/>
    </xf>
    <xf numFmtId="9" fontId="80" fillId="4" borderId="1" xfId="0" applyNumberFormat="1" applyFont="1" applyFill="1" applyBorder="1" applyAlignment="1">
      <alignment horizontal="right"/>
    </xf>
    <xf numFmtId="39" fontId="26" fillId="4" borderId="4" xfId="1" applyNumberFormat="1" applyFont="1" applyFill="1" applyBorder="1" applyAlignment="1">
      <alignment horizontal="right"/>
    </xf>
    <xf numFmtId="39" fontId="26" fillId="4" borderId="4" xfId="1" applyNumberFormat="1" applyFont="1" applyFill="1" applyBorder="1" applyAlignment="1">
      <alignment horizontal="left" wrapText="1"/>
    </xf>
    <xf numFmtId="39" fontId="26" fillId="4" borderId="1" xfId="0" applyNumberFormat="1" applyFont="1" applyFill="1" applyBorder="1" applyAlignment="1">
      <alignment horizontal="right"/>
    </xf>
    <xf numFmtId="39" fontId="26" fillId="4" borderId="1" xfId="0" applyNumberFormat="1" applyFont="1" applyFill="1" applyBorder="1" applyAlignment="1">
      <alignment horizontal="left" wrapText="1"/>
    </xf>
    <xf numFmtId="39" fontId="26" fillId="4" borderId="1" xfId="0" applyNumberFormat="1" applyFont="1" applyFill="1" applyBorder="1" applyAlignment="1">
      <alignment horizontal="left"/>
    </xf>
    <xf numFmtId="0" fontId="26" fillId="0" borderId="0" xfId="0" applyFont="1"/>
    <xf numFmtId="0" fontId="90" fillId="4" borderId="1" xfId="0" applyFont="1" applyFill="1" applyBorder="1" applyAlignment="1">
      <alignment wrapText="1"/>
    </xf>
    <xf numFmtId="9" fontId="26" fillId="4" borderId="1" xfId="0" applyNumberFormat="1" applyFont="1" applyFill="1" applyBorder="1" applyAlignment="1">
      <alignment horizontal="right"/>
    </xf>
    <xf numFmtId="0" fontId="26" fillId="4" borderId="1" xfId="0" applyFont="1" applyFill="1" applyBorder="1" applyAlignment="1">
      <alignment horizontal="left"/>
    </xf>
    <xf numFmtId="167" fontId="26" fillId="4" borderId="1" xfId="1" applyFont="1" applyFill="1" applyBorder="1" applyAlignment="1">
      <alignment horizontal="right" wrapText="1"/>
    </xf>
    <xf numFmtId="39" fontId="26" fillId="4" borderId="4" xfId="1" applyNumberFormat="1" applyFont="1" applyFill="1" applyBorder="1" applyAlignment="1">
      <alignment horizontal="right" wrapText="1"/>
    </xf>
    <xf numFmtId="39" fontId="26" fillId="4" borderId="1" xfId="1" applyNumberFormat="1" applyFont="1" applyFill="1" applyBorder="1" applyAlignment="1">
      <alignment horizontal="right"/>
    </xf>
    <xf numFmtId="0" fontId="26" fillId="4" borderId="1" xfId="0" applyFont="1" applyFill="1" applyBorder="1" applyAlignment="1">
      <alignment horizontal="left" wrapText="1"/>
    </xf>
    <xf numFmtId="0" fontId="80" fillId="0" borderId="1" xfId="0" applyFont="1" applyBorder="1" applyAlignment="1">
      <alignment wrapText="1"/>
    </xf>
    <xf numFmtId="37" fontId="26" fillId="4" borderId="1" xfId="1" applyNumberFormat="1" applyFont="1" applyFill="1" applyBorder="1" applyAlignment="1">
      <alignment horizontal="right" wrapText="1"/>
    </xf>
    <xf numFmtId="39" fontId="26" fillId="4" borderId="1" xfId="1" applyNumberFormat="1" applyFont="1" applyFill="1" applyBorder="1" applyAlignment="1">
      <alignment horizontal="left" wrapText="1"/>
    </xf>
    <xf numFmtId="0" fontId="26" fillId="8" borderId="1" xfId="0" applyFont="1" applyFill="1" applyBorder="1" applyAlignment="1">
      <alignment horizontal="left" wrapText="1"/>
    </xf>
    <xf numFmtId="0" fontId="26" fillId="19" borderId="1" xfId="0" applyFont="1" applyFill="1" applyBorder="1" applyAlignment="1">
      <alignment wrapText="1"/>
    </xf>
    <xf numFmtId="39" fontId="26" fillId="8" borderId="1" xfId="1" applyNumberFormat="1" applyFont="1" applyFill="1" applyBorder="1" applyAlignment="1">
      <alignment horizontal="right" wrapText="1"/>
    </xf>
    <xf numFmtId="9" fontId="26" fillId="8" borderId="1" xfId="0" applyNumberFormat="1" applyFont="1" applyFill="1" applyBorder="1" applyAlignment="1">
      <alignment horizontal="right"/>
    </xf>
    <xf numFmtId="39" fontId="26" fillId="8" borderId="4" xfId="1" applyNumberFormat="1" applyFont="1" applyFill="1" applyBorder="1" applyAlignment="1">
      <alignment horizontal="right"/>
    </xf>
    <xf numFmtId="39" fontId="26" fillId="8" borderId="4" xfId="1" applyNumberFormat="1" applyFont="1" applyFill="1" applyBorder="1" applyAlignment="1">
      <alignment horizontal="left" wrapText="1"/>
    </xf>
    <xf numFmtId="39" fontId="26" fillId="8" borderId="1" xfId="1" applyNumberFormat="1" applyFont="1" applyFill="1" applyBorder="1" applyAlignment="1">
      <alignment horizontal="right"/>
    </xf>
    <xf numFmtId="9" fontId="80" fillId="8" borderId="1" xfId="0" applyNumberFormat="1" applyFont="1" applyFill="1" applyBorder="1" applyAlignment="1">
      <alignment horizontal="right"/>
    </xf>
    <xf numFmtId="0" fontId="87" fillId="3" borderId="4" xfId="0" applyFont="1" applyFill="1" applyBorder="1" applyAlignment="1">
      <alignment wrapText="1"/>
    </xf>
    <xf numFmtId="0" fontId="87" fillId="26" borderId="3" xfId="0" applyFont="1" applyFill="1" applyBorder="1" applyAlignment="1">
      <alignment wrapText="1"/>
    </xf>
    <xf numFmtId="0" fontId="87" fillId="26" borderId="3" xfId="0" applyFont="1" applyFill="1" applyBorder="1" applyAlignment="1">
      <alignment horizontal="right" wrapText="1"/>
    </xf>
    <xf numFmtId="9" fontId="87" fillId="26" borderId="3" xfId="0" applyNumberFormat="1" applyFont="1" applyFill="1" applyBorder="1" applyAlignment="1">
      <alignment horizontal="right" wrapText="1"/>
    </xf>
    <xf numFmtId="0" fontId="87" fillId="26" borderId="3" xfId="0" applyFont="1" applyFill="1" applyBorder="1" applyAlignment="1">
      <alignment horizontal="left" wrapText="1"/>
    </xf>
    <xf numFmtId="0" fontId="86" fillId="26" borderId="3" xfId="0" applyFont="1" applyFill="1" applyBorder="1" applyAlignment="1">
      <alignment horizontal="right"/>
    </xf>
    <xf numFmtId="9" fontId="86" fillId="26" borderId="3" xfId="0" applyNumberFormat="1" applyFont="1" applyFill="1" applyBorder="1" applyAlignment="1">
      <alignment horizontal="right"/>
    </xf>
    <xf numFmtId="0" fontId="86" fillId="26" borderId="3" xfId="0" applyFont="1" applyFill="1" applyBorder="1" applyAlignment="1">
      <alignment horizontal="left" wrapText="1"/>
    </xf>
    <xf numFmtId="39" fontId="91" fillId="7" borderId="1" xfId="1" applyNumberFormat="1" applyFont="1" applyFill="1" applyBorder="1" applyAlignment="1">
      <alignment horizontal="right" wrapText="1"/>
    </xf>
    <xf numFmtId="167" fontId="91" fillId="7" borderId="1" xfId="1" applyFont="1" applyFill="1" applyBorder="1" applyAlignment="1">
      <alignment horizontal="right" wrapText="1"/>
    </xf>
    <xf numFmtId="0" fontId="91" fillId="0" borderId="1" xfId="0" applyFont="1" applyBorder="1" applyAlignment="1">
      <alignment horizontal="center" wrapText="1"/>
    </xf>
    <xf numFmtId="0" fontId="94" fillId="4" borderId="1" xfId="0" applyFont="1" applyFill="1" applyBorder="1" applyAlignment="1">
      <alignment horizontal="center" wrapText="1"/>
    </xf>
    <xf numFmtId="39" fontId="94" fillId="4" borderId="1" xfId="1" applyNumberFormat="1" applyFont="1" applyFill="1" applyBorder="1" applyAlignment="1">
      <alignment horizontal="right" wrapText="1"/>
    </xf>
    <xf numFmtId="167" fontId="94" fillId="4" borderId="1" xfId="1" applyFont="1" applyFill="1" applyBorder="1" applyAlignment="1">
      <alignment horizontal="right" wrapText="1"/>
    </xf>
    <xf numFmtId="0" fontId="91" fillId="0" borderId="1" xfId="0" applyFont="1" applyBorder="1" applyAlignment="1">
      <alignment horizontal="right" wrapText="1"/>
    </xf>
    <xf numFmtId="4" fontId="91" fillId="0" borderId="1" xfId="0" applyNumberFormat="1" applyFont="1" applyBorder="1" applyAlignment="1">
      <alignment horizontal="center" wrapText="1"/>
    </xf>
    <xf numFmtId="39" fontId="91" fillId="7" borderId="1" xfId="1" applyNumberFormat="1" applyFont="1" applyFill="1" applyBorder="1" applyAlignment="1">
      <alignment horizontal="right"/>
    </xf>
    <xf numFmtId="4" fontId="91" fillId="0" borderId="1" xfId="0" applyNumberFormat="1" applyFont="1" applyBorder="1" applyAlignment="1">
      <alignment horizontal="right" wrapText="1"/>
    </xf>
    <xf numFmtId="0" fontId="91" fillId="11" borderId="1" xfId="0" applyFont="1" applyFill="1" applyBorder="1" applyAlignment="1">
      <alignment horizontal="left" wrapText="1"/>
    </xf>
    <xf numFmtId="0" fontId="91" fillId="11" borderId="1" xfId="0" applyFont="1" applyFill="1" applyBorder="1" applyAlignment="1">
      <alignment horizontal="center" wrapText="1"/>
    </xf>
    <xf numFmtId="4" fontId="91" fillId="11" borderId="1" xfId="0" applyNumberFormat="1" applyFont="1" applyFill="1" applyBorder="1" applyAlignment="1">
      <alignment horizontal="center" wrapText="1"/>
    </xf>
    <xf numFmtId="37" fontId="91" fillId="11" borderId="1" xfId="1" applyNumberFormat="1" applyFont="1" applyFill="1" applyBorder="1" applyAlignment="1">
      <alignment horizontal="right" wrapText="1"/>
    </xf>
    <xf numFmtId="0" fontId="91" fillId="11" borderId="1" xfId="0" applyFont="1" applyFill="1" applyBorder="1" applyAlignment="1">
      <alignment horizontal="right" wrapText="1"/>
    </xf>
    <xf numFmtId="4" fontId="91" fillId="11" borderId="1" xfId="0" applyNumberFormat="1" applyFont="1" applyFill="1" applyBorder="1" applyAlignment="1">
      <alignment horizontal="right" wrapText="1"/>
    </xf>
    <xf numFmtId="39" fontId="91" fillId="11" borderId="4" xfId="1" applyNumberFormat="1" applyFont="1" applyFill="1" applyBorder="1" applyAlignment="1">
      <alignment horizontal="right" wrapText="1"/>
    </xf>
    <xf numFmtId="0" fontId="91" fillId="0" borderId="1" xfId="0" applyFont="1" applyBorder="1" applyAlignment="1">
      <alignment wrapText="1"/>
    </xf>
    <xf numFmtId="0" fontId="97" fillId="19" borderId="1" xfId="0" applyFont="1" applyFill="1" applyBorder="1" applyAlignment="1">
      <alignment horizontal="center" wrapText="1"/>
    </xf>
    <xf numFmtId="39" fontId="94" fillId="19" borderId="1" xfId="1" applyNumberFormat="1" applyFont="1" applyFill="1" applyBorder="1" applyAlignment="1">
      <alignment horizontal="right" wrapText="1"/>
    </xf>
    <xf numFmtId="0" fontId="26" fillId="8" borderId="1" xfId="0" applyFont="1" applyFill="1" applyBorder="1" applyAlignment="1">
      <alignment wrapText="1"/>
    </xf>
    <xf numFmtId="0" fontId="26" fillId="11" borderId="0" xfId="0" applyFont="1" applyFill="1"/>
    <xf numFmtId="0" fontId="26" fillId="10" borderId="4" xfId="0" applyFont="1" applyFill="1" applyBorder="1" applyAlignment="1">
      <alignment wrapText="1"/>
    </xf>
    <xf numFmtId="0" fontId="26" fillId="10" borderId="3" xfId="0" applyFont="1" applyFill="1" applyBorder="1" applyAlignment="1">
      <alignment wrapText="1"/>
    </xf>
    <xf numFmtId="0" fontId="26" fillId="10" borderId="3" xfId="0" applyFont="1" applyFill="1" applyBorder="1" applyAlignment="1">
      <alignment horizontal="right" wrapText="1"/>
    </xf>
    <xf numFmtId="9" fontId="26" fillId="10" borderId="3" xfId="0" applyNumberFormat="1" applyFont="1" applyFill="1" applyBorder="1" applyAlignment="1">
      <alignment horizontal="right" wrapText="1"/>
    </xf>
    <xf numFmtId="0" fontId="26" fillId="10" borderId="3" xfId="0" applyFont="1" applyFill="1" applyBorder="1" applyAlignment="1">
      <alignment horizontal="left" wrapText="1"/>
    </xf>
    <xf numFmtId="2" fontId="91" fillId="0" borderId="1" xfId="0" applyNumberFormat="1" applyFont="1" applyBorder="1" applyAlignment="1">
      <alignment horizontal="right" wrapText="1"/>
    </xf>
    <xf numFmtId="9" fontId="26" fillId="4" borderId="1" xfId="1" applyNumberFormat="1" applyFont="1" applyFill="1" applyBorder="1" applyAlignment="1">
      <alignment horizontal="right"/>
    </xf>
    <xf numFmtId="0" fontId="26" fillId="10" borderId="3" xfId="0" applyFont="1" applyFill="1" applyBorder="1" applyAlignment="1">
      <alignment horizontal="right"/>
    </xf>
    <xf numFmtId="9" fontId="26" fillId="10" borderId="3" xfId="0" applyNumberFormat="1" applyFont="1" applyFill="1" applyBorder="1" applyAlignment="1">
      <alignment horizontal="right"/>
    </xf>
    <xf numFmtId="0" fontId="26" fillId="10" borderId="2" xfId="0" applyFont="1" applyFill="1" applyBorder="1" applyAlignment="1">
      <alignment horizontal="left" wrapText="1"/>
    </xf>
    <xf numFmtId="0" fontId="86" fillId="10" borderId="3" xfId="0" applyFont="1" applyFill="1" applyBorder="1" applyAlignment="1">
      <alignment horizontal="right"/>
    </xf>
    <xf numFmtId="9" fontId="80" fillId="10" borderId="1" xfId="0" applyNumberFormat="1" applyFont="1" applyFill="1" applyBorder="1" applyAlignment="1">
      <alignment horizontal="right"/>
    </xf>
    <xf numFmtId="0" fontId="86" fillId="10" borderId="3" xfId="0" applyFont="1" applyFill="1" applyBorder="1" applyAlignment="1">
      <alignment horizontal="left" wrapText="1"/>
    </xf>
    <xf numFmtId="167" fontId="26" fillId="7" borderId="1" xfId="1" applyFont="1" applyFill="1" applyBorder="1" applyAlignment="1">
      <alignment horizontal="right" wrapText="1"/>
    </xf>
    <xf numFmtId="167" fontId="97" fillId="7" borderId="1" xfId="1" applyFont="1" applyFill="1" applyBorder="1" applyAlignment="1">
      <alignment horizontal="right" wrapText="1"/>
    </xf>
    <xf numFmtId="0" fontId="26" fillId="4" borderId="1" xfId="0" applyFont="1" applyFill="1" applyBorder="1" applyAlignment="1">
      <alignment horizontal="right"/>
    </xf>
    <xf numFmtId="9" fontId="80" fillId="10" borderId="3" xfId="0" applyNumberFormat="1" applyFont="1" applyFill="1" applyBorder="1" applyAlignment="1">
      <alignment horizontal="right"/>
    </xf>
    <xf numFmtId="9" fontId="26" fillId="8" borderId="1" xfId="1" applyNumberFormat="1" applyFont="1" applyFill="1" applyBorder="1" applyAlignment="1">
      <alignment horizontal="right"/>
    </xf>
    <xf numFmtId="39" fontId="26" fillId="8" borderId="1" xfId="1" applyNumberFormat="1" applyFont="1" applyFill="1" applyBorder="1" applyAlignment="1">
      <alignment horizontal="left" wrapText="1"/>
    </xf>
    <xf numFmtId="0" fontId="26" fillId="11" borderId="0" xfId="0" applyFont="1" applyFill="1" applyAlignment="1">
      <alignment horizontal="left"/>
    </xf>
    <xf numFmtId="0" fontId="26" fillId="5" borderId="1" xfId="0" applyFont="1" applyFill="1" applyBorder="1" applyAlignment="1">
      <alignment horizontal="left"/>
    </xf>
    <xf numFmtId="178" fontId="26" fillId="5" borderId="1" xfId="0" applyNumberFormat="1" applyFont="1" applyFill="1" applyBorder="1" applyAlignment="1">
      <alignment horizontal="right" wrapText="1"/>
    </xf>
    <xf numFmtId="0" fontId="26" fillId="5" borderId="1" xfId="0" applyFont="1" applyFill="1" applyBorder="1" applyAlignment="1">
      <alignment horizontal="right" wrapText="1"/>
    </xf>
    <xf numFmtId="0" fontId="26" fillId="5" borderId="4" xfId="0" applyFont="1" applyFill="1" applyBorder="1" applyAlignment="1">
      <alignment horizontal="right" wrapText="1"/>
    </xf>
    <xf numFmtId="9" fontId="26" fillId="5" borderId="1" xfId="0" applyNumberFormat="1" applyFont="1" applyFill="1" applyBorder="1" applyAlignment="1">
      <alignment horizontal="right" wrapText="1"/>
    </xf>
    <xf numFmtId="178" fontId="26" fillId="5" borderId="1" xfId="0" applyNumberFormat="1" applyFont="1" applyFill="1" applyBorder="1" applyAlignment="1">
      <alignment horizontal="left" wrapText="1"/>
    </xf>
    <xf numFmtId="178" fontId="26" fillId="19" borderId="1" xfId="0" applyNumberFormat="1" applyFont="1" applyFill="1" applyBorder="1" applyAlignment="1">
      <alignment horizontal="right" wrapText="1"/>
    </xf>
    <xf numFmtId="178" fontId="26" fillId="19" borderId="1" xfId="0" applyNumberFormat="1" applyFont="1" applyFill="1" applyBorder="1" applyAlignment="1">
      <alignment horizontal="right"/>
    </xf>
    <xf numFmtId="39" fontId="26" fillId="19" borderId="1" xfId="0" applyNumberFormat="1" applyFont="1" applyFill="1" applyBorder="1" applyAlignment="1">
      <alignment horizontal="right" wrapText="1"/>
    </xf>
    <xf numFmtId="39" fontId="26" fillId="19" borderId="4" xfId="0" applyNumberFormat="1" applyFont="1" applyFill="1" applyBorder="1" applyAlignment="1">
      <alignment horizontal="right" wrapText="1"/>
    </xf>
    <xf numFmtId="9" fontId="26" fillId="19" borderId="1" xfId="0" applyNumberFormat="1" applyFont="1" applyFill="1" applyBorder="1" applyAlignment="1">
      <alignment horizontal="right"/>
    </xf>
    <xf numFmtId="178" fontId="26" fillId="19" borderId="1" xfId="0" applyNumberFormat="1" applyFont="1" applyFill="1" applyBorder="1" applyAlignment="1">
      <alignment horizontal="left" wrapText="1"/>
    </xf>
    <xf numFmtId="178" fontId="26" fillId="19" borderId="4" xfId="0" applyNumberFormat="1" applyFont="1" applyFill="1" applyBorder="1" applyAlignment="1">
      <alignment horizontal="left" wrapText="1"/>
    </xf>
    <xf numFmtId="178" fontId="26" fillId="19" borderId="4" xfId="0" applyNumberFormat="1" applyFont="1" applyFill="1" applyBorder="1" applyAlignment="1">
      <alignment horizontal="right"/>
    </xf>
    <xf numFmtId="0" fontId="26" fillId="19" borderId="2" xfId="0" applyFont="1" applyFill="1" applyBorder="1" applyAlignment="1">
      <alignment horizontal="right"/>
    </xf>
    <xf numFmtId="0" fontId="26" fillId="19" borderId="1" xfId="0" applyFont="1" applyFill="1" applyBorder="1" applyAlignment="1">
      <alignment horizontal="left"/>
    </xf>
    <xf numFmtId="0" fontId="26" fillId="0" borderId="6" xfId="0" applyFont="1" applyBorder="1"/>
    <xf numFmtId="0" fontId="26" fillId="0" borderId="0" xfId="0" applyFont="1" applyAlignment="1">
      <alignment horizontal="right"/>
    </xf>
    <xf numFmtId="0" fontId="80" fillId="0" borderId="12" xfId="0" applyFont="1" applyBorder="1"/>
    <xf numFmtId="0" fontId="80" fillId="0" borderId="13" xfId="0" applyFont="1" applyBorder="1"/>
    <xf numFmtId="0" fontId="80" fillId="0" borderId="6" xfId="0" applyFont="1" applyBorder="1"/>
    <xf numFmtId="0" fontId="80" fillId="0" borderId="7" xfId="0" applyFont="1" applyBorder="1"/>
    <xf numFmtId="0" fontId="80" fillId="0" borderId="9" xfId="0" applyFont="1" applyBorder="1"/>
    <xf numFmtId="0" fontId="80" fillId="0" borderId="10" xfId="0" applyFont="1" applyBorder="1"/>
    <xf numFmtId="0" fontId="56" fillId="0" borderId="14" xfId="0" applyFont="1" applyBorder="1" applyAlignment="1">
      <alignment wrapText="1"/>
    </xf>
    <xf numFmtId="39" fontId="59" fillId="4" borderId="41" xfId="1" applyNumberFormat="1" applyFont="1" applyFill="1" applyBorder="1" applyAlignment="1">
      <alignment horizontal="right"/>
    </xf>
    <xf numFmtId="39" fontId="59" fillId="4" borderId="52" xfId="1" applyNumberFormat="1" applyFont="1" applyFill="1" applyBorder="1" applyAlignment="1">
      <alignment horizontal="right"/>
    </xf>
    <xf numFmtId="39" fontId="59" fillId="4" borderId="15" xfId="1" applyNumberFormat="1" applyFont="1" applyFill="1" applyBorder="1" applyAlignment="1">
      <alignment horizontal="right"/>
    </xf>
    <xf numFmtId="39" fontId="59" fillId="4" borderId="47" xfId="1" applyNumberFormat="1" applyFont="1" applyFill="1" applyBorder="1"/>
    <xf numFmtId="39" fontId="59" fillId="4" borderId="47" xfId="1" applyNumberFormat="1" applyFont="1" applyFill="1" applyBorder="1" applyAlignment="1">
      <alignment horizontal="right"/>
    </xf>
    <xf numFmtId="39" fontId="59" fillId="4" borderId="48" xfId="1" applyNumberFormat="1" applyFont="1" applyFill="1" applyBorder="1" applyAlignment="1">
      <alignment horizontal="center"/>
    </xf>
    <xf numFmtId="2" fontId="59" fillId="4" borderId="47" xfId="1" applyNumberFormat="1" applyFont="1" applyFill="1" applyBorder="1" applyAlignment="1">
      <alignment horizontal="center"/>
    </xf>
    <xf numFmtId="39" fontId="59" fillId="4" borderId="48" xfId="1" applyNumberFormat="1" applyFont="1" applyFill="1" applyBorder="1"/>
    <xf numFmtId="39" fontId="57" fillId="0" borderId="1" xfId="0" applyNumberFormat="1" applyFont="1" applyBorder="1" applyAlignment="1">
      <alignment horizontal="right"/>
    </xf>
    <xf numFmtId="39" fontId="59" fillId="0" borderId="1" xfId="0" applyNumberFormat="1" applyFont="1" applyBorder="1" applyAlignment="1">
      <alignment horizontal="right"/>
    </xf>
    <xf numFmtId="39" fontId="57" fillId="11" borderId="11" xfId="1" applyNumberFormat="1" applyFont="1" applyFill="1" applyBorder="1" applyAlignment="1">
      <alignment horizontal="right"/>
    </xf>
    <xf numFmtId="39" fontId="59" fillId="11" borderId="11" xfId="1" applyNumberFormat="1" applyFont="1" applyFill="1" applyBorder="1" applyAlignment="1">
      <alignment horizontal="right"/>
    </xf>
    <xf numFmtId="0" fontId="56" fillId="11" borderId="14" xfId="0" applyFont="1" applyFill="1" applyBorder="1" applyAlignment="1">
      <alignment wrapText="1"/>
    </xf>
    <xf numFmtId="2" fontId="59" fillId="4" borderId="41" xfId="1" applyNumberFormat="1" applyFont="1" applyFill="1" applyBorder="1" applyAlignment="1">
      <alignment horizontal="right"/>
    </xf>
    <xf numFmtId="39" fontId="59" fillId="8" borderId="47" xfId="1" applyNumberFormat="1" applyFont="1" applyFill="1" applyBorder="1" applyAlignment="1">
      <alignment horizontal="right"/>
    </xf>
    <xf numFmtId="39" fontId="59" fillId="4" borderId="1" xfId="1" applyNumberFormat="1" applyFont="1" applyFill="1" applyBorder="1" applyAlignment="1">
      <alignment horizontal="right"/>
    </xf>
    <xf numFmtId="39" fontId="59" fillId="8" borderId="1" xfId="1" applyNumberFormat="1" applyFont="1" applyFill="1" applyBorder="1" applyAlignment="1">
      <alignment horizontal="right"/>
    </xf>
    <xf numFmtId="0" fontId="51" fillId="10" borderId="3" xfId="0" applyFont="1" applyFill="1" applyBorder="1" applyAlignment="1">
      <alignment horizontal="right" vertical="center" wrapText="1"/>
    </xf>
    <xf numFmtId="0" fontId="51" fillId="11" borderId="6" xfId="0" applyFont="1" applyFill="1" applyBorder="1" applyAlignment="1">
      <alignment vertical="center"/>
    </xf>
    <xf numFmtId="0" fontId="51" fillId="5" borderId="1" xfId="0" applyFont="1" applyFill="1" applyBorder="1" applyAlignment="1">
      <alignment horizontal="right" vertical="center" wrapText="1"/>
    </xf>
    <xf numFmtId="39" fontId="51" fillId="5" borderId="1" xfId="0" applyNumberFormat="1" applyFont="1" applyFill="1" applyBorder="1" applyAlignment="1">
      <alignment horizontal="right" vertical="center" wrapText="1"/>
    </xf>
    <xf numFmtId="39" fontId="51" fillId="19" borderId="1" xfId="0" applyNumberFormat="1" applyFont="1" applyFill="1" applyBorder="1" applyAlignment="1">
      <alignment horizontal="right"/>
    </xf>
    <xf numFmtId="37" fontId="51" fillId="19" borderId="1" xfId="0" applyNumberFormat="1" applyFont="1" applyFill="1" applyBorder="1" applyAlignment="1">
      <alignment horizontal="right"/>
    </xf>
    <xf numFmtId="0" fontId="51" fillId="0" borderId="0" xfId="0" applyFont="1" applyAlignment="1">
      <alignment horizontal="right"/>
    </xf>
    <xf numFmtId="0" fontId="50" fillId="0" borderId="0" xfId="0" applyFont="1" applyAlignment="1">
      <alignment horizontal="right"/>
    </xf>
    <xf numFmtId="39" fontId="11" fillId="36" borderId="3" xfId="1" applyNumberFormat="1" applyFont="1" applyFill="1" applyBorder="1" applyAlignment="1">
      <alignment vertical="center" wrapText="1"/>
    </xf>
    <xf numFmtId="39" fontId="11" fillId="4" borderId="4" xfId="1" applyNumberFormat="1" applyFont="1" applyFill="1" applyBorder="1" applyAlignment="1">
      <alignment vertical="center"/>
    </xf>
    <xf numFmtId="39" fontId="11" fillId="4" borderId="4" xfId="1" applyNumberFormat="1" applyFont="1" applyFill="1" applyBorder="1" applyAlignment="1">
      <alignment vertical="center" wrapText="1"/>
    </xf>
    <xf numFmtId="39" fontId="10" fillId="0" borderId="4" xfId="1" applyNumberFormat="1" applyFont="1" applyFill="1" applyBorder="1" applyAlignment="1">
      <alignment vertical="center" wrapText="1"/>
    </xf>
    <xf numFmtId="39" fontId="10" fillId="0" borderId="3" xfId="1" applyNumberFormat="1" applyFont="1" applyFill="1" applyBorder="1" applyAlignment="1">
      <alignment vertical="center"/>
    </xf>
    <xf numFmtId="0" fontId="11" fillId="5" borderId="6" xfId="0" applyFont="1" applyFill="1" applyBorder="1" applyAlignment="1">
      <alignment horizontal="left" vertical="center"/>
    </xf>
    <xf numFmtId="0" fontId="11" fillId="5" borderId="9" xfId="0" applyFont="1" applyFill="1" applyBorder="1" applyAlignment="1">
      <alignment horizontal="left" vertical="center"/>
    </xf>
    <xf numFmtId="9" fontId="10" fillId="0" borderId="14" xfId="3" applyFont="1" applyFill="1" applyBorder="1" applyAlignment="1">
      <alignment vertical="center"/>
    </xf>
    <xf numFmtId="0" fontId="11" fillId="0" borderId="14" xfId="0" applyFont="1" applyFill="1" applyBorder="1" applyAlignment="1">
      <alignment horizontal="left" vertical="center" wrapText="1"/>
    </xf>
    <xf numFmtId="0" fontId="10" fillId="0" borderId="0" xfId="0" applyFont="1" applyBorder="1" applyAlignment="1">
      <alignment horizontal="left" vertical="center" wrapText="1"/>
    </xf>
    <xf numFmtId="0" fontId="11" fillId="0" borderId="1"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0" fillId="0" borderId="0" xfId="0" applyFont="1" applyAlignment="1">
      <alignment horizontal="left" vertical="center" wrapText="1"/>
    </xf>
    <xf numFmtId="0" fontId="11" fillId="0" borderId="1" xfId="0" applyFont="1" applyFill="1" applyBorder="1" applyAlignment="1">
      <alignment horizontal="left" vertical="center" wrapText="1"/>
    </xf>
    <xf numFmtId="39" fontId="31" fillId="0" borderId="4" xfId="1" applyNumberFormat="1" applyFont="1" applyFill="1" applyBorder="1" applyAlignment="1">
      <alignment vertical="center"/>
    </xf>
    <xf numFmtId="0" fontId="10" fillId="0" borderId="4" xfId="0" applyFont="1" applyFill="1" applyBorder="1" applyAlignment="1">
      <alignment vertical="center"/>
    </xf>
    <xf numFmtId="0" fontId="19" fillId="9" borderId="8" xfId="0" applyFont="1" applyFill="1" applyBorder="1" applyAlignment="1">
      <alignment vertical="center" wrapText="1"/>
    </xf>
    <xf numFmtId="0" fontId="11" fillId="4" borderId="1" xfId="0" applyFont="1" applyFill="1" applyBorder="1" applyAlignment="1">
      <alignment horizontal="center" vertical="center" wrapText="1"/>
    </xf>
    <xf numFmtId="49" fontId="8" fillId="0" borderId="0" xfId="0" applyNumberFormat="1" applyFont="1" applyAlignment="1">
      <alignment vertical="center"/>
    </xf>
    <xf numFmtId="9" fontId="8" fillId="0" borderId="11" xfId="3" applyFont="1" applyFill="1" applyBorder="1" applyAlignment="1">
      <alignment vertical="center"/>
    </xf>
    <xf numFmtId="39" fontId="8" fillId="0" borderId="4" xfId="1" applyNumberFormat="1" applyFont="1" applyFill="1" applyBorder="1" applyAlignment="1">
      <alignment vertical="center"/>
    </xf>
    <xf numFmtId="9" fontId="8" fillId="0" borderId="1" xfId="3" applyFont="1" applyFill="1" applyBorder="1" applyAlignment="1">
      <alignment vertical="center"/>
    </xf>
    <xf numFmtId="4" fontId="8" fillId="0" borderId="4" xfId="0" applyNumberFormat="1" applyFont="1" applyFill="1" applyBorder="1" applyAlignment="1">
      <alignment vertical="center"/>
    </xf>
    <xf numFmtId="9" fontId="8" fillId="0" borderId="1" xfId="3" applyNumberFormat="1" applyFont="1" applyFill="1" applyBorder="1" applyAlignment="1">
      <alignment vertical="center"/>
    </xf>
    <xf numFmtId="169" fontId="8" fillId="0" borderId="1" xfId="0" applyNumberFormat="1" applyFont="1" applyFill="1" applyBorder="1" applyAlignment="1">
      <alignment vertical="top"/>
    </xf>
    <xf numFmtId="0" fontId="8" fillId="0" borderId="1" xfId="0" applyNumberFormat="1" applyFont="1" applyFill="1" applyBorder="1" applyAlignment="1">
      <alignment horizontal="left" vertical="top" wrapText="1"/>
    </xf>
    <xf numFmtId="9" fontId="8" fillId="0" borderId="4" xfId="3" applyFont="1" applyFill="1" applyBorder="1" applyAlignment="1">
      <alignment vertical="center"/>
    </xf>
    <xf numFmtId="165" fontId="8" fillId="0" borderId="1" xfId="0" applyNumberFormat="1" applyFont="1" applyFill="1" applyBorder="1" applyAlignment="1">
      <alignment vertical="top" wrapText="1"/>
    </xf>
    <xf numFmtId="170" fontId="8" fillId="0" borderId="1" xfId="1" applyNumberFormat="1" applyFont="1" applyFill="1" applyBorder="1" applyAlignment="1">
      <alignment vertical="center"/>
    </xf>
    <xf numFmtId="170" fontId="8" fillId="0" borderId="1" xfId="0" applyNumberFormat="1" applyFont="1" applyFill="1" applyBorder="1" applyAlignment="1">
      <alignment horizontal="right" vertical="center" wrapText="1"/>
    </xf>
    <xf numFmtId="9" fontId="19" fillId="0" borderId="1" xfId="0" applyNumberFormat="1" applyFont="1" applyFill="1" applyBorder="1" applyAlignment="1">
      <alignment vertical="center"/>
    </xf>
    <xf numFmtId="4" fontId="19" fillId="0" borderId="1" xfId="0" applyNumberFormat="1" applyFont="1" applyFill="1" applyBorder="1" applyAlignment="1">
      <alignment vertical="center"/>
    </xf>
    <xf numFmtId="0" fontId="8" fillId="0" borderId="1" xfId="0" applyFont="1" applyFill="1" applyBorder="1" applyAlignment="1">
      <alignment horizontal="right" vertical="center" wrapText="1"/>
    </xf>
    <xf numFmtId="39" fontId="8" fillId="0" borderId="1" xfId="1" applyNumberFormat="1" applyFont="1" applyFill="1" applyBorder="1" applyAlignment="1">
      <alignment horizontal="right" vertical="center"/>
    </xf>
    <xf numFmtId="167" fontId="8" fillId="0" borderId="1" xfId="1" applyFont="1" applyFill="1" applyBorder="1" applyAlignment="1">
      <alignment horizontal="right" vertical="center"/>
    </xf>
    <xf numFmtId="167" fontId="8" fillId="0" borderId="4" xfId="1" applyFont="1" applyFill="1" applyBorder="1" applyAlignment="1">
      <alignment horizontal="right" vertical="center"/>
    </xf>
    <xf numFmtId="0" fontId="8" fillId="0" borderId="1" xfId="0" applyFont="1" applyFill="1" applyBorder="1" applyAlignment="1">
      <alignment vertical="top"/>
    </xf>
    <xf numFmtId="167" fontId="19" fillId="4" borderId="1" xfId="1" applyFont="1" applyFill="1" applyBorder="1" applyAlignment="1">
      <alignment horizontal="right" vertical="center"/>
    </xf>
    <xf numFmtId="9" fontId="19" fillId="4" borderId="4" xfId="3" applyFont="1" applyFill="1" applyBorder="1" applyAlignment="1">
      <alignment horizontal="right" vertical="center"/>
    </xf>
    <xf numFmtId="4" fontId="19" fillId="4" borderId="4" xfId="0" applyNumberFormat="1" applyFont="1" applyFill="1" applyBorder="1" applyAlignment="1">
      <alignment vertical="center"/>
    </xf>
    <xf numFmtId="9" fontId="8" fillId="0" borderId="1" xfId="1" applyNumberFormat="1" applyFont="1" applyFill="1" applyBorder="1" applyAlignment="1">
      <alignment vertical="center"/>
    </xf>
    <xf numFmtId="9" fontId="24" fillId="0" borderId="4" xfId="1" applyNumberFormat="1" applyFont="1" applyFill="1" applyBorder="1" applyAlignment="1">
      <alignment vertical="center"/>
    </xf>
    <xf numFmtId="9" fontId="24" fillId="0" borderId="1" xfId="1" applyNumberFormat="1" applyFont="1" applyFill="1" applyBorder="1" applyAlignment="1">
      <alignment vertical="center"/>
    </xf>
    <xf numFmtId="9" fontId="8" fillId="0" borderId="4" xfId="1" applyNumberFormat="1" applyFont="1" applyFill="1" applyBorder="1" applyAlignment="1">
      <alignment vertical="center"/>
    </xf>
    <xf numFmtId="0" fontId="8" fillId="0" borderId="4" xfId="0" applyFont="1" applyFill="1" applyBorder="1" applyAlignment="1">
      <alignment vertical="center"/>
    </xf>
    <xf numFmtId="37" fontId="8" fillId="0" borderId="1" xfId="1" applyNumberFormat="1" applyFont="1" applyFill="1" applyBorder="1" applyAlignment="1">
      <alignment vertical="center"/>
    </xf>
    <xf numFmtId="170" fontId="8" fillId="0" borderId="4" xfId="0" applyNumberFormat="1" applyFont="1" applyFill="1" applyBorder="1" applyAlignment="1">
      <alignment vertical="center"/>
    </xf>
    <xf numFmtId="0" fontId="8" fillId="0" borderId="4" xfId="2" applyFont="1" applyFill="1" applyBorder="1" applyAlignment="1">
      <alignment vertical="top"/>
    </xf>
    <xf numFmtId="0" fontId="10" fillId="0" borderId="14" xfId="0" applyFont="1" applyFill="1" applyBorder="1" applyAlignment="1">
      <alignment horizontal="left" vertical="center" wrapText="1"/>
    </xf>
    <xf numFmtId="2" fontId="10" fillId="0" borderId="1" xfId="0" applyNumberFormat="1" applyFont="1" applyFill="1" applyBorder="1" applyAlignment="1">
      <alignment horizontal="left" vertical="center" wrapText="1"/>
    </xf>
    <xf numFmtId="2" fontId="10" fillId="0" borderId="1" xfId="1" applyNumberFormat="1" applyFont="1" applyFill="1" applyBorder="1" applyAlignment="1">
      <alignment horizontal="right" vertical="center"/>
    </xf>
    <xf numFmtId="0" fontId="10" fillId="0" borderId="18" xfId="0" applyFont="1" applyFill="1" applyBorder="1" applyAlignment="1">
      <alignment vertical="center"/>
    </xf>
    <xf numFmtId="0" fontId="10" fillId="0" borderId="15" xfId="0" applyFont="1" applyFill="1" applyBorder="1" applyAlignment="1">
      <alignment horizontal="left" vertical="center" wrapText="1"/>
    </xf>
    <xf numFmtId="9" fontId="10" fillId="0" borderId="1" xfId="13" applyFont="1" applyFill="1" applyBorder="1" applyAlignment="1">
      <alignment horizontal="left" vertical="center" wrapText="1"/>
    </xf>
    <xf numFmtId="0" fontId="10" fillId="0" borderId="11" xfId="0" applyFont="1" applyFill="1" applyBorder="1" applyAlignment="1">
      <alignment horizontal="left" vertical="center" wrapText="1"/>
    </xf>
    <xf numFmtId="2" fontId="10" fillId="0" borderId="11" xfId="0" applyNumberFormat="1" applyFont="1" applyFill="1" applyBorder="1" applyAlignment="1">
      <alignment horizontal="left" vertical="center" wrapText="1"/>
    </xf>
    <xf numFmtId="2" fontId="10" fillId="0" borderId="11" xfId="1" applyNumberFormat="1" applyFont="1" applyFill="1" applyBorder="1" applyAlignment="1">
      <alignment horizontal="right" vertical="center"/>
    </xf>
    <xf numFmtId="9" fontId="10" fillId="0" borderId="8" xfId="3" applyFont="1" applyFill="1" applyBorder="1" applyAlignment="1">
      <alignment horizontal="right" vertical="center"/>
    </xf>
    <xf numFmtId="0" fontId="10" fillId="0" borderId="8" xfId="0" applyFont="1" applyFill="1" applyBorder="1" applyAlignment="1">
      <alignment horizontal="left" vertical="center"/>
    </xf>
    <xf numFmtId="9" fontId="10" fillId="0" borderId="11" xfId="3" applyFont="1" applyFill="1" applyBorder="1" applyAlignment="1">
      <alignment vertical="center"/>
    </xf>
    <xf numFmtId="0" fontId="10" fillId="0" borderId="42" xfId="0" applyFont="1" applyFill="1" applyBorder="1" applyAlignment="1">
      <alignment vertical="center"/>
    </xf>
    <xf numFmtId="2" fontId="10" fillId="0" borderId="14" xfId="0" applyNumberFormat="1" applyFont="1" applyFill="1" applyBorder="1" applyAlignment="1">
      <alignment vertical="center" wrapText="1"/>
    </xf>
    <xf numFmtId="39" fontId="10" fillId="0" borderId="14" xfId="1" applyNumberFormat="1" applyFont="1" applyFill="1" applyBorder="1" applyAlignment="1">
      <alignment horizontal="right" vertical="center"/>
    </xf>
    <xf numFmtId="2" fontId="10" fillId="0" borderId="14" xfId="1" applyNumberFormat="1" applyFont="1" applyFill="1" applyBorder="1" applyAlignment="1">
      <alignment horizontal="right" vertical="center"/>
    </xf>
    <xf numFmtId="0" fontId="10" fillId="0" borderId="5" xfId="0" applyFont="1" applyFill="1" applyBorder="1" applyAlignment="1">
      <alignment horizontal="left" vertical="center"/>
    </xf>
    <xf numFmtId="0" fontId="10" fillId="0" borderId="39" xfId="0" applyFont="1" applyFill="1" applyBorder="1" applyAlignment="1">
      <alignment vertical="center"/>
    </xf>
    <xf numFmtId="0" fontId="10" fillId="0" borderId="14" xfId="0" applyFont="1" applyFill="1" applyBorder="1" applyAlignment="1">
      <alignment horizontal="center" vertical="center" wrapText="1"/>
    </xf>
    <xf numFmtId="9" fontId="10" fillId="0" borderId="5" xfId="3" applyFont="1" applyFill="1" applyBorder="1" applyAlignment="1">
      <alignment horizontal="right" vertical="center"/>
    </xf>
    <xf numFmtId="9" fontId="10" fillId="0" borderId="14" xfId="3" applyFont="1" applyFill="1" applyBorder="1" applyAlignment="1">
      <alignment horizontal="right" vertical="center"/>
    </xf>
    <xf numFmtId="39" fontId="10" fillId="0" borderId="4" xfId="1" applyNumberFormat="1" applyFont="1" applyFill="1" applyBorder="1" applyAlignment="1">
      <alignment horizontal="right" vertical="center"/>
    </xf>
    <xf numFmtId="0" fontId="10" fillId="0" borderId="5" xfId="0" applyFont="1" applyFill="1" applyBorder="1" applyAlignment="1">
      <alignment vertical="center"/>
    </xf>
    <xf numFmtId="170" fontId="10" fillId="0" borderId="1" xfId="1" applyNumberFormat="1" applyFont="1" applyFill="1" applyBorder="1" applyAlignment="1">
      <alignment vertical="center" wrapText="1"/>
    </xf>
    <xf numFmtId="169" fontId="10"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wrapText="1"/>
    </xf>
    <xf numFmtId="165" fontId="10" fillId="0" borderId="1" xfId="0" applyNumberFormat="1" applyFont="1" applyFill="1" applyBorder="1" applyAlignment="1">
      <alignment horizontal="left" vertical="center" wrapText="1"/>
    </xf>
    <xf numFmtId="170" fontId="10" fillId="0" borderId="1" xfId="1" applyNumberFormat="1" applyFont="1" applyFill="1" applyBorder="1" applyAlignment="1">
      <alignment vertical="center"/>
    </xf>
    <xf numFmtId="39" fontId="10" fillId="0" borderId="1" xfId="0" applyNumberFormat="1" applyFont="1" applyFill="1" applyBorder="1" applyAlignment="1">
      <alignment horizontal="left" vertical="center"/>
    </xf>
    <xf numFmtId="39" fontId="10" fillId="0" borderId="8" xfId="0" applyNumberFormat="1" applyFont="1" applyFill="1" applyBorder="1" applyAlignment="1">
      <alignment horizontal="right" vertical="center"/>
    </xf>
    <xf numFmtId="39" fontId="57" fillId="0" borderId="1" xfId="1" applyNumberFormat="1" applyFont="1" applyFill="1" applyBorder="1" applyAlignment="1">
      <alignment horizontal="right" vertical="center"/>
    </xf>
    <xf numFmtId="39" fontId="10" fillId="0" borderId="1" xfId="0" applyNumberFormat="1" applyFont="1" applyFill="1" applyBorder="1" applyAlignment="1">
      <alignment horizontal="right" vertical="center"/>
    </xf>
    <xf numFmtId="170" fontId="10" fillId="0" borderId="1" xfId="0" applyNumberFormat="1" applyFont="1" applyFill="1" applyBorder="1" applyAlignment="1">
      <alignment horizontal="right" vertical="center" wrapText="1"/>
    </xf>
    <xf numFmtId="2" fontId="11" fillId="0" borderId="11" xfId="0" applyNumberFormat="1" applyFont="1" applyFill="1" applyBorder="1" applyAlignment="1">
      <alignment vertical="center" wrapText="1"/>
    </xf>
    <xf numFmtId="39" fontId="10" fillId="0" borderId="8" xfId="1" applyNumberFormat="1" applyFont="1" applyFill="1" applyBorder="1" applyAlignment="1">
      <alignment horizontal="right" vertical="center"/>
    </xf>
    <xf numFmtId="39" fontId="11" fillId="0" borderId="8" xfId="1" applyNumberFormat="1" applyFont="1" applyFill="1" applyBorder="1" applyAlignment="1">
      <alignment horizontal="left" vertical="center"/>
    </xf>
    <xf numFmtId="39" fontId="10" fillId="0" borderId="8" xfId="0" applyNumberFormat="1" applyFont="1" applyFill="1" applyBorder="1" applyAlignment="1">
      <alignment vertical="center"/>
    </xf>
    <xf numFmtId="9" fontId="10" fillId="0" borderId="8" xfId="3" applyFont="1" applyFill="1" applyBorder="1" applyAlignment="1">
      <alignment vertical="center"/>
    </xf>
    <xf numFmtId="0" fontId="11" fillId="0" borderId="42" xfId="0" applyFont="1" applyFill="1" applyBorder="1" applyAlignment="1">
      <alignment vertical="center"/>
    </xf>
    <xf numFmtId="4" fontId="10" fillId="0" borderId="11" xfId="1" applyNumberFormat="1" applyFont="1" applyFill="1" applyBorder="1" applyAlignment="1">
      <alignment horizontal="right" vertical="center"/>
    </xf>
    <xf numFmtId="0" fontId="11" fillId="0" borderId="18" xfId="0" applyFont="1" applyFill="1" applyBorder="1" applyAlignment="1">
      <alignment vertical="center"/>
    </xf>
    <xf numFmtId="0" fontId="10" fillId="0" borderId="4" xfId="0" applyFont="1" applyFill="1" applyBorder="1" applyAlignment="1">
      <alignment horizontal="center" vertical="center" wrapText="1"/>
    </xf>
    <xf numFmtId="0" fontId="11" fillId="0" borderId="4" xfId="0" applyFont="1" applyFill="1" applyBorder="1" applyAlignment="1">
      <alignment horizontal="left" vertical="center"/>
    </xf>
    <xf numFmtId="9" fontId="10" fillId="0" borderId="1" xfId="3" applyFont="1" applyFill="1" applyBorder="1" applyAlignment="1">
      <alignment vertical="center" wrapText="1"/>
    </xf>
    <xf numFmtId="165" fontId="10" fillId="0" borderId="1" xfId="0" applyNumberFormat="1" applyFont="1" applyFill="1" applyBorder="1" applyAlignment="1">
      <alignment horizontal="left" vertical="center"/>
    </xf>
    <xf numFmtId="167" fontId="10" fillId="0" borderId="1" xfId="1" applyFont="1" applyFill="1" applyBorder="1" applyAlignment="1">
      <alignment vertical="center" wrapText="1"/>
    </xf>
    <xf numFmtId="37" fontId="10" fillId="0" borderId="1" xfId="1" applyNumberFormat="1" applyFont="1" applyFill="1" applyBorder="1" applyAlignment="1">
      <alignment horizontal="right" vertical="center"/>
    </xf>
    <xf numFmtId="0" fontId="10" fillId="0" borderId="4" xfId="2" applyFont="1" applyFill="1" applyBorder="1" applyAlignment="1">
      <alignment horizontal="left" vertical="center"/>
    </xf>
    <xf numFmtId="0" fontId="10" fillId="0" borderId="4" xfId="2" applyNumberFormat="1" applyFont="1" applyFill="1" applyBorder="1" applyAlignment="1">
      <alignment horizontal="left" vertical="center" wrapText="1"/>
    </xf>
    <xf numFmtId="2" fontId="10" fillId="0" borderId="1" xfId="5" applyNumberFormat="1" applyFont="1" applyFill="1" applyBorder="1" applyAlignment="1">
      <alignment horizontal="right" vertical="center"/>
    </xf>
    <xf numFmtId="2" fontId="10" fillId="0" borderId="3" xfId="0" applyNumberFormat="1" applyFont="1" applyFill="1" applyBorder="1" applyAlignment="1">
      <alignment horizontal="right" vertical="center" wrapText="1"/>
    </xf>
    <xf numFmtId="0" fontId="10" fillId="0" borderId="11" xfId="20" applyFont="1" applyFill="1" applyBorder="1" applyAlignment="1">
      <alignment horizontal="center" vertical="center"/>
    </xf>
    <xf numFmtId="2" fontId="10" fillId="0" borderId="2" xfId="1" applyNumberFormat="1" applyFont="1" applyFill="1" applyBorder="1" applyAlignment="1">
      <alignment horizontal="right" vertical="center" wrapText="1"/>
    </xf>
    <xf numFmtId="2" fontId="10" fillId="0" borderId="2" xfId="0" applyNumberFormat="1" applyFont="1" applyFill="1" applyBorder="1" applyAlignment="1">
      <alignment horizontal="right" vertical="center" wrapText="1"/>
    </xf>
    <xf numFmtId="2" fontId="10" fillId="0" borderId="1" xfId="5" applyNumberFormat="1" applyFont="1" applyFill="1" applyBorder="1" applyAlignment="1">
      <alignment vertical="center"/>
    </xf>
    <xf numFmtId="2" fontId="10" fillId="0" borderId="1" xfId="10" applyNumberFormat="1" applyFont="1" applyFill="1" applyBorder="1" applyAlignment="1">
      <alignment vertical="center"/>
    </xf>
    <xf numFmtId="2" fontId="10" fillId="0" borderId="1" xfId="10" applyNumberFormat="1" applyFont="1" applyFill="1" applyBorder="1" applyAlignment="1">
      <alignment horizontal="right" vertical="center"/>
    </xf>
    <xf numFmtId="39" fontId="10" fillId="0" borderId="1" xfId="10" applyNumberFormat="1" applyFont="1" applyFill="1" applyBorder="1" applyAlignment="1">
      <alignment horizontal="right" vertical="center"/>
    </xf>
    <xf numFmtId="0" fontId="11" fillId="0" borderId="3" xfId="0" applyFont="1" applyFill="1" applyBorder="1" applyAlignment="1">
      <alignment horizontal="left" vertical="center" wrapText="1"/>
    </xf>
    <xf numFmtId="9" fontId="11" fillId="0" borderId="1" xfId="3" applyFont="1" applyFill="1" applyBorder="1" applyAlignment="1">
      <alignment horizontal="right" vertical="center" wrapText="1"/>
    </xf>
    <xf numFmtId="39" fontId="11" fillId="0" borderId="1" xfId="0" applyNumberFormat="1" applyFont="1" applyFill="1" applyBorder="1" applyAlignment="1">
      <alignment horizontal="right" vertical="center" wrapText="1"/>
    </xf>
    <xf numFmtId="0" fontId="10" fillId="0" borderId="4" xfId="0" applyFont="1" applyFill="1" applyBorder="1" applyAlignment="1">
      <alignment horizontal="left" vertical="center" wrapText="1"/>
    </xf>
    <xf numFmtId="2" fontId="10" fillId="0" borderId="1" xfId="3" applyNumberFormat="1" applyFont="1" applyFill="1" applyBorder="1" applyAlignment="1">
      <alignment horizontal="right" vertical="center" wrapText="1"/>
    </xf>
    <xf numFmtId="2" fontId="10" fillId="0" borderId="1" xfId="1" applyNumberFormat="1" applyFont="1" applyFill="1" applyBorder="1" applyAlignment="1">
      <alignment horizontal="right" vertical="center" wrapText="1"/>
    </xf>
    <xf numFmtId="9" fontId="10" fillId="0" borderId="4" xfId="3" applyFont="1" applyFill="1" applyBorder="1" applyAlignment="1">
      <alignment horizontal="right" vertical="center" wrapText="1"/>
    </xf>
    <xf numFmtId="174" fontId="10" fillId="0" borderId="53" xfId="0" applyNumberFormat="1" applyFont="1" applyFill="1" applyBorder="1" applyAlignment="1">
      <alignment horizontal="left" vertical="center" wrapText="1"/>
    </xf>
    <xf numFmtId="2" fontId="10" fillId="0" borderId="0" xfId="0" applyNumberFormat="1" applyFont="1" applyFill="1" applyAlignment="1">
      <alignment vertical="center"/>
    </xf>
    <xf numFmtId="2" fontId="10" fillId="0" borderId="1" xfId="0" applyNumberFormat="1" applyFont="1" applyFill="1" applyBorder="1" applyAlignment="1">
      <alignment vertical="center"/>
    </xf>
    <xf numFmtId="0" fontId="10" fillId="0" borderId="1" xfId="14" applyFont="1" applyFill="1" applyBorder="1" applyAlignment="1">
      <alignment horizontal="left" vertical="center" wrapText="1"/>
    </xf>
    <xf numFmtId="2" fontId="10" fillId="0" borderId="1" xfId="5" applyNumberFormat="1" applyFont="1" applyFill="1" applyBorder="1" applyAlignment="1">
      <alignment horizontal="left" vertical="center" wrapText="1"/>
    </xf>
    <xf numFmtId="2" fontId="10" fillId="0" borderId="1" xfId="5" applyNumberFormat="1" applyFont="1" applyFill="1" applyBorder="1" applyAlignment="1">
      <alignment vertical="center" wrapText="1"/>
    </xf>
    <xf numFmtId="0" fontId="10" fillId="0" borderId="1" xfId="15" applyFont="1" applyFill="1" applyBorder="1" applyAlignment="1">
      <alignment horizontal="left" vertical="center"/>
    </xf>
    <xf numFmtId="0" fontId="10" fillId="0" borderId="1" xfId="15" applyFont="1" applyFill="1" applyBorder="1" applyAlignment="1">
      <alignment horizontal="left" vertical="center" wrapText="1"/>
    </xf>
    <xf numFmtId="2" fontId="10" fillId="0" borderId="1" xfId="1" applyNumberFormat="1" applyFont="1" applyFill="1" applyBorder="1" applyAlignment="1">
      <alignment vertical="center"/>
    </xf>
    <xf numFmtId="2" fontId="10" fillId="0" borderId="1" xfId="10" applyNumberFormat="1" applyFont="1" applyFill="1" applyBorder="1" applyAlignment="1">
      <alignment vertical="center" wrapText="1"/>
    </xf>
    <xf numFmtId="2" fontId="10" fillId="0" borderId="1" xfId="10" applyNumberFormat="1" applyFont="1" applyFill="1" applyBorder="1" applyAlignment="1">
      <alignment horizontal="right" vertical="center" wrapText="1"/>
    </xf>
    <xf numFmtId="167" fontId="10" fillId="0" borderId="1" xfId="1" applyFont="1" applyFill="1" applyBorder="1" applyAlignment="1">
      <alignment horizontal="right" vertical="center" wrapText="1"/>
    </xf>
    <xf numFmtId="4"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0" fontId="10" fillId="0" borderId="14" xfId="0" applyFont="1" applyFill="1" applyBorder="1" applyAlignment="1">
      <alignment vertical="center"/>
    </xf>
    <xf numFmtId="39" fontId="10" fillId="0" borderId="15" xfId="1" applyNumberFormat="1" applyFont="1" applyFill="1" applyBorder="1" applyAlignment="1">
      <alignment horizontal="right" vertical="center"/>
    </xf>
    <xf numFmtId="9" fontId="10" fillId="0" borderId="15" xfId="3" applyFont="1" applyFill="1" applyBorder="1" applyAlignment="1">
      <alignment horizontal="right" vertical="center"/>
    </xf>
    <xf numFmtId="0" fontId="10" fillId="0" borderId="11" xfId="0" applyFont="1" applyFill="1" applyBorder="1" applyAlignment="1">
      <alignment vertical="center"/>
    </xf>
    <xf numFmtId="4" fontId="10" fillId="0" borderId="1" xfId="1" applyNumberFormat="1" applyFont="1" applyFill="1" applyBorder="1" applyAlignment="1">
      <alignment vertical="center"/>
    </xf>
    <xf numFmtId="0" fontId="10" fillId="0" borderId="11" xfId="16" applyFont="1" applyFill="1" applyBorder="1" applyAlignment="1">
      <alignment horizontal="center" vertical="center" wrapText="1"/>
    </xf>
    <xf numFmtId="2" fontId="10" fillId="0" borderId="1" xfId="5" applyNumberFormat="1" applyFont="1" applyFill="1" applyBorder="1" applyAlignment="1">
      <alignment horizontal="center" vertical="center"/>
    </xf>
    <xf numFmtId="0" fontId="10" fillId="0" borderId="1" xfId="17" applyFont="1" applyFill="1" applyBorder="1" applyAlignment="1">
      <alignment horizontal="left" vertical="center"/>
    </xf>
    <xf numFmtId="2" fontId="10" fillId="0" borderId="3" xfId="5" applyNumberFormat="1" applyFont="1" applyFill="1" applyBorder="1" applyAlignment="1">
      <alignment horizontal="right" vertical="center"/>
    </xf>
    <xf numFmtId="39" fontId="10" fillId="0" borderId="1" xfId="5" applyNumberFormat="1" applyFont="1" applyFill="1" applyBorder="1" applyAlignment="1">
      <alignment horizontal="right" vertical="center" wrapText="1"/>
    </xf>
    <xf numFmtId="0" fontId="10" fillId="0" borderId="1" xfId="9" applyFont="1" applyFill="1" applyBorder="1" applyAlignment="1">
      <alignment vertical="center"/>
    </xf>
    <xf numFmtId="0" fontId="10" fillId="0" borderId="25" xfId="10" applyNumberFormat="1" applyFont="1" applyFill="1" applyBorder="1" applyAlignment="1">
      <alignment horizontal="left" vertical="center" wrapText="1"/>
    </xf>
    <xf numFmtId="2" fontId="10" fillId="0" borderId="6" xfId="9" applyNumberFormat="1" applyFont="1" applyFill="1" applyBorder="1" applyAlignment="1">
      <alignment horizontal="left" vertical="center" wrapText="1"/>
    </xf>
    <xf numFmtId="0" fontId="10" fillId="0" borderId="6" xfId="9" applyFont="1" applyFill="1" applyBorder="1" applyAlignment="1">
      <alignment horizontal="left" vertical="center" wrapText="1"/>
    </xf>
    <xf numFmtId="39" fontId="10" fillId="0" borderId="6" xfId="9" applyNumberFormat="1" applyFont="1" applyFill="1" applyBorder="1" applyAlignment="1">
      <alignment horizontal="right" vertical="center" wrapText="1"/>
    </xf>
    <xf numFmtId="0" fontId="10" fillId="0" borderId="6" xfId="9" applyFont="1" applyFill="1" applyBorder="1" applyAlignment="1">
      <alignment horizontal="right" vertical="center" wrapText="1"/>
    </xf>
    <xf numFmtId="9" fontId="10" fillId="0" borderId="6" xfId="3" applyFont="1" applyFill="1" applyBorder="1" applyAlignment="1">
      <alignment horizontal="right" vertical="center" wrapText="1"/>
    </xf>
    <xf numFmtId="2" fontId="10" fillId="0" borderId="6" xfId="9" applyNumberFormat="1" applyFont="1" applyFill="1" applyBorder="1" applyAlignment="1">
      <alignment horizontal="center" vertical="center" wrapText="1"/>
    </xf>
    <xf numFmtId="39" fontId="10" fillId="0" borderId="4" xfId="1" applyNumberFormat="1" applyFont="1" applyFill="1" applyBorder="1" applyAlignment="1">
      <alignment horizontal="left" vertical="center" wrapText="1"/>
    </xf>
    <xf numFmtId="37" fontId="10" fillId="0" borderId="1" xfId="1" applyNumberFormat="1" applyFont="1" applyFill="1" applyBorder="1" applyAlignment="1">
      <alignment horizontal="right" vertical="center" wrapText="1"/>
    </xf>
    <xf numFmtId="0" fontId="10" fillId="0" borderId="1" xfId="6" applyFont="1" applyFill="1" applyBorder="1" applyAlignment="1">
      <alignment horizontal="right" vertical="center"/>
    </xf>
    <xf numFmtId="0" fontId="10" fillId="0" borderId="6" xfId="0" applyFont="1" applyFill="1" applyBorder="1" applyAlignment="1">
      <alignment horizontal="center" vertical="center" wrapText="1"/>
    </xf>
    <xf numFmtId="2" fontId="10" fillId="0" borderId="20" xfId="0" applyNumberFormat="1" applyFont="1" applyFill="1" applyBorder="1" applyAlignment="1">
      <alignment vertical="center" wrapText="1"/>
    </xf>
    <xf numFmtId="172" fontId="10" fillId="0" borderId="1" xfId="10" applyNumberFormat="1" applyFont="1" applyFill="1" applyBorder="1" applyAlignment="1">
      <alignment vertical="center" wrapText="1"/>
    </xf>
    <xf numFmtId="0" fontId="10" fillId="0" borderId="1" xfId="20" applyFont="1" applyFill="1" applyBorder="1" applyAlignment="1" applyProtection="1">
      <alignment horizontal="left" vertical="center"/>
    </xf>
    <xf numFmtId="2" fontId="10" fillId="0" borderId="11" xfId="5" applyNumberFormat="1" applyFont="1" applyFill="1" applyBorder="1" applyAlignment="1">
      <alignment horizontal="right" vertical="center"/>
    </xf>
    <xf numFmtId="39" fontId="10" fillId="0" borderId="4" xfId="5" applyNumberFormat="1" applyFont="1" applyFill="1" applyBorder="1" applyAlignment="1">
      <alignment horizontal="right" vertical="center" wrapText="1"/>
    </xf>
    <xf numFmtId="2" fontId="10" fillId="0" borderId="1" xfId="20" applyNumberFormat="1" applyFont="1" applyFill="1" applyBorder="1" applyAlignment="1">
      <alignment horizontal="right" vertical="center"/>
    </xf>
    <xf numFmtId="2" fontId="10" fillId="0" borderId="1" xfId="21" applyNumberFormat="1" applyFont="1" applyFill="1" applyBorder="1" applyAlignment="1">
      <alignment horizontal="right" vertical="center"/>
    </xf>
    <xf numFmtId="39" fontId="10" fillId="0" borderId="3" xfId="5" applyNumberFormat="1" applyFont="1" applyFill="1" applyBorder="1" applyAlignment="1">
      <alignment horizontal="right" vertical="center" wrapText="1"/>
    </xf>
    <xf numFmtId="39" fontId="10" fillId="0" borderId="18" xfId="10" applyNumberFormat="1" applyFont="1" applyFill="1" applyBorder="1" applyAlignment="1">
      <alignment horizontal="right" vertical="center"/>
    </xf>
    <xf numFmtId="4" fontId="35" fillId="0" borderId="1" xfId="0" applyNumberFormat="1" applyFont="1" applyFill="1" applyBorder="1" applyAlignment="1">
      <alignment horizontal="center" vertical="center" wrapText="1"/>
    </xf>
    <xf numFmtId="168" fontId="10" fillId="0" borderId="1" xfId="1" applyNumberFormat="1" applyFont="1" applyFill="1" applyBorder="1" applyAlignment="1">
      <alignment horizontal="right" vertical="center" wrapText="1"/>
    </xf>
    <xf numFmtId="0" fontId="10" fillId="0" borderId="1" xfId="17" applyFont="1" applyFill="1" applyBorder="1" applyAlignment="1">
      <alignment horizontal="justify" vertical="center" wrapText="1"/>
    </xf>
    <xf numFmtId="2" fontId="10" fillId="0" borderId="1" xfId="18" applyNumberFormat="1" applyFont="1" applyFill="1" applyBorder="1" applyAlignment="1">
      <alignment horizontal="center" vertical="center"/>
    </xf>
    <xf numFmtId="4" fontId="10" fillId="0" borderId="1" xfId="1" applyNumberFormat="1" applyFont="1" applyFill="1" applyBorder="1" applyAlignment="1">
      <alignment horizontal="right" vertical="center"/>
    </xf>
    <xf numFmtId="0" fontId="19" fillId="0" borderId="0" xfId="0" applyFont="1" applyBorder="1" applyAlignment="1">
      <alignment horizontal="center" vertical="center"/>
    </xf>
    <xf numFmtId="170" fontId="19" fillId="0" borderId="0" xfId="0" applyNumberFormat="1" applyFont="1" applyBorder="1" applyAlignment="1">
      <alignment horizontal="center" vertical="center"/>
    </xf>
    <xf numFmtId="39" fontId="105" fillId="24" borderId="1" xfId="0" applyNumberFormat="1" applyFont="1" applyFill="1" applyBorder="1" applyAlignment="1">
      <alignment vertical="center"/>
    </xf>
    <xf numFmtId="39" fontId="105" fillId="24" borderId="4" xfId="0" applyNumberFormat="1" applyFont="1" applyFill="1" applyBorder="1" applyAlignment="1">
      <alignment vertical="center"/>
    </xf>
    <xf numFmtId="9" fontId="105" fillId="24" borderId="4" xfId="0" applyNumberFormat="1" applyFont="1" applyFill="1" applyBorder="1" applyAlignment="1">
      <alignment horizontal="left" vertical="center"/>
    </xf>
    <xf numFmtId="4" fontId="105" fillId="24" borderId="4" xfId="0" applyNumberFormat="1" applyFont="1" applyFill="1" applyBorder="1" applyAlignment="1">
      <alignment vertical="center"/>
    </xf>
    <xf numFmtId="9" fontId="105" fillId="24" borderId="4" xfId="0" applyNumberFormat="1" applyFont="1" applyFill="1" applyBorder="1" applyAlignment="1">
      <alignment vertical="center"/>
    </xf>
    <xf numFmtId="0" fontId="105" fillId="0" borderId="0" xfId="0" applyFont="1" applyAlignment="1">
      <alignment vertical="center"/>
    </xf>
    <xf numFmtId="0" fontId="10" fillId="0" borderId="0" xfId="0" applyFont="1" applyFill="1" applyBorder="1" applyAlignment="1">
      <alignment horizontal="left" vertical="center" wrapText="1"/>
    </xf>
    <xf numFmtId="0" fontId="10" fillId="0" borderId="0" xfId="0" applyFont="1" applyFill="1" applyAlignment="1">
      <alignment horizontal="left" vertical="center" wrapText="1"/>
    </xf>
    <xf numFmtId="0" fontId="11" fillId="0" borderId="0" xfId="0" applyFont="1" applyBorder="1" applyAlignment="1">
      <alignment horizontal="left" vertical="center" wrapText="1"/>
    </xf>
    <xf numFmtId="0" fontId="11" fillId="8" borderId="3"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5" borderId="6" xfId="0" applyFont="1" applyFill="1" applyBorder="1" applyAlignment="1">
      <alignment vertical="center" wrapText="1"/>
    </xf>
    <xf numFmtId="0" fontId="11" fillId="5" borderId="9" xfId="0" applyFont="1" applyFill="1" applyBorder="1" applyAlignment="1">
      <alignment vertical="center" wrapText="1"/>
    </xf>
    <xf numFmtId="0" fontId="11" fillId="0" borderId="6" xfId="0" applyFont="1" applyBorder="1" applyAlignment="1">
      <alignment horizontal="left" vertical="center" wrapText="1"/>
    </xf>
    <xf numFmtId="0" fontId="10" fillId="0" borderId="9" xfId="0" applyFont="1" applyFill="1" applyBorder="1" applyAlignment="1">
      <alignment horizontal="left" vertical="center" wrapText="1"/>
    </xf>
    <xf numFmtId="39" fontId="10" fillId="0" borderId="0" xfId="0" applyNumberFormat="1" applyFont="1"/>
    <xf numFmtId="166" fontId="50" fillId="0" borderId="1" xfId="0" applyNumberFormat="1" applyFont="1" applyFill="1" applyBorder="1" applyAlignment="1">
      <alignment vertical="center" wrapText="1"/>
    </xf>
    <xf numFmtId="39" fontId="10" fillId="0" borderId="14" xfId="0" applyNumberFormat="1" applyFont="1" applyFill="1" applyBorder="1" applyAlignment="1">
      <alignment vertical="center"/>
    </xf>
    <xf numFmtId="39" fontId="10" fillId="0" borderId="4" xfId="0" applyNumberFormat="1" applyFont="1" applyFill="1" applyBorder="1" applyAlignment="1">
      <alignment vertical="center"/>
    </xf>
    <xf numFmtId="39" fontId="10" fillId="0" borderId="1" xfId="13" applyNumberFormat="1" applyFont="1" applyFill="1" applyBorder="1" applyAlignment="1">
      <alignment horizontal="right" vertical="center"/>
    </xf>
    <xf numFmtId="174" fontId="10" fillId="0" borderId="53" xfId="0" applyNumberFormat="1" applyFont="1" applyFill="1" applyBorder="1" applyAlignment="1">
      <alignment horizontal="left" vertical="center"/>
    </xf>
    <xf numFmtId="39" fontId="10" fillId="0" borderId="1" xfId="10" applyNumberFormat="1" applyFont="1" applyFill="1" applyBorder="1" applyAlignment="1">
      <alignment vertical="center"/>
    </xf>
    <xf numFmtId="0" fontId="10" fillId="0" borderId="14" xfId="0" applyFont="1" applyFill="1" applyBorder="1" applyAlignment="1">
      <alignment vertical="center" wrapText="1"/>
    </xf>
    <xf numFmtId="39" fontId="10" fillId="0" borderId="2" xfId="1" applyNumberFormat="1" applyFont="1" applyFill="1" applyBorder="1" applyAlignment="1">
      <alignment vertical="center" wrapText="1"/>
    </xf>
    <xf numFmtId="0" fontId="10" fillId="0" borderId="1" xfId="16" applyFont="1" applyFill="1" applyBorder="1" applyAlignment="1">
      <alignment horizontal="left" vertical="center" wrapText="1"/>
    </xf>
    <xf numFmtId="39" fontId="10" fillId="0" borderId="5" xfId="0" applyNumberFormat="1" applyFont="1" applyFill="1" applyBorder="1" applyAlignment="1">
      <alignment horizontal="right" vertical="center"/>
    </xf>
    <xf numFmtId="39" fontId="10" fillId="0" borderId="64" xfId="0" applyNumberFormat="1" applyFont="1" applyFill="1" applyBorder="1" applyAlignment="1">
      <alignment horizontal="left" vertical="center" wrapText="1"/>
    </xf>
    <xf numFmtId="0" fontId="10" fillId="0" borderId="1" xfId="10" applyNumberFormat="1" applyFont="1" applyFill="1" applyBorder="1" applyAlignment="1">
      <alignment horizontal="left" vertical="center" wrapText="1"/>
    </xf>
    <xf numFmtId="39" fontId="10" fillId="0" borderId="2" xfId="1" applyNumberFormat="1" applyFont="1" applyFill="1" applyBorder="1" applyAlignment="1">
      <alignment vertical="center"/>
    </xf>
    <xf numFmtId="39" fontId="10" fillId="0" borderId="8" xfId="1" applyNumberFormat="1" applyFont="1" applyFill="1" applyBorder="1" applyAlignment="1">
      <alignment horizontal="left" vertical="center"/>
    </xf>
    <xf numFmtId="39" fontId="10" fillId="0" borderId="53" xfId="0" applyNumberFormat="1" applyFont="1" applyFill="1" applyBorder="1" applyAlignment="1">
      <alignment vertical="center" wrapText="1"/>
    </xf>
    <xf numFmtId="0" fontId="18" fillId="17" borderId="1" xfId="0" applyFont="1" applyFill="1" applyBorder="1" applyAlignment="1">
      <alignment horizontal="center" vertical="center" wrapText="1"/>
    </xf>
    <xf numFmtId="10" fontId="18" fillId="17" borderId="1" xfId="3" applyNumberFormat="1" applyFont="1" applyFill="1" applyBorder="1" applyAlignment="1">
      <alignment horizontal="center" vertical="center" wrapText="1"/>
    </xf>
    <xf numFmtId="9" fontId="18" fillId="17" borderId="1" xfId="2" applyNumberFormat="1" applyFont="1" applyFill="1" applyBorder="1" applyAlignment="1">
      <alignment horizontal="center" vertical="center" wrapText="1"/>
    </xf>
    <xf numFmtId="10" fontId="18" fillId="14" borderId="1" xfId="7" applyNumberFormat="1" applyFont="1" applyFill="1" applyBorder="1" applyAlignment="1">
      <alignment horizontal="center" vertical="center" wrapText="1"/>
    </xf>
    <xf numFmtId="10" fontId="18" fillId="14" borderId="1" xfId="3" applyNumberFormat="1" applyFont="1" applyFill="1" applyBorder="1" applyAlignment="1">
      <alignment horizontal="center" vertical="center" wrapText="1"/>
    </xf>
    <xf numFmtId="39" fontId="28" fillId="0" borderId="1" xfId="0" applyNumberFormat="1" applyFont="1" applyBorder="1" applyAlignment="1">
      <alignment horizontal="right" vertical="center"/>
    </xf>
    <xf numFmtId="0" fontId="10" fillId="0" borderId="15" xfId="0" applyFont="1" applyFill="1" applyBorder="1" applyAlignment="1">
      <alignment horizontal="left" vertical="center" wrapText="1"/>
    </xf>
    <xf numFmtId="0" fontId="17" fillId="0" borderId="0" xfId="9" applyFont="1" applyAlignment="1">
      <alignment vertical="center"/>
    </xf>
    <xf numFmtId="0" fontId="17" fillId="0" borderId="0" xfId="9" applyFont="1" applyFill="1" applyAlignment="1">
      <alignment vertical="center"/>
    </xf>
    <xf numFmtId="0" fontId="28" fillId="0" borderId="0" xfId="9" applyFont="1" applyFill="1" applyAlignment="1">
      <alignment vertical="center"/>
    </xf>
    <xf numFmtId="0" fontId="12" fillId="0" borderId="0" xfId="9" applyFont="1" applyAlignment="1">
      <alignment vertical="center"/>
    </xf>
    <xf numFmtId="0" fontId="28" fillId="0" borderId="1" xfId="9" applyFont="1" applyFill="1" applyBorder="1" applyAlignment="1">
      <alignment vertical="center"/>
    </xf>
    <xf numFmtId="0" fontId="28" fillId="0" borderId="1" xfId="9" applyFont="1" applyFill="1" applyBorder="1" applyAlignment="1">
      <alignment horizontal="right" vertical="center"/>
    </xf>
    <xf numFmtId="0" fontId="19" fillId="16" borderId="11" xfId="0" applyFont="1" applyFill="1" applyBorder="1" applyAlignment="1">
      <alignment horizontal="center" vertical="center" wrapText="1"/>
    </xf>
    <xf numFmtId="170" fontId="19" fillId="16" borderId="11" xfId="0" applyNumberFormat="1" applyFont="1" applyFill="1" applyBorder="1" applyAlignment="1">
      <alignment horizontal="center" vertical="center" wrapText="1"/>
    </xf>
    <xf numFmtId="0" fontId="19" fillId="16" borderId="11" xfId="2" applyNumberFormat="1" applyFont="1" applyFill="1" applyBorder="1" applyAlignment="1">
      <alignment horizontal="center" vertical="center" wrapText="1"/>
    </xf>
    <xf numFmtId="4" fontId="19" fillId="14" borderId="11" xfId="2" applyNumberFormat="1" applyFont="1" applyFill="1" applyBorder="1" applyAlignment="1">
      <alignment horizontal="left" vertical="center" wrapText="1"/>
    </xf>
    <xf numFmtId="9" fontId="19" fillId="14" borderId="11" xfId="2" applyNumberFormat="1" applyFont="1" applyFill="1" applyBorder="1" applyAlignment="1">
      <alignment horizontal="left" vertical="center" wrapText="1"/>
    </xf>
    <xf numFmtId="0" fontId="19" fillId="14" borderId="8" xfId="2" applyNumberFormat="1" applyFont="1" applyFill="1" applyBorder="1" applyAlignment="1">
      <alignment horizontal="left" vertical="center" wrapText="1"/>
    </xf>
    <xf numFmtId="0" fontId="19" fillId="14" borderId="11" xfId="2" applyNumberFormat="1" applyFont="1" applyFill="1" applyBorder="1" applyAlignment="1">
      <alignment horizontal="left" vertical="center" wrapText="1"/>
    </xf>
    <xf numFmtId="39" fontId="8" fillId="0" borderId="1" xfId="0" applyNumberFormat="1" applyFont="1" applyFill="1" applyBorder="1" applyAlignment="1">
      <alignment vertical="top"/>
    </xf>
    <xf numFmtId="0" fontId="19" fillId="0" borderId="1" xfId="0" applyFont="1" applyFill="1" applyBorder="1" applyAlignment="1">
      <alignment horizontal="center" vertical="center" textRotation="90" wrapText="1"/>
    </xf>
    <xf numFmtId="0" fontId="8" fillId="0" borderId="4" xfId="0" applyFont="1" applyFill="1" applyBorder="1" applyAlignment="1">
      <alignment vertical="top"/>
    </xf>
    <xf numFmtId="9" fontId="8" fillId="0" borderId="4" xfId="1" applyNumberFormat="1" applyFont="1" applyFill="1" applyBorder="1" applyAlignment="1">
      <alignment horizontal="right" vertical="center"/>
    </xf>
    <xf numFmtId="165" fontId="8" fillId="0" borderId="1" xfId="0" applyNumberFormat="1" applyFont="1" applyFill="1" applyBorder="1" applyAlignment="1">
      <alignment vertical="top"/>
    </xf>
    <xf numFmtId="0" fontId="8" fillId="0" borderId="4" xfId="2" applyNumberFormat="1" applyFont="1" applyFill="1" applyBorder="1" applyAlignment="1">
      <alignment horizontal="left" vertical="top" wrapText="1"/>
    </xf>
    <xf numFmtId="0" fontId="8" fillId="0" borderId="7" xfId="0" applyFont="1" applyFill="1" applyBorder="1" applyAlignment="1">
      <alignment vertical="center"/>
    </xf>
    <xf numFmtId="0" fontId="8" fillId="0" borderId="1" xfId="6" applyFont="1" applyFill="1" applyBorder="1" applyAlignment="1">
      <alignment horizontal="right" vertical="center"/>
    </xf>
    <xf numFmtId="39" fontId="8" fillId="0" borderId="4" xfId="1" applyNumberFormat="1" applyFont="1" applyFill="1" applyBorder="1" applyAlignment="1">
      <alignment vertical="top" wrapText="1"/>
    </xf>
    <xf numFmtId="0" fontId="8" fillId="4" borderId="1" xfId="0" applyFont="1" applyFill="1" applyBorder="1" applyAlignment="1">
      <alignment vertical="top" wrapText="1"/>
    </xf>
    <xf numFmtId="0" fontId="51" fillId="8" borderId="3" xfId="0" applyFont="1" applyFill="1" applyBorder="1" applyAlignment="1">
      <alignment horizontal="left" vertical="center"/>
    </xf>
    <xf numFmtId="0" fontId="51" fillId="8" borderId="46" xfId="0" applyFont="1" applyFill="1" applyBorder="1" applyAlignment="1">
      <alignment horizontal="left" vertical="center"/>
    </xf>
    <xf numFmtId="9" fontId="50" fillId="0" borderId="11" xfId="13" applyFont="1" applyBorder="1" applyAlignment="1">
      <alignment horizontal="center"/>
    </xf>
    <xf numFmtId="0" fontId="51" fillId="0" borderId="43" xfId="0" applyFont="1" applyBorder="1" applyAlignment="1">
      <alignment horizontal="left" vertical="center" wrapText="1"/>
    </xf>
    <xf numFmtId="0" fontId="19" fillId="15" borderId="1" xfId="0" applyFont="1" applyFill="1" applyBorder="1" applyAlignment="1">
      <alignment vertical="center" wrapText="1"/>
    </xf>
    <xf numFmtId="0" fontId="24" fillId="15" borderId="1" xfId="0" applyFont="1" applyFill="1" applyBorder="1" applyAlignment="1">
      <alignment vertical="center" wrapText="1"/>
    </xf>
    <xf numFmtId="170" fontId="24" fillId="15" borderId="1" xfId="0" applyNumberFormat="1" applyFont="1" applyFill="1" applyBorder="1" applyAlignment="1">
      <alignment vertical="center" wrapText="1"/>
    </xf>
    <xf numFmtId="167" fontId="19" fillId="15" borderId="1" xfId="0" applyNumberFormat="1" applyFont="1" applyFill="1" applyBorder="1" applyAlignment="1">
      <alignment vertical="center"/>
    </xf>
    <xf numFmtId="39" fontId="19" fillId="15" borderId="4" xfId="1" applyNumberFormat="1" applyFont="1" applyFill="1" applyBorder="1" applyAlignment="1">
      <alignment vertical="top"/>
    </xf>
    <xf numFmtId="0" fontId="8" fillId="15" borderId="1" xfId="0" applyFont="1" applyFill="1" applyBorder="1" applyAlignment="1">
      <alignment vertical="center"/>
    </xf>
    <xf numFmtId="167" fontId="8" fillId="0" borderId="0" xfId="1" applyFont="1" applyAlignment="1">
      <alignment vertical="center"/>
    </xf>
    <xf numFmtId="0" fontId="40" fillId="0" borderId="0" xfId="0" applyFont="1" applyFill="1" applyAlignment="1">
      <alignment vertical="center"/>
    </xf>
    <xf numFmtId="0" fontId="23" fillId="0" borderId="0" xfId="0" applyFont="1" applyFill="1" applyAlignment="1">
      <alignment vertical="center"/>
    </xf>
    <xf numFmtId="0" fontId="8" fillId="0" borderId="1" xfId="0" applyFont="1" applyBorder="1" applyAlignment="1">
      <alignment vertical="center"/>
    </xf>
    <xf numFmtId="0" fontId="8" fillId="0" borderId="1" xfId="0" applyFont="1" applyBorder="1" applyAlignment="1">
      <alignment vertical="top"/>
    </xf>
    <xf numFmtId="39" fontId="8" fillId="0" borderId="1" xfId="0" applyNumberFormat="1" applyFont="1" applyFill="1" applyBorder="1" applyAlignment="1">
      <alignment vertical="center"/>
    </xf>
    <xf numFmtId="0" fontId="19" fillId="0" borderId="4" xfId="0" applyFont="1" applyFill="1" applyBorder="1" applyAlignment="1">
      <alignment vertical="center" wrapText="1"/>
    </xf>
    <xf numFmtId="0" fontId="19" fillId="0" borderId="3" xfId="0" applyFont="1" applyFill="1" applyBorder="1" applyAlignment="1">
      <alignment vertical="center" wrapText="1"/>
    </xf>
    <xf numFmtId="0" fontId="19" fillId="0" borderId="0" xfId="0" applyFont="1" applyFill="1" applyBorder="1" applyAlignment="1">
      <alignment vertical="center"/>
    </xf>
    <xf numFmtId="0" fontId="50" fillId="0" borderId="0" xfId="0" applyFont="1" applyAlignment="1">
      <alignment horizontal="left"/>
    </xf>
    <xf numFmtId="166" fontId="50" fillId="0" borderId="0" xfId="0" applyNumberFormat="1" applyFont="1"/>
    <xf numFmtId="39" fontId="50" fillId="0" borderId="0" xfId="0" applyNumberFormat="1" applyFont="1"/>
    <xf numFmtId="0" fontId="34" fillId="0" borderId="1" xfId="0" applyFont="1" applyBorder="1" applyAlignment="1">
      <alignment horizontal="left"/>
    </xf>
    <xf numFmtId="0" fontId="52" fillId="0" borderId="1" xfId="0" applyFont="1" applyBorder="1" applyAlignment="1">
      <alignment horizontal="left"/>
    </xf>
    <xf numFmtId="0" fontId="53" fillId="0" borderId="0" xfId="0" applyFont="1" applyAlignment="1">
      <alignment horizontal="center"/>
    </xf>
    <xf numFmtId="0" fontId="53" fillId="0" borderId="0" xfId="0" applyFont="1" applyAlignment="1">
      <alignment horizontal="right"/>
    </xf>
    <xf numFmtId="39" fontId="53" fillId="0" borderId="0" xfId="0" applyNumberFormat="1" applyFont="1" applyAlignment="1">
      <alignment horizontal="center"/>
    </xf>
    <xf numFmtId="166" fontId="53" fillId="0" borderId="0" xfId="0" applyNumberFormat="1" applyFont="1" applyAlignment="1">
      <alignment horizontal="center"/>
    </xf>
    <xf numFmtId="166" fontId="55" fillId="17" borderId="35" xfId="0" applyNumberFormat="1" applyFont="1" applyFill="1" applyBorder="1" applyAlignment="1">
      <alignment horizontal="center" vertical="center" wrapText="1"/>
    </xf>
    <xf numFmtId="0" fontId="55" fillId="17" borderId="35" xfId="7" applyFont="1" applyFill="1" applyBorder="1" applyAlignment="1">
      <alignment horizontal="right" vertical="center" wrapText="1"/>
    </xf>
    <xf numFmtId="0" fontId="55" fillId="17" borderId="35" xfId="7" applyFont="1" applyFill="1" applyBorder="1" applyAlignment="1">
      <alignment horizontal="center" vertical="center" wrapText="1"/>
    </xf>
    <xf numFmtId="0" fontId="55" fillId="14" borderId="35" xfId="7" applyFont="1" applyFill="1" applyBorder="1" applyAlignment="1">
      <alignment horizontal="center" vertical="center" wrapText="1"/>
    </xf>
    <xf numFmtId="0" fontId="55" fillId="14" borderId="22" xfId="7" applyFont="1" applyFill="1" applyBorder="1" applyAlignment="1">
      <alignment horizontal="center" vertical="center" wrapText="1"/>
    </xf>
    <xf numFmtId="0" fontId="10" fillId="0" borderId="1" xfId="0" applyFont="1" applyBorder="1" applyAlignment="1">
      <alignment vertical="top" wrapText="1"/>
    </xf>
    <xf numFmtId="166" fontId="50" fillId="0" borderId="1" xfId="0" applyNumberFormat="1" applyFont="1" applyBorder="1" applyAlignment="1">
      <alignment vertical="top" wrapText="1"/>
    </xf>
    <xf numFmtId="0" fontId="56" fillId="0" borderId="1" xfId="0" applyFont="1" applyBorder="1" applyAlignment="1">
      <alignment horizontal="left" vertical="top" wrapText="1"/>
    </xf>
    <xf numFmtId="39" fontId="57" fillId="0" borderId="1" xfId="1" applyNumberFormat="1" applyFont="1" applyBorder="1" applyAlignment="1">
      <alignment horizontal="right"/>
    </xf>
    <xf numFmtId="39" fontId="50" fillId="0" borderId="1" xfId="1" applyNumberFormat="1" applyFont="1" applyBorder="1"/>
    <xf numFmtId="39" fontId="57" fillId="0" borderId="4" xfId="0" applyNumberFormat="1" applyFont="1" applyBorder="1"/>
    <xf numFmtId="0" fontId="51" fillId="0" borderId="1" xfId="0" applyFont="1" applyBorder="1" applyAlignment="1">
      <alignment horizontal="right" vertical="top" wrapText="1"/>
    </xf>
    <xf numFmtId="166" fontId="51" fillId="0" borderId="1" xfId="0" applyNumberFormat="1" applyFont="1" applyBorder="1" applyAlignment="1">
      <alignment vertical="top" wrapText="1"/>
    </xf>
    <xf numFmtId="39" fontId="59" fillId="0" borderId="1" xfId="1" applyNumberFormat="1" applyFont="1" applyBorder="1" applyAlignment="1">
      <alignment horizontal="right"/>
    </xf>
    <xf numFmtId="39" fontId="50" fillId="0" borderId="4" xfId="1" applyNumberFormat="1" applyFont="1" applyBorder="1" applyAlignment="1">
      <alignment horizontal="center"/>
    </xf>
    <xf numFmtId="0" fontId="50" fillId="0" borderId="1" xfId="0" applyFont="1" applyBorder="1" applyAlignment="1">
      <alignment horizontal="right" vertical="top" wrapText="1"/>
    </xf>
    <xf numFmtId="166" fontId="50" fillId="0" borderId="14" xfId="0" applyNumberFormat="1" applyFont="1" applyBorder="1" applyAlignment="1">
      <alignment vertical="top" wrapText="1"/>
    </xf>
    <xf numFmtId="39" fontId="57" fillId="0" borderId="14" xfId="1" applyNumberFormat="1" applyFont="1" applyBorder="1" applyAlignment="1">
      <alignment horizontal="right"/>
    </xf>
    <xf numFmtId="39" fontId="50" fillId="0" borderId="14" xfId="1" applyNumberFormat="1" applyFont="1" applyBorder="1"/>
    <xf numFmtId="39" fontId="50" fillId="0" borderId="5" xfId="1" applyNumberFormat="1" applyFont="1" applyBorder="1" applyAlignment="1">
      <alignment horizontal="center"/>
    </xf>
    <xf numFmtId="39" fontId="57" fillId="0" borderId="5" xfId="0" applyNumberFormat="1" applyFont="1" applyBorder="1"/>
    <xf numFmtId="166" fontId="51" fillId="0" borderId="14" xfId="0" applyNumberFormat="1" applyFont="1" applyBorder="1" applyAlignment="1">
      <alignment vertical="top" wrapText="1"/>
    </xf>
    <xf numFmtId="39" fontId="59" fillId="0" borderId="14" xfId="1" applyNumberFormat="1" applyFont="1" applyBorder="1" applyAlignment="1">
      <alignment horizontal="right"/>
    </xf>
    <xf numFmtId="0" fontId="50" fillId="0" borderId="41" xfId="0" applyFont="1" applyBorder="1" applyAlignment="1">
      <alignment horizontal="left" vertical="top" wrapText="1"/>
    </xf>
    <xf numFmtId="0" fontId="50" fillId="0" borderId="41" xfId="0" applyFont="1" applyBorder="1" applyAlignment="1">
      <alignment vertical="top" wrapText="1"/>
    </xf>
    <xf numFmtId="166" fontId="50" fillId="0" borderId="41" xfId="0" applyNumberFormat="1" applyFont="1" applyBorder="1" applyAlignment="1">
      <alignment vertical="top" wrapText="1"/>
    </xf>
    <xf numFmtId="0" fontId="59" fillId="4" borderId="41" xfId="0" applyFont="1" applyFill="1" applyBorder="1" applyAlignment="1">
      <alignment wrapText="1"/>
    </xf>
    <xf numFmtId="166" fontId="50" fillId="0" borderId="11" xfId="0" applyNumberFormat="1" applyFont="1" applyBorder="1" applyAlignment="1">
      <alignment vertical="top" wrapText="1"/>
    </xf>
    <xf numFmtId="0" fontId="56" fillId="0" borderId="11" xfId="0" applyFont="1" applyBorder="1" applyAlignment="1">
      <alignment horizontal="left" vertical="top" wrapText="1"/>
    </xf>
    <xf numFmtId="39" fontId="50" fillId="0" borderId="11" xfId="1" applyNumberFormat="1" applyFont="1" applyBorder="1"/>
    <xf numFmtId="39" fontId="50" fillId="0" borderId="8" xfId="1" applyNumberFormat="1" applyFont="1" applyBorder="1" applyAlignment="1">
      <alignment horizontal="center"/>
    </xf>
    <xf numFmtId="39" fontId="57" fillId="0" borderId="1" xfId="1" applyNumberFormat="1" applyFont="1" applyBorder="1"/>
    <xf numFmtId="166" fontId="51" fillId="0" borderId="11" xfId="0" applyNumberFormat="1" applyFont="1" applyBorder="1" applyAlignment="1">
      <alignment vertical="top" wrapText="1"/>
    </xf>
    <xf numFmtId="39" fontId="57" fillId="0" borderId="14" xfId="1" applyNumberFormat="1" applyFont="1" applyBorder="1"/>
    <xf numFmtId="39" fontId="57" fillId="0" borderId="15" xfId="1" applyNumberFormat="1" applyFont="1" applyBorder="1"/>
    <xf numFmtId="39" fontId="57" fillId="0" borderId="5" xfId="1" applyNumberFormat="1" applyFont="1" applyBorder="1"/>
    <xf numFmtId="39" fontId="59" fillId="0" borderId="47" xfId="1" applyNumberFormat="1" applyFont="1" applyBorder="1"/>
    <xf numFmtId="39" fontId="59" fillId="0" borderId="1" xfId="1" applyNumberFormat="1" applyFont="1" applyBorder="1"/>
    <xf numFmtId="0" fontId="57" fillId="0" borderId="14" xfId="0" applyFont="1" applyBorder="1" applyAlignment="1">
      <alignment wrapText="1"/>
    </xf>
    <xf numFmtId="0" fontId="57" fillId="0" borderId="15" xfId="0" applyFont="1" applyBorder="1" applyAlignment="1">
      <alignment wrapText="1"/>
    </xf>
    <xf numFmtId="0" fontId="57" fillId="0" borderId="11" xfId="0" applyFont="1" applyBorder="1" applyAlignment="1">
      <alignment wrapText="1"/>
    </xf>
    <xf numFmtId="39" fontId="50" fillId="0" borderId="1" xfId="1" applyNumberFormat="1" applyFont="1" applyBorder="1" applyAlignment="1">
      <alignment horizontal="center"/>
    </xf>
    <xf numFmtId="0" fontId="51" fillId="0" borderId="41" xfId="0" applyFont="1" applyBorder="1" applyAlignment="1">
      <alignment horizontal="left" vertical="top" wrapText="1"/>
    </xf>
    <xf numFmtId="0" fontId="51" fillId="0" borderId="41" xfId="0" applyFont="1" applyBorder="1" applyAlignment="1">
      <alignment vertical="top" wrapText="1"/>
    </xf>
    <xf numFmtId="166" fontId="51" fillId="0" borderId="47" xfId="0" applyNumberFormat="1" applyFont="1" applyBorder="1" applyAlignment="1">
      <alignment vertical="top" wrapText="1"/>
    </xf>
    <xf numFmtId="0" fontId="59" fillId="4" borderId="41" xfId="0" applyFont="1" applyFill="1" applyBorder="1"/>
    <xf numFmtId="39" fontId="57" fillId="0" borderId="11" xfId="1" applyNumberFormat="1" applyFont="1" applyBorder="1" applyAlignment="1">
      <alignment horizontal="right"/>
    </xf>
    <xf numFmtId="39" fontId="57" fillId="0" borderId="8" xfId="0" applyNumberFormat="1" applyFont="1" applyBorder="1"/>
    <xf numFmtId="39" fontId="59" fillId="0" borderId="11" xfId="1" applyNumberFormat="1" applyFont="1" applyBorder="1" applyAlignment="1">
      <alignment horizontal="right"/>
    </xf>
    <xf numFmtId="39" fontId="50" fillId="0" borderId="11" xfId="1" applyNumberFormat="1" applyFont="1" applyBorder="1" applyAlignment="1">
      <alignment horizontal="center"/>
    </xf>
    <xf numFmtId="39" fontId="51" fillId="0" borderId="1" xfId="1" applyNumberFormat="1" applyFont="1" applyBorder="1"/>
    <xf numFmtId="39" fontId="57" fillId="0" borderId="12" xfId="0" applyNumberFormat="1" applyFont="1" applyBorder="1"/>
    <xf numFmtId="166" fontId="50" fillId="0" borderId="9" xfId="0" applyNumberFormat="1" applyFont="1" applyBorder="1" applyAlignment="1">
      <alignment vertical="top" wrapText="1"/>
    </xf>
    <xf numFmtId="39" fontId="57" fillId="11" borderId="1" xfId="1" applyNumberFormat="1" applyFont="1" applyFill="1" applyBorder="1"/>
    <xf numFmtId="39" fontId="57" fillId="11" borderId="8" xfId="1" applyNumberFormat="1" applyFont="1" applyFill="1" applyBorder="1"/>
    <xf numFmtId="166" fontId="51" fillId="0" borderId="9" xfId="0" applyNumberFormat="1" applyFont="1" applyBorder="1" applyAlignment="1">
      <alignment vertical="top" wrapText="1"/>
    </xf>
    <xf numFmtId="166" fontId="50" fillId="0" borderId="3" xfId="0" applyNumberFormat="1" applyFont="1" applyBorder="1" applyAlignment="1">
      <alignment vertical="top" wrapText="1"/>
    </xf>
    <xf numFmtId="166" fontId="51" fillId="0" borderId="3" xfId="0" applyNumberFormat="1" applyFont="1" applyBorder="1" applyAlignment="1">
      <alignment vertical="top" wrapText="1"/>
    </xf>
    <xf numFmtId="0" fontId="50" fillId="0" borderId="1" xfId="0" applyFont="1" applyBorder="1" applyAlignment="1">
      <alignment horizontal="left" vertical="top" wrapText="1"/>
    </xf>
    <xf numFmtId="0" fontId="50" fillId="0" borderId="1" xfId="0" applyFont="1" applyBorder="1" applyAlignment="1">
      <alignment vertical="top" wrapText="1"/>
    </xf>
    <xf numFmtId="0" fontId="50" fillId="0" borderId="46" xfId="0" applyFont="1" applyBorder="1" applyAlignment="1">
      <alignment vertical="top" wrapText="1"/>
    </xf>
    <xf numFmtId="166" fontId="50" fillId="0" borderId="17" xfId="0" applyNumberFormat="1" applyFont="1" applyBorder="1" applyAlignment="1">
      <alignment vertical="top" wrapText="1"/>
    </xf>
    <xf numFmtId="166" fontId="51" fillId="8" borderId="46" xfId="0" applyNumberFormat="1" applyFont="1" applyFill="1" applyBorder="1" applyAlignment="1">
      <alignment horizontal="left" vertical="center"/>
    </xf>
    <xf numFmtId="39" fontId="50" fillId="0" borderId="1" xfId="1" applyNumberFormat="1" applyFont="1" applyBorder="1" applyAlignment="1">
      <alignment horizontal="right"/>
    </xf>
    <xf numFmtId="39" fontId="50" fillId="0" borderId="4" xfId="0" applyNumberFormat="1" applyFont="1" applyBorder="1"/>
    <xf numFmtId="39" fontId="51" fillId="0" borderId="1" xfId="1" applyNumberFormat="1" applyFont="1" applyBorder="1" applyAlignment="1">
      <alignment horizontal="right"/>
    </xf>
    <xf numFmtId="0" fontId="56" fillId="0" borderId="14" xfId="0" applyFont="1" applyBorder="1" applyAlignment="1">
      <alignment horizontal="left" vertical="top" wrapText="1"/>
    </xf>
    <xf numFmtId="39" fontId="50" fillId="0" borderId="14" xfId="1" applyNumberFormat="1" applyFont="1" applyBorder="1" applyAlignment="1">
      <alignment horizontal="right"/>
    </xf>
    <xf numFmtId="39" fontId="50" fillId="0" borderId="5" xfId="0" applyNumberFormat="1" applyFont="1" applyBorder="1"/>
    <xf numFmtId="166" fontId="51" fillId="0" borderId="14" xfId="0" applyNumberFormat="1" applyFont="1" applyBorder="1" applyAlignment="1">
      <alignment horizontal="right" vertical="top" wrapText="1"/>
    </xf>
    <xf numFmtId="39" fontId="51" fillId="0" borderId="14" xfId="1" applyNumberFormat="1" applyFont="1" applyBorder="1" applyAlignment="1">
      <alignment horizontal="right"/>
    </xf>
    <xf numFmtId="166" fontId="50" fillId="0" borderId="15" xfId="0" applyNumberFormat="1" applyFont="1" applyBorder="1" applyAlignment="1">
      <alignment vertical="top" wrapText="1"/>
    </xf>
    <xf numFmtId="0" fontId="56" fillId="0" borderId="15" xfId="0" applyFont="1" applyBorder="1" applyAlignment="1">
      <alignment horizontal="left" vertical="top" wrapText="1"/>
    </xf>
    <xf numFmtId="39" fontId="50" fillId="0" borderId="15" xfId="1" applyNumberFormat="1" applyFont="1" applyBorder="1"/>
    <xf numFmtId="39" fontId="50" fillId="0" borderId="12" xfId="0" applyNumberFormat="1" applyFont="1" applyBorder="1"/>
    <xf numFmtId="166" fontId="51" fillId="0" borderId="15" xfId="0" applyNumberFormat="1" applyFont="1" applyBorder="1" applyAlignment="1">
      <alignment vertical="top" wrapText="1"/>
    </xf>
    <xf numFmtId="0" fontId="50" fillId="0" borderId="50" xfId="0" applyFont="1" applyBorder="1" applyAlignment="1">
      <alignment horizontal="left" vertical="top" wrapText="1"/>
    </xf>
    <xf numFmtId="39" fontId="50" fillId="0" borderId="11" xfId="1" applyNumberFormat="1" applyFont="1" applyBorder="1" applyAlignment="1">
      <alignment horizontal="right"/>
    </xf>
    <xf numFmtId="39" fontId="50" fillId="0" borderId="8" xfId="0" applyNumberFormat="1" applyFont="1" applyBorder="1"/>
    <xf numFmtId="39" fontId="51" fillId="0" borderId="11" xfId="1" applyNumberFormat="1" applyFont="1" applyBorder="1" applyAlignment="1">
      <alignment horizontal="right"/>
    </xf>
    <xf numFmtId="0" fontId="57" fillId="0" borderId="1" xfId="0" applyFont="1" applyBorder="1" applyAlignment="1">
      <alignment wrapText="1"/>
    </xf>
    <xf numFmtId="166" fontId="51" fillId="8" borderId="3" xfId="0" applyNumberFormat="1" applyFont="1" applyFill="1" applyBorder="1" applyAlignment="1">
      <alignment horizontal="left" vertical="center"/>
    </xf>
    <xf numFmtId="166" fontId="51" fillId="8" borderId="2" xfId="0" applyNumberFormat="1" applyFont="1" applyFill="1" applyBorder="1" applyAlignment="1">
      <alignment vertical="center"/>
    </xf>
    <xf numFmtId="0" fontId="51" fillId="0" borderId="0" xfId="0" applyFont="1" applyAlignment="1">
      <alignment vertical="center" wrapText="1"/>
    </xf>
    <xf numFmtId="166" fontId="51" fillId="10" borderId="6" xfId="0" applyNumberFormat="1" applyFont="1" applyFill="1" applyBorder="1" applyAlignment="1">
      <alignment horizontal="left" vertical="center" wrapText="1"/>
    </xf>
    <xf numFmtId="0" fontId="51" fillId="0" borderId="1" xfId="0" applyFont="1" applyBorder="1"/>
    <xf numFmtId="0" fontId="51" fillId="0" borderId="13" xfId="0" applyFont="1" applyBorder="1" applyAlignment="1">
      <alignment horizontal="left" vertical="center"/>
    </xf>
    <xf numFmtId="0" fontId="10" fillId="0" borderId="15" xfId="0" applyFont="1" applyBorder="1" applyAlignment="1">
      <alignment vertical="top"/>
    </xf>
    <xf numFmtId="166" fontId="50" fillId="0" borderId="13" xfId="0" applyNumberFormat="1" applyFont="1" applyBorder="1" applyAlignment="1">
      <alignment horizontal="right" vertical="center"/>
    </xf>
    <xf numFmtId="0" fontId="59" fillId="0" borderId="11" xfId="0" applyFont="1" applyBorder="1" applyAlignment="1">
      <alignment vertical="top" wrapText="1"/>
    </xf>
    <xf numFmtId="39" fontId="57" fillId="0" borderId="11" xfId="1" applyNumberFormat="1" applyFont="1" applyBorder="1"/>
    <xf numFmtId="39" fontId="57" fillId="0" borderId="8" xfId="1" applyNumberFormat="1" applyFont="1" applyBorder="1" applyAlignment="1">
      <alignment horizontal="center"/>
    </xf>
    <xf numFmtId="2" fontId="59" fillId="0" borderId="11" xfId="1" applyNumberFormat="1" applyFont="1" applyBorder="1" applyAlignment="1">
      <alignment horizontal="center"/>
    </xf>
    <xf numFmtId="39" fontId="59" fillId="0" borderId="8" xfId="1" applyNumberFormat="1" applyFont="1" applyBorder="1"/>
    <xf numFmtId="0" fontId="51" fillId="0" borderId="11" xfId="0" applyFont="1" applyBorder="1" applyAlignment="1">
      <alignment horizontal="center"/>
    </xf>
    <xf numFmtId="0" fontId="51" fillId="0" borderId="11" xfId="0" applyFont="1" applyBorder="1"/>
    <xf numFmtId="0" fontId="51" fillId="0" borderId="1" xfId="0" applyFont="1" applyBorder="1" applyAlignment="1">
      <alignment horizontal="right" vertical="center"/>
    </xf>
    <xf numFmtId="0" fontId="51" fillId="0" borderId="7" xfId="0" applyFont="1" applyBorder="1" applyAlignment="1">
      <alignment horizontal="left" vertical="center"/>
    </xf>
    <xf numFmtId="166" fontId="51" fillId="0" borderId="14" xfId="0" applyNumberFormat="1" applyFont="1" applyBorder="1" applyAlignment="1">
      <alignment horizontal="right" vertical="center"/>
    </xf>
    <xf numFmtId="0" fontId="57" fillId="4" borderId="1" xfId="0" applyFont="1" applyFill="1" applyBorder="1"/>
    <xf numFmtId="166" fontId="50" fillId="0" borderId="7" xfId="0" applyNumberFormat="1" applyFont="1" applyBorder="1" applyAlignment="1">
      <alignment horizontal="right" vertical="center"/>
    </xf>
    <xf numFmtId="0" fontId="59" fillId="0" borderId="1" xfId="0" applyFont="1" applyBorder="1" applyAlignment="1">
      <alignment vertical="top" wrapText="1"/>
    </xf>
    <xf numFmtId="39" fontId="57" fillId="0" borderId="4" xfId="1" applyNumberFormat="1" applyFont="1" applyBorder="1" applyAlignment="1">
      <alignment horizontal="center"/>
    </xf>
    <xf numFmtId="2" fontId="59" fillId="0" borderId="1" xfId="1" applyNumberFormat="1" applyFont="1" applyBorder="1" applyAlignment="1">
      <alignment horizontal="center"/>
    </xf>
    <xf numFmtId="39" fontId="59" fillId="0" borderId="4" xfId="1" applyNumberFormat="1" applyFont="1" applyBorder="1"/>
    <xf numFmtId="0" fontId="51" fillId="0" borderId="1" xfId="0" applyFont="1" applyBorder="1" applyAlignment="1">
      <alignment horizontal="center"/>
    </xf>
    <xf numFmtId="0" fontId="42" fillId="0" borderId="14" xfId="0" applyFont="1" applyBorder="1" applyAlignment="1">
      <alignment horizontal="left" vertical="center" wrapText="1"/>
    </xf>
    <xf numFmtId="39" fontId="59" fillId="0" borderId="4" xfId="1" applyNumberFormat="1" applyFont="1" applyBorder="1" applyAlignment="1">
      <alignment horizontal="center"/>
    </xf>
    <xf numFmtId="0" fontId="51" fillId="0" borderId="2" xfId="0" applyFont="1" applyBorder="1" applyAlignment="1">
      <alignment horizontal="left" vertical="center"/>
    </xf>
    <xf numFmtId="166" fontId="51" fillId="0" borderId="1" xfId="0" applyNumberFormat="1" applyFont="1" applyBorder="1" applyAlignment="1">
      <alignment horizontal="right" vertical="center"/>
    </xf>
    <xf numFmtId="0" fontId="57" fillId="4" borderId="1" xfId="0" applyFont="1" applyFill="1" applyBorder="1" applyAlignment="1">
      <alignment wrapText="1"/>
    </xf>
    <xf numFmtId="0" fontId="42" fillId="0" borderId="14" xfId="0" applyFont="1" applyBorder="1" applyAlignment="1">
      <alignment horizontal="left" vertical="center"/>
    </xf>
    <xf numFmtId="166" fontId="51" fillId="0" borderId="7" xfId="0" applyNumberFormat="1" applyFont="1" applyBorder="1" applyAlignment="1">
      <alignment horizontal="right" vertical="center"/>
    </xf>
    <xf numFmtId="0" fontId="51" fillId="0" borderId="14" xfId="0" applyFont="1" applyBorder="1" applyAlignment="1">
      <alignment horizontal="right" vertical="center"/>
    </xf>
    <xf numFmtId="0" fontId="59" fillId="0" borderId="7" xfId="0" applyFont="1" applyBorder="1" applyAlignment="1">
      <alignment vertical="top" wrapText="1"/>
    </xf>
    <xf numFmtId="0" fontId="42" fillId="0" borderId="14" xfId="0" applyFont="1" applyBorder="1" applyAlignment="1">
      <alignment vertical="center" wrapText="1"/>
    </xf>
    <xf numFmtId="166" fontId="51" fillId="8" borderId="2" xfId="0" applyNumberFormat="1" applyFont="1" applyFill="1" applyBorder="1" applyAlignment="1">
      <alignment horizontal="left" vertical="center"/>
    </xf>
    <xf numFmtId="0" fontId="51" fillId="19" borderId="4" xfId="0" applyFont="1" applyFill="1" applyBorder="1"/>
    <xf numFmtId="166" fontId="50" fillId="19" borderId="1" xfId="0" applyNumberFormat="1" applyFont="1" applyFill="1" applyBorder="1" applyAlignment="1">
      <alignment horizontal="right"/>
    </xf>
    <xf numFmtId="39" fontId="57" fillId="19" borderId="4" xfId="0" applyNumberFormat="1" applyFont="1" applyFill="1" applyBorder="1"/>
    <xf numFmtId="166" fontId="51" fillId="19" borderId="3" xfId="0" applyNumberFormat="1" applyFont="1" applyFill="1" applyBorder="1" applyAlignment="1">
      <alignment horizontal="right" vertical="center"/>
    </xf>
    <xf numFmtId="9" fontId="50" fillId="0" borderId="0" xfId="13" applyFont="1"/>
    <xf numFmtId="166" fontId="51" fillId="0" borderId="6" xfId="0" applyNumberFormat="1" applyFont="1" applyBorder="1"/>
    <xf numFmtId="0" fontId="50" fillId="0" borderId="6" xfId="0" applyFont="1" applyBorder="1" applyAlignment="1">
      <alignment horizontal="left"/>
    </xf>
    <xf numFmtId="166" fontId="50" fillId="0" borderId="6" xfId="0" applyNumberFormat="1" applyFont="1" applyBorder="1"/>
    <xf numFmtId="0" fontId="50" fillId="0" borderId="9" xfId="0" applyFont="1" applyBorder="1" applyAlignment="1">
      <alignment horizontal="left"/>
    </xf>
    <xf numFmtId="166" fontId="50" fillId="0" borderId="9" xfId="0" applyNumberFormat="1" applyFont="1" applyBorder="1"/>
    <xf numFmtId="0" fontId="11" fillId="8" borderId="3" xfId="0" applyFont="1" applyFill="1" applyBorder="1" applyAlignment="1">
      <alignment horizontal="left" vertical="center"/>
    </xf>
    <xf numFmtId="0" fontId="11" fillId="19" borderId="4" xfId="0" applyFont="1" applyFill="1" applyBorder="1" applyAlignment="1">
      <alignment horizontal="right" vertical="center"/>
    </xf>
    <xf numFmtId="0" fontId="11" fillId="19" borderId="3" xfId="0" applyFont="1" applyFill="1" applyBorder="1" applyAlignment="1">
      <alignment horizontal="right" vertical="center"/>
    </xf>
    <xf numFmtId="0" fontId="11" fillId="9" borderId="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0" borderId="0" xfId="0" applyFont="1" applyAlignment="1">
      <alignment wrapText="1"/>
    </xf>
    <xf numFmtId="0" fontId="11" fillId="0" borderId="1" xfId="0" applyFont="1" applyBorder="1" applyAlignment="1">
      <alignment horizontal="center" vertical="center" wrapText="1"/>
    </xf>
    <xf numFmtId="0" fontId="10" fillId="0" borderId="14" xfId="0" applyFont="1" applyBorder="1" applyAlignment="1">
      <alignment horizontal="left" vertical="center" wrapText="1"/>
    </xf>
    <xf numFmtId="0" fontId="19" fillId="9" borderId="4" xfId="0" applyFont="1" applyFill="1" applyBorder="1" applyAlignment="1">
      <alignment horizontal="left" vertical="center" wrapText="1"/>
    </xf>
    <xf numFmtId="0" fontId="81" fillId="0" borderId="0" xfId="0" applyFont="1"/>
    <xf numFmtId="0" fontId="82" fillId="0" borderId="0" xfId="0" applyFont="1"/>
    <xf numFmtId="0" fontId="83" fillId="0" borderId="0" xfId="0" applyFont="1" applyAlignment="1">
      <alignment horizontal="center"/>
    </xf>
    <xf numFmtId="0" fontId="84" fillId="0" borderId="0" xfId="0" applyFont="1" applyAlignment="1">
      <alignment horizontal="center"/>
    </xf>
    <xf numFmtId="0" fontId="84" fillId="0" borderId="0" xfId="0" applyFont="1" applyAlignment="1">
      <alignment horizontal="right"/>
    </xf>
    <xf numFmtId="0" fontId="85" fillId="17" borderId="11" xfId="2" applyFont="1" applyFill="1" applyBorder="1" applyAlignment="1">
      <alignment horizontal="center" vertical="center" wrapText="1"/>
    </xf>
    <xf numFmtId="0" fontId="85" fillId="14" borderId="11" xfId="2" applyFont="1" applyFill="1" applyBorder="1" applyAlignment="1">
      <alignment horizontal="center" vertical="center" wrapText="1"/>
    </xf>
    <xf numFmtId="0" fontId="88" fillId="0" borderId="1" xfId="0" applyFont="1" applyBorder="1" applyAlignment="1">
      <alignment horizontal="left" vertical="center" wrapText="1"/>
    </xf>
    <xf numFmtId="0" fontId="80" fillId="0" borderId="1" xfId="0" applyFont="1" applyBorder="1" applyAlignment="1">
      <alignment horizontal="left" vertical="center" wrapText="1"/>
    </xf>
    <xf numFmtId="0" fontId="89" fillId="0" borderId="1" xfId="0" applyFont="1" applyBorder="1" applyAlignment="1">
      <alignment horizontal="left" vertical="center" wrapText="1"/>
    </xf>
    <xf numFmtId="39" fontId="80" fillId="7" borderId="1" xfId="1" applyNumberFormat="1" applyFont="1" applyFill="1" applyBorder="1" applyAlignment="1">
      <alignment horizontal="right" vertical="center" wrapText="1"/>
    </xf>
    <xf numFmtId="9" fontId="80" fillId="0" borderId="1" xfId="3" applyFont="1" applyBorder="1" applyAlignment="1">
      <alignment horizontal="right" vertical="center" wrapText="1"/>
    </xf>
    <xf numFmtId="9" fontId="80" fillId="0" borderId="1" xfId="3" applyFont="1" applyBorder="1" applyAlignment="1">
      <alignment horizontal="left" vertical="center" wrapText="1"/>
    </xf>
    <xf numFmtId="39" fontId="80" fillId="0" borderId="1" xfId="1" applyNumberFormat="1" applyFont="1" applyBorder="1" applyAlignment="1">
      <alignment horizontal="left" vertical="center" wrapText="1"/>
    </xf>
    <xf numFmtId="167" fontId="80" fillId="7" borderId="1" xfId="1" applyFont="1" applyFill="1" applyBorder="1" applyAlignment="1">
      <alignment horizontal="left" vertical="center" wrapText="1"/>
    </xf>
    <xf numFmtId="39" fontId="80" fillId="0" borderId="4" xfId="1" applyNumberFormat="1" applyFont="1" applyBorder="1" applyAlignment="1">
      <alignment horizontal="left" vertical="center" wrapText="1"/>
    </xf>
    <xf numFmtId="9" fontId="80" fillId="0" borderId="1" xfId="0" applyNumberFormat="1" applyFont="1" applyBorder="1" applyAlignment="1">
      <alignment horizontal="right" vertical="center"/>
    </xf>
    <xf numFmtId="0" fontId="80" fillId="0" borderId="4" xfId="0" applyFont="1" applyBorder="1" applyAlignment="1">
      <alignment horizontal="right" vertical="center"/>
    </xf>
    <xf numFmtId="0" fontId="80" fillId="0" borderId="4" xfId="0" applyFont="1" applyBorder="1" applyAlignment="1">
      <alignment horizontal="left" vertical="center" wrapText="1"/>
    </xf>
    <xf numFmtId="39" fontId="80" fillId="0" borderId="1" xfId="1" applyNumberFormat="1" applyFont="1" applyBorder="1" applyAlignment="1">
      <alignment horizontal="right" vertical="center"/>
    </xf>
    <xf numFmtId="0" fontId="80" fillId="0" borderId="0" xfId="0" applyFont="1" applyAlignment="1">
      <alignment horizontal="left" vertical="center"/>
    </xf>
    <xf numFmtId="0" fontId="89" fillId="0" borderId="1" xfId="0" applyFont="1" applyBorder="1" applyAlignment="1">
      <alignment horizontal="left" wrapText="1"/>
    </xf>
    <xf numFmtId="9" fontId="80" fillId="0" borderId="1" xfId="3" applyFont="1" applyBorder="1" applyAlignment="1">
      <alignment horizontal="right" wrapText="1"/>
    </xf>
    <xf numFmtId="39" fontId="80" fillId="0" borderId="1" xfId="1" applyNumberFormat="1" applyFont="1" applyBorder="1" applyAlignment="1">
      <alignment horizontal="right" wrapText="1"/>
    </xf>
    <xf numFmtId="39" fontId="80" fillId="0" borderId="4" xfId="1" applyNumberFormat="1" applyFont="1" applyBorder="1" applyAlignment="1">
      <alignment horizontal="right" wrapText="1"/>
    </xf>
    <xf numFmtId="39" fontId="80" fillId="0" borderId="1" xfId="1" applyNumberFormat="1" applyFont="1" applyBorder="1" applyAlignment="1">
      <alignment horizontal="right"/>
    </xf>
    <xf numFmtId="37" fontId="80" fillId="0" borderId="1" xfId="1" applyNumberFormat="1" applyFont="1" applyBorder="1" applyAlignment="1">
      <alignment horizontal="right" wrapText="1"/>
    </xf>
    <xf numFmtId="0" fontId="26" fillId="0" borderId="1" xfId="0" applyFont="1" applyBorder="1" applyAlignment="1">
      <alignment wrapText="1"/>
    </xf>
    <xf numFmtId="9" fontId="80" fillId="0" borderId="1" xfId="1" applyNumberFormat="1" applyFont="1" applyBorder="1" applyAlignment="1">
      <alignment horizontal="right" wrapText="1"/>
    </xf>
    <xf numFmtId="37" fontId="80" fillId="0" borderId="4" xfId="1" applyNumberFormat="1" applyFont="1" applyBorder="1" applyAlignment="1">
      <alignment horizontal="right" wrapText="1"/>
    </xf>
    <xf numFmtId="9" fontId="80" fillId="0" borderId="4" xfId="1" applyNumberFormat="1" applyFont="1" applyBorder="1" applyAlignment="1">
      <alignment horizontal="right" wrapText="1"/>
    </xf>
    <xf numFmtId="0" fontId="88" fillId="0" borderId="1" xfId="0" applyFont="1" applyBorder="1" applyAlignment="1">
      <alignment vertical="center" wrapText="1"/>
    </xf>
    <xf numFmtId="0" fontId="88" fillId="0" borderId="1" xfId="0" applyFont="1" applyBorder="1" applyAlignment="1">
      <alignment horizontal="justify" wrapText="1"/>
    </xf>
    <xf numFmtId="9" fontId="91" fillId="0" borderId="1" xfId="3" applyFont="1" applyBorder="1" applyAlignment="1">
      <alignment horizontal="right" wrapText="1"/>
    </xf>
    <xf numFmtId="167" fontId="91" fillId="0" borderId="1" xfId="1" applyFont="1" applyBorder="1" applyAlignment="1">
      <alignment horizontal="right" wrapText="1"/>
    </xf>
    <xf numFmtId="167" fontId="91" fillId="0" borderId="4" xfId="1" applyFont="1" applyBorder="1" applyAlignment="1">
      <alignment horizontal="right" wrapText="1"/>
    </xf>
    <xf numFmtId="0" fontId="92" fillId="0" borderId="1" xfId="0" applyFont="1" applyBorder="1" applyAlignment="1">
      <alignment wrapText="1"/>
    </xf>
    <xf numFmtId="0" fontId="93" fillId="0" borderId="1" xfId="0" applyFont="1" applyBorder="1" applyAlignment="1">
      <alignment horizontal="justify" wrapText="1"/>
    </xf>
    <xf numFmtId="39" fontId="91" fillId="0" borderId="4" xfId="1" applyNumberFormat="1" applyFont="1" applyBorder="1" applyAlignment="1">
      <alignment horizontal="right" wrapText="1"/>
    </xf>
    <xf numFmtId="0" fontId="88" fillId="0" borderId="1" xfId="0" applyFont="1" applyBorder="1" applyAlignment="1">
      <alignment horizontal="left" wrapText="1"/>
    </xf>
    <xf numFmtId="9" fontId="91" fillId="0" borderId="4" xfId="3" applyFont="1" applyBorder="1" applyAlignment="1">
      <alignment horizontal="right" wrapText="1"/>
    </xf>
    <xf numFmtId="39" fontId="91" fillId="0" borderId="1" xfId="1" applyNumberFormat="1" applyFont="1" applyBorder="1" applyAlignment="1">
      <alignment horizontal="right" wrapText="1"/>
    </xf>
    <xf numFmtId="9" fontId="91" fillId="0" borderId="1" xfId="1" applyNumberFormat="1" applyFont="1" applyBorder="1" applyAlignment="1">
      <alignment horizontal="right" wrapText="1"/>
    </xf>
    <xf numFmtId="9" fontId="91" fillId="0" borderId="4" xfId="1" applyNumberFormat="1" applyFont="1" applyBorder="1" applyAlignment="1">
      <alignment horizontal="right" wrapText="1"/>
    </xf>
    <xf numFmtId="0" fontId="94" fillId="0" borderId="1" xfId="0" applyFont="1" applyBorder="1" applyAlignment="1">
      <alignment wrapText="1"/>
    </xf>
    <xf numFmtId="0" fontId="91" fillId="0" borderId="1" xfId="0" applyFont="1" applyBorder="1" applyAlignment="1">
      <alignment horizontal="left" wrapText="1"/>
    </xf>
    <xf numFmtId="0" fontId="93" fillId="0" borderId="1" xfId="0" applyFont="1" applyBorder="1" applyAlignment="1">
      <alignment wrapText="1"/>
    </xf>
    <xf numFmtId="9" fontId="95" fillId="0" borderId="1" xfId="3" applyFont="1" applyBorder="1" applyAlignment="1">
      <alignment horizontal="right"/>
    </xf>
    <xf numFmtId="39" fontId="91" fillId="0" borderId="1" xfId="1" applyNumberFormat="1" applyFont="1" applyBorder="1" applyAlignment="1">
      <alignment horizontal="right"/>
    </xf>
    <xf numFmtId="9" fontId="95" fillId="0" borderId="4" xfId="3" applyFont="1" applyBorder="1" applyAlignment="1">
      <alignment horizontal="right"/>
    </xf>
    <xf numFmtId="0" fontId="26" fillId="0" borderId="0" xfId="0" applyFont="1" applyAlignment="1">
      <alignment vertical="center" wrapText="1"/>
    </xf>
    <xf numFmtId="0" fontId="80" fillId="0" borderId="14" xfId="0" applyFont="1" applyBorder="1" applyAlignment="1">
      <alignment horizontal="left" wrapText="1"/>
    </xf>
    <xf numFmtId="9" fontId="80" fillId="0" borderId="1" xfId="1" applyNumberFormat="1" applyFont="1" applyBorder="1" applyAlignment="1">
      <alignment horizontal="right"/>
    </xf>
    <xf numFmtId="39" fontId="80" fillId="0" borderId="4" xfId="1" applyNumberFormat="1" applyFont="1" applyBorder="1" applyAlignment="1">
      <alignment horizontal="right"/>
    </xf>
    <xf numFmtId="39" fontId="80" fillId="0" borderId="4" xfId="1" applyNumberFormat="1" applyFont="1" applyBorder="1" applyAlignment="1">
      <alignment horizontal="left" wrapText="1"/>
    </xf>
    <xf numFmtId="0" fontId="80" fillId="4" borderId="1" xfId="0" applyFont="1" applyFill="1" applyBorder="1" applyAlignment="1">
      <alignment horizontal="left" wrapText="1"/>
    </xf>
    <xf numFmtId="37" fontId="98" fillId="0" borderId="1" xfId="1" applyNumberFormat="1" applyFont="1" applyBorder="1" applyAlignment="1">
      <alignment horizontal="right" wrapText="1"/>
    </xf>
    <xf numFmtId="0" fontId="26" fillId="0" borderId="7" xfId="0" applyFont="1" applyBorder="1" applyAlignment="1">
      <alignment horizontal="right"/>
    </xf>
    <xf numFmtId="0" fontId="26" fillId="0" borderId="14" xfId="0" applyFont="1" applyBorder="1" applyAlignment="1">
      <alignment horizontal="right"/>
    </xf>
    <xf numFmtId="0" fontId="26" fillId="10" borderId="4" xfId="0" applyFont="1" applyFill="1" applyBorder="1"/>
    <xf numFmtId="0" fontId="26" fillId="10" borderId="3" xfId="0" applyFont="1" applyFill="1" applyBorder="1"/>
    <xf numFmtId="39" fontId="26" fillId="0" borderId="4" xfId="1" applyNumberFormat="1" applyFont="1" applyBorder="1" applyAlignment="1">
      <alignment horizontal="right" wrapText="1"/>
    </xf>
    <xf numFmtId="39" fontId="80" fillId="0" borderId="1" xfId="1" applyNumberFormat="1" applyFont="1" applyBorder="1" applyAlignment="1">
      <alignment horizontal="left" wrapText="1"/>
    </xf>
    <xf numFmtId="9" fontId="98" fillId="0" borderId="1" xfId="3" applyFont="1" applyBorder="1" applyAlignment="1">
      <alignment horizontal="right" wrapText="1"/>
    </xf>
    <xf numFmtId="39" fontId="97" fillId="0" borderId="4" xfId="1" applyNumberFormat="1" applyFont="1" applyBorder="1" applyAlignment="1">
      <alignment horizontal="right" wrapText="1"/>
    </xf>
    <xf numFmtId="0" fontId="26" fillId="0" borderId="14" xfId="0" applyFont="1" applyBorder="1" applyAlignment="1">
      <alignment horizontal="right" wrapText="1"/>
    </xf>
    <xf numFmtId="39" fontId="26" fillId="0" borderId="1" xfId="1" applyNumberFormat="1" applyFont="1" applyBorder="1" applyAlignment="1">
      <alignment horizontal="right" wrapText="1"/>
    </xf>
    <xf numFmtId="0" fontId="26" fillId="0" borderId="2" xfId="0" applyFont="1" applyBorder="1" applyAlignment="1">
      <alignment horizontal="right"/>
    </xf>
    <xf numFmtId="0" fontId="26" fillId="0" borderId="1" xfId="0" applyFont="1" applyBorder="1" applyAlignment="1">
      <alignment horizontal="right"/>
    </xf>
    <xf numFmtId="0" fontId="26" fillId="0" borderId="1" xfId="0" applyFont="1" applyBorder="1" applyAlignment="1">
      <alignment horizontal="right" wrapText="1"/>
    </xf>
    <xf numFmtId="168" fontId="80" fillId="0" borderId="1" xfId="1" applyNumberFormat="1" applyFont="1" applyBorder="1" applyAlignment="1">
      <alignment horizontal="right" wrapText="1"/>
    </xf>
    <xf numFmtId="9" fontId="99" fillId="0" borderId="1" xfId="1" applyNumberFormat="1" applyFont="1" applyBorder="1" applyAlignment="1">
      <alignment horizontal="right"/>
    </xf>
    <xf numFmtId="39" fontId="99" fillId="0" borderId="1" xfId="1" applyNumberFormat="1" applyFont="1" applyBorder="1" applyAlignment="1">
      <alignment horizontal="left" wrapText="1"/>
    </xf>
    <xf numFmtId="0" fontId="26" fillId="0" borderId="1" xfId="0" applyFont="1" applyBorder="1" applyAlignment="1">
      <alignment horizontal="left" wrapText="1"/>
    </xf>
    <xf numFmtId="0" fontId="26" fillId="0" borderId="1" xfId="0" applyFont="1" applyBorder="1" applyAlignment="1">
      <alignment horizontal="left"/>
    </xf>
    <xf numFmtId="0" fontId="80" fillId="0" borderId="1" xfId="0" applyFont="1" applyBorder="1" applyAlignment="1">
      <alignment horizontal="right" wrapText="1"/>
    </xf>
    <xf numFmtId="9" fontId="80" fillId="0" borderId="0" xfId="3" applyFont="1" applyAlignment="1">
      <alignment horizontal="left" wrapText="1"/>
    </xf>
    <xf numFmtId="0" fontId="10" fillId="0" borderId="0" xfId="0" applyFont="1" applyAlignment="1">
      <alignment horizontal="right" vertical="center"/>
    </xf>
    <xf numFmtId="10" fontId="10" fillId="0" borderId="0" xfId="0" applyNumberFormat="1" applyFont="1" applyAlignment="1">
      <alignment vertical="center"/>
    </xf>
    <xf numFmtId="0" fontId="16" fillId="0" borderId="0" xfId="0" applyFont="1" applyAlignment="1">
      <alignment vertical="center"/>
    </xf>
    <xf numFmtId="0" fontId="27" fillId="0" borderId="0" xfId="0" applyFont="1" applyAlignment="1">
      <alignment vertical="center"/>
    </xf>
    <xf numFmtId="0" fontId="16" fillId="0" borderId="0" xfId="0" applyFont="1" applyAlignment="1">
      <alignment horizontal="center" vertical="center"/>
    </xf>
    <xf numFmtId="10" fontId="11" fillId="0" borderId="0" xfId="3" applyNumberFormat="1" applyFont="1" applyAlignment="1">
      <alignment horizontal="center" vertical="center"/>
    </xf>
    <xf numFmtId="9" fontId="11" fillId="0" borderId="0" xfId="3" applyFont="1" applyAlignment="1">
      <alignment horizontal="center" vertical="center"/>
    </xf>
    <xf numFmtId="0" fontId="11" fillId="0" borderId="0" xfId="0" applyFont="1" applyAlignment="1">
      <alignment horizontal="center" vertical="center" wrapText="1"/>
    </xf>
    <xf numFmtId="10" fontId="11" fillId="0" borderId="0" xfId="0" applyNumberFormat="1" applyFont="1" applyAlignment="1">
      <alignment horizontal="center" vertical="center"/>
    </xf>
    <xf numFmtId="0" fontId="29" fillId="0" borderId="0" xfId="0" applyFont="1" applyAlignment="1">
      <alignment horizontal="center" vertical="center"/>
    </xf>
    <xf numFmtId="10" fontId="29" fillId="0" borderId="0" xfId="3" applyNumberFormat="1" applyFont="1" applyAlignment="1">
      <alignment vertical="center"/>
    </xf>
    <xf numFmtId="9" fontId="29" fillId="0" borderId="0" xfId="3" applyFont="1" applyAlignment="1">
      <alignment vertical="center"/>
    </xf>
    <xf numFmtId="0" fontId="29" fillId="0" borderId="0" xfId="0" applyFont="1" applyAlignment="1">
      <alignment vertical="center" wrapText="1"/>
    </xf>
    <xf numFmtId="0" fontId="18" fillId="17" borderId="1" xfId="7" applyFont="1" applyFill="1" applyBorder="1" applyAlignment="1">
      <alignment horizontal="right" vertical="center" wrapText="1"/>
    </xf>
    <xf numFmtId="0" fontId="18" fillId="17" borderId="1" xfId="7" applyFont="1" applyFill="1" applyBorder="1" applyAlignment="1">
      <alignment horizontal="center" vertical="center" wrapText="1"/>
    </xf>
    <xf numFmtId="0" fontId="18" fillId="17" borderId="1" xfId="2" applyFont="1" applyFill="1" applyBorder="1" applyAlignment="1">
      <alignment horizontal="center" vertical="center" wrapText="1"/>
    </xf>
    <xf numFmtId="0" fontId="18" fillId="14" borderId="1" xfId="7" applyFont="1" applyFill="1" applyBorder="1" applyAlignment="1">
      <alignment horizontal="center" vertical="center" wrapText="1"/>
    </xf>
    <xf numFmtId="0" fontId="17"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39" fontId="10" fillId="0" borderId="1" xfId="1" applyNumberFormat="1" applyFont="1" applyBorder="1" applyAlignment="1">
      <alignment horizontal="right" vertical="center"/>
    </xf>
    <xf numFmtId="10" fontId="10" fillId="0" borderId="1" xfId="3" applyNumberFormat="1" applyFont="1" applyBorder="1" applyAlignment="1">
      <alignment vertical="center"/>
    </xf>
    <xf numFmtId="39" fontId="10" fillId="0" borderId="1" xfId="1" applyNumberFormat="1" applyFont="1" applyBorder="1" applyAlignment="1">
      <alignment horizontal="center" vertical="center"/>
    </xf>
    <xf numFmtId="39" fontId="10" fillId="0" borderId="1" xfId="1" applyNumberFormat="1" applyFont="1" applyBorder="1" applyAlignment="1">
      <alignment vertical="center"/>
    </xf>
    <xf numFmtId="10" fontId="10" fillId="0" borderId="4" xfId="3" applyNumberFormat="1" applyFont="1" applyBorder="1" applyAlignment="1">
      <alignment vertical="center"/>
    </xf>
    <xf numFmtId="39" fontId="10" fillId="0" borderId="1" xfId="1" applyNumberFormat="1" applyFont="1" applyBorder="1" applyAlignment="1">
      <alignment vertical="center" wrapText="1"/>
    </xf>
    <xf numFmtId="10" fontId="10" fillId="0" borderId="1" xfId="3" applyNumberFormat="1" applyFont="1" applyBorder="1" applyAlignment="1">
      <alignment horizontal="right" vertical="center"/>
    </xf>
    <xf numFmtId="39" fontId="10" fillId="4" borderId="1" xfId="1" applyNumberFormat="1" applyFont="1" applyFill="1" applyBorder="1" applyAlignment="1">
      <alignment vertical="center"/>
    </xf>
    <xf numFmtId="10" fontId="10" fillId="4" borderId="1" xfId="3" applyNumberFormat="1" applyFont="1" applyFill="1" applyBorder="1" applyAlignment="1">
      <alignment vertical="center"/>
    </xf>
    <xf numFmtId="39" fontId="10" fillId="4" borderId="1" xfId="1" applyNumberFormat="1" applyFont="1" applyFill="1" applyBorder="1" applyAlignment="1">
      <alignment vertical="center" wrapText="1"/>
    </xf>
    <xf numFmtId="10" fontId="10" fillId="4" borderId="1" xfId="3" applyNumberFormat="1" applyFont="1" applyFill="1" applyBorder="1" applyAlignment="1">
      <alignment horizontal="right" vertical="center"/>
    </xf>
    <xf numFmtId="0" fontId="10"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2" fontId="31" fillId="0" borderId="1" xfId="0" applyNumberFormat="1" applyFont="1" applyBorder="1" applyAlignment="1">
      <alignment horizontal="center" vertical="center" wrapText="1"/>
    </xf>
    <xf numFmtId="39" fontId="31" fillId="0" borderId="1" xfId="1" applyNumberFormat="1" applyFont="1" applyBorder="1" applyAlignment="1">
      <alignment horizontal="right" vertical="center"/>
    </xf>
    <xf numFmtId="10" fontId="31" fillId="0" borderId="1" xfId="3" applyNumberFormat="1" applyFont="1" applyBorder="1" applyAlignment="1">
      <alignment vertical="center"/>
    </xf>
    <xf numFmtId="39" fontId="31" fillId="0" borderId="1" xfId="1" applyNumberFormat="1" applyFont="1" applyBorder="1" applyAlignment="1">
      <alignment horizontal="center" vertical="center"/>
    </xf>
    <xf numFmtId="10" fontId="31" fillId="0" borderId="4" xfId="3" applyNumberFormat="1" applyFont="1" applyBorder="1" applyAlignment="1">
      <alignment vertical="center"/>
    </xf>
    <xf numFmtId="9" fontId="31" fillId="0" borderId="1" xfId="3" applyFont="1" applyBorder="1" applyAlignment="1">
      <alignment vertical="center"/>
    </xf>
    <xf numFmtId="39" fontId="31" fillId="0" borderId="1" xfId="1" applyNumberFormat="1" applyFont="1" applyBorder="1" applyAlignment="1">
      <alignment vertical="center" wrapText="1"/>
    </xf>
    <xf numFmtId="10" fontId="31" fillId="0" borderId="1" xfId="3" applyNumberFormat="1" applyFont="1" applyBorder="1" applyAlignment="1">
      <alignment horizontal="right" vertical="center"/>
    </xf>
    <xf numFmtId="39" fontId="31" fillId="0" borderId="1" xfId="1" applyNumberFormat="1" applyFont="1" applyBorder="1" applyAlignment="1">
      <alignment vertical="center"/>
    </xf>
    <xf numFmtId="0" fontId="28" fillId="0" borderId="1" xfId="0" applyFont="1" applyBorder="1" applyAlignment="1">
      <alignment vertical="center" wrapText="1"/>
    </xf>
    <xf numFmtId="0" fontId="17" fillId="0" borderId="1" xfId="0" applyFont="1" applyBorder="1" applyAlignment="1">
      <alignment horizontal="center" vertical="center" wrapText="1"/>
    </xf>
    <xf numFmtId="2" fontId="17" fillId="0" borderId="1" xfId="0" applyNumberFormat="1" applyFont="1" applyBorder="1" applyAlignment="1">
      <alignment horizontal="center" vertical="center" wrapText="1"/>
    </xf>
    <xf numFmtId="10" fontId="17" fillId="0" borderId="1" xfId="3" applyNumberFormat="1" applyFont="1" applyBorder="1" applyAlignment="1">
      <alignment vertical="center"/>
    </xf>
    <xf numFmtId="39" fontId="17" fillId="0" borderId="1" xfId="1" applyNumberFormat="1" applyFont="1" applyBorder="1" applyAlignment="1">
      <alignment vertical="center"/>
    </xf>
    <xf numFmtId="10" fontId="17" fillId="0" borderId="4" xfId="3" applyNumberFormat="1" applyFont="1" applyBorder="1" applyAlignment="1">
      <alignment vertical="center"/>
    </xf>
    <xf numFmtId="9" fontId="17" fillId="0" borderId="1" xfId="3" applyFont="1" applyBorder="1" applyAlignment="1">
      <alignment vertical="center"/>
    </xf>
    <xf numFmtId="39" fontId="17" fillId="0" borderId="1" xfId="1" applyNumberFormat="1" applyFont="1" applyBorder="1" applyAlignment="1">
      <alignment vertical="center" wrapText="1"/>
    </xf>
    <xf numFmtId="0" fontId="17" fillId="0" borderId="0" xfId="0" applyFont="1" applyAlignment="1">
      <alignment vertical="center"/>
    </xf>
    <xf numFmtId="0" fontId="10" fillId="4" borderId="0" xfId="0" quotePrefix="1" applyFont="1" applyFill="1" applyAlignment="1">
      <alignment vertical="center"/>
    </xf>
    <xf numFmtId="0" fontId="10" fillId="4" borderId="0" xfId="0" applyFont="1" applyFill="1" applyAlignment="1">
      <alignment vertical="center"/>
    </xf>
    <xf numFmtId="39" fontId="10" fillId="0" borderId="1" xfId="0" applyNumberFormat="1" applyFont="1" applyBorder="1" applyAlignment="1">
      <alignment horizontal="center" vertical="center" wrapText="1"/>
    </xf>
    <xf numFmtId="9" fontId="31" fillId="0" borderId="1" xfId="3" applyFont="1" applyBorder="1" applyAlignment="1">
      <alignment horizontal="right" vertical="center"/>
    </xf>
    <xf numFmtId="39" fontId="31" fillId="0" borderId="1" xfId="1" applyNumberFormat="1" applyFont="1" applyBorder="1" applyAlignment="1">
      <alignment horizontal="right" vertical="center" wrapText="1"/>
    </xf>
    <xf numFmtId="9" fontId="31" fillId="8" borderId="1" xfId="3" applyFont="1" applyFill="1" applyBorder="1" applyAlignment="1">
      <alignment horizontal="right" vertical="center"/>
    </xf>
    <xf numFmtId="0" fontId="19" fillId="11" borderId="0" xfId="0" applyFont="1" applyFill="1" applyAlignment="1">
      <alignment vertical="center" wrapText="1"/>
    </xf>
    <xf numFmtId="0" fontId="19" fillId="9" borderId="0" xfId="0" applyFont="1" applyFill="1" applyAlignment="1">
      <alignment vertical="center" wrapText="1"/>
    </xf>
    <xf numFmtId="0" fontId="11" fillId="0" borderId="5" xfId="0" applyFont="1" applyBorder="1" applyAlignment="1">
      <alignment vertical="center" wrapText="1"/>
    </xf>
    <xf numFmtId="0" fontId="11" fillId="0" borderId="1" xfId="0" applyFont="1" applyBorder="1" applyAlignment="1">
      <alignment vertical="center"/>
    </xf>
    <xf numFmtId="0" fontId="10" fillId="0" borderId="7" xfId="0" applyFont="1" applyBorder="1" applyAlignment="1">
      <alignment horizontal="left" vertical="center"/>
    </xf>
    <xf numFmtId="0" fontId="10" fillId="0" borderId="14" xfId="0" applyFont="1" applyBorder="1" applyAlignment="1">
      <alignment horizontal="left" vertical="center"/>
    </xf>
    <xf numFmtId="0" fontId="10" fillId="0" borderId="7" xfId="0" applyFont="1" applyBorder="1" applyAlignment="1">
      <alignment horizontal="left" vertic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14" xfId="0" applyFont="1" applyBorder="1" applyAlignment="1">
      <alignment horizontal="right" vertical="center"/>
    </xf>
    <xf numFmtId="0" fontId="11" fillId="10" borderId="0" xfId="0" applyFont="1" applyFill="1" applyAlignment="1">
      <alignment horizontal="left" vertical="center"/>
    </xf>
    <xf numFmtId="10" fontId="11" fillId="10" borderId="0" xfId="0" applyNumberFormat="1" applyFont="1" applyFill="1" applyAlignment="1">
      <alignment horizontal="left" vertical="center"/>
    </xf>
    <xf numFmtId="0" fontId="8" fillId="0" borderId="14" xfId="0" applyFont="1" applyBorder="1" applyAlignment="1">
      <alignment horizontal="left" vertical="center" wrapText="1"/>
    </xf>
    <xf numFmtId="0" fontId="11" fillId="0" borderId="7" xfId="0" applyFont="1" applyBorder="1" applyAlignment="1">
      <alignment vertical="center" wrapText="1"/>
    </xf>
    <xf numFmtId="10" fontId="11" fillId="0" borderId="1" xfId="3" applyNumberFormat="1" applyFont="1" applyBorder="1" applyAlignment="1">
      <alignment vertical="center"/>
    </xf>
    <xf numFmtId="39" fontId="11" fillId="0" borderId="1" xfId="1" applyNumberFormat="1" applyFont="1" applyBorder="1" applyAlignment="1">
      <alignment horizontal="center" vertical="center"/>
    </xf>
    <xf numFmtId="10" fontId="11" fillId="0" borderId="4" xfId="3" applyNumberFormat="1" applyFont="1" applyBorder="1" applyAlignment="1">
      <alignment vertical="center"/>
    </xf>
    <xf numFmtId="39" fontId="11" fillId="0" borderId="1" xfId="1" applyNumberFormat="1" applyFont="1" applyBorder="1" applyAlignment="1">
      <alignment vertical="center" wrapText="1"/>
    </xf>
    <xf numFmtId="10" fontId="11" fillId="0" borderId="1" xfId="1" applyNumberFormat="1" applyFont="1" applyBorder="1" applyAlignment="1">
      <alignment vertical="center"/>
    </xf>
    <xf numFmtId="39" fontId="11" fillId="0" borderId="1" xfId="1" applyNumberFormat="1" applyFont="1" applyBorder="1" applyAlignment="1">
      <alignment vertical="center"/>
    </xf>
    <xf numFmtId="0" fontId="11" fillId="0" borderId="14" xfId="0" applyFont="1" applyBorder="1" applyAlignment="1">
      <alignment horizontal="left" vertical="center"/>
    </xf>
    <xf numFmtId="0" fontId="11" fillId="0" borderId="2" xfId="0" applyFont="1" applyBorder="1" applyAlignment="1">
      <alignment horizontal="righ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7" fillId="0" borderId="7" xfId="0" applyFont="1" applyBorder="1" applyAlignment="1">
      <alignment horizontal="left" vertical="center" wrapText="1"/>
    </xf>
    <xf numFmtId="10" fontId="28" fillId="0" borderId="4" xfId="3" applyNumberFormat="1" applyFont="1" applyBorder="1" applyAlignment="1">
      <alignment vertical="center"/>
    </xf>
    <xf numFmtId="39" fontId="17" fillId="4" borderId="1" xfId="1" applyNumberFormat="1" applyFont="1" applyFill="1" applyBorder="1" applyAlignment="1">
      <alignment vertical="center"/>
    </xf>
    <xf numFmtId="10" fontId="17" fillId="4" borderId="1" xfId="3" applyNumberFormat="1" applyFont="1" applyFill="1" applyBorder="1" applyAlignment="1">
      <alignment vertical="center"/>
    </xf>
    <xf numFmtId="39" fontId="17" fillId="4" borderId="1" xfId="1" applyNumberFormat="1" applyFont="1" applyFill="1" applyBorder="1" applyAlignment="1">
      <alignment vertical="center" wrapText="1"/>
    </xf>
    <xf numFmtId="0" fontId="28" fillId="0" borderId="0" xfId="0" applyFont="1" applyAlignment="1">
      <alignment vertical="center"/>
    </xf>
    <xf numFmtId="9" fontId="11" fillId="5" borderId="1" xfId="3" applyFont="1" applyFill="1" applyBorder="1" applyAlignment="1">
      <alignment vertical="center" wrapText="1"/>
    </xf>
    <xf numFmtId="0" fontId="19" fillId="16" borderId="1" xfId="2" applyNumberFormat="1" applyFont="1" applyFill="1" applyBorder="1" applyAlignment="1">
      <alignment horizontal="center" vertical="center" wrapText="1"/>
    </xf>
    <xf numFmtId="0" fontId="19" fillId="16" borderId="11" xfId="2" applyFont="1" applyFill="1" applyBorder="1" applyAlignment="1">
      <alignment horizontal="center" vertical="center" wrapText="1"/>
    </xf>
    <xf numFmtId="39" fontId="19" fillId="0" borderId="1" xfId="1" applyNumberFormat="1" applyFont="1" applyFill="1" applyBorder="1" applyAlignment="1">
      <alignment vertical="center"/>
    </xf>
    <xf numFmtId="39" fontId="19" fillId="15" borderId="1" xfId="1" applyNumberFormat="1" applyFont="1" applyFill="1" applyBorder="1" applyAlignment="1">
      <alignment vertical="center"/>
    </xf>
    <xf numFmtId="3" fontId="19" fillId="0" borderId="1" xfId="3" applyNumberFormat="1" applyFont="1" applyFill="1" applyBorder="1" applyAlignment="1">
      <alignment vertical="center"/>
    </xf>
    <xf numFmtId="39" fontId="19" fillId="5" borderId="1" xfId="0" applyNumberFormat="1" applyFont="1" applyFill="1" applyBorder="1" applyAlignment="1">
      <alignment horizontal="center" vertical="center" wrapText="1"/>
    </xf>
    <xf numFmtId="170" fontId="105" fillId="24" borderId="1" xfId="0" applyNumberFormat="1" applyFont="1" applyFill="1" applyBorder="1" applyAlignment="1">
      <alignment vertical="center"/>
    </xf>
    <xf numFmtId="0" fontId="19" fillId="0" borderId="1" xfId="0" applyFont="1" applyFill="1" applyBorder="1" applyAlignment="1">
      <alignment vertical="center"/>
    </xf>
    <xf numFmtId="39" fontId="19" fillId="0" borderId="1" xfId="0" applyNumberFormat="1" applyFont="1" applyFill="1" applyBorder="1" applyAlignment="1">
      <alignment vertical="center"/>
    </xf>
    <xf numFmtId="0" fontId="16" fillId="0" borderId="0" xfId="0" applyFont="1"/>
    <xf numFmtId="0" fontId="15" fillId="0" borderId="1" xfId="0" applyFont="1" applyBorder="1" applyAlignment="1">
      <alignment horizontal="right"/>
    </xf>
    <xf numFmtId="0" fontId="27" fillId="0" borderId="0" xfId="0" applyFont="1"/>
    <xf numFmtId="0" fontId="28" fillId="0" borderId="0" xfId="0" applyFont="1" applyAlignment="1">
      <alignment horizontal="center"/>
    </xf>
    <xf numFmtId="0" fontId="16" fillId="0" borderId="0" xfId="0" applyFont="1" applyAlignment="1">
      <alignment wrapText="1"/>
    </xf>
    <xf numFmtId="0" fontId="15" fillId="0" borderId="0" xfId="0" applyFont="1" applyAlignment="1">
      <alignment horizontal="center"/>
    </xf>
    <xf numFmtId="0" fontId="107" fillId="0" borderId="0" xfId="22" applyFont="1"/>
    <xf numFmtId="0" fontId="18" fillId="14" borderId="11" xfId="7" applyFont="1" applyFill="1" applyBorder="1" applyAlignment="1">
      <alignment horizontal="center" vertical="center" wrapText="1"/>
    </xf>
    <xf numFmtId="9" fontId="12" fillId="0" borderId="1" xfId="13" applyFont="1" applyBorder="1" applyAlignment="1">
      <alignment vertical="center"/>
    </xf>
    <xf numFmtId="176" fontId="12" fillId="41" borderId="1" xfId="10" applyNumberFormat="1" applyFont="1" applyFill="1" applyBorder="1" applyAlignment="1">
      <alignment horizontal="right" vertical="center" wrapText="1"/>
    </xf>
    <xf numFmtId="9" fontId="64" fillId="19" borderId="0" xfId="3" applyFont="1" applyFill="1"/>
    <xf numFmtId="165" fontId="67" fillId="19" borderId="0" xfId="3" applyNumberFormat="1" applyFont="1" applyFill="1"/>
    <xf numFmtId="39" fontId="12" fillId="0" borderId="1" xfId="5" applyNumberFormat="1" applyFont="1" applyBorder="1" applyAlignment="1">
      <alignment vertical="center"/>
    </xf>
    <xf numFmtId="39" fontId="12" fillId="0" borderId="4" xfId="5" applyNumberFormat="1" applyFont="1" applyBorder="1" applyAlignment="1">
      <alignment vertical="center"/>
    </xf>
    <xf numFmtId="0" fontId="64" fillId="19" borderId="0" xfId="3" applyNumberFormat="1" applyFont="1" applyFill="1"/>
    <xf numFmtId="39" fontId="12" fillId="0" borderId="1" xfId="5" applyNumberFormat="1" applyFont="1" applyBorder="1"/>
    <xf numFmtId="39" fontId="12" fillId="0" borderId="4" xfId="5" applyNumberFormat="1" applyFont="1" applyBorder="1"/>
    <xf numFmtId="0" fontId="12" fillId="0" borderId="3" xfId="0" applyFont="1" applyBorder="1" applyAlignment="1">
      <alignment horizontal="right" vertical="top" wrapText="1"/>
    </xf>
    <xf numFmtId="9" fontId="12" fillId="0" borderId="1" xfId="3" applyFont="1" applyBorder="1" applyAlignment="1">
      <alignment vertical="center"/>
    </xf>
    <xf numFmtId="0" fontId="12" fillId="41" borderId="1" xfId="0" applyFont="1" applyFill="1" applyBorder="1" applyAlignment="1">
      <alignment vertical="top" wrapText="1"/>
    </xf>
    <xf numFmtId="39" fontId="12" fillId="0" borderId="1" xfId="5" applyNumberFormat="1" applyFont="1" applyBorder="1" applyAlignment="1">
      <alignment horizontal="right" vertical="center"/>
    </xf>
    <xf numFmtId="39" fontId="12" fillId="0" borderId="1" xfId="5" applyNumberFormat="1" applyFont="1" applyBorder="1" applyAlignment="1">
      <alignment horizontal="right"/>
    </xf>
    <xf numFmtId="167" fontId="12" fillId="0" borderId="1" xfId="5" applyFont="1" applyBorder="1" applyAlignment="1">
      <alignment vertical="center"/>
    </xf>
    <xf numFmtId="176" fontId="12" fillId="41" borderId="1" xfId="5" applyNumberFormat="1" applyFont="1" applyFill="1" applyBorder="1"/>
    <xf numFmtId="169" fontId="12" fillId="0" borderId="1" xfId="13" applyNumberFormat="1" applyFont="1" applyBorder="1" applyAlignment="1">
      <alignment vertical="center"/>
    </xf>
    <xf numFmtId="176" fontId="12" fillId="0" borderId="1" xfId="0" applyNumberFormat="1" applyFont="1" applyBorder="1" applyAlignment="1">
      <alignment vertical="top" wrapText="1"/>
    </xf>
    <xf numFmtId="176" fontId="12" fillId="0" borderId="1" xfId="5" applyNumberFormat="1" applyFont="1" applyBorder="1"/>
    <xf numFmtId="0" fontId="12" fillId="0" borderId="1" xfId="5" applyNumberFormat="1" applyFont="1" applyBorder="1" applyAlignment="1">
      <alignment vertical="center"/>
    </xf>
    <xf numFmtId="176" fontId="12" fillId="0" borderId="1" xfId="10" applyNumberFormat="1" applyFont="1" applyBorder="1" applyAlignment="1">
      <alignment vertical="center"/>
    </xf>
    <xf numFmtId="2" fontId="12" fillId="0" borderId="1" xfId="5" applyNumberFormat="1" applyFont="1" applyBorder="1" applyAlignment="1">
      <alignment vertical="center"/>
    </xf>
    <xf numFmtId="176" fontId="12" fillId="0" borderId="1" xfId="5" applyNumberFormat="1" applyFont="1" applyBorder="1" applyAlignment="1">
      <alignment vertical="center"/>
    </xf>
    <xf numFmtId="176" fontId="17" fillId="39" borderId="1" xfId="10" applyNumberFormat="1" applyFont="1" applyFill="1" applyBorder="1" applyAlignment="1">
      <alignment vertical="center"/>
    </xf>
    <xf numFmtId="176" fontId="17" fillId="39" borderId="1" xfId="5" applyNumberFormat="1" applyFont="1" applyFill="1" applyBorder="1" applyAlignment="1">
      <alignment vertical="center"/>
    </xf>
    <xf numFmtId="176" fontId="12" fillId="0" borderId="1" xfId="10" applyNumberFormat="1" applyFont="1" applyBorder="1" applyAlignment="1">
      <alignment horizontal="right" vertical="center"/>
    </xf>
    <xf numFmtId="39" fontId="17" fillId="0" borderId="1" xfId="5" applyNumberFormat="1" applyFont="1" applyBorder="1"/>
    <xf numFmtId="176" fontId="12" fillId="0" borderId="1" xfId="10" applyNumberFormat="1" applyFont="1" applyBorder="1" applyAlignment="1">
      <alignment horizontal="right"/>
    </xf>
    <xf numFmtId="176" fontId="10" fillId="0" borderId="1" xfId="10" applyNumberFormat="1" applyFont="1" applyBorder="1" applyAlignment="1">
      <alignment horizontal="right"/>
    </xf>
    <xf numFmtId="176" fontId="10" fillId="0" borderId="1" xfId="10" applyNumberFormat="1" applyFont="1" applyBorder="1" applyAlignment="1">
      <alignment horizontal="right" vertical="center"/>
    </xf>
    <xf numFmtId="176" fontId="17" fillId="39" borderId="1" xfId="10" applyNumberFormat="1" applyFont="1" applyFill="1" applyBorder="1" applyAlignment="1">
      <alignment horizontal="right" vertical="center"/>
    </xf>
    <xf numFmtId="9" fontId="108" fillId="39" borderId="1" xfId="3" applyFont="1" applyFill="1" applyBorder="1" applyAlignment="1">
      <alignment wrapText="1"/>
    </xf>
    <xf numFmtId="0" fontId="11" fillId="11" borderId="1" xfId="12" applyFont="1" applyFill="1" applyBorder="1" applyAlignment="1">
      <alignment horizontal="left" vertical="center" wrapText="1"/>
    </xf>
    <xf numFmtId="37" fontId="10" fillId="0" borderId="1" xfId="5" applyNumberFormat="1" applyFont="1" applyBorder="1" applyAlignment="1">
      <alignment vertical="center"/>
    </xf>
    <xf numFmtId="167" fontId="10" fillId="0" borderId="1" xfId="5" applyFont="1" applyBorder="1" applyAlignment="1">
      <alignment vertical="center"/>
    </xf>
    <xf numFmtId="167" fontId="12" fillId="0" borderId="1" xfId="5" applyFont="1" applyBorder="1" applyAlignment="1">
      <alignment horizontal="left" vertical="top" wrapText="1"/>
    </xf>
    <xf numFmtId="167" fontId="17" fillId="0" borderId="1" xfId="5" applyFont="1" applyBorder="1" applyAlignment="1">
      <alignment vertical="center"/>
    </xf>
    <xf numFmtId="39" fontId="10" fillId="0" borderId="1" xfId="5" applyNumberFormat="1" applyFont="1" applyBorder="1" applyAlignment="1">
      <alignment vertical="center"/>
    </xf>
    <xf numFmtId="0" fontId="49" fillId="0" borderId="1" xfId="0" applyFont="1" applyBorder="1"/>
    <xf numFmtId="39" fontId="10" fillId="0" borderId="1" xfId="5" applyNumberFormat="1" applyFont="1" applyBorder="1"/>
    <xf numFmtId="167" fontId="12" fillId="0" borderId="1" xfId="5" applyFont="1" applyBorder="1" applyAlignment="1">
      <alignment vertical="top" wrapText="1"/>
    </xf>
    <xf numFmtId="9" fontId="66" fillId="0" borderId="1" xfId="3" applyFont="1" applyBorder="1"/>
    <xf numFmtId="167" fontId="10" fillId="0" borderId="1" xfId="5" applyFont="1" applyBorder="1" applyAlignment="1">
      <alignment wrapText="1"/>
    </xf>
    <xf numFmtId="9" fontId="12" fillId="0" borderId="1" xfId="0" applyNumberFormat="1" applyFont="1" applyBorder="1" applyAlignment="1">
      <alignment horizontal="center" vertical="center"/>
    </xf>
    <xf numFmtId="0" fontId="49" fillId="0" borderId="1" xfId="0" applyFont="1" applyBorder="1" applyAlignment="1">
      <alignment vertical="center"/>
    </xf>
    <xf numFmtId="0" fontId="11" fillId="27" borderId="0" xfId="0" applyFont="1" applyFill="1" applyAlignment="1">
      <alignment vertical="center" wrapText="1"/>
    </xf>
    <xf numFmtId="0" fontId="11" fillId="0" borderId="1" xfId="0" applyFont="1" applyBorder="1"/>
    <xf numFmtId="0" fontId="11" fillId="0" borderId="4" xfId="0" applyFont="1" applyBorder="1"/>
    <xf numFmtId="175" fontId="10" fillId="0" borderId="1" xfId="5" applyNumberFormat="1" applyFont="1" applyBorder="1" applyAlignment="1">
      <alignment horizontal="right"/>
    </xf>
    <xf numFmtId="38" fontId="10" fillId="0" borderId="1" xfId="5" applyNumberFormat="1" applyFont="1" applyBorder="1" applyAlignment="1">
      <alignment horizontal="right"/>
    </xf>
    <xf numFmtId="0" fontId="10" fillId="41" borderId="0" xfId="0" applyFont="1" applyFill="1"/>
    <xf numFmtId="176" fontId="10" fillId="0" borderId="1" xfId="0" applyNumberFormat="1" applyFont="1" applyBorder="1" applyAlignment="1">
      <alignment vertical="center"/>
    </xf>
    <xf numFmtId="0" fontId="10" fillId="0" borderId="1" xfId="16" applyFont="1" applyBorder="1" applyAlignment="1">
      <alignment vertical="top" wrapText="1"/>
    </xf>
    <xf numFmtId="0" fontId="10" fillId="0" borderId="3" xfId="0" applyFont="1" applyBorder="1" applyAlignment="1">
      <alignment horizontal="left" wrapText="1"/>
    </xf>
    <xf numFmtId="0" fontId="10" fillId="0" borderId="2" xfId="0" applyFont="1" applyBorder="1" applyAlignment="1">
      <alignment horizontal="left" wrapText="1"/>
    </xf>
    <xf numFmtId="37" fontId="31" fillId="0" borderId="1" xfId="5" applyNumberFormat="1" applyFont="1" applyBorder="1" applyAlignment="1">
      <alignment vertical="center"/>
    </xf>
    <xf numFmtId="171" fontId="10" fillId="0" borderId="1" xfId="21" applyNumberFormat="1" applyFont="1" applyBorder="1" applyAlignment="1">
      <alignment horizontal="center" vertical="center"/>
    </xf>
    <xf numFmtId="0" fontId="10" fillId="0" borderId="1" xfId="20" applyFont="1" applyBorder="1" applyAlignment="1">
      <alignment horizontal="center" vertical="center"/>
    </xf>
    <xf numFmtId="39" fontId="31" fillId="0" borderId="1" xfId="5" applyNumberFormat="1" applyFont="1" applyBorder="1"/>
    <xf numFmtId="39" fontId="31" fillId="0" borderId="4" xfId="5" applyNumberFormat="1" applyFont="1" applyBorder="1" applyAlignment="1">
      <alignment vertical="center"/>
    </xf>
    <xf numFmtId="9" fontId="74" fillId="0" borderId="1" xfId="3" applyFont="1" applyBorder="1"/>
    <xf numFmtId="9" fontId="74" fillId="0" borderId="4" xfId="3" applyFont="1" applyBorder="1"/>
    <xf numFmtId="0" fontId="10" fillId="47" borderId="1" xfId="20" applyFont="1" applyFill="1" applyBorder="1" applyAlignment="1">
      <alignment horizontal="left" vertical="center"/>
    </xf>
    <xf numFmtId="0" fontId="10" fillId="0" borderId="1" xfId="0" applyFont="1" applyBorder="1" applyAlignment="1">
      <alignment horizontal="right" vertical="top" wrapText="1"/>
    </xf>
    <xf numFmtId="1" fontId="10" fillId="0" borderId="11" xfId="5" applyNumberFormat="1" applyFont="1" applyBorder="1" applyAlignment="1">
      <alignment horizontal="right"/>
    </xf>
    <xf numFmtId="167" fontId="10" fillId="0" borderId="4" xfId="5" applyFont="1" applyBorder="1" applyAlignment="1">
      <alignment vertical="center" wrapText="1"/>
    </xf>
    <xf numFmtId="171" fontId="10" fillId="0" borderId="1" xfId="21" applyNumberFormat="1" applyFont="1" applyBorder="1" applyAlignment="1">
      <alignment horizontal="right" vertical="center"/>
    </xf>
    <xf numFmtId="0" fontId="10" fillId="0" borderId="3" xfId="0" applyFont="1" applyBorder="1" applyAlignment="1">
      <alignment horizontal="left"/>
    </xf>
    <xf numFmtId="0" fontId="10" fillId="0" borderId="7" xfId="0" applyFont="1" applyBorder="1" applyAlignment="1">
      <alignment horizontal="left" vertical="top" wrapText="1"/>
    </xf>
    <xf numFmtId="168" fontId="10" fillId="0" borderId="4" xfId="5" applyNumberFormat="1" applyFont="1" applyBorder="1" applyAlignment="1">
      <alignment horizontal="right" vertical="top" wrapText="1"/>
    </xf>
    <xf numFmtId="37" fontId="11" fillId="29" borderId="1" xfId="5" applyNumberFormat="1" applyFont="1" applyFill="1" applyBorder="1"/>
    <xf numFmtId="37" fontId="11" fillId="29" borderId="4" xfId="5" applyNumberFormat="1" applyFont="1" applyFill="1" applyBorder="1"/>
    <xf numFmtId="0" fontId="10" fillId="0" borderId="2" xfId="0" applyFont="1" applyBorder="1" applyAlignment="1">
      <alignment horizontal="left" vertical="center"/>
    </xf>
    <xf numFmtId="37" fontId="10" fillId="0" borderId="4" xfId="5" applyNumberFormat="1" applyFont="1" applyBorder="1" applyAlignment="1">
      <alignment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1" fontId="10" fillId="0" borderId="11" xfId="5" applyNumberFormat="1" applyFont="1" applyBorder="1" applyAlignment="1">
      <alignment horizontal="right" vertical="center"/>
    </xf>
    <xf numFmtId="0" fontId="10" fillId="0" borderId="1" xfId="0" applyFont="1" applyBorder="1" applyAlignment="1">
      <alignment horizontal="left" vertical="top" wrapText="1"/>
    </xf>
    <xf numFmtId="1" fontId="10" fillId="0" borderId="1" xfId="5" applyNumberFormat="1" applyFont="1" applyBorder="1" applyAlignment="1">
      <alignment horizontal="right" vertical="center"/>
    </xf>
    <xf numFmtId="0" fontId="11" fillId="29" borderId="3" xfId="0" applyFont="1" applyFill="1" applyBorder="1" applyAlignment="1">
      <alignment wrapText="1"/>
    </xf>
    <xf numFmtId="0" fontId="11" fillId="29" borderId="1" xfId="0" applyFont="1" applyFill="1" applyBorder="1" applyAlignment="1">
      <alignment wrapTex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0" fillId="0" borderId="7" xfId="0" applyFont="1" applyBorder="1" applyAlignment="1">
      <alignment horizontal="right" vertical="top" wrapText="1"/>
    </xf>
    <xf numFmtId="0" fontId="11" fillId="0" borderId="3" xfId="0" applyFont="1" applyBorder="1" applyAlignment="1">
      <alignment vertical="center"/>
    </xf>
    <xf numFmtId="0" fontId="11" fillId="0" borderId="2" xfId="0" applyFont="1" applyBorder="1" applyAlignment="1">
      <alignment vertical="center"/>
    </xf>
    <xf numFmtId="9" fontId="75" fillId="0" borderId="1" xfId="3" applyFont="1" applyBorder="1" applyAlignment="1">
      <alignment vertical="center"/>
    </xf>
    <xf numFmtId="9" fontId="75" fillId="0" borderId="4" xfId="3" applyFont="1" applyBorder="1" applyAlignment="1">
      <alignment vertical="center"/>
    </xf>
    <xf numFmtId="0" fontId="70" fillId="0" borderId="1" xfId="17" applyFont="1" applyBorder="1" applyAlignment="1">
      <alignment horizontal="justify" wrapText="1"/>
    </xf>
    <xf numFmtId="0" fontId="10" fillId="0" borderId="1" xfId="0" applyFont="1" applyBorder="1" applyAlignment="1">
      <alignment horizontal="left" vertical="center"/>
    </xf>
    <xf numFmtId="175" fontId="70" fillId="0" borderId="1" xfId="18" applyNumberFormat="1" applyFont="1" applyBorder="1" applyAlignment="1">
      <alignment horizontal="center" vertical="center"/>
    </xf>
    <xf numFmtId="167" fontId="10" fillId="7" borderId="4" xfId="1" applyFont="1" applyFill="1" applyBorder="1" applyAlignment="1">
      <alignment vertical="center"/>
    </xf>
    <xf numFmtId="0" fontId="10" fillId="0" borderId="1" xfId="0" applyFont="1" applyBorder="1" applyAlignment="1">
      <alignment horizontal="left" wrapText="1"/>
    </xf>
    <xf numFmtId="165" fontId="10" fillId="0" borderId="4" xfId="0" applyNumberFormat="1" applyFont="1" applyBorder="1"/>
    <xf numFmtId="0" fontId="10" fillId="0" borderId="7" xfId="0" applyFont="1" applyBorder="1" applyAlignment="1">
      <alignment wrapText="1"/>
    </xf>
    <xf numFmtId="0" fontId="10" fillId="0" borderId="0" xfId="0" applyFont="1" applyAlignment="1">
      <alignment horizontal="left" wrapText="1"/>
    </xf>
    <xf numFmtId="1" fontId="10" fillId="0" borderId="0" xfId="0" applyNumberFormat="1" applyFont="1"/>
    <xf numFmtId="168" fontId="11" fillId="0" borderId="1" xfId="1" applyNumberFormat="1" applyFont="1" applyBorder="1"/>
    <xf numFmtId="9" fontId="11" fillId="0" borderId="1" xfId="3" applyFont="1" applyBorder="1"/>
    <xf numFmtId="9" fontId="11" fillId="0" borderId="0" xfId="3" applyFont="1"/>
    <xf numFmtId="165" fontId="10" fillId="0" borderId="0" xfId="1" applyNumberFormat="1" applyFont="1"/>
    <xf numFmtId="0" fontId="10" fillId="0" borderId="4" xfId="0" applyFont="1" applyBorder="1" applyAlignment="1">
      <alignment horizontal="center" vertical="center"/>
    </xf>
    <xf numFmtId="176" fontId="10" fillId="0" borderId="1" xfId="0" applyNumberFormat="1" applyFont="1" applyBorder="1" applyAlignment="1">
      <alignment horizontal="center" vertical="center"/>
    </xf>
    <xf numFmtId="2" fontId="10" fillId="0" borderId="0" xfId="0" applyNumberFormat="1" applyFont="1" applyAlignment="1">
      <alignment horizontal="center" vertical="center"/>
    </xf>
    <xf numFmtId="9" fontId="11" fillId="4" borderId="1" xfId="3" applyFont="1" applyFill="1" applyBorder="1"/>
    <xf numFmtId="0" fontId="12" fillId="0" borderId="1" xfId="12" applyFont="1" applyBorder="1" applyAlignment="1">
      <alignment horizontal="left" vertical="center" wrapText="1"/>
    </xf>
    <xf numFmtId="0" fontId="28" fillId="0" borderId="0" xfId="0" applyFont="1"/>
    <xf numFmtId="0" fontId="11" fillId="0" borderId="7" xfId="0" applyFont="1" applyBorder="1" applyAlignment="1">
      <alignment horizontal="left" vertical="center"/>
    </xf>
    <xf numFmtId="0" fontId="11" fillId="0" borderId="2" xfId="0" applyFont="1" applyBorder="1" applyAlignment="1">
      <alignment horizontal="left" vertical="center"/>
    </xf>
    <xf numFmtId="4" fontId="10" fillId="0" borderId="1" xfId="1" applyNumberFormat="1" applyFont="1" applyBorder="1" applyAlignment="1" applyProtection="1">
      <alignment horizontal="center" vertical="center"/>
      <protection locked="0"/>
    </xf>
    <xf numFmtId="168" fontId="8" fillId="0" borderId="0" xfId="0" applyNumberFormat="1" applyFont="1" applyAlignment="1">
      <alignment vertical="center"/>
    </xf>
    <xf numFmtId="9" fontId="11" fillId="11" borderId="1" xfId="3" applyFont="1" applyFill="1" applyBorder="1"/>
    <xf numFmtId="9" fontId="13" fillId="4" borderId="1" xfId="3" applyFont="1" applyFill="1" applyBorder="1"/>
    <xf numFmtId="0" fontId="109" fillId="4" borderId="41" xfId="0" applyFont="1" applyFill="1" applyBorder="1"/>
    <xf numFmtId="10" fontId="109" fillId="4" borderId="41" xfId="0" applyNumberFormat="1" applyFont="1" applyFill="1" applyBorder="1"/>
    <xf numFmtId="10" fontId="51" fillId="4" borderId="41" xfId="0" applyNumberFormat="1" applyFont="1" applyFill="1" applyBorder="1"/>
    <xf numFmtId="10" fontId="51" fillId="4" borderId="23" xfId="0" applyNumberFormat="1" applyFont="1" applyFill="1" applyBorder="1"/>
    <xf numFmtId="10" fontId="59" fillId="4" borderId="1" xfId="0" applyNumberFormat="1" applyFont="1" applyFill="1" applyBorder="1"/>
    <xf numFmtId="10" fontId="59" fillId="8" borderId="4" xfId="1" applyNumberFormat="1" applyFont="1" applyFill="1" applyBorder="1" applyAlignment="1">
      <alignment horizontal="left"/>
    </xf>
    <xf numFmtId="10" fontId="59" fillId="8" borderId="48" xfId="1" applyNumberFormat="1" applyFont="1" applyFill="1" applyBorder="1" applyAlignment="1">
      <alignment horizontal="left"/>
    </xf>
    <xf numFmtId="10" fontId="59" fillId="8" borderId="4" xfId="1" applyNumberFormat="1" applyFont="1" applyFill="1" applyBorder="1"/>
    <xf numFmtId="174" fontId="51" fillId="5" borderId="4" xfId="0" applyNumberFormat="1" applyFont="1" applyFill="1" applyBorder="1" applyAlignment="1">
      <alignment horizontal="center" vertical="center" wrapText="1"/>
    </xf>
    <xf numFmtId="174" fontId="51" fillId="5" borderId="1" xfId="0" applyNumberFormat="1" applyFont="1" applyFill="1" applyBorder="1" applyAlignment="1">
      <alignment horizontal="right" vertical="center" wrapText="1"/>
    </xf>
    <xf numFmtId="10" fontId="51" fillId="5" borderId="4" xfId="0" applyNumberFormat="1" applyFont="1" applyFill="1" applyBorder="1" applyAlignment="1">
      <alignment horizontal="center" vertical="center" wrapText="1"/>
    </xf>
    <xf numFmtId="10" fontId="51" fillId="19" borderId="4" xfId="0" applyNumberFormat="1" applyFont="1" applyFill="1" applyBorder="1"/>
    <xf numFmtId="0" fontId="67" fillId="19" borderId="0" xfId="3" applyNumberFormat="1" applyFont="1" applyFill="1"/>
    <xf numFmtId="167" fontId="67" fillId="19" borderId="1" xfId="1" applyFont="1" applyFill="1" applyBorder="1"/>
    <xf numFmtId="0" fontId="67" fillId="19" borderId="1" xfId="3" applyNumberFormat="1" applyFont="1" applyFill="1" applyBorder="1"/>
    <xf numFmtId="2" fontId="67" fillId="19" borderId="1" xfId="3" applyNumberFormat="1" applyFont="1" applyFill="1" applyBorder="1"/>
    <xf numFmtId="167" fontId="67" fillId="19" borderId="1" xfId="3" applyNumberFormat="1" applyFont="1" applyFill="1" applyBorder="1"/>
    <xf numFmtId="9" fontId="11" fillId="8" borderId="1" xfId="3" applyFont="1" applyFill="1" applyBorder="1"/>
    <xf numFmtId="0" fontId="11" fillId="4" borderId="11" xfId="0" applyFont="1" applyFill="1" applyBorder="1" applyAlignment="1">
      <alignment vertical="center" wrapText="1"/>
    </xf>
    <xf numFmtId="0" fontId="38" fillId="4" borderId="3" xfId="0" applyFont="1" applyFill="1" applyBorder="1" applyAlignment="1">
      <alignment horizontal="left" vertical="center" wrapText="1"/>
    </xf>
    <xf numFmtId="176" fontId="38" fillId="4" borderId="1" xfId="0" applyNumberFormat="1" applyFont="1" applyFill="1" applyBorder="1" applyAlignment="1">
      <alignment horizontal="left" vertical="center" wrapText="1"/>
    </xf>
    <xf numFmtId="0" fontId="38" fillId="4" borderId="1" xfId="0" applyFont="1" applyFill="1" applyBorder="1" applyAlignment="1">
      <alignment horizontal="left" vertical="center" wrapText="1"/>
    </xf>
    <xf numFmtId="9" fontId="62" fillId="4" borderId="1" xfId="3" applyFont="1" applyFill="1" applyBorder="1" applyAlignment="1">
      <alignment horizontal="right" vertical="center" wrapText="1"/>
    </xf>
    <xf numFmtId="9" fontId="62" fillId="4" borderId="4" xfId="3" applyFont="1" applyFill="1" applyBorder="1" applyAlignment="1">
      <alignment horizontal="right" vertical="center" wrapText="1"/>
    </xf>
    <xf numFmtId="0" fontId="13" fillId="4" borderId="3" xfId="0" applyFont="1" applyFill="1" applyBorder="1" applyAlignment="1">
      <alignment horizontal="left" vertical="center" wrapText="1"/>
    </xf>
    <xf numFmtId="176" fontId="13"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167" fontId="13" fillId="4" borderId="1" xfId="5" applyFont="1" applyFill="1" applyBorder="1" applyAlignment="1">
      <alignment horizontal="left" vertical="center" wrapText="1"/>
    </xf>
    <xf numFmtId="176" fontId="13" fillId="4" borderId="3" xfId="0" applyNumberFormat="1" applyFont="1" applyFill="1" applyBorder="1" applyAlignment="1">
      <alignment horizontal="left" vertical="center" wrapText="1"/>
    </xf>
    <xf numFmtId="169" fontId="13" fillId="4" borderId="1" xfId="0" applyNumberFormat="1" applyFont="1" applyFill="1" applyBorder="1" applyAlignment="1">
      <alignment horizontal="left" vertical="center" wrapText="1"/>
    </xf>
    <xf numFmtId="9" fontId="67" fillId="4" borderId="1" xfId="3" applyFont="1" applyFill="1" applyBorder="1" applyAlignment="1">
      <alignment horizontal="left" vertical="top" wrapText="1"/>
    </xf>
    <xf numFmtId="9" fontId="110" fillId="4" borderId="4" xfId="3" applyFont="1" applyFill="1" applyBorder="1" applyAlignment="1">
      <alignment horizontal="right" vertical="center" wrapText="1"/>
    </xf>
    <xf numFmtId="9" fontId="110" fillId="4" borderId="1" xfId="3" applyFont="1" applyFill="1" applyBorder="1" applyAlignment="1">
      <alignment horizontal="right" vertical="center" wrapText="1"/>
    </xf>
    <xf numFmtId="0" fontId="110" fillId="4" borderId="1" xfId="3" applyNumberFormat="1" applyFont="1" applyFill="1" applyBorder="1" applyAlignment="1">
      <alignment horizontal="right" vertical="center" wrapText="1"/>
    </xf>
    <xf numFmtId="167" fontId="110" fillId="4" borderId="1" xfId="1" applyFont="1" applyFill="1" applyBorder="1" applyAlignment="1">
      <alignment horizontal="right" vertical="center" wrapText="1"/>
    </xf>
    <xf numFmtId="39" fontId="13" fillId="4" borderId="1" xfId="0" applyNumberFormat="1" applyFont="1" applyFill="1" applyBorder="1" applyAlignment="1">
      <alignment vertical="center" wrapText="1"/>
    </xf>
    <xf numFmtId="167" fontId="11" fillId="9" borderId="1" xfId="3" applyNumberFormat="1" applyFont="1" applyFill="1" applyBorder="1"/>
    <xf numFmtId="173" fontId="10" fillId="0" borderId="1" xfId="3" applyNumberFormat="1" applyFont="1" applyBorder="1" applyAlignment="1">
      <alignment horizontal="right" vertical="center"/>
    </xf>
    <xf numFmtId="173" fontId="10" fillId="4" borderId="1" xfId="3" applyNumberFormat="1" applyFont="1" applyFill="1" applyBorder="1" applyAlignment="1">
      <alignment horizontal="right" vertical="center"/>
    </xf>
    <xf numFmtId="173" fontId="10" fillId="11" borderId="1" xfId="3" applyNumberFormat="1" applyFont="1" applyFill="1" applyBorder="1" applyAlignment="1">
      <alignment horizontal="right" vertical="center"/>
    </xf>
    <xf numFmtId="0" fontId="11" fillId="0" borderId="0" xfId="0" applyFont="1" applyAlignment="1">
      <alignment wrapText="1"/>
    </xf>
    <xf numFmtId="9" fontId="11" fillId="5" borderId="4" xfId="3" applyFont="1" applyFill="1" applyBorder="1" applyAlignment="1">
      <alignment horizontal="center" vertical="center" wrapText="1"/>
    </xf>
    <xf numFmtId="0" fontId="11" fillId="11" borderId="3" xfId="0" applyFont="1" applyFill="1" applyBorder="1" applyAlignment="1">
      <alignment vertical="center" wrapText="1"/>
    </xf>
    <xf numFmtId="0" fontId="11" fillId="0" borderId="0" xfId="0" applyFont="1" applyAlignment="1">
      <alignment wrapText="1"/>
    </xf>
    <xf numFmtId="0" fontId="26" fillId="8" borderId="3" xfId="0" applyFont="1" applyFill="1" applyBorder="1" applyAlignment="1">
      <alignment horizontal="left"/>
    </xf>
    <xf numFmtId="0" fontId="80" fillId="0" borderId="0" xfId="0" applyFont="1" applyAlignment="1">
      <alignment horizontal="left" wrapText="1"/>
    </xf>
    <xf numFmtId="4" fontId="12" fillId="11" borderId="1" xfId="1" applyNumberFormat="1" applyFont="1" applyFill="1" applyBorder="1" applyAlignment="1">
      <alignment horizontal="center" vertical="center"/>
    </xf>
    <xf numFmtId="39" fontId="0" fillId="0" borderId="1" xfId="0" applyNumberFormat="1" applyBorder="1"/>
    <xf numFmtId="167" fontId="10" fillId="0" borderId="0" xfId="1" applyFont="1" applyFill="1"/>
    <xf numFmtId="167" fontId="42" fillId="0" borderId="0" xfId="1" applyFont="1" applyFill="1" applyBorder="1"/>
    <xf numFmtId="167" fontId="11" fillId="2" borderId="1" xfId="1" applyFont="1" applyFill="1" applyBorder="1" applyAlignment="1">
      <alignment horizontal="center" vertical="center" wrapText="1"/>
    </xf>
    <xf numFmtId="167" fontId="0" fillId="0" borderId="1" xfId="1" applyFont="1" applyBorder="1"/>
    <xf numFmtId="167" fontId="13" fillId="4" borderId="1" xfId="1" applyFont="1" applyFill="1" applyBorder="1" applyAlignment="1">
      <alignment horizontal="center" vertical="center"/>
    </xf>
    <xf numFmtId="167" fontId="22" fillId="12" borderId="1" xfId="1" applyFont="1" applyFill="1" applyBorder="1" applyAlignment="1">
      <alignment horizontal="center" vertical="center" wrapText="1"/>
    </xf>
    <xf numFmtId="167" fontId="0" fillId="0" borderId="1" xfId="1" applyFont="1" applyBorder="1" applyAlignment="1">
      <alignment vertical="center" wrapText="1"/>
    </xf>
    <xf numFmtId="167" fontId="22" fillId="0" borderId="1" xfId="1" applyFont="1" applyBorder="1" applyAlignment="1">
      <alignment wrapText="1"/>
    </xf>
    <xf numFmtId="168" fontId="11" fillId="0" borderId="0" xfId="1" applyNumberFormat="1" applyFont="1" applyAlignment="1">
      <alignment wrapText="1"/>
    </xf>
    <xf numFmtId="0" fontId="11" fillId="7" borderId="14" xfId="0" applyFont="1" applyFill="1" applyBorder="1" applyAlignment="1">
      <alignment horizontal="center" vertical="center" wrapText="1"/>
    </xf>
    <xf numFmtId="165" fontId="13" fillId="19" borderId="1" xfId="1" applyNumberFormat="1" applyFont="1" applyFill="1" applyBorder="1" applyAlignment="1">
      <alignment horizontal="center" vertical="center"/>
    </xf>
    <xf numFmtId="9" fontId="13" fillId="33" borderId="1" xfId="3" applyFont="1" applyFill="1" applyBorder="1" applyAlignment="1">
      <alignment horizontal="center" vertical="center"/>
    </xf>
    <xf numFmtId="0" fontId="19" fillId="15" borderId="3" xfId="0" applyFont="1" applyFill="1" applyBorder="1" applyAlignment="1">
      <alignment horizontal="left" vertical="center"/>
    </xf>
    <xf numFmtId="0" fontId="19" fillId="22" borderId="1" xfId="0" applyFont="1" applyFill="1" applyBorder="1" applyAlignment="1">
      <alignment vertical="center"/>
    </xf>
    <xf numFmtId="0" fontId="19" fillId="5" borderId="8" xfId="0" applyFont="1" applyFill="1" applyBorder="1" applyAlignment="1">
      <alignment horizontal="center" vertical="center" wrapText="1"/>
    </xf>
    <xf numFmtId="0" fontId="112" fillId="14" borderId="11" xfId="2" applyFont="1" applyFill="1" applyBorder="1" applyAlignment="1">
      <alignment horizontal="center" vertical="center" wrapText="1"/>
    </xf>
    <xf numFmtId="39" fontId="80" fillId="4" borderId="1" xfId="1" applyNumberFormat="1" applyFont="1" applyFill="1" applyBorder="1" applyAlignment="1">
      <alignment horizontal="right" vertical="center"/>
    </xf>
    <xf numFmtId="9" fontId="80" fillId="0" borderId="1" xfId="0" applyNumberFormat="1" applyFont="1" applyBorder="1" applyAlignment="1">
      <alignment horizontal="center" vertical="center"/>
    </xf>
    <xf numFmtId="0" fontId="80" fillId="4" borderId="1" xfId="0" applyFont="1" applyFill="1" applyBorder="1" applyAlignment="1">
      <alignment horizontal="left" vertical="center" wrapText="1"/>
    </xf>
    <xf numFmtId="39" fontId="80" fillId="4" borderId="1" xfId="1" applyNumberFormat="1" applyFont="1" applyFill="1" applyBorder="1" applyAlignment="1">
      <alignment horizontal="right"/>
    </xf>
    <xf numFmtId="9" fontId="80" fillId="0" borderId="4" xfId="3" applyFont="1" applyBorder="1" applyAlignment="1">
      <alignment horizontal="right" wrapText="1"/>
    </xf>
    <xf numFmtId="0" fontId="80" fillId="4" borderId="1" xfId="0" applyFont="1" applyFill="1" applyBorder="1" applyAlignment="1">
      <alignment horizontal="left"/>
    </xf>
    <xf numFmtId="39" fontId="26" fillId="4" borderId="4" xfId="1" applyNumberFormat="1" applyFont="1" applyFill="1" applyBorder="1" applyAlignment="1">
      <alignment horizontal="left"/>
    </xf>
    <xf numFmtId="0" fontId="86" fillId="4" borderId="2" xfId="0" applyFont="1" applyFill="1" applyBorder="1" applyAlignment="1">
      <alignment horizontal="left"/>
    </xf>
    <xf numFmtId="39" fontId="26" fillId="0" borderId="1" xfId="1" applyNumberFormat="1" applyFont="1" applyBorder="1" applyAlignment="1">
      <alignment horizontal="left"/>
    </xf>
    <xf numFmtId="0" fontId="26" fillId="0" borderId="3" xfId="0" applyFont="1" applyBorder="1" applyAlignment="1">
      <alignment horizontal="left" wrapText="1"/>
    </xf>
    <xf numFmtId="39" fontId="80" fillId="4" borderId="2" xfId="1" applyNumberFormat="1" applyFont="1" applyFill="1" applyBorder="1" applyAlignment="1">
      <alignment horizontal="right"/>
    </xf>
    <xf numFmtId="39" fontId="26" fillId="4" borderId="2" xfId="1" applyNumberFormat="1" applyFont="1" applyFill="1" applyBorder="1" applyAlignment="1">
      <alignment horizontal="right"/>
    </xf>
    <xf numFmtId="39" fontId="80" fillId="4" borderId="1" xfId="1" applyNumberFormat="1" applyFont="1" applyFill="1" applyBorder="1" applyAlignment="1">
      <alignment horizontal="left" wrapText="1"/>
    </xf>
    <xf numFmtId="0" fontId="26" fillId="4" borderId="2" xfId="0" applyFont="1" applyFill="1" applyBorder="1" applyAlignment="1">
      <alignment horizontal="right"/>
    </xf>
    <xf numFmtId="39" fontId="26" fillId="8" borderId="2" xfId="1" applyNumberFormat="1" applyFont="1" applyFill="1" applyBorder="1" applyAlignment="1">
      <alignment horizontal="right"/>
    </xf>
    <xf numFmtId="39" fontId="26" fillId="4" borderId="1" xfId="1" applyNumberFormat="1" applyFont="1" applyFill="1" applyBorder="1" applyAlignment="1">
      <alignment horizontal="left"/>
    </xf>
    <xf numFmtId="9" fontId="26" fillId="5" borderId="1" xfId="0" applyNumberFormat="1" applyFont="1" applyFill="1" applyBorder="1" applyAlignment="1">
      <alignment horizontal="right"/>
    </xf>
    <xf numFmtId="178" fontId="26" fillId="5" borderId="4" xfId="0" applyNumberFormat="1" applyFont="1" applyFill="1" applyBorder="1" applyAlignment="1">
      <alignment horizontal="left" wrapText="1"/>
    </xf>
    <xf numFmtId="178" fontId="26" fillId="4" borderId="1" xfId="0" applyNumberFormat="1" applyFont="1" applyFill="1" applyBorder="1" applyAlignment="1">
      <alignment horizontal="left" wrapText="1"/>
    </xf>
    <xf numFmtId="178" fontId="26" fillId="5" borderId="4" xfId="0" applyNumberFormat="1" applyFont="1" applyFill="1" applyBorder="1" applyAlignment="1">
      <alignment horizontal="right" wrapText="1"/>
    </xf>
    <xf numFmtId="178" fontId="26" fillId="4" borderId="1" xfId="0" applyNumberFormat="1" applyFont="1" applyFill="1" applyBorder="1" applyAlignment="1">
      <alignment horizontal="right"/>
    </xf>
    <xf numFmtId="178" fontId="26" fillId="4" borderId="1" xfId="0" applyNumberFormat="1" applyFont="1" applyFill="1" applyBorder="1" applyAlignment="1">
      <alignment horizontal="left"/>
    </xf>
    <xf numFmtId="178" fontId="80" fillId="0" borderId="0" xfId="0" applyNumberFormat="1" applyFont="1"/>
    <xf numFmtId="0" fontId="113" fillId="0" borderId="5" xfId="0" applyFont="1" applyBorder="1"/>
    <xf numFmtId="0" fontId="113" fillId="0" borderId="6" xfId="0" applyFont="1" applyBorder="1"/>
    <xf numFmtId="0" fontId="113" fillId="0" borderId="7" xfId="0" applyFont="1" applyBorder="1"/>
    <xf numFmtId="0" fontId="113" fillId="0" borderId="0" xfId="0" applyFont="1"/>
    <xf numFmtId="0" fontId="113" fillId="0" borderId="0" xfId="0" applyFont="1" applyAlignment="1">
      <alignment horizontal="right"/>
    </xf>
    <xf numFmtId="0" fontId="113" fillId="0" borderId="0" xfId="0" applyFont="1" applyAlignment="1">
      <alignment horizontal="left"/>
    </xf>
    <xf numFmtId="9" fontId="113" fillId="0" borderId="0" xfId="0" applyNumberFormat="1" applyFont="1" applyAlignment="1">
      <alignment horizontal="right"/>
    </xf>
    <xf numFmtId="4" fontId="113" fillId="0" borderId="0" xfId="0" applyNumberFormat="1" applyFont="1" applyAlignment="1">
      <alignment horizontal="left"/>
    </xf>
    <xf numFmtId="178" fontId="113" fillId="0" borderId="0" xfId="0" applyNumberFormat="1" applyFont="1"/>
    <xf numFmtId="9" fontId="113" fillId="0" borderId="0" xfId="0" applyNumberFormat="1" applyFont="1"/>
    <xf numFmtId="0" fontId="113" fillId="0" borderId="0" xfId="0" applyFont="1" applyAlignment="1">
      <alignment horizontal="left" wrapText="1"/>
    </xf>
    <xf numFmtId="167" fontId="0" fillId="0" borderId="1" xfId="1" applyFont="1" applyFill="1" applyBorder="1"/>
    <xf numFmtId="0" fontId="15" fillId="0" borderId="0" xfId="0" applyFont="1"/>
    <xf numFmtId="0" fontId="42" fillId="0" borderId="0" xfId="0" applyFont="1"/>
    <xf numFmtId="0" fontId="15" fillId="0" borderId="0" xfId="0" applyFont="1" applyAlignment="1">
      <alignment horizontal="left"/>
    </xf>
    <xf numFmtId="0" fontId="16" fillId="0" borderId="0" xfId="0" applyFont="1" applyAlignment="1">
      <alignment horizontal="left"/>
    </xf>
    <xf numFmtId="0" fontId="16" fillId="0" borderId="0" xfId="0" applyFont="1" applyAlignment="1">
      <alignment horizontal="center"/>
    </xf>
    <xf numFmtId="37" fontId="8" fillId="0" borderId="0" xfId="0" applyNumberFormat="1" applyFont="1" applyAlignment="1">
      <alignment horizontal="right"/>
    </xf>
    <xf numFmtId="165" fontId="8" fillId="0" borderId="0" xfId="0" applyNumberFormat="1" applyFont="1"/>
    <xf numFmtId="0" fontId="8" fillId="0" borderId="0" xfId="0" applyFont="1" applyAlignment="1">
      <alignment horizontal="center"/>
    </xf>
    <xf numFmtId="0" fontId="8" fillId="0" borderId="0" xfId="0" applyFont="1" applyAlignment="1">
      <alignment horizontal="right"/>
    </xf>
    <xf numFmtId="165" fontId="8" fillId="0" borderId="0" xfId="0" applyNumberFormat="1" applyFont="1" applyAlignment="1">
      <alignment horizontal="center"/>
    </xf>
    <xf numFmtId="0" fontId="19" fillId="0" borderId="0" xfId="0" applyFont="1"/>
    <xf numFmtId="0" fontId="19" fillId="0" borderId="0" xfId="0" applyFont="1" applyAlignment="1">
      <alignment horizontal="center"/>
    </xf>
    <xf numFmtId="0" fontId="0" fillId="0" borderId="1" xfId="0" applyBorder="1" applyAlignment="1">
      <alignment wrapText="1"/>
    </xf>
    <xf numFmtId="168" fontId="0" fillId="0" borderId="1" xfId="0" applyNumberFormat="1" applyBorder="1" applyAlignment="1">
      <alignment vertical="center" wrapText="1"/>
    </xf>
    <xf numFmtId="165" fontId="12" fillId="0" borderId="1" xfId="0" applyNumberFormat="1" applyFont="1" applyBorder="1" applyAlignment="1">
      <alignment vertical="center"/>
    </xf>
    <xf numFmtId="167" fontId="13" fillId="2" borderId="1" xfId="1" applyFont="1" applyFill="1" applyBorder="1" applyAlignment="1">
      <alignment horizontal="center" wrapText="1"/>
    </xf>
    <xf numFmtId="167" fontId="10" fillId="0" borderId="1" xfId="1" applyFont="1" applyBorder="1" applyAlignment="1">
      <alignment vertical="center"/>
    </xf>
    <xf numFmtId="167" fontId="11" fillId="0" borderId="1" xfId="1" applyFont="1" applyBorder="1" applyAlignment="1">
      <alignment vertical="center"/>
    </xf>
    <xf numFmtId="167" fontId="13" fillId="0" borderId="1" xfId="1" applyFont="1" applyFill="1" applyBorder="1" applyAlignment="1">
      <alignment vertical="center" wrapText="1"/>
    </xf>
    <xf numFmtId="167" fontId="10" fillId="7" borderId="1" xfId="1" applyFont="1" applyFill="1" applyBorder="1" applyAlignment="1">
      <alignment vertical="center"/>
    </xf>
    <xf numFmtId="167" fontId="12" fillId="13" borderId="1" xfId="1" applyFont="1" applyFill="1" applyBorder="1" applyAlignment="1">
      <alignment horizontal="right" vertical="center"/>
    </xf>
    <xf numFmtId="167" fontId="12" fillId="10" borderId="1" xfId="1" applyFont="1" applyFill="1" applyBorder="1" applyAlignment="1">
      <alignment horizontal="right" vertical="center"/>
    </xf>
    <xf numFmtId="167" fontId="12" fillId="4" borderId="1" xfId="1" applyFont="1" applyFill="1" applyBorder="1" applyAlignment="1">
      <alignment horizontal="right" vertical="center"/>
    </xf>
    <xf numFmtId="167" fontId="10" fillId="6" borderId="1" xfId="1" applyFont="1" applyFill="1" applyBorder="1" applyAlignment="1">
      <alignment horizontal="right"/>
    </xf>
    <xf numFmtId="167" fontId="19" fillId="12" borderId="1" xfId="1" applyFont="1" applyFill="1" applyBorder="1" applyAlignment="1"/>
    <xf numFmtId="167" fontId="13" fillId="4" borderId="1" xfId="1" applyFont="1" applyFill="1" applyBorder="1" applyAlignment="1">
      <alignment horizontal="right" vertical="center"/>
    </xf>
    <xf numFmtId="167" fontId="18" fillId="14" borderId="1" xfId="1" applyFont="1" applyFill="1" applyBorder="1" applyAlignment="1">
      <alignment horizontal="center" vertical="center" wrapText="1"/>
    </xf>
    <xf numFmtId="167" fontId="0" fillId="0" borderId="1" xfId="1" applyFont="1" applyBorder="1" applyAlignment="1">
      <alignment horizontal="right" vertical="center" wrapText="1"/>
    </xf>
    <xf numFmtId="167" fontId="0" fillId="0" borderId="1" xfId="1" applyFont="1" applyFill="1" applyBorder="1" applyAlignment="1">
      <alignment horizontal="right" vertical="center" wrapText="1"/>
    </xf>
    <xf numFmtId="167" fontId="22" fillId="31" borderId="1" xfId="1" applyFont="1" applyFill="1" applyBorder="1" applyAlignment="1">
      <alignment horizontal="right" vertical="center" wrapText="1"/>
    </xf>
    <xf numFmtId="0" fontId="10" fillId="0" borderId="1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8" borderId="3" xfId="0" applyFont="1" applyFill="1" applyBorder="1" applyAlignment="1">
      <alignment horizontal="left" vertical="center"/>
    </xf>
    <xf numFmtId="0" fontId="11" fillId="10" borderId="3" xfId="0" applyFont="1" applyFill="1" applyBorder="1" applyAlignment="1">
      <alignment horizontal="left" vertical="center" wrapText="1"/>
    </xf>
    <xf numFmtId="0" fontId="10" fillId="0" borderId="0" xfId="0" applyFont="1" applyAlignment="1">
      <alignment horizontal="left" vertical="center" wrapText="1"/>
    </xf>
    <xf numFmtId="39" fontId="12" fillId="32" borderId="1" xfId="1" applyNumberFormat="1" applyFont="1" applyFill="1" applyBorder="1" applyAlignment="1">
      <alignment horizontal="center" vertical="center"/>
    </xf>
    <xf numFmtId="167" fontId="12" fillId="0" borderId="1" xfId="1" applyFont="1" applyBorder="1" applyAlignment="1">
      <alignment vertical="center"/>
    </xf>
    <xf numFmtId="167" fontId="41" fillId="0" borderId="1" xfId="1" applyFont="1" applyFill="1" applyBorder="1" applyAlignment="1">
      <alignment vertical="center" wrapText="1"/>
    </xf>
    <xf numFmtId="167" fontId="41" fillId="0" borderId="1" xfId="1" applyFont="1" applyBorder="1" applyAlignment="1">
      <alignment vertical="center" wrapText="1"/>
    </xf>
    <xf numFmtId="0" fontId="8" fillId="11" borderId="0" xfId="0" applyFont="1" applyFill="1" applyAlignment="1">
      <alignment vertical="top"/>
    </xf>
    <xf numFmtId="0" fontId="8" fillId="11" borderId="0" xfId="0" applyFont="1" applyFill="1" applyBorder="1" applyAlignment="1">
      <alignment vertical="top"/>
    </xf>
    <xf numFmtId="0" fontId="19" fillId="11" borderId="1" xfId="2" applyNumberFormat="1" applyFont="1" applyFill="1" applyBorder="1" applyAlignment="1">
      <alignment horizontal="center" vertical="center" wrapText="1"/>
    </xf>
    <xf numFmtId="9" fontId="8" fillId="11" borderId="1" xfId="3" applyFont="1" applyFill="1" applyBorder="1" applyAlignment="1">
      <alignment vertical="center"/>
    </xf>
    <xf numFmtId="4" fontId="8" fillId="11" borderId="4" xfId="0" applyNumberFormat="1" applyFont="1" applyFill="1" applyBorder="1" applyAlignment="1">
      <alignment vertical="center"/>
    </xf>
    <xf numFmtId="0" fontId="10" fillId="11" borderId="1" xfId="0" applyFont="1" applyFill="1" applyBorder="1" applyAlignment="1">
      <alignment horizontal="left" vertical="top" wrapText="1"/>
    </xf>
    <xf numFmtId="165" fontId="10" fillId="11" borderId="1" xfId="0" applyNumberFormat="1" applyFont="1" applyFill="1" applyBorder="1" applyAlignment="1">
      <alignment vertical="center" wrapText="1"/>
    </xf>
    <xf numFmtId="9" fontId="8" fillId="11" borderId="1" xfId="0" applyNumberFormat="1" applyFont="1" applyFill="1" applyBorder="1" applyAlignment="1">
      <alignment vertical="center"/>
    </xf>
    <xf numFmtId="167" fontId="8" fillId="0" borderId="4" xfId="1" applyFont="1" applyFill="1" applyBorder="1" applyAlignment="1">
      <alignment vertical="center"/>
    </xf>
    <xf numFmtId="39" fontId="19" fillId="11" borderId="4" xfId="1" applyNumberFormat="1" applyFont="1" applyFill="1" applyBorder="1" applyAlignment="1">
      <alignment vertical="top"/>
    </xf>
    <xf numFmtId="39" fontId="19" fillId="11" borderId="4" xfId="1" applyNumberFormat="1" applyFont="1" applyFill="1" applyBorder="1" applyAlignment="1">
      <alignment horizontal="left" vertical="top"/>
    </xf>
    <xf numFmtId="9" fontId="8" fillId="0" borderId="1" xfId="0" applyNumberFormat="1" applyFont="1" applyFill="1" applyBorder="1" applyAlignment="1">
      <alignment vertical="center" wrapText="1"/>
    </xf>
    <xf numFmtId="4" fontId="19" fillId="11" borderId="4" xfId="0" applyNumberFormat="1" applyFont="1" applyFill="1" applyBorder="1" applyAlignment="1">
      <alignment vertical="center"/>
    </xf>
    <xf numFmtId="9" fontId="24" fillId="11" borderId="1" xfId="1" applyNumberFormat="1" applyFont="1" applyFill="1" applyBorder="1" applyAlignment="1">
      <alignment vertical="center"/>
    </xf>
    <xf numFmtId="0" fontId="27" fillId="0" borderId="1" xfId="0" applyFont="1" applyFill="1" applyBorder="1" applyAlignment="1">
      <alignment vertical="center" wrapText="1"/>
    </xf>
    <xf numFmtId="0" fontId="19" fillId="11" borderId="3" xfId="0" applyFont="1" applyFill="1" applyBorder="1" applyAlignment="1">
      <alignment vertical="center" wrapText="1"/>
    </xf>
    <xf numFmtId="39" fontId="8" fillId="11" borderId="1" xfId="1" applyNumberFormat="1" applyFont="1" applyFill="1" applyBorder="1" applyAlignment="1">
      <alignment vertical="top" wrapText="1"/>
    </xf>
    <xf numFmtId="39" fontId="35" fillId="11" borderId="1" xfId="1" applyNumberFormat="1" applyFont="1" applyFill="1" applyBorder="1" applyAlignment="1">
      <alignment vertical="top" wrapText="1"/>
    </xf>
    <xf numFmtId="39" fontId="8" fillId="11" borderId="1" xfId="1" applyNumberFormat="1" applyFont="1" applyFill="1" applyBorder="1" applyAlignment="1">
      <alignment vertical="top"/>
    </xf>
    <xf numFmtId="39" fontId="31" fillId="11" borderId="1" xfId="1" applyNumberFormat="1" applyFont="1" applyFill="1" applyBorder="1" applyAlignment="1">
      <alignment vertical="top" wrapText="1"/>
    </xf>
    <xf numFmtId="39" fontId="35" fillId="11" borderId="1" xfId="1" applyNumberFormat="1" applyFont="1" applyFill="1" applyBorder="1" applyAlignment="1">
      <alignment vertical="top"/>
    </xf>
    <xf numFmtId="0" fontId="19" fillId="11" borderId="3" xfId="0" applyFont="1" applyFill="1" applyBorder="1" applyAlignment="1">
      <alignment vertical="top" wrapText="1"/>
    </xf>
    <xf numFmtId="0" fontId="8" fillId="11" borderId="2" xfId="0" applyFont="1" applyFill="1" applyBorder="1" applyAlignment="1">
      <alignment horizontal="left" vertical="top"/>
    </xf>
    <xf numFmtId="39" fontId="8" fillId="11" borderId="4" xfId="1" applyNumberFormat="1" applyFont="1" applyFill="1" applyBorder="1" applyAlignment="1">
      <alignment vertical="top"/>
    </xf>
    <xf numFmtId="39" fontId="8" fillId="11" borderId="4" xfId="1" applyNumberFormat="1" applyFont="1" applyFill="1" applyBorder="1" applyAlignment="1">
      <alignment vertical="top" wrapText="1"/>
    </xf>
    <xf numFmtId="39" fontId="8" fillId="11" borderId="8" xfId="1" applyNumberFormat="1" applyFont="1" applyFill="1" applyBorder="1" applyAlignment="1">
      <alignment vertical="top"/>
    </xf>
    <xf numFmtId="0" fontId="114" fillId="0" borderId="0" xfId="0" applyFont="1" applyAlignment="1">
      <alignment wrapText="1"/>
    </xf>
    <xf numFmtId="39" fontId="19" fillId="11" borderId="4" xfId="0" applyNumberFormat="1" applyFont="1" applyFill="1" applyBorder="1" applyAlignment="1">
      <alignment vertical="top"/>
    </xf>
    <xf numFmtId="9" fontId="8" fillId="11" borderId="0" xfId="3" applyNumberFormat="1" applyFont="1" applyFill="1" applyAlignment="1">
      <alignment vertical="top"/>
    </xf>
    <xf numFmtId="0" fontId="8" fillId="11" borderId="1" xfId="0" applyFont="1" applyFill="1" applyBorder="1" applyAlignment="1">
      <alignment vertical="top"/>
    </xf>
    <xf numFmtId="39" fontId="8" fillId="11" borderId="1" xfId="0" applyNumberFormat="1" applyFont="1" applyFill="1" applyBorder="1" applyAlignment="1">
      <alignment vertical="center"/>
    </xf>
    <xf numFmtId="0" fontId="8" fillId="11" borderId="0" xfId="0" applyFont="1" applyFill="1" applyAlignment="1">
      <alignment vertical="center"/>
    </xf>
    <xf numFmtId="0" fontId="10" fillId="0" borderId="1" xfId="0" applyFont="1" applyFill="1" applyBorder="1" applyAlignment="1">
      <alignment horizontal="left" vertical="top" wrapText="1"/>
    </xf>
    <xf numFmtId="4" fontId="8" fillId="15" borderId="4" xfId="0" applyNumberFormat="1" applyFont="1" applyFill="1" applyBorder="1" applyAlignment="1">
      <alignment vertical="center"/>
    </xf>
    <xf numFmtId="174" fontId="19" fillId="5" borderId="4" xfId="0" applyNumberFormat="1" applyFont="1" applyFill="1" applyBorder="1" applyAlignment="1">
      <alignment horizontal="center" vertical="top" wrapText="1"/>
    </xf>
    <xf numFmtId="0" fontId="11" fillId="17" borderId="11" xfId="0" applyFont="1" applyFill="1" applyBorder="1" applyAlignment="1">
      <alignment horizontal="center" vertical="center" wrapText="1"/>
    </xf>
    <xf numFmtId="0" fontId="11" fillId="17" borderId="11" xfId="11" applyFont="1" applyFill="1" applyBorder="1" applyAlignment="1">
      <alignment horizontal="center" vertical="center" wrapText="1"/>
    </xf>
    <xf numFmtId="9" fontId="11" fillId="17" borderId="11" xfId="3" applyFont="1" applyFill="1" applyBorder="1" applyAlignment="1">
      <alignment horizontal="center" vertical="center" wrapText="1"/>
    </xf>
    <xf numFmtId="9" fontId="11" fillId="14" borderId="11" xfId="11" applyNumberFormat="1" applyFont="1" applyFill="1" applyBorder="1" applyAlignment="1">
      <alignment horizontal="center" vertical="center" wrapText="1"/>
    </xf>
    <xf numFmtId="0" fontId="10" fillId="14" borderId="11" xfId="11" applyFont="1" applyFill="1" applyBorder="1" applyAlignment="1">
      <alignment horizontal="center" vertical="center" wrapText="1"/>
    </xf>
    <xf numFmtId="176" fontId="11" fillId="14" borderId="11" xfId="11" applyNumberFormat="1" applyFont="1" applyFill="1" applyBorder="1" applyAlignment="1">
      <alignment horizontal="center" vertical="center" wrapText="1"/>
    </xf>
    <xf numFmtId="0" fontId="11" fillId="14" borderId="11" xfId="11" applyFont="1" applyFill="1" applyBorder="1" applyAlignment="1">
      <alignment horizontal="center" vertical="center" wrapText="1"/>
    </xf>
    <xf numFmtId="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39" fontId="10" fillId="11" borderId="1" xfId="1" applyNumberFormat="1" applyFont="1" applyFill="1" applyBorder="1" applyAlignment="1">
      <alignment horizontal="center" vertical="center"/>
    </xf>
    <xf numFmtId="0" fontId="10" fillId="0" borderId="1" xfId="0" applyFont="1" applyBorder="1" applyAlignment="1">
      <alignment horizontal="right" vertical="center"/>
    </xf>
    <xf numFmtId="0" fontId="10" fillId="0" borderId="15" xfId="0" applyFont="1" applyBorder="1" applyAlignment="1">
      <alignment horizontal="left" vertical="center"/>
    </xf>
    <xf numFmtId="0" fontId="10" fillId="31" borderId="1" xfId="0" applyFont="1" applyFill="1" applyBorder="1" applyAlignment="1">
      <alignment horizontal="left" vertical="center"/>
    </xf>
    <xf numFmtId="4" fontId="10" fillId="0" borderId="1" xfId="1" applyNumberFormat="1" applyFont="1" applyBorder="1" applyAlignment="1" applyProtection="1">
      <alignment horizontal="center" vertical="center" wrapText="1"/>
      <protection locked="0"/>
    </xf>
    <xf numFmtId="2" fontId="10" fillId="0" borderId="1" xfId="3" applyNumberFormat="1" applyFont="1" applyBorder="1" applyAlignment="1" applyProtection="1">
      <alignment horizontal="center" vertical="center" wrapText="1"/>
      <protection locked="0"/>
    </xf>
    <xf numFmtId="4" fontId="10" fillId="0" borderId="1" xfId="3" applyNumberFormat="1" applyFont="1" applyBorder="1" applyAlignment="1" applyProtection="1">
      <alignment horizontal="center" vertical="center" wrapText="1"/>
      <protection locked="0"/>
    </xf>
    <xf numFmtId="4" fontId="10" fillId="0" borderId="1" xfId="1"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4" fontId="35" fillId="0" borderId="1" xfId="0" applyNumberFormat="1" applyFont="1" applyBorder="1" applyAlignment="1">
      <alignment horizontal="center" vertical="center" wrapText="1"/>
    </xf>
    <xf numFmtId="4" fontId="10" fillId="0" borderId="1" xfId="1" applyNumberFormat="1" applyFont="1" applyBorder="1" applyAlignment="1">
      <alignment horizontal="center" vertical="center"/>
    </xf>
    <xf numFmtId="2"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11" fillId="6" borderId="0" xfId="9" applyFont="1" applyFill="1" applyBorder="1" applyAlignment="1">
      <alignment horizontal="center" vertical="center"/>
    </xf>
    <xf numFmtId="172" fontId="11" fillId="6" borderId="0" xfId="10" applyNumberFormat="1" applyFont="1" applyFill="1" applyBorder="1" applyAlignment="1">
      <alignment horizontal="center" vertical="center"/>
    </xf>
    <xf numFmtId="172" fontId="11" fillId="14" borderId="12" xfId="10" applyNumberFormat="1" applyFont="1" applyFill="1" applyBorder="1" applyAlignment="1">
      <alignment horizontal="right" vertical="center"/>
    </xf>
    <xf numFmtId="9" fontId="11" fillId="14" borderId="0" xfId="3" applyFont="1" applyFill="1" applyBorder="1" applyAlignment="1">
      <alignment horizontal="center" vertical="center"/>
    </xf>
    <xf numFmtId="180" fontId="11" fillId="14" borderId="0" xfId="10" applyNumberFormat="1" applyFont="1" applyFill="1" applyBorder="1" applyAlignment="1">
      <alignment horizontal="center" vertical="center"/>
    </xf>
    <xf numFmtId="172" fontId="10" fillId="14" borderId="13" xfId="10" applyNumberFormat="1" applyFont="1" applyFill="1" applyBorder="1" applyAlignment="1">
      <alignment vertical="center"/>
    </xf>
    <xf numFmtId="0" fontId="19" fillId="17" borderId="1" xfId="9" applyFont="1" applyFill="1" applyBorder="1" applyAlignment="1">
      <alignment horizontal="center" vertical="center" wrapText="1"/>
    </xf>
    <xf numFmtId="0" fontId="8" fillId="17" borderId="1" xfId="9" applyFont="1" applyFill="1" applyBorder="1" applyAlignment="1">
      <alignment horizontal="center" vertical="center" wrapText="1"/>
    </xf>
    <xf numFmtId="0" fontId="19" fillId="17" borderId="18" xfId="9" applyFont="1" applyFill="1" applyBorder="1" applyAlignment="1">
      <alignment horizontal="center" vertical="center" wrapText="1"/>
    </xf>
    <xf numFmtId="172" fontId="19" fillId="17" borderId="19" xfId="10" applyNumberFormat="1" applyFont="1" applyFill="1" applyBorder="1" applyAlignment="1">
      <alignment horizontal="center" vertical="center" wrapText="1"/>
    </xf>
    <xf numFmtId="173" fontId="8" fillId="17" borderId="20" xfId="3" applyNumberFormat="1" applyFont="1" applyFill="1" applyBorder="1" applyAlignment="1">
      <alignment horizontal="center" vertical="center" wrapText="1"/>
    </xf>
    <xf numFmtId="172" fontId="19" fillId="17" borderId="4" xfId="10" applyNumberFormat="1" applyFont="1" applyFill="1" applyBorder="1" applyAlignment="1">
      <alignment horizontal="center" vertical="center" wrapText="1"/>
    </xf>
    <xf numFmtId="9" fontId="19" fillId="17" borderId="21" xfId="3" applyFont="1" applyFill="1" applyBorder="1" applyAlignment="1">
      <alignment horizontal="center" vertical="center" wrapText="1"/>
    </xf>
    <xf numFmtId="173" fontId="8" fillId="17" borderId="57" xfId="3" applyNumberFormat="1" applyFont="1" applyFill="1" applyBorder="1" applyAlignment="1">
      <alignment horizontal="center" vertical="center" wrapText="1"/>
    </xf>
    <xf numFmtId="172" fontId="19" fillId="17" borderId="22" xfId="10" applyNumberFormat="1" applyFont="1" applyFill="1" applyBorder="1" applyAlignment="1">
      <alignment horizontal="center" vertical="center" wrapText="1"/>
    </xf>
    <xf numFmtId="172" fontId="19" fillId="17" borderId="58" xfId="10" applyNumberFormat="1" applyFont="1" applyFill="1" applyBorder="1" applyAlignment="1">
      <alignment horizontal="center" vertical="center" wrapText="1"/>
    </xf>
    <xf numFmtId="181" fontId="19" fillId="17" borderId="23" xfId="10" applyNumberFormat="1" applyFont="1" applyFill="1" applyBorder="1" applyAlignment="1">
      <alignment horizontal="center" vertical="center" wrapText="1"/>
    </xf>
    <xf numFmtId="181" fontId="19" fillId="17" borderId="24" xfId="10" applyNumberFormat="1" applyFont="1" applyFill="1" applyBorder="1" applyAlignment="1">
      <alignment horizontal="center" vertical="center" wrapText="1"/>
    </xf>
    <xf numFmtId="0" fontId="10" fillId="0" borderId="4" xfId="9" applyFont="1" applyFill="1" applyBorder="1" applyAlignment="1">
      <alignment horizontal="center" vertical="center" wrapText="1"/>
    </xf>
    <xf numFmtId="0" fontId="31" fillId="4" borderId="4" xfId="9" applyFont="1" applyFill="1" applyBorder="1" applyAlignment="1">
      <alignment horizontal="center" vertical="center" wrapText="1"/>
    </xf>
    <xf numFmtId="0" fontId="19" fillId="9" borderId="3" xfId="9" applyFont="1" applyFill="1" applyBorder="1" applyAlignment="1">
      <alignment vertical="center"/>
    </xf>
    <xf numFmtId="0" fontId="19" fillId="9" borderId="0" xfId="9" applyFont="1" applyFill="1" applyBorder="1" applyAlignment="1">
      <alignment horizontal="left" vertical="center" wrapText="1"/>
    </xf>
    <xf numFmtId="0" fontId="19" fillId="9" borderId="0" xfId="9" applyFont="1" applyFill="1" applyBorder="1" applyAlignment="1">
      <alignment horizontal="center" vertical="center" wrapText="1"/>
    </xf>
    <xf numFmtId="172" fontId="19" fillId="9" borderId="29" xfId="10" applyNumberFormat="1" applyFont="1" applyFill="1" applyBorder="1" applyAlignment="1">
      <alignment vertical="center" wrapText="1"/>
    </xf>
    <xf numFmtId="173" fontId="19" fillId="9" borderId="0" xfId="3" applyNumberFormat="1" applyFont="1" applyFill="1" applyBorder="1" applyAlignment="1">
      <alignment horizontal="center" vertical="center" wrapText="1"/>
    </xf>
    <xf numFmtId="172" fontId="19" fillId="9" borderId="0" xfId="10" applyNumberFormat="1" applyFont="1" applyFill="1" applyBorder="1" applyAlignment="1">
      <alignment vertical="center" wrapText="1"/>
    </xf>
    <xf numFmtId="9" fontId="19" fillId="9" borderId="30" xfId="3" applyFont="1" applyFill="1" applyBorder="1" applyAlignment="1">
      <alignment horizontal="center" vertical="center" wrapText="1"/>
    </xf>
    <xf numFmtId="9" fontId="19" fillId="9" borderId="0" xfId="3" applyFont="1" applyFill="1" applyBorder="1" applyAlignment="1">
      <alignment horizontal="center" vertical="center" wrapText="1"/>
    </xf>
    <xf numFmtId="172" fontId="19" fillId="9" borderId="28" xfId="10" applyNumberFormat="1" applyFont="1" applyFill="1" applyBorder="1" applyAlignment="1">
      <alignment vertical="center" wrapText="1"/>
    </xf>
    <xf numFmtId="0" fontId="19" fillId="9" borderId="29" xfId="10" applyNumberFormat="1" applyFont="1" applyFill="1" applyBorder="1" applyAlignment="1">
      <alignment vertical="center" wrapText="1"/>
    </xf>
    <xf numFmtId="0" fontId="19" fillId="11" borderId="28" xfId="9" applyFont="1" applyFill="1" applyBorder="1" applyAlignment="1">
      <alignment vertical="center" wrapText="1"/>
    </xf>
    <xf numFmtId="0" fontId="115" fillId="6" borderId="0" xfId="9" applyFont="1" applyFill="1" applyBorder="1" applyAlignment="1">
      <alignment vertical="center"/>
    </xf>
    <xf numFmtId="0" fontId="15" fillId="6" borderId="0" xfId="9" applyFont="1" applyFill="1" applyBorder="1" applyAlignment="1">
      <alignment horizontal="center" vertical="center" wrapText="1"/>
    </xf>
    <xf numFmtId="0" fontId="28" fillId="6" borderId="0" xfId="9" applyFont="1" applyFill="1" applyAlignment="1">
      <alignment horizontal="center" vertical="center" wrapText="1"/>
    </xf>
    <xf numFmtId="0" fontId="28" fillId="6" borderId="0" xfId="9" applyFont="1" applyFill="1" applyBorder="1" applyAlignment="1">
      <alignment vertical="center"/>
    </xf>
    <xf numFmtId="0" fontId="23" fillId="0" borderId="0" xfId="0" applyFont="1" applyBorder="1" applyAlignment="1">
      <alignment vertical="center" wrapText="1"/>
    </xf>
    <xf numFmtId="0" fontId="15" fillId="0" borderId="1" xfId="0" applyFont="1" applyFill="1" applyBorder="1" applyAlignment="1">
      <alignment horizontal="right"/>
    </xf>
    <xf numFmtId="0" fontId="15" fillId="0" borderId="1" xfId="0" applyFont="1" applyFill="1" applyBorder="1" applyAlignment="1">
      <alignment horizontal="right" vertical="top"/>
    </xf>
    <xf numFmtId="168" fontId="15" fillId="0" borderId="1" xfId="1" applyNumberFormat="1" applyFont="1" applyBorder="1" applyAlignment="1">
      <alignment horizontal="left" vertical="center"/>
    </xf>
    <xf numFmtId="167" fontId="15" fillId="0" borderId="1" xfId="1" applyFont="1" applyBorder="1" applyAlignment="1">
      <alignment horizontal="left" vertical="center"/>
    </xf>
    <xf numFmtId="166" fontId="81" fillId="14" borderId="0" xfId="1" applyNumberFormat="1" applyFont="1" applyFill="1" applyAlignment="1">
      <alignment horizontal="left"/>
    </xf>
    <xf numFmtId="168" fontId="11" fillId="10" borderId="1" xfId="1" applyNumberFormat="1" applyFont="1" applyFill="1" applyBorder="1" applyAlignment="1">
      <alignment horizontal="center" vertical="center"/>
    </xf>
    <xf numFmtId="168" fontId="20" fillId="4" borderId="1" xfId="1" applyNumberFormat="1" applyFont="1" applyFill="1" applyBorder="1" applyAlignment="1">
      <alignment horizontal="center" vertical="center"/>
    </xf>
    <xf numFmtId="0" fontId="17" fillId="0" borderId="0" xfId="0" applyFont="1" applyFill="1"/>
    <xf numFmtId="0" fontId="11" fillId="9" borderId="3"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50" fillId="0" borderId="14" xfId="0" applyFont="1" applyBorder="1" applyAlignment="1">
      <alignment wrapText="1"/>
    </xf>
    <xf numFmtId="0" fontId="50" fillId="0" borderId="14" xfId="0" applyFont="1" applyBorder="1" applyAlignment="1">
      <alignment vertical="top" wrapText="1"/>
    </xf>
    <xf numFmtId="0" fontId="117" fillId="0" borderId="1" xfId="0" applyFont="1" applyBorder="1" applyAlignment="1">
      <alignment horizontal="right" vertical="top" wrapText="1"/>
    </xf>
    <xf numFmtId="166" fontId="117" fillId="0" borderId="1" xfId="0" applyNumberFormat="1" applyFont="1" applyBorder="1" applyAlignment="1">
      <alignment vertical="top" wrapText="1"/>
    </xf>
    <xf numFmtId="0" fontId="118" fillId="0" borderId="14" xfId="0" applyFont="1" applyBorder="1" applyAlignment="1">
      <alignment wrapText="1"/>
    </xf>
    <xf numFmtId="0" fontId="118" fillId="0" borderId="15" xfId="0" applyFont="1" applyBorder="1" applyAlignment="1">
      <alignment vertical="top" wrapText="1"/>
    </xf>
    <xf numFmtId="39" fontId="119" fillId="0" borderId="1" xfId="1" applyNumberFormat="1" applyFont="1" applyBorder="1" applyAlignment="1">
      <alignment horizontal="right"/>
    </xf>
    <xf numFmtId="39" fontId="118" fillId="0" borderId="1" xfId="1" applyNumberFormat="1" applyFont="1" applyBorder="1"/>
    <xf numFmtId="39" fontId="120" fillId="0" borderId="1" xfId="1" applyNumberFormat="1" applyFont="1" applyBorder="1" applyAlignment="1">
      <alignment horizontal="right"/>
    </xf>
    <xf numFmtId="39" fontId="118" fillId="0" borderId="1" xfId="1" applyNumberFormat="1" applyFont="1" applyBorder="1" applyAlignment="1">
      <alignment horizontal="center"/>
    </xf>
    <xf numFmtId="39" fontId="119" fillId="0" borderId="1" xfId="1" applyNumberFormat="1" applyFont="1" applyBorder="1"/>
    <xf numFmtId="2" fontId="118" fillId="0" borderId="1" xfId="0" applyNumberFormat="1" applyFont="1" applyBorder="1" applyAlignment="1">
      <alignment horizontal="center"/>
    </xf>
    <xf numFmtId="39" fontId="120" fillId="0" borderId="1" xfId="1" applyNumberFormat="1" applyFont="1" applyBorder="1"/>
    <xf numFmtId="0" fontId="118" fillId="0" borderId="1" xfId="0" applyFont="1" applyBorder="1"/>
    <xf numFmtId="0" fontId="118" fillId="0" borderId="0" xfId="0" applyFont="1"/>
    <xf numFmtId="39" fontId="121" fillId="0" borderId="1" xfId="1" applyNumberFormat="1" applyFont="1" applyFill="1" applyBorder="1" applyAlignment="1">
      <alignment horizontal="right" vertical="center"/>
    </xf>
    <xf numFmtId="39" fontId="121" fillId="0" borderId="11" xfId="1" applyNumberFormat="1" applyFont="1" applyFill="1" applyBorder="1" applyAlignment="1">
      <alignment horizontal="right" vertical="center"/>
    </xf>
    <xf numFmtId="39" fontId="121" fillId="0" borderId="1" xfId="1" applyNumberFormat="1" applyFont="1" applyFill="1" applyBorder="1" applyAlignment="1">
      <alignment vertical="center"/>
    </xf>
    <xf numFmtId="0" fontId="122" fillId="0" borderId="0" xfId="0" applyFont="1" applyAlignment="1">
      <alignment horizontal="center"/>
    </xf>
    <xf numFmtId="0" fontId="53" fillId="14" borderId="35" xfId="7" applyFont="1" applyFill="1" applyBorder="1" applyAlignment="1">
      <alignment horizontal="center" vertical="center" wrapText="1"/>
    </xf>
    <xf numFmtId="166" fontId="122" fillId="0" borderId="1" xfId="0" applyNumberFormat="1" applyFont="1" applyBorder="1" applyAlignment="1">
      <alignment vertical="top" wrapText="1"/>
    </xf>
    <xf numFmtId="166" fontId="53" fillId="0" borderId="1" xfId="0" applyNumberFormat="1" applyFont="1" applyBorder="1" applyAlignment="1">
      <alignment wrapText="1"/>
    </xf>
    <xf numFmtId="166" fontId="53" fillId="0" borderId="1" xfId="0" applyNumberFormat="1" applyFont="1" applyBorder="1" applyAlignment="1">
      <alignment vertical="top" wrapText="1"/>
    </xf>
    <xf numFmtId="166" fontId="122" fillId="0" borderId="14" xfId="0" applyNumberFormat="1" applyFont="1" applyBorder="1" applyAlignment="1">
      <alignment vertical="top" wrapText="1"/>
    </xf>
    <xf numFmtId="166" fontId="53" fillId="0" borderId="14" xfId="0" applyNumberFormat="1" applyFont="1" applyBorder="1" applyAlignment="1">
      <alignment vertical="top" wrapText="1"/>
    </xf>
    <xf numFmtId="2" fontId="123" fillId="4" borderId="41" xfId="0" applyNumberFormat="1" applyFont="1" applyFill="1" applyBorder="1" applyAlignment="1">
      <alignment horizontal="center"/>
    </xf>
    <xf numFmtId="166" fontId="122" fillId="0" borderId="11" xfId="0" applyNumberFormat="1" applyFont="1" applyBorder="1" applyAlignment="1">
      <alignment vertical="top" wrapText="1"/>
    </xf>
    <xf numFmtId="166" fontId="53" fillId="0" borderId="11" xfId="0" applyNumberFormat="1" applyFont="1" applyBorder="1" applyAlignment="1">
      <alignment vertical="top" wrapText="1"/>
    </xf>
    <xf numFmtId="166" fontId="53" fillId="0" borderId="14" xfId="0" applyNumberFormat="1" applyFont="1" applyBorder="1" applyAlignment="1">
      <alignment horizontal="right" wrapText="1"/>
    </xf>
    <xf numFmtId="39" fontId="123" fillId="4" borderId="41" xfId="1" applyNumberFormat="1" applyFont="1" applyFill="1" applyBorder="1" applyAlignment="1">
      <alignment horizontal="center"/>
    </xf>
    <xf numFmtId="166" fontId="53" fillId="4" borderId="47" xfId="0" applyNumberFormat="1" applyFont="1" applyFill="1" applyBorder="1" applyAlignment="1">
      <alignment horizontal="center"/>
    </xf>
    <xf numFmtId="166" fontId="53" fillId="4" borderId="41" xfId="0" applyNumberFormat="1" applyFont="1" applyFill="1" applyBorder="1" applyAlignment="1">
      <alignment horizontal="center"/>
    </xf>
    <xf numFmtId="166" fontId="122" fillId="0" borderId="9" xfId="0" applyNumberFormat="1" applyFont="1" applyBorder="1" applyAlignment="1">
      <alignment vertical="top" wrapText="1"/>
    </xf>
    <xf numFmtId="166" fontId="53" fillId="0" borderId="9" xfId="0" applyNumberFormat="1" applyFont="1" applyBorder="1" applyAlignment="1">
      <alignment vertical="top" wrapText="1"/>
    </xf>
    <xf numFmtId="166" fontId="122" fillId="0" borderId="3" xfId="0" applyNumberFormat="1" applyFont="1" applyBorder="1" applyAlignment="1">
      <alignment vertical="top" wrapText="1"/>
    </xf>
    <xf numFmtId="166" fontId="53" fillId="0" borderId="3" xfId="0" applyNumberFormat="1" applyFont="1" applyBorder="1" applyAlignment="1">
      <alignment vertical="top" wrapText="1"/>
    </xf>
    <xf numFmtId="0" fontId="122" fillId="11" borderId="4" xfId="0" applyFont="1" applyFill="1" applyBorder="1" applyAlignment="1">
      <alignment horizontal="center"/>
    </xf>
    <xf numFmtId="2" fontId="53" fillId="4" borderId="23" xfId="0" applyNumberFormat="1" applyFont="1" applyFill="1" applyBorder="1" applyAlignment="1">
      <alignment horizontal="center"/>
    </xf>
    <xf numFmtId="39" fontId="123" fillId="8" borderId="47" xfId="1" applyNumberFormat="1" applyFont="1" applyFill="1" applyBorder="1" applyAlignment="1">
      <alignment horizontal="center"/>
    </xf>
    <xf numFmtId="166" fontId="53" fillId="0" borderId="14" xfId="0" applyNumberFormat="1" applyFont="1" applyBorder="1" applyAlignment="1">
      <alignment horizontal="right" vertical="top" wrapText="1"/>
    </xf>
    <xf numFmtId="2" fontId="53" fillId="4" borderId="47" xfId="0" applyNumberFormat="1" applyFont="1" applyFill="1" applyBorder="1" applyAlignment="1">
      <alignment horizontal="center"/>
    </xf>
    <xf numFmtId="166" fontId="122" fillId="0" borderId="11" xfId="0" applyNumberFormat="1" applyFont="1" applyBorder="1" applyAlignment="1">
      <alignment horizontal="center"/>
    </xf>
    <xf numFmtId="166" fontId="53" fillId="0" borderId="11" xfId="0" applyNumberFormat="1" applyFont="1" applyBorder="1" applyAlignment="1">
      <alignment horizontal="center"/>
    </xf>
    <xf numFmtId="166" fontId="122" fillId="0" borderId="1" xfId="0" applyNumberFormat="1" applyFont="1" applyBorder="1" applyAlignment="1">
      <alignment horizontal="center"/>
    </xf>
    <xf numFmtId="166" fontId="53" fillId="0" borderId="1" xfId="0" applyNumberFormat="1" applyFont="1" applyBorder="1" applyAlignment="1">
      <alignment horizontal="center"/>
    </xf>
    <xf numFmtId="166" fontId="123" fillId="4" borderId="1" xfId="0" applyNumberFormat="1" applyFont="1" applyFill="1" applyBorder="1" applyAlignment="1">
      <alignment horizontal="center"/>
    </xf>
    <xf numFmtId="39" fontId="123" fillId="8" borderId="1" xfId="1" applyNumberFormat="1" applyFont="1" applyFill="1" applyBorder="1" applyAlignment="1">
      <alignment horizontal="center"/>
    </xf>
    <xf numFmtId="0" fontId="53" fillId="10" borderId="3" xfId="0" applyFont="1" applyFill="1" applyBorder="1" applyAlignment="1">
      <alignment horizontal="center" vertical="center" wrapText="1"/>
    </xf>
    <xf numFmtId="0" fontId="122" fillId="0" borderId="11" xfId="0" applyFont="1" applyBorder="1" applyAlignment="1">
      <alignment horizontal="right"/>
    </xf>
    <xf numFmtId="0" fontId="53" fillId="4" borderId="1" xfId="0" applyFont="1" applyFill="1" applyBorder="1" applyAlignment="1">
      <alignment horizontal="right"/>
    </xf>
    <xf numFmtId="0" fontId="122" fillId="0" borderId="1" xfId="0" applyFont="1" applyBorder="1" applyAlignment="1">
      <alignment horizontal="right"/>
    </xf>
    <xf numFmtId="2" fontId="124" fillId="4" borderId="1" xfId="1" applyNumberFormat="1" applyFont="1" applyFill="1" applyBorder="1" applyAlignment="1">
      <alignment horizontal="right" vertical="center"/>
    </xf>
    <xf numFmtId="166" fontId="122" fillId="0" borderId="7" xfId="0" applyNumberFormat="1" applyFont="1" applyBorder="1"/>
    <xf numFmtId="166" fontId="53" fillId="4" borderId="1" xfId="0" applyNumberFormat="1" applyFont="1" applyFill="1" applyBorder="1"/>
    <xf numFmtId="166" fontId="122" fillId="0" borderId="7" xfId="0" applyNumberFormat="1" applyFont="1" applyBorder="1" applyAlignment="1">
      <alignment horizontal="right" vertical="center"/>
    </xf>
    <xf numFmtId="166" fontId="53" fillId="4" borderId="1" xfId="0" applyNumberFormat="1" applyFont="1" applyFill="1" applyBorder="1" applyAlignment="1">
      <alignment horizontal="right"/>
    </xf>
    <xf numFmtId="0" fontId="53" fillId="0" borderId="1" xfId="0" applyFont="1" applyBorder="1" applyAlignment="1">
      <alignment horizontal="center"/>
    </xf>
    <xf numFmtId="0" fontId="53" fillId="4" borderId="1" xfId="0" applyFont="1" applyFill="1" applyBorder="1" applyAlignment="1">
      <alignment horizontal="center"/>
    </xf>
    <xf numFmtId="166" fontId="53" fillId="4" borderId="1" xfId="0" applyNumberFormat="1" applyFont="1" applyFill="1" applyBorder="1" applyAlignment="1">
      <alignment horizontal="center"/>
    </xf>
    <xf numFmtId="0" fontId="53" fillId="5" borderId="4" xfId="0" applyFont="1" applyFill="1" applyBorder="1" applyAlignment="1">
      <alignment horizontal="center" vertical="center" wrapText="1"/>
    </xf>
    <xf numFmtId="39" fontId="53" fillId="5" borderId="4" xfId="0" applyNumberFormat="1" applyFont="1" applyFill="1" applyBorder="1" applyAlignment="1">
      <alignment horizontal="center" vertical="center" wrapText="1"/>
    </xf>
    <xf numFmtId="39" fontId="53" fillId="19" borderId="1" xfId="0" applyNumberFormat="1" applyFont="1" applyFill="1" applyBorder="1" applyAlignment="1">
      <alignment horizontal="center"/>
    </xf>
    <xf numFmtId="39" fontId="53" fillId="19" borderId="4" xfId="0" applyNumberFormat="1" applyFont="1" applyFill="1" applyBorder="1" applyAlignment="1">
      <alignment horizontal="center"/>
    </xf>
    <xf numFmtId="0" fontId="122" fillId="0" borderId="0" xfId="0" applyFont="1"/>
    <xf numFmtId="2" fontId="121" fillId="0" borderId="14" xfId="1" applyNumberFormat="1" applyFont="1" applyFill="1" applyBorder="1" applyAlignment="1">
      <alignment horizontal="right" vertical="center"/>
    </xf>
    <xf numFmtId="4" fontId="23" fillId="0" borderId="0" xfId="0" applyNumberFormat="1" applyFont="1" applyAlignment="1">
      <alignment vertical="center"/>
    </xf>
    <xf numFmtId="4" fontId="23" fillId="14" borderId="11" xfId="2" applyNumberFormat="1" applyFont="1" applyFill="1" applyBorder="1" applyAlignment="1">
      <alignment horizontal="left" vertical="center" wrapText="1"/>
    </xf>
    <xf numFmtId="4" fontId="23" fillId="0" borderId="1" xfId="1" applyNumberFormat="1" applyFont="1" applyFill="1" applyBorder="1" applyAlignment="1">
      <alignment vertical="center"/>
    </xf>
    <xf numFmtId="4" fontId="23" fillId="4" borderId="1" xfId="0" applyNumberFormat="1" applyFont="1" applyFill="1" applyBorder="1" applyAlignment="1">
      <alignment vertical="center"/>
    </xf>
    <xf numFmtId="4" fontId="23" fillId="0" borderId="1" xfId="0" applyNumberFormat="1" applyFont="1" applyFill="1" applyBorder="1" applyAlignment="1">
      <alignment vertical="center"/>
    </xf>
    <xf numFmtId="4" fontId="125" fillId="15" borderId="4" xfId="1" applyNumberFormat="1" applyFont="1" applyFill="1" applyBorder="1" applyAlignment="1">
      <alignment vertical="center"/>
    </xf>
    <xf numFmtId="4" fontId="23" fillId="0" borderId="1" xfId="1" applyNumberFormat="1" applyFont="1" applyFill="1" applyBorder="1" applyAlignment="1">
      <alignment horizontal="right" vertical="center"/>
    </xf>
    <xf numFmtId="4" fontId="125" fillId="15" borderId="4" xfId="1" applyNumberFormat="1" applyFont="1" applyFill="1" applyBorder="1" applyAlignment="1">
      <alignment horizontal="right" vertical="center"/>
    </xf>
    <xf numFmtId="0" fontId="23" fillId="0" borderId="3" xfId="0" applyFont="1" applyFill="1" applyBorder="1" applyAlignment="1">
      <alignment vertical="center" wrapText="1"/>
    </xf>
    <xf numFmtId="4" fontId="23" fillId="15" borderId="1" xfId="0" applyNumberFormat="1" applyFont="1" applyFill="1" applyBorder="1" applyAlignment="1">
      <alignment vertical="center"/>
    </xf>
    <xf numFmtId="4" fontId="125" fillId="21" borderId="4" xfId="1" applyNumberFormat="1" applyFont="1" applyFill="1" applyBorder="1" applyAlignment="1">
      <alignment vertical="center"/>
    </xf>
    <xf numFmtId="4" fontId="23" fillId="22" borderId="3" xfId="0" applyNumberFormat="1" applyFont="1" applyFill="1" applyBorder="1" applyAlignment="1">
      <alignment vertical="center" wrapText="1"/>
    </xf>
    <xf numFmtId="167" fontId="23" fillId="0" borderId="2" xfId="1" applyFont="1" applyFill="1" applyBorder="1" applyAlignment="1">
      <alignment vertical="center" wrapText="1"/>
    </xf>
    <xf numFmtId="167" fontId="23" fillId="0" borderId="1" xfId="1" applyFont="1" applyFill="1" applyBorder="1" applyAlignment="1">
      <alignment vertical="center" wrapText="1"/>
    </xf>
    <xf numFmtId="4" fontId="23" fillId="0" borderId="11" xfId="0" applyNumberFormat="1" applyFont="1" applyFill="1" applyBorder="1" applyAlignment="1">
      <alignment horizontal="right" vertical="center"/>
    </xf>
    <xf numFmtId="4" fontId="125" fillId="21" borderId="4" xfId="1" applyNumberFormat="1" applyFont="1" applyFill="1" applyBorder="1" applyAlignment="1">
      <alignment horizontal="right" vertical="center"/>
    </xf>
    <xf numFmtId="4" fontId="23" fillId="5" borderId="4" xfId="0" applyNumberFormat="1" applyFont="1" applyFill="1" applyBorder="1" applyAlignment="1">
      <alignment horizontal="center" vertical="center" wrapText="1"/>
    </xf>
    <xf numFmtId="4" fontId="23" fillId="5" borderId="4" xfId="0" applyNumberFormat="1" applyFont="1" applyFill="1" applyBorder="1" applyAlignment="1">
      <alignment horizontal="right" vertical="center" wrapText="1"/>
    </xf>
    <xf numFmtId="4" fontId="23" fillId="7" borderId="4" xfId="0" applyNumberFormat="1" applyFont="1" applyFill="1" applyBorder="1" applyAlignment="1">
      <alignment vertical="center"/>
    </xf>
    <xf numFmtId="4" fontId="126" fillId="24" borderId="4" xfId="0" applyNumberFormat="1" applyFont="1" applyFill="1" applyBorder="1" applyAlignment="1">
      <alignment vertical="center"/>
    </xf>
    <xf numFmtId="4" fontId="23" fillId="0" borderId="1" xfId="0" applyNumberFormat="1" applyFont="1" applyBorder="1" applyAlignment="1">
      <alignment vertical="center"/>
    </xf>
    <xf numFmtId="39" fontId="40" fillId="0" borderId="1" xfId="0" applyNumberFormat="1" applyFont="1" applyFill="1" applyBorder="1" applyAlignment="1">
      <alignment vertical="center"/>
    </xf>
    <xf numFmtId="0" fontId="40" fillId="0" borderId="0" xfId="0" applyFont="1" applyAlignment="1">
      <alignment vertical="center"/>
    </xf>
    <xf numFmtId="2" fontId="116" fillId="0" borderId="11" xfId="1" applyNumberFormat="1" applyFont="1" applyFill="1" applyBorder="1" applyAlignment="1">
      <alignment horizontal="right" vertical="center"/>
    </xf>
    <xf numFmtId="2" fontId="116" fillId="0" borderId="1" xfId="1" applyNumberFormat="1" applyFont="1" applyFill="1" applyBorder="1" applyAlignment="1">
      <alignment horizontal="right" vertical="center"/>
    </xf>
    <xf numFmtId="2" fontId="127" fillId="0" borderId="11" xfId="1" applyNumberFormat="1" applyFont="1" applyFill="1" applyBorder="1" applyAlignment="1">
      <alignment horizontal="right" vertical="center"/>
    </xf>
    <xf numFmtId="2" fontId="127" fillId="0" borderId="1" xfId="1" applyNumberFormat="1" applyFont="1" applyFill="1" applyBorder="1" applyAlignment="1">
      <alignment horizontal="right" vertical="center"/>
    </xf>
    <xf numFmtId="9" fontId="116" fillId="0" borderId="1" xfId="3" applyFont="1" applyFill="1" applyBorder="1" applyAlignment="1">
      <alignment horizontal="right" vertical="center" wrapText="1"/>
    </xf>
    <xf numFmtId="167" fontId="17" fillId="0" borderId="0" xfId="1" applyFont="1"/>
    <xf numFmtId="167" fontId="28" fillId="0" borderId="0" xfId="1" applyFont="1" applyAlignment="1">
      <alignment horizontal="center"/>
    </xf>
    <xf numFmtId="0" fontId="23" fillId="14" borderId="11" xfId="7" applyFont="1" applyFill="1" applyBorder="1" applyAlignment="1">
      <alignment horizontal="center" vertical="center" wrapText="1"/>
    </xf>
    <xf numFmtId="167" fontId="23" fillId="9" borderId="3" xfId="1" applyFont="1" applyFill="1" applyBorder="1" applyAlignment="1">
      <alignment horizontal="left" vertical="center" wrapText="1"/>
    </xf>
    <xf numFmtId="167" fontId="128" fillId="26" borderId="3" xfId="1" applyFont="1" applyFill="1" applyBorder="1" applyAlignment="1">
      <alignment horizontal="left" vertical="center" wrapText="1"/>
    </xf>
    <xf numFmtId="167" fontId="128" fillId="10" borderId="3" xfId="1" applyFont="1" applyFill="1" applyBorder="1" applyAlignment="1">
      <alignment horizontal="left" vertical="center" wrapText="1"/>
    </xf>
    <xf numFmtId="167" fontId="129" fillId="0" borderId="3" xfId="1" applyFont="1" applyBorder="1" applyAlignment="1">
      <alignment vertical="center"/>
    </xf>
    <xf numFmtId="167" fontId="69" fillId="0" borderId="4" xfId="1" applyFont="1" applyBorder="1"/>
    <xf numFmtId="167" fontId="28" fillId="19" borderId="4" xfId="1" applyFont="1" applyFill="1" applyBorder="1"/>
    <xf numFmtId="167" fontId="129" fillId="0" borderId="4" xfId="1" applyFont="1" applyBorder="1" applyAlignment="1">
      <alignment vertical="center"/>
    </xf>
    <xf numFmtId="167" fontId="28" fillId="4" borderId="3" xfId="1" applyFont="1" applyFill="1" applyBorder="1" applyAlignment="1">
      <alignment horizontal="left" vertical="center" wrapText="1"/>
    </xf>
    <xf numFmtId="167" fontId="130" fillId="0" borderId="3" xfId="1" applyFont="1" applyBorder="1" applyAlignment="1">
      <alignment vertical="center"/>
    </xf>
    <xf numFmtId="167" fontId="131" fillId="19" borderId="4" xfId="1" applyFont="1" applyFill="1" applyBorder="1" applyAlignment="1">
      <alignment horizontal="justify" vertical="center" wrapText="1"/>
    </xf>
    <xf numFmtId="167" fontId="28" fillId="19" borderId="4" xfId="1" applyFont="1" applyFill="1" applyBorder="1" applyAlignment="1">
      <alignment vertical="center"/>
    </xf>
    <xf numFmtId="167" fontId="17" fillId="19" borderId="4" xfId="1" applyFont="1" applyFill="1" applyBorder="1" applyAlignment="1">
      <alignment vertical="center"/>
    </xf>
    <xf numFmtId="167" fontId="128" fillId="11" borderId="4" xfId="1" applyFont="1" applyFill="1" applyBorder="1" applyAlignment="1">
      <alignment horizontal="left" vertical="center" wrapText="1"/>
    </xf>
    <xf numFmtId="4" fontId="21" fillId="0" borderId="0" xfId="23" applyNumberFormat="1" applyFont="1"/>
    <xf numFmtId="167" fontId="69" fillId="4" borderId="4" xfId="1" applyFont="1" applyFill="1" applyBorder="1"/>
    <xf numFmtId="167" fontId="128" fillId="10" borderId="4" xfId="1" applyFont="1" applyFill="1" applyBorder="1" applyAlignment="1">
      <alignment horizontal="left" vertical="center" wrapText="1"/>
    </xf>
    <xf numFmtId="167" fontId="28" fillId="8" borderId="3" xfId="1" applyFont="1" applyFill="1" applyBorder="1" applyAlignment="1">
      <alignment horizontal="left" vertical="center" wrapText="1"/>
    </xf>
    <xf numFmtId="167" fontId="132" fillId="3" borderId="4" xfId="1" applyFont="1" applyFill="1" applyBorder="1" applyAlignment="1">
      <alignment vertical="center" wrapText="1"/>
    </xf>
    <xf numFmtId="167" fontId="133" fillId="11" borderId="4" xfId="1" applyFont="1" applyFill="1" applyBorder="1"/>
    <xf numFmtId="167" fontId="131" fillId="4" borderId="4" xfId="1" applyFont="1" applyFill="1" applyBorder="1" applyAlignment="1">
      <alignment vertical="center"/>
    </xf>
    <xf numFmtId="167" fontId="131" fillId="8" borderId="4" xfId="1" applyFont="1" applyFill="1" applyBorder="1"/>
    <xf numFmtId="167" fontId="28" fillId="44" borderId="3" xfId="1" applyFont="1" applyFill="1" applyBorder="1" applyAlignment="1">
      <alignment horizontal="left" vertical="center" wrapText="1"/>
    </xf>
    <xf numFmtId="167" fontId="134" fillId="27" borderId="4" xfId="1" applyFont="1" applyFill="1" applyBorder="1" applyAlignment="1">
      <alignment vertical="center" wrapText="1"/>
    </xf>
    <xf numFmtId="167" fontId="69" fillId="10" borderId="4" xfId="1" applyFont="1" applyFill="1" applyBorder="1"/>
    <xf numFmtId="167" fontId="69" fillId="11" borderId="4" xfId="1" applyFont="1" applyFill="1" applyBorder="1"/>
    <xf numFmtId="167" fontId="28" fillId="4" borderId="4" xfId="1" applyFont="1" applyFill="1" applyBorder="1"/>
    <xf numFmtId="167" fontId="28" fillId="29" borderId="4" xfId="1" applyFont="1" applyFill="1" applyBorder="1" applyAlignment="1">
      <alignment vertical="center" wrapText="1"/>
    </xf>
    <xf numFmtId="167" fontId="134" fillId="28" borderId="3" xfId="1" applyFont="1" applyFill="1" applyBorder="1" applyAlignment="1">
      <alignment vertical="center"/>
    </xf>
    <xf numFmtId="167" fontId="28" fillId="29" borderId="4" xfId="1" applyFont="1" applyFill="1" applyBorder="1" applyAlignment="1">
      <alignment horizontal="right"/>
    </xf>
    <xf numFmtId="167" fontId="69" fillId="8" borderId="4" xfId="1" applyFont="1" applyFill="1" applyBorder="1"/>
    <xf numFmtId="167" fontId="134" fillId="0" borderId="3" xfId="1" applyFont="1" applyBorder="1" applyAlignment="1">
      <alignment vertical="center"/>
    </xf>
    <xf numFmtId="167" fontId="28" fillId="8" borderId="4" xfId="1" applyFont="1" applyFill="1" applyBorder="1" applyAlignment="1">
      <alignment vertical="center"/>
    </xf>
    <xf numFmtId="167" fontId="28" fillId="9" borderId="4" xfId="1" applyFont="1" applyFill="1" applyBorder="1" applyAlignment="1">
      <alignment horizontal="center" vertical="center" wrapText="1"/>
    </xf>
    <xf numFmtId="167" fontId="28" fillId="9" borderId="4" xfId="1" applyFont="1" applyFill="1" applyBorder="1"/>
    <xf numFmtId="167" fontId="28" fillId="20" borderId="4" xfId="1" applyFont="1" applyFill="1" applyBorder="1"/>
    <xf numFmtId="39" fontId="28" fillId="19" borderId="1" xfId="0" applyNumberFormat="1" applyFont="1" applyFill="1" applyBorder="1"/>
    <xf numFmtId="167" fontId="17" fillId="0" borderId="6" xfId="1" applyFont="1" applyBorder="1"/>
    <xf numFmtId="167" fontId="28" fillId="0" borderId="1" xfId="1" applyFont="1" applyBorder="1"/>
    <xf numFmtId="4" fontId="21" fillId="0" borderId="0" xfId="24" applyNumberFormat="1" applyFont="1"/>
    <xf numFmtId="2" fontId="116" fillId="0" borderId="1" xfId="0" applyNumberFormat="1" applyFont="1" applyFill="1" applyBorder="1" applyAlignment="1">
      <alignment horizontal="right" vertical="center" wrapText="1"/>
    </xf>
    <xf numFmtId="39" fontId="116" fillId="0" borderId="1" xfId="0" applyNumberFormat="1" applyFont="1" applyFill="1" applyBorder="1" applyAlignment="1">
      <alignment horizontal="right" vertical="center" wrapText="1"/>
    </xf>
    <xf numFmtId="2" fontId="116" fillId="0" borderId="1" xfId="5" applyNumberFormat="1" applyFont="1" applyFill="1" applyBorder="1" applyAlignment="1">
      <alignment horizontal="right" vertical="center"/>
    </xf>
    <xf numFmtId="2" fontId="116" fillId="0" borderId="1" xfId="0" applyNumberFormat="1" applyFont="1" applyFill="1" applyBorder="1" applyAlignment="1">
      <alignment horizontal="right" vertical="center"/>
    </xf>
    <xf numFmtId="2" fontId="116" fillId="0" borderId="1" xfId="5" applyNumberFormat="1" applyFont="1" applyFill="1" applyBorder="1" applyAlignment="1">
      <alignment horizontal="right" vertical="center" wrapText="1"/>
    </xf>
    <xf numFmtId="2" fontId="116" fillId="0" borderId="11" xfId="5" applyNumberFormat="1" applyFont="1" applyFill="1" applyBorder="1" applyAlignment="1">
      <alignment horizontal="right" vertical="center"/>
    </xf>
    <xf numFmtId="2" fontId="116" fillId="0" borderId="1" xfId="20" applyNumberFormat="1" applyFont="1" applyFill="1" applyBorder="1" applyAlignment="1">
      <alignment horizontal="right" vertical="center"/>
    </xf>
    <xf numFmtId="2" fontId="116" fillId="0" borderId="1" xfId="21" applyNumberFormat="1" applyFont="1" applyFill="1" applyBorder="1" applyAlignment="1">
      <alignment horizontal="right" vertical="center"/>
    </xf>
    <xf numFmtId="39" fontId="116" fillId="0" borderId="3" xfId="0" applyNumberFormat="1" applyFont="1" applyFill="1" applyBorder="1" applyAlignment="1">
      <alignment horizontal="right" vertical="center"/>
    </xf>
    <xf numFmtId="2" fontId="116" fillId="0" borderId="3" xfId="0" applyNumberFormat="1" applyFont="1" applyFill="1" applyBorder="1" applyAlignment="1">
      <alignment horizontal="right" vertical="center"/>
    </xf>
    <xf numFmtId="2" fontId="116" fillId="0" borderId="1" xfId="18" applyNumberFormat="1" applyFont="1" applyFill="1" applyBorder="1" applyAlignment="1">
      <alignment horizontal="right" vertical="center"/>
    </xf>
    <xf numFmtId="2" fontId="116" fillId="0" borderId="1" xfId="18" applyNumberFormat="1" applyFont="1" applyFill="1" applyBorder="1" applyAlignment="1">
      <alignment horizontal="center" vertical="center"/>
    </xf>
    <xf numFmtId="0" fontId="127" fillId="17" borderId="11" xfId="11" applyFont="1" applyFill="1" applyBorder="1" applyAlignment="1">
      <alignment horizontal="center" vertical="center" wrapText="1"/>
    </xf>
    <xf numFmtId="39" fontId="116" fillId="0" borderId="1" xfId="1" applyNumberFormat="1" applyFont="1" applyBorder="1" applyAlignment="1">
      <alignment horizontal="center" vertical="center"/>
    </xf>
    <xf numFmtId="0" fontId="127" fillId="10" borderId="3" xfId="0" applyFont="1" applyFill="1" applyBorder="1" applyAlignment="1">
      <alignment vertical="center" wrapText="1"/>
    </xf>
    <xf numFmtId="174" fontId="127" fillId="5" borderId="1" xfId="0" applyNumberFormat="1" applyFont="1" applyFill="1" applyBorder="1" applyAlignment="1">
      <alignment vertical="center" wrapText="1"/>
    </xf>
    <xf numFmtId="0" fontId="127" fillId="5" borderId="1" xfId="0" applyFont="1" applyFill="1" applyBorder="1" applyAlignment="1">
      <alignment vertical="center" wrapText="1"/>
    </xf>
    <xf numFmtId="174" fontId="28" fillId="5" borderId="1" xfId="0" applyNumberFormat="1" applyFont="1" applyFill="1" applyBorder="1" applyAlignment="1">
      <alignment horizontal="right" vertical="center" wrapText="1"/>
    </xf>
    <xf numFmtId="0" fontId="116" fillId="0" borderId="0" xfId="0" applyFont="1" applyAlignment="1">
      <alignment vertical="center"/>
    </xf>
    <xf numFmtId="0" fontId="10" fillId="11" borderId="0" xfId="0" applyFont="1" applyFill="1" applyAlignment="1">
      <alignment vertical="center"/>
    </xf>
    <xf numFmtId="9" fontId="10" fillId="0" borderId="0" xfId="0" applyNumberFormat="1" applyFont="1" applyAlignment="1">
      <alignment vertical="center"/>
    </xf>
    <xf numFmtId="176" fontId="10" fillId="0" borderId="0" xfId="0" applyNumberFormat="1" applyFont="1" applyAlignment="1">
      <alignment vertical="center"/>
    </xf>
    <xf numFmtId="0" fontId="127" fillId="0" borderId="0" xfId="0" applyFont="1" applyAlignment="1">
      <alignment horizontal="center" vertical="center"/>
    </xf>
    <xf numFmtId="0" fontId="11" fillId="11" borderId="0" xfId="0" applyFont="1" applyFill="1" applyAlignment="1">
      <alignment horizontal="center" vertical="center"/>
    </xf>
    <xf numFmtId="168" fontId="28" fillId="0" borderId="1" xfId="1" applyNumberFormat="1" applyFont="1" applyBorder="1" applyAlignment="1">
      <alignment horizontal="right" vertical="center"/>
    </xf>
    <xf numFmtId="168" fontId="11" fillId="0" borderId="0" xfId="0" applyNumberFormat="1" applyFont="1" applyAlignment="1">
      <alignment horizontal="center" vertical="center"/>
    </xf>
    <xf numFmtId="174" fontId="10" fillId="0" borderId="53" xfId="0" applyNumberFormat="1" applyFont="1" applyBorder="1" applyAlignment="1">
      <alignment vertical="center" wrapText="1"/>
    </xf>
    <xf numFmtId="39" fontId="116" fillId="0" borderId="1" xfId="1" applyNumberFormat="1" applyFont="1" applyBorder="1" applyAlignment="1">
      <alignment vertical="center"/>
    </xf>
    <xf numFmtId="39" fontId="10" fillId="11" borderId="1" xfId="1" applyNumberFormat="1" applyFont="1" applyFill="1" applyBorder="1" applyAlignment="1">
      <alignment vertical="center"/>
    </xf>
    <xf numFmtId="0" fontId="10" fillId="0" borderId="4" xfId="0" applyFont="1" applyBorder="1" applyAlignment="1">
      <alignment vertical="center"/>
    </xf>
    <xf numFmtId="174" fontId="10" fillId="0" borderId="53" xfId="0" applyNumberFormat="1" applyFont="1" applyBorder="1" applyAlignment="1">
      <alignment vertical="center"/>
    </xf>
    <xf numFmtId="0" fontId="10" fillId="4" borderId="1" xfId="0" applyFont="1" applyFill="1" applyBorder="1" applyAlignment="1">
      <alignment horizontal="left" vertical="center" wrapText="1"/>
    </xf>
    <xf numFmtId="0" fontId="31" fillId="4" borderId="1" xfId="0" applyFont="1" applyFill="1" applyBorder="1" applyAlignment="1">
      <alignment horizontal="center" vertical="center" wrapText="1"/>
    </xf>
    <xf numFmtId="0" fontId="31" fillId="4" borderId="1" xfId="0" applyFont="1" applyFill="1" applyBorder="1" applyAlignment="1">
      <alignment vertical="center" wrapText="1"/>
    </xf>
    <xf numFmtId="39" fontId="135" fillId="4" borderId="1" xfId="1" applyNumberFormat="1" applyFont="1" applyFill="1" applyBorder="1" applyAlignment="1">
      <alignment vertical="center"/>
    </xf>
    <xf numFmtId="39" fontId="31" fillId="4" borderId="1" xfId="1" applyNumberFormat="1" applyFont="1" applyFill="1" applyBorder="1" applyAlignment="1">
      <alignment vertical="center"/>
    </xf>
    <xf numFmtId="39" fontId="31" fillId="11" borderId="1" xfId="1" applyNumberFormat="1" applyFont="1" applyFill="1" applyBorder="1" applyAlignment="1">
      <alignment vertical="center"/>
    </xf>
    <xf numFmtId="9" fontId="31" fillId="4" borderId="4" xfId="3" applyFont="1" applyFill="1" applyBorder="1" applyAlignment="1">
      <alignment vertical="center"/>
    </xf>
    <xf numFmtId="39" fontId="31" fillId="4" borderId="4" xfId="1" applyNumberFormat="1" applyFont="1" applyFill="1" applyBorder="1" applyAlignment="1">
      <alignment vertical="center"/>
    </xf>
    <xf numFmtId="9" fontId="11" fillId="4" borderId="1" xfId="0" applyNumberFormat="1" applyFont="1" applyFill="1" applyBorder="1" applyAlignment="1">
      <alignment vertical="center"/>
    </xf>
    <xf numFmtId="176" fontId="31" fillId="4" borderId="1" xfId="1" applyNumberFormat="1" applyFont="1" applyFill="1" applyBorder="1" applyAlignment="1">
      <alignment vertical="center"/>
    </xf>
    <xf numFmtId="4" fontId="10" fillId="0" borderId="1" xfId="0" applyNumberFormat="1" applyFont="1" applyBorder="1" applyAlignment="1">
      <alignment vertical="center"/>
    </xf>
    <xf numFmtId="4" fontId="10" fillId="0" borderId="1" xfId="0" applyNumberFormat="1" applyFont="1" applyBorder="1" applyAlignment="1">
      <alignment vertical="center" wrapText="1"/>
    </xf>
    <xf numFmtId="0" fontId="10" fillId="0" borderId="53" xfId="0" applyFont="1" applyBorder="1" applyAlignment="1">
      <alignment vertical="center" wrapText="1"/>
    </xf>
    <xf numFmtId="4" fontId="10" fillId="0" borderId="1" xfId="0" applyNumberFormat="1" applyFont="1" applyBorder="1" applyAlignment="1">
      <alignment horizontal="right" vertical="center"/>
    </xf>
    <xf numFmtId="4" fontId="10" fillId="0" borderId="1" xfId="0" applyNumberFormat="1" applyFont="1" applyBorder="1" applyAlignment="1">
      <alignment horizontal="right" vertical="center" wrapText="1"/>
    </xf>
    <xf numFmtId="9" fontId="10" fillId="0" borderId="1" xfId="0" applyNumberFormat="1" applyFont="1" applyBorder="1" applyAlignment="1">
      <alignment horizontal="right" vertical="center"/>
    </xf>
    <xf numFmtId="39" fontId="10" fillId="11" borderId="4" xfId="1" applyNumberFormat="1" applyFont="1" applyFill="1" applyBorder="1" applyAlignment="1">
      <alignment vertical="center"/>
    </xf>
    <xf numFmtId="9" fontId="10" fillId="0" borderId="4" xfId="3" applyFont="1" applyBorder="1" applyAlignment="1">
      <alignment vertical="center"/>
    </xf>
    <xf numFmtId="9" fontId="10" fillId="0" borderId="1" xfId="0" applyNumberFormat="1" applyFont="1" applyBorder="1" applyAlignment="1">
      <alignment vertical="center"/>
    </xf>
    <xf numFmtId="39" fontId="135" fillId="8" borderId="1" xfId="1" applyNumberFormat="1" applyFont="1" applyFill="1" applyBorder="1" applyAlignment="1">
      <alignment horizontal="left" vertical="center"/>
    </xf>
    <xf numFmtId="39" fontId="31" fillId="8" borderId="1" xfId="1" applyNumberFormat="1" applyFont="1" applyFill="1" applyBorder="1" applyAlignment="1">
      <alignment horizontal="left" vertical="center"/>
    </xf>
    <xf numFmtId="39" fontId="31" fillId="11" borderId="1" xfId="1" applyNumberFormat="1" applyFont="1" applyFill="1" applyBorder="1" applyAlignment="1">
      <alignment horizontal="left" vertical="center"/>
    </xf>
    <xf numFmtId="9" fontId="31" fillId="8" borderId="1" xfId="3" applyFont="1" applyFill="1" applyBorder="1" applyAlignment="1">
      <alignment horizontal="left" vertical="center"/>
    </xf>
    <xf numFmtId="39" fontId="31" fillId="8" borderId="4" xfId="1" applyNumberFormat="1" applyFont="1" applyFill="1" applyBorder="1" applyAlignment="1">
      <alignment horizontal="left" vertical="center"/>
    </xf>
    <xf numFmtId="39" fontId="131" fillId="8" borderId="1" xfId="1" applyNumberFormat="1" applyFont="1" applyFill="1" applyBorder="1" applyAlignment="1">
      <alignment horizontal="right" vertical="center"/>
    </xf>
    <xf numFmtId="9" fontId="31" fillId="8" borderId="4" xfId="1" applyNumberFormat="1" applyFont="1" applyFill="1" applyBorder="1" applyAlignment="1">
      <alignment horizontal="right" vertical="center"/>
    </xf>
    <xf numFmtId="176" fontId="31" fillId="8" borderId="1" xfId="1" applyNumberFormat="1" applyFont="1" applyFill="1" applyBorder="1" applyAlignment="1">
      <alignment horizontal="left" vertical="center"/>
    </xf>
    <xf numFmtId="0" fontId="12" fillId="31" borderId="1" xfId="0" applyFont="1" applyFill="1" applyBorder="1" applyAlignment="1">
      <alignment horizontal="left" vertical="center" wrapText="1"/>
    </xf>
    <xf numFmtId="0" fontId="10" fillId="31" borderId="1" xfId="0" applyFont="1" applyFill="1" applyBorder="1" applyAlignment="1">
      <alignment horizontal="center" vertical="center" wrapText="1"/>
    </xf>
    <xf numFmtId="4" fontId="10" fillId="31" borderId="1" xfId="0" applyNumberFormat="1" applyFont="1" applyFill="1" applyBorder="1" applyAlignment="1">
      <alignment horizontal="center" vertical="center"/>
    </xf>
    <xf numFmtId="4" fontId="10" fillId="31" borderId="1" xfId="0" applyNumberFormat="1" applyFont="1" applyFill="1" applyBorder="1" applyAlignment="1">
      <alignment horizontal="center" vertical="center" wrapText="1"/>
    </xf>
    <xf numFmtId="39" fontId="116" fillId="31" borderId="1" xfId="1" applyNumberFormat="1" applyFont="1" applyFill="1" applyBorder="1" applyAlignment="1">
      <alignment vertical="center"/>
    </xf>
    <xf numFmtId="39" fontId="10" fillId="31" borderId="1" xfId="1" applyNumberFormat="1" applyFont="1" applyFill="1" applyBorder="1" applyAlignment="1">
      <alignment vertical="center"/>
    </xf>
    <xf numFmtId="2" fontId="10" fillId="31" borderId="1" xfId="0" applyNumberFormat="1" applyFont="1" applyFill="1" applyBorder="1" applyAlignment="1">
      <alignment horizontal="center" vertical="center" wrapText="1"/>
    </xf>
    <xf numFmtId="9" fontId="10" fillId="31" borderId="1" xfId="3" applyFont="1" applyFill="1" applyBorder="1" applyAlignment="1">
      <alignment vertical="center"/>
    </xf>
    <xf numFmtId="0" fontId="10" fillId="31" borderId="4" xfId="0" applyFont="1" applyFill="1" applyBorder="1" applyAlignment="1">
      <alignment vertical="center"/>
    </xf>
    <xf numFmtId="0" fontId="10" fillId="31" borderId="53" xfId="0" applyFont="1" applyFill="1" applyBorder="1" applyAlignment="1">
      <alignment vertical="center" wrapText="1"/>
    </xf>
    <xf numFmtId="176" fontId="10" fillId="31" borderId="1" xfId="0" applyNumberFormat="1" applyFont="1" applyFill="1" applyBorder="1" applyAlignment="1">
      <alignment vertical="center"/>
    </xf>
    <xf numFmtId="0" fontId="10" fillId="31" borderId="0" xfId="0" applyFont="1" applyFill="1" applyAlignment="1">
      <alignment vertical="center"/>
    </xf>
    <xf numFmtId="9" fontId="11" fillId="11" borderId="1" xfId="3" applyFont="1" applyFill="1" applyBorder="1" applyAlignment="1">
      <alignment vertical="center"/>
    </xf>
    <xf numFmtId="0" fontId="12" fillId="0" borderId="1" xfId="0" applyFont="1" applyBorder="1" applyAlignment="1">
      <alignment horizontal="left" vertical="center"/>
    </xf>
    <xf numFmtId="9" fontId="31" fillId="8" borderId="4" xfId="3" applyFont="1" applyFill="1" applyBorder="1" applyAlignment="1">
      <alignment horizontal="left" vertical="center"/>
    </xf>
    <xf numFmtId="176" fontId="31" fillId="8" borderId="1" xfId="1" applyNumberFormat="1" applyFont="1" applyFill="1" applyBorder="1" applyAlignment="1">
      <alignment horizontal="right" vertical="center"/>
    </xf>
    <xf numFmtId="39" fontId="31" fillId="11" borderId="4" xfId="1" applyNumberFormat="1" applyFont="1" applyFill="1" applyBorder="1" applyAlignment="1">
      <alignment vertical="center"/>
    </xf>
    <xf numFmtId="9" fontId="10" fillId="4" borderId="1" xfId="0" applyNumberFormat="1" applyFont="1" applyFill="1" applyBorder="1" applyAlignment="1">
      <alignment vertical="center"/>
    </xf>
    <xf numFmtId="176" fontId="10" fillId="4" borderId="1" xfId="0" applyNumberFormat="1" applyFont="1" applyFill="1" applyBorder="1" applyAlignment="1">
      <alignment vertical="center"/>
    </xf>
    <xf numFmtId="176" fontId="11" fillId="4" borderId="1" xfId="0" applyNumberFormat="1" applyFont="1" applyFill="1" applyBorder="1" applyAlignment="1">
      <alignment vertical="center"/>
    </xf>
    <xf numFmtId="0" fontId="31" fillId="8" borderId="1" xfId="0" applyFont="1" applyFill="1" applyBorder="1" applyAlignment="1">
      <alignment vertical="center" wrapText="1"/>
    </xf>
    <xf numFmtId="39" fontId="135" fillId="8" borderId="1" xfId="1" applyNumberFormat="1" applyFont="1" applyFill="1" applyBorder="1" applyAlignment="1">
      <alignment vertical="center"/>
    </xf>
    <xf numFmtId="39" fontId="31" fillId="8" borderId="1" xfId="1" applyNumberFormat="1" applyFont="1" applyFill="1" applyBorder="1" applyAlignment="1">
      <alignment vertical="center"/>
    </xf>
    <xf numFmtId="9" fontId="31" fillId="8" borderId="4" xfId="3" applyFont="1" applyFill="1" applyBorder="1" applyAlignment="1">
      <alignment vertical="center"/>
    </xf>
    <xf numFmtId="39" fontId="31" fillId="8" borderId="4" xfId="1" applyNumberFormat="1" applyFont="1" applyFill="1" applyBorder="1" applyAlignment="1">
      <alignment vertical="center"/>
    </xf>
    <xf numFmtId="9" fontId="31" fillId="8" borderId="4" xfId="1" applyNumberFormat="1" applyFont="1" applyFill="1" applyBorder="1" applyAlignment="1">
      <alignment vertical="center"/>
    </xf>
    <xf numFmtId="176" fontId="31" fillId="8" borderId="4" xfId="1" applyNumberFormat="1" applyFont="1" applyFill="1" applyBorder="1" applyAlignment="1">
      <alignment vertical="center"/>
    </xf>
    <xf numFmtId="9" fontId="31" fillId="8" borderId="1" xfId="3" applyFont="1" applyFill="1" applyBorder="1" applyAlignment="1">
      <alignment vertical="center"/>
    </xf>
    <xf numFmtId="176" fontId="31" fillId="8" borderId="1" xfId="1" applyNumberFormat="1" applyFont="1" applyFill="1" applyBorder="1" applyAlignment="1">
      <alignment vertical="center"/>
    </xf>
    <xf numFmtId="9" fontId="31" fillId="0" borderId="4" xfId="3" applyFont="1" applyBorder="1" applyAlignment="1">
      <alignment vertical="center"/>
    </xf>
    <xf numFmtId="39" fontId="10" fillId="0" borderId="53" xfId="0" applyNumberFormat="1" applyFont="1" applyBorder="1" applyAlignment="1">
      <alignment vertical="center" wrapText="1"/>
    </xf>
    <xf numFmtId="9" fontId="11" fillId="0" borderId="1" xfId="0" applyNumberFormat="1" applyFont="1" applyBorder="1" applyAlignment="1">
      <alignment vertical="center"/>
    </xf>
    <xf numFmtId="176" fontId="11" fillId="0" borderId="1" xfId="0" applyNumberFormat="1" applyFont="1" applyBorder="1" applyAlignment="1">
      <alignment vertical="center"/>
    </xf>
    <xf numFmtId="0" fontId="28" fillId="0" borderId="1" xfId="0" applyFont="1" applyBorder="1" applyAlignment="1">
      <alignment vertical="center"/>
    </xf>
    <xf numFmtId="0" fontId="31" fillId="0" borderId="7" xfId="0" applyFont="1" applyBorder="1" applyAlignment="1">
      <alignment horizontal="center" vertical="center" wrapText="1"/>
    </xf>
    <xf numFmtId="39" fontId="135" fillId="0" borderId="1" xfId="1" applyNumberFormat="1" applyFont="1" applyBorder="1" applyAlignment="1">
      <alignment vertical="center"/>
    </xf>
    <xf numFmtId="39" fontId="31" fillId="0" borderId="4" xfId="1" applyNumberFormat="1" applyFont="1" applyBorder="1" applyAlignment="1">
      <alignment vertical="center"/>
    </xf>
    <xf numFmtId="2" fontId="35" fillId="0" borderId="1" xfId="0" applyNumberFormat="1" applyFont="1" applyBorder="1" applyAlignment="1">
      <alignment vertical="center" wrapText="1"/>
    </xf>
    <xf numFmtId="39" fontId="135" fillId="8" borderId="1" xfId="1" applyNumberFormat="1" applyFont="1" applyFill="1" applyBorder="1" applyAlignment="1">
      <alignment horizontal="right" vertical="center"/>
    </xf>
    <xf numFmtId="9" fontId="31" fillId="8" borderId="4" xfId="1" applyNumberFormat="1" applyFont="1" applyFill="1" applyBorder="1" applyAlignment="1">
      <alignment horizontal="left" vertical="center"/>
    </xf>
    <xf numFmtId="39" fontId="127" fillId="19" borderId="1" xfId="0" applyNumberFormat="1" applyFont="1" applyFill="1" applyBorder="1" applyAlignment="1">
      <alignment vertical="center"/>
    </xf>
    <xf numFmtId="39" fontId="11" fillId="19" borderId="1" xfId="0" applyNumberFormat="1" applyFont="1" applyFill="1" applyBorder="1" applyAlignment="1">
      <alignment vertical="center"/>
    </xf>
    <xf numFmtId="39" fontId="28" fillId="19" borderId="1" xfId="0" applyNumberFormat="1" applyFont="1" applyFill="1" applyBorder="1" applyAlignment="1">
      <alignment horizontal="right" vertical="center"/>
    </xf>
    <xf numFmtId="9" fontId="11" fillId="19" borderId="4" xfId="0" applyNumberFormat="1" applyFont="1" applyFill="1" applyBorder="1" applyAlignment="1">
      <alignment vertical="center"/>
    </xf>
    <xf numFmtId="176" fontId="11" fillId="19" borderId="1" xfId="0" applyNumberFormat="1" applyFont="1" applyFill="1"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vertical="center"/>
    </xf>
    <xf numFmtId="0" fontId="127" fillId="0" borderId="0" xfId="0" applyFont="1" applyAlignment="1">
      <alignment vertical="center"/>
    </xf>
    <xf numFmtId="0" fontId="10" fillId="0" borderId="13" xfId="0" applyFont="1" applyBorder="1" applyAlignment="1">
      <alignment vertical="center"/>
    </xf>
    <xf numFmtId="39" fontId="10" fillId="11" borderId="0" xfId="0" applyNumberFormat="1" applyFont="1" applyFill="1" applyAlignment="1">
      <alignment vertical="center"/>
    </xf>
    <xf numFmtId="174" fontId="10" fillId="0" borderId="0" xfId="0" applyNumberFormat="1" applyFont="1" applyAlignment="1">
      <alignment vertical="center"/>
    </xf>
    <xf numFmtId="0" fontId="10" fillId="0" borderId="6" xfId="0" applyFont="1" applyBorder="1" applyAlignment="1">
      <alignment horizontal="left" vertical="center"/>
    </xf>
    <xf numFmtId="0" fontId="10" fillId="0" borderId="7" xfId="0" applyFont="1" applyBorder="1" applyAlignment="1">
      <alignment vertical="center"/>
    </xf>
    <xf numFmtId="0" fontId="10" fillId="0" borderId="9" xfId="0" applyFont="1" applyBorder="1" applyAlignment="1">
      <alignment horizontal="left" vertical="center"/>
    </xf>
    <xf numFmtId="0" fontId="10" fillId="0" borderId="10" xfId="0" applyFont="1" applyBorder="1" applyAlignment="1">
      <alignment vertical="center"/>
    </xf>
    <xf numFmtId="4" fontId="136" fillId="0" borderId="1" xfId="0" applyNumberFormat="1" applyFont="1" applyFill="1" applyBorder="1" applyAlignment="1">
      <alignment horizontal="center" vertical="center" wrapText="1"/>
    </xf>
    <xf numFmtId="0" fontId="28" fillId="0" borderId="0" xfId="0" applyFont="1" applyAlignment="1">
      <alignment horizontal="center" vertical="center"/>
    </xf>
    <xf numFmtId="39" fontId="131" fillId="0" borderId="1" xfId="1" applyNumberFormat="1" applyFont="1" applyBorder="1" applyAlignment="1">
      <alignment horizontal="right" vertical="center"/>
    </xf>
    <xf numFmtId="39" fontId="131" fillId="0" borderId="1" xfId="1" applyNumberFormat="1" applyFont="1" applyBorder="1" applyAlignment="1">
      <alignment vertical="center"/>
    </xf>
    <xf numFmtId="0" fontId="28" fillId="10" borderId="3" xfId="0" applyFont="1" applyFill="1" applyBorder="1" applyAlignment="1">
      <alignment vertical="center" wrapText="1"/>
    </xf>
    <xf numFmtId="39" fontId="28" fillId="4" borderId="1" xfId="1" applyNumberFormat="1" applyFont="1" applyFill="1" applyBorder="1" applyAlignment="1">
      <alignment horizontal="right" vertical="center"/>
    </xf>
    <xf numFmtId="0" fontId="28" fillId="10" borderId="0" xfId="0" applyFont="1" applyFill="1" applyAlignment="1">
      <alignment horizontal="left" vertical="center"/>
    </xf>
    <xf numFmtId="39" fontId="28" fillId="8" borderId="1" xfId="1" applyNumberFormat="1" applyFont="1" applyFill="1" applyBorder="1" applyAlignment="1">
      <alignment horizontal="right" vertical="center"/>
    </xf>
    <xf numFmtId="0" fontId="28" fillId="5" borderId="1" xfId="0" applyFont="1" applyFill="1" applyBorder="1" applyAlignment="1">
      <alignment vertical="center" wrapText="1"/>
    </xf>
    <xf numFmtId="9" fontId="28" fillId="0" borderId="0" xfId="3" applyFont="1" applyAlignment="1">
      <alignment vertical="center"/>
    </xf>
    <xf numFmtId="167" fontId="28" fillId="0" borderId="0" xfId="1" applyFont="1" applyAlignment="1">
      <alignment vertical="center"/>
    </xf>
    <xf numFmtId="39" fontId="28" fillId="36" borderId="3" xfId="1" applyNumberFormat="1" applyFont="1" applyFill="1" applyBorder="1" applyAlignment="1">
      <alignment vertical="center" wrapText="1"/>
    </xf>
    <xf numFmtId="4" fontId="10" fillId="0" borderId="0" xfId="0" applyNumberFormat="1" applyFont="1" applyFill="1" applyAlignment="1">
      <alignment horizontal="right" vertical="center"/>
    </xf>
    <xf numFmtId="4" fontId="10" fillId="0" borderId="0" xfId="0" applyNumberFormat="1" applyFont="1" applyFill="1" applyBorder="1" applyAlignment="1">
      <alignment horizontal="right" vertical="center"/>
    </xf>
    <xf numFmtId="4" fontId="11" fillId="0" borderId="0" xfId="0" applyNumberFormat="1" applyFont="1" applyBorder="1" applyAlignment="1">
      <alignment horizontal="right" vertical="center"/>
    </xf>
    <xf numFmtId="4" fontId="38" fillId="17" borderId="11" xfId="2" applyNumberFormat="1" applyFont="1" applyFill="1" applyBorder="1" applyAlignment="1">
      <alignment vertical="center" wrapText="1"/>
    </xf>
    <xf numFmtId="4" fontId="11" fillId="4" borderId="1" xfId="1" applyNumberFormat="1" applyFont="1" applyFill="1" applyBorder="1" applyAlignment="1">
      <alignment horizontal="right" vertical="center"/>
    </xf>
    <xf numFmtId="4" fontId="10" fillId="0" borderId="14" xfId="1" applyNumberFormat="1" applyFont="1" applyFill="1" applyBorder="1" applyAlignment="1">
      <alignment horizontal="right" vertical="center"/>
    </xf>
    <xf numFmtId="39" fontId="57" fillId="0" borderId="11" xfId="1" applyNumberFormat="1" applyFont="1" applyFill="1" applyBorder="1" applyAlignment="1">
      <alignment horizontal="right" vertical="center"/>
    </xf>
    <xf numFmtId="166" fontId="50" fillId="0" borderId="11" xfId="0" applyNumberFormat="1" applyFont="1" applyFill="1" applyBorder="1" applyAlignment="1">
      <alignment vertical="center" wrapText="1"/>
    </xf>
    <xf numFmtId="4" fontId="11" fillId="8" borderId="1" xfId="1" applyNumberFormat="1" applyFont="1" applyFill="1" applyBorder="1" applyAlignment="1">
      <alignment horizontal="right" vertical="center"/>
    </xf>
    <xf numFmtId="4" fontId="11" fillId="4" borderId="1" xfId="5" applyNumberFormat="1" applyFont="1" applyFill="1" applyBorder="1" applyAlignment="1">
      <alignment horizontal="right" vertical="center"/>
    </xf>
    <xf numFmtId="4" fontId="116" fillId="0" borderId="1" xfId="0" applyNumberFormat="1" applyFont="1" applyFill="1" applyBorder="1" applyAlignment="1">
      <alignment horizontal="right" vertical="center" wrapText="1"/>
    </xf>
    <xf numFmtId="4" fontId="11" fillId="4" borderId="1" xfId="0" applyNumberFormat="1" applyFont="1" applyFill="1" applyBorder="1" applyAlignment="1">
      <alignment horizontal="right" vertical="center" wrapText="1"/>
    </xf>
    <xf numFmtId="4" fontId="10" fillId="0" borderId="1" xfId="10" applyNumberFormat="1" applyFont="1" applyFill="1" applyBorder="1" applyAlignment="1">
      <alignment horizontal="right" vertical="center"/>
    </xf>
    <xf numFmtId="4" fontId="10" fillId="0" borderId="1" xfId="5" applyNumberFormat="1" applyFont="1" applyFill="1" applyBorder="1" applyAlignment="1">
      <alignment horizontal="right" vertical="center"/>
    </xf>
    <xf numFmtId="4" fontId="10" fillId="0" borderId="1" xfId="1" applyNumberFormat="1" applyFont="1" applyFill="1" applyBorder="1" applyAlignment="1">
      <alignment horizontal="right" vertical="center" wrapText="1"/>
    </xf>
    <xf numFmtId="4" fontId="11" fillId="8" borderId="1" xfId="0" applyNumberFormat="1" applyFont="1" applyFill="1" applyBorder="1" applyAlignment="1">
      <alignment horizontal="right" vertical="center"/>
    </xf>
    <xf numFmtId="4" fontId="11" fillId="15" borderId="1" xfId="1" applyNumberFormat="1" applyFont="1" applyFill="1" applyBorder="1" applyAlignment="1">
      <alignment horizontal="right" vertical="center"/>
    </xf>
    <xf numFmtId="4" fontId="11" fillId="10" borderId="3" xfId="0" applyNumberFormat="1" applyFont="1" applyFill="1" applyBorder="1" applyAlignment="1">
      <alignment horizontal="right" vertical="center" wrapText="1"/>
    </xf>
    <xf numFmtId="4" fontId="10" fillId="0" borderId="1" xfId="0" applyNumberFormat="1" applyFont="1" applyFill="1" applyBorder="1" applyAlignment="1">
      <alignment horizontal="right" vertical="center"/>
    </xf>
    <xf numFmtId="4" fontId="10" fillId="0" borderId="4" xfId="5" applyNumberFormat="1" applyFont="1" applyFill="1" applyBorder="1" applyAlignment="1">
      <alignment horizontal="right" vertical="center" wrapText="1"/>
    </xf>
    <xf numFmtId="4" fontId="10" fillId="0" borderId="3" xfId="0" applyNumberFormat="1" applyFont="1" applyFill="1" applyBorder="1" applyAlignment="1">
      <alignment horizontal="right" vertical="center" wrapText="1"/>
    </xf>
    <xf numFmtId="4" fontId="10" fillId="0" borderId="4" xfId="5" applyNumberFormat="1" applyFont="1" applyFill="1" applyBorder="1" applyAlignment="1">
      <alignment horizontal="right" vertical="center"/>
    </xf>
    <xf numFmtId="4" fontId="11" fillId="0" borderId="1" xfId="1" applyNumberFormat="1" applyFont="1" applyFill="1" applyBorder="1" applyAlignment="1">
      <alignment horizontal="right" vertical="center"/>
    </xf>
    <xf numFmtId="9" fontId="116" fillId="0" borderId="3" xfId="3" applyFont="1" applyFill="1" applyBorder="1" applyAlignment="1">
      <alignment horizontal="right" vertical="center"/>
    </xf>
    <xf numFmtId="4" fontId="116" fillId="0" borderId="3" xfId="0" applyNumberFormat="1" applyFont="1" applyFill="1" applyBorder="1" applyAlignment="1">
      <alignment horizontal="right" vertical="center"/>
    </xf>
    <xf numFmtId="4" fontId="11" fillId="5" borderId="1" xfId="0" applyNumberFormat="1" applyFont="1" applyFill="1" applyBorder="1" applyAlignment="1">
      <alignment horizontal="right" vertical="center" wrapText="1"/>
    </xf>
    <xf numFmtId="4" fontId="11" fillId="19" borderId="1" xfId="0" applyNumberFormat="1" applyFont="1" applyFill="1" applyBorder="1" applyAlignment="1">
      <alignment horizontal="right" vertical="center"/>
    </xf>
    <xf numFmtId="3" fontId="11" fillId="19" borderId="1" xfId="0" applyNumberFormat="1" applyFont="1" applyFill="1" applyBorder="1" applyAlignment="1">
      <alignment horizontal="right" vertical="center"/>
    </xf>
    <xf numFmtId="9" fontId="11" fillId="0" borderId="0" xfId="3" applyFont="1" applyAlignment="1">
      <alignment horizontal="right" vertical="center"/>
    </xf>
    <xf numFmtId="4" fontId="10" fillId="0" borderId="0" xfId="0" applyNumberFormat="1" applyFont="1" applyAlignment="1">
      <alignment horizontal="right" vertical="center"/>
    </xf>
    <xf numFmtId="4" fontId="10" fillId="0" borderId="0" xfId="0" applyNumberFormat="1" applyFont="1" applyBorder="1" applyAlignment="1">
      <alignment horizontal="right" vertical="center"/>
    </xf>
    <xf numFmtId="4" fontId="10" fillId="0" borderId="1" xfId="10" applyNumberFormat="1" applyFont="1" applyFill="1" applyBorder="1" applyAlignment="1">
      <alignment horizontal="right" vertical="center" wrapText="1"/>
    </xf>
    <xf numFmtId="38" fontId="10" fillId="0" borderId="1" xfId="5" applyNumberFormat="1" applyFont="1" applyFill="1" applyBorder="1" applyAlignment="1">
      <alignment horizontal="right" vertical="center"/>
    </xf>
    <xf numFmtId="38" fontId="10" fillId="0" borderId="1" xfId="5" applyNumberFormat="1" applyFont="1" applyBorder="1" applyAlignment="1">
      <alignment horizontal="right" vertical="center"/>
    </xf>
    <xf numFmtId="172" fontId="19" fillId="14" borderId="19" xfId="10" applyNumberFormat="1" applyFont="1" applyFill="1" applyBorder="1" applyAlignment="1">
      <alignment horizontal="center" vertical="center" wrapText="1"/>
    </xf>
    <xf numFmtId="168" fontId="10" fillId="0" borderId="0" xfId="0" applyNumberFormat="1" applyFont="1" applyBorder="1" applyAlignment="1">
      <alignment horizontal="center" vertical="center"/>
    </xf>
    <xf numFmtId="39" fontId="19" fillId="21" borderId="1" xfId="1" applyNumberFormat="1" applyFont="1" applyFill="1" applyBorder="1" applyAlignment="1">
      <alignment vertical="center"/>
    </xf>
    <xf numFmtId="39" fontId="19" fillId="0" borderId="11" xfId="1" applyNumberFormat="1" applyFont="1" applyFill="1" applyBorder="1" applyAlignment="1">
      <alignment vertical="center"/>
    </xf>
    <xf numFmtId="39" fontId="19" fillId="21" borderId="1" xfId="1" applyNumberFormat="1" applyFont="1" applyFill="1" applyBorder="1" applyAlignment="1">
      <alignment horizontal="right" vertical="center"/>
    </xf>
    <xf numFmtId="0" fontId="11" fillId="0" borderId="0" xfId="0" applyFont="1" applyAlignment="1">
      <alignment horizontal="center"/>
    </xf>
    <xf numFmtId="0" fontId="11" fillId="17" borderId="11" xfId="11" applyFont="1" applyFill="1" applyBorder="1" applyAlignment="1">
      <alignment horizontal="center" wrapText="1"/>
    </xf>
    <xf numFmtId="39" fontId="11" fillId="0" borderId="1" xfId="1" applyNumberFormat="1" applyFont="1" applyBorder="1" applyAlignment="1">
      <alignment horizontal="center"/>
    </xf>
    <xf numFmtId="0" fontId="11" fillId="5" borderId="1" xfId="0" applyFont="1" applyFill="1" applyBorder="1" applyAlignment="1">
      <alignment horizontal="center" wrapText="1"/>
    </xf>
    <xf numFmtId="39" fontId="31" fillId="4" borderId="1" xfId="1" applyNumberFormat="1" applyFont="1" applyFill="1" applyBorder="1" applyAlignment="1">
      <alignment horizontal="center"/>
    </xf>
    <xf numFmtId="39" fontId="31" fillId="8" borderId="1" xfId="1" applyNumberFormat="1" applyFont="1" applyFill="1" applyBorder="1" applyAlignment="1">
      <alignment horizontal="center"/>
    </xf>
    <xf numFmtId="0" fontId="11" fillId="10" borderId="3" xfId="0" applyFont="1" applyFill="1" applyBorder="1" applyAlignment="1">
      <alignment horizontal="center" wrapText="1"/>
    </xf>
    <xf numFmtId="39" fontId="31" fillId="0" borderId="1" xfId="1" applyNumberFormat="1" applyFont="1" applyBorder="1" applyAlignment="1">
      <alignment horizontal="center"/>
    </xf>
    <xf numFmtId="174" fontId="11" fillId="5" borderId="1" xfId="0" applyNumberFormat="1" applyFont="1" applyFill="1" applyBorder="1" applyAlignment="1">
      <alignment horizontal="center" wrapText="1"/>
    </xf>
    <xf numFmtId="39" fontId="11" fillId="19" borderId="1" xfId="0" applyNumberFormat="1" applyFont="1" applyFill="1" applyBorder="1" applyAlignment="1">
      <alignment horizontal="center"/>
    </xf>
    <xf numFmtId="39" fontId="26" fillId="7" borderId="1" xfId="1" applyNumberFormat="1" applyFont="1" applyFill="1" applyBorder="1" applyAlignment="1">
      <alignment horizontal="right" vertical="center" wrapText="1"/>
    </xf>
    <xf numFmtId="39" fontId="26" fillId="7" borderId="1" xfId="1" applyNumberFormat="1" applyFont="1" applyFill="1" applyBorder="1" applyAlignment="1">
      <alignment horizontal="right" wrapText="1"/>
    </xf>
    <xf numFmtId="39" fontId="94" fillId="7" borderId="1" xfId="1" applyNumberFormat="1" applyFont="1" applyFill="1" applyBorder="1" applyAlignment="1">
      <alignment horizontal="right" wrapText="1"/>
    </xf>
    <xf numFmtId="178" fontId="26" fillId="0" borderId="0" xfId="0" applyNumberFormat="1" applyFont="1" applyAlignment="1">
      <alignment horizontal="right"/>
    </xf>
    <xf numFmtId="39" fontId="11" fillId="17" borderId="11" xfId="2" applyNumberFormat="1" applyFont="1" applyFill="1" applyBorder="1" applyAlignment="1">
      <alignment vertical="center" wrapText="1"/>
    </xf>
    <xf numFmtId="39" fontId="11" fillId="0" borderId="0" xfId="0" applyNumberFormat="1" applyFont="1" applyFill="1" applyAlignment="1">
      <alignment horizontal="right" vertical="center"/>
    </xf>
    <xf numFmtId="39" fontId="11" fillId="0" borderId="0" xfId="0" applyNumberFormat="1" applyFont="1" applyFill="1" applyBorder="1" applyAlignment="1">
      <alignment horizontal="right" vertical="center"/>
    </xf>
    <xf numFmtId="39" fontId="11" fillId="0" borderId="11" xfId="1" applyNumberFormat="1" applyFont="1" applyFill="1" applyBorder="1" applyAlignment="1">
      <alignment horizontal="right" vertical="center"/>
    </xf>
    <xf numFmtId="39" fontId="11" fillId="0" borderId="1" xfId="3" applyNumberFormat="1" applyFont="1" applyFill="1" applyBorder="1" applyAlignment="1">
      <alignment horizontal="right" vertical="center"/>
    </xf>
    <xf numFmtId="39" fontId="11" fillId="0" borderId="1" xfId="5" applyNumberFormat="1" applyFont="1" applyFill="1" applyBorder="1" applyAlignment="1">
      <alignment horizontal="right" vertical="center"/>
    </xf>
    <xf numFmtId="39" fontId="11" fillId="0" borderId="1" xfId="0" applyNumberFormat="1" applyFont="1" applyFill="1" applyBorder="1" applyAlignment="1">
      <alignment horizontal="right" vertical="center"/>
    </xf>
    <xf numFmtId="39" fontId="11" fillId="0" borderId="1" xfId="1" applyNumberFormat="1" applyFont="1" applyFill="1" applyBorder="1" applyAlignment="1">
      <alignment horizontal="right" vertical="center" wrapText="1"/>
    </xf>
    <xf numFmtId="39" fontId="11" fillId="0" borderId="11" xfId="1" applyNumberFormat="1" applyFont="1" applyFill="1" applyBorder="1" applyAlignment="1">
      <alignment vertical="center"/>
    </xf>
    <xf numFmtId="39" fontId="11" fillId="0" borderId="1" xfId="10" applyNumberFormat="1" applyFont="1" applyFill="1" applyBorder="1" applyAlignment="1">
      <alignment horizontal="right" vertical="center"/>
    </xf>
    <xf numFmtId="39" fontId="11" fillId="0" borderId="3" xfId="0" applyNumberFormat="1" applyFont="1" applyFill="1" applyBorder="1" applyAlignment="1">
      <alignment horizontal="right" vertical="center"/>
    </xf>
    <xf numFmtId="39" fontId="11" fillId="0" borderId="4" xfId="5" applyNumberFormat="1" applyFont="1" applyFill="1" applyBorder="1" applyAlignment="1">
      <alignment horizontal="right" vertical="center"/>
    </xf>
    <xf numFmtId="39" fontId="11" fillId="0" borderId="1" xfId="1" applyNumberFormat="1" applyFont="1" applyFill="1" applyBorder="1" applyAlignment="1">
      <alignment vertical="center"/>
    </xf>
    <xf numFmtId="39" fontId="11" fillId="0" borderId="0" xfId="0" applyNumberFormat="1" applyFont="1" applyAlignment="1">
      <alignment vertical="center"/>
    </xf>
    <xf numFmtId="167" fontId="17" fillId="0" borderId="0" xfId="1" applyFont="1" applyAlignment="1">
      <alignment horizontal="right" vertical="center"/>
    </xf>
    <xf numFmtId="167" fontId="17" fillId="0" borderId="1" xfId="1" applyFont="1" applyBorder="1" applyAlignment="1">
      <alignment horizontal="right" vertical="center"/>
    </xf>
    <xf numFmtId="167" fontId="131" fillId="4" borderId="1" xfId="1" applyFont="1" applyFill="1" applyBorder="1" applyAlignment="1">
      <alignment horizontal="right" vertical="center"/>
    </xf>
    <xf numFmtId="167" fontId="131" fillId="8" borderId="1" xfId="1" applyFont="1" applyFill="1" applyBorder="1" applyAlignment="1">
      <alignment horizontal="right" vertical="center"/>
    </xf>
    <xf numFmtId="167" fontId="17" fillId="31" borderId="1" xfId="1" applyFont="1" applyFill="1" applyBorder="1" applyAlignment="1">
      <alignment horizontal="right" vertical="center"/>
    </xf>
    <xf numFmtId="167" fontId="17" fillId="4" borderId="1" xfId="1" applyFont="1" applyFill="1" applyBorder="1" applyAlignment="1">
      <alignment horizontal="right" vertical="center"/>
    </xf>
    <xf numFmtId="167" fontId="28" fillId="4" borderId="1" xfId="1" applyFont="1" applyFill="1" applyBorder="1" applyAlignment="1">
      <alignment horizontal="right" vertical="center"/>
    </xf>
    <xf numFmtId="167" fontId="131" fillId="8" borderId="4" xfId="1" applyFont="1" applyFill="1" applyBorder="1" applyAlignment="1">
      <alignment horizontal="right" vertical="center"/>
    </xf>
    <xf numFmtId="167" fontId="28" fillId="10" borderId="3" xfId="1" applyFont="1" applyFill="1" applyBorder="1" applyAlignment="1">
      <alignment horizontal="right" vertical="center" wrapText="1"/>
    </xf>
    <xf numFmtId="167" fontId="28" fillId="0" borderId="1" xfId="1" applyFont="1" applyBorder="1" applyAlignment="1">
      <alignment horizontal="right" vertical="center"/>
    </xf>
    <xf numFmtId="167" fontId="28" fillId="5" borderId="4" xfId="1" applyFont="1" applyFill="1" applyBorder="1" applyAlignment="1">
      <alignment horizontal="right" vertical="center" wrapText="1"/>
    </xf>
    <xf numFmtId="167" fontId="28" fillId="5" borderId="1" xfId="1" applyFont="1" applyFill="1" applyBorder="1" applyAlignment="1">
      <alignment horizontal="right" vertical="center" wrapText="1"/>
    </xf>
    <xf numFmtId="167" fontId="28" fillId="19" borderId="1" xfId="1" applyFont="1" applyFill="1" applyBorder="1" applyAlignment="1">
      <alignment horizontal="right" vertical="center"/>
    </xf>
    <xf numFmtId="167" fontId="11" fillId="14" borderId="11" xfId="1" applyFont="1" applyFill="1" applyBorder="1" applyAlignment="1">
      <alignment horizontal="left" vertical="center" wrapText="1"/>
    </xf>
    <xf numFmtId="0" fontId="11" fillId="17" borderId="11" xfId="7" applyFont="1" applyFill="1" applyBorder="1" applyAlignment="1">
      <alignment horizontal="center" vertical="center" wrapText="1"/>
    </xf>
    <xf numFmtId="0" fontId="11" fillId="26" borderId="3" xfId="0" applyFont="1" applyFill="1" applyBorder="1" applyAlignment="1">
      <alignment horizontal="left" vertical="center" wrapText="1"/>
    </xf>
    <xf numFmtId="176" fontId="11" fillId="4" borderId="3" xfId="0" applyNumberFormat="1" applyFont="1" applyFill="1" applyBorder="1" applyAlignment="1">
      <alignment horizontal="left" vertical="center" wrapText="1"/>
    </xf>
    <xf numFmtId="176" fontId="11" fillId="19" borderId="1" xfId="0" applyNumberFormat="1" applyFont="1" applyFill="1" applyBorder="1"/>
    <xf numFmtId="0" fontId="11" fillId="7" borderId="1" xfId="0" applyFont="1" applyFill="1" applyBorder="1" applyAlignment="1">
      <alignment horizontal="left" vertical="center" wrapText="1"/>
    </xf>
    <xf numFmtId="0" fontId="11" fillId="10" borderId="2" xfId="0" applyFont="1" applyFill="1" applyBorder="1" applyAlignment="1">
      <alignment horizontal="left" vertical="center" wrapText="1"/>
    </xf>
    <xf numFmtId="176" fontId="11" fillId="8" borderId="3" xfId="0" applyNumberFormat="1" applyFont="1" applyFill="1" applyBorder="1" applyAlignment="1">
      <alignment horizontal="left" vertical="center" wrapText="1"/>
    </xf>
    <xf numFmtId="167" fontId="11" fillId="3" borderId="1" xfId="5" applyFont="1" applyFill="1" applyBorder="1" applyAlignment="1">
      <alignment vertical="center" wrapText="1"/>
    </xf>
    <xf numFmtId="167" fontId="31" fillId="8" borderId="1" xfId="5" applyFont="1" applyFill="1" applyBorder="1"/>
    <xf numFmtId="176" fontId="11" fillId="44" borderId="3" xfId="0" applyNumberFormat="1" applyFont="1" applyFill="1" applyBorder="1" applyAlignment="1">
      <alignment horizontal="left" vertical="center" wrapText="1"/>
    </xf>
    <xf numFmtId="168" fontId="31" fillId="10" borderId="1" xfId="0" applyNumberFormat="1" applyFont="1" applyFill="1" applyBorder="1" applyAlignment="1">
      <alignment horizontal="left" vertical="top" wrapText="1"/>
    </xf>
    <xf numFmtId="168" fontId="31" fillId="11" borderId="1" xfId="0" applyNumberFormat="1" applyFont="1" applyFill="1" applyBorder="1" applyAlignment="1">
      <alignment horizontal="left" vertical="top" wrapText="1"/>
    </xf>
    <xf numFmtId="176" fontId="11" fillId="4" borderId="1" xfId="0" applyNumberFormat="1" applyFont="1" applyFill="1" applyBorder="1"/>
    <xf numFmtId="167" fontId="11" fillId="29" borderId="1" xfId="5" applyFont="1" applyFill="1" applyBorder="1" applyAlignment="1">
      <alignment horizontal="right"/>
    </xf>
    <xf numFmtId="176" fontId="11" fillId="29" borderId="1" xfId="0" applyNumberFormat="1" applyFont="1" applyFill="1" applyBorder="1" applyAlignment="1">
      <alignment vertical="center" wrapText="1"/>
    </xf>
    <xf numFmtId="176" fontId="11" fillId="8" borderId="1" xfId="0" applyNumberFormat="1" applyFont="1" applyFill="1" applyBorder="1" applyAlignment="1">
      <alignment vertical="center"/>
    </xf>
    <xf numFmtId="1" fontId="11" fillId="9" borderId="4" xfId="0" applyNumberFormat="1" applyFont="1" applyFill="1" applyBorder="1" applyAlignment="1">
      <alignment horizontal="center" vertical="center" wrapText="1"/>
    </xf>
    <xf numFmtId="167" fontId="11" fillId="9" borderId="4" xfId="5" applyFont="1" applyFill="1" applyBorder="1" applyAlignment="1">
      <alignment horizontal="center" vertical="center" wrapText="1"/>
    </xf>
    <xf numFmtId="1" fontId="11" fillId="9" borderId="4" xfId="0" applyNumberFormat="1" applyFont="1" applyFill="1" applyBorder="1"/>
    <xf numFmtId="1" fontId="11" fillId="20" borderId="4" xfId="0" applyNumberFormat="1" applyFont="1" applyFill="1" applyBorder="1"/>
    <xf numFmtId="39" fontId="11" fillId="41" borderId="1" xfId="5" applyNumberFormat="1" applyFont="1" applyFill="1" applyBorder="1" applyAlignment="1">
      <alignment vertical="center"/>
    </xf>
    <xf numFmtId="39" fontId="11" fillId="7" borderId="1" xfId="5" applyNumberFormat="1" applyFont="1" applyFill="1" applyBorder="1"/>
    <xf numFmtId="176" fontId="11" fillId="7" borderId="1" xfId="5" applyNumberFormat="1" applyFont="1" applyFill="1" applyBorder="1"/>
    <xf numFmtId="176" fontId="11" fillId="7" borderId="1" xfId="0" applyNumberFormat="1" applyFont="1" applyFill="1" applyBorder="1"/>
    <xf numFmtId="0" fontId="11" fillId="7" borderId="1" xfId="0" applyFont="1" applyFill="1" applyBorder="1"/>
    <xf numFmtId="176" fontId="11" fillId="7" borderId="1" xfId="0" applyNumberFormat="1" applyFont="1" applyFill="1" applyBorder="1" applyAlignment="1">
      <alignment vertical="center"/>
    </xf>
    <xf numFmtId="176" fontId="11" fillId="39" borderId="1" xfId="0" applyNumberFormat="1" applyFont="1" applyFill="1" applyBorder="1" applyAlignment="1">
      <alignment vertical="center"/>
    </xf>
    <xf numFmtId="164" fontId="11" fillId="0" borderId="4" xfId="10" applyFont="1" applyBorder="1" applyAlignment="1">
      <alignment vertical="center"/>
    </xf>
    <xf numFmtId="164" fontId="11" fillId="7" borderId="1" xfId="10" applyFont="1" applyFill="1" applyBorder="1" applyAlignment="1">
      <alignment vertical="center"/>
    </xf>
    <xf numFmtId="0" fontId="11" fillId="7" borderId="4" xfId="0" applyFont="1" applyFill="1" applyBorder="1"/>
    <xf numFmtId="167" fontId="11" fillId="7" borderId="4" xfId="1" applyFont="1" applyFill="1" applyBorder="1" applyAlignment="1">
      <alignment vertical="center"/>
    </xf>
    <xf numFmtId="167" fontId="11" fillId="7" borderId="4" xfId="5" applyFont="1" applyFill="1" applyBorder="1" applyAlignment="1">
      <alignment vertical="center"/>
    </xf>
    <xf numFmtId="1" fontId="11" fillId="0" borderId="0" xfId="0" applyNumberFormat="1" applyFont="1"/>
    <xf numFmtId="166" fontId="10" fillId="7" borderId="1" xfId="0" applyNumberFormat="1" applyFont="1" applyFill="1" applyBorder="1" applyAlignment="1">
      <alignment vertical="center" wrapText="1"/>
    </xf>
    <xf numFmtId="2" fontId="10" fillId="0" borderId="1" xfId="1" applyNumberFormat="1" applyFont="1" applyFill="1" applyBorder="1" applyAlignment="1">
      <alignment vertical="center" wrapText="1"/>
    </xf>
    <xf numFmtId="2" fontId="10" fillId="0" borderId="14" xfId="0" applyNumberFormat="1" applyFont="1" applyFill="1" applyBorder="1" applyAlignment="1">
      <alignment horizontal="left" vertical="center" wrapText="1"/>
    </xf>
    <xf numFmtId="2" fontId="10" fillId="0" borderId="1" xfId="3" applyNumberFormat="1" applyFont="1" applyFill="1" applyBorder="1" applyAlignment="1">
      <alignment vertical="center" wrapText="1"/>
    </xf>
    <xf numFmtId="2" fontId="10" fillId="0" borderId="11" xfId="0" applyNumberFormat="1" applyFont="1" applyFill="1" applyBorder="1" applyAlignment="1">
      <alignment vertical="center" wrapText="1"/>
    </xf>
    <xf numFmtId="167" fontId="11" fillId="0" borderId="0" xfId="1" applyFont="1" applyAlignment="1">
      <alignment horizontal="right" vertical="center"/>
    </xf>
    <xf numFmtId="167" fontId="10" fillId="0" borderId="0" xfId="1" applyFont="1" applyBorder="1" applyAlignment="1">
      <alignment horizontal="right" vertical="center"/>
    </xf>
    <xf numFmtId="167" fontId="10" fillId="0" borderId="0" xfId="1" applyFont="1" applyFill="1" applyAlignment="1">
      <alignment horizontal="right" vertical="center"/>
    </xf>
    <xf numFmtId="0" fontId="11" fillId="8" borderId="4"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38" fillId="14" borderId="4" xfId="2" applyNumberFormat="1" applyFont="1" applyFill="1" applyBorder="1" applyAlignment="1">
      <alignment horizontal="center" vertical="center" wrapText="1"/>
    </xf>
    <xf numFmtId="0" fontId="38" fillId="14" borderId="3" xfId="2" applyNumberFormat="1" applyFont="1" applyFill="1" applyBorder="1" applyAlignment="1">
      <alignment horizontal="center" vertical="center" wrapText="1"/>
    </xf>
    <xf numFmtId="0" fontId="38" fillId="14" borderId="2" xfId="2" applyNumberFormat="1" applyFont="1" applyFill="1" applyBorder="1" applyAlignment="1">
      <alignment horizontal="center" vertical="center" wrapText="1"/>
    </xf>
    <xf numFmtId="0" fontId="11" fillId="9" borderId="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36" borderId="4" xfId="0" applyFont="1" applyFill="1" applyBorder="1" applyAlignment="1">
      <alignment horizontal="left" vertical="center"/>
    </xf>
    <xf numFmtId="0" fontId="11" fillId="36" borderId="3" xfId="0" applyFont="1" applyFill="1" applyBorder="1" applyAlignment="1">
      <alignment horizontal="left" vertical="center"/>
    </xf>
    <xf numFmtId="0" fontId="11" fillId="36" borderId="2" xfId="0" applyFont="1" applyFill="1" applyBorder="1" applyAlignment="1">
      <alignment horizontal="lef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8" borderId="4" xfId="0" applyFont="1" applyFill="1" applyBorder="1" applyAlignment="1">
      <alignment horizontal="left" vertical="center"/>
    </xf>
    <xf numFmtId="0" fontId="11" fillId="8" borderId="3" xfId="0" applyFont="1" applyFill="1" applyBorder="1" applyAlignment="1">
      <alignment horizontal="left" vertical="center"/>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4"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1" fillId="36" borderId="5" xfId="0" applyFont="1" applyFill="1" applyBorder="1" applyAlignment="1">
      <alignment horizontal="left" vertical="center"/>
    </xf>
    <xf numFmtId="0" fontId="11" fillId="36" borderId="6" xfId="0" applyFont="1" applyFill="1" applyBorder="1" applyAlignment="1">
      <alignment horizontal="left" vertical="center"/>
    </xf>
    <xf numFmtId="0" fontId="11" fillId="36" borderId="7" xfId="0" applyFont="1" applyFill="1" applyBorder="1" applyAlignment="1">
      <alignment horizontal="left" vertical="center"/>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1" fillId="10" borderId="4" xfId="0" applyFont="1" applyFill="1" applyBorder="1" applyAlignment="1">
      <alignment horizontal="left" vertical="center"/>
    </xf>
    <xf numFmtId="0" fontId="11" fillId="10" borderId="3" xfId="0" applyFont="1" applyFill="1" applyBorder="1" applyAlignment="1">
      <alignment horizontal="left" vertical="center"/>
    </xf>
    <xf numFmtId="0" fontId="11" fillId="10" borderId="2" xfId="0" applyFont="1" applyFill="1" applyBorder="1" applyAlignment="1">
      <alignment horizontal="left" vertical="center"/>
    </xf>
    <xf numFmtId="0" fontId="11" fillId="15" borderId="4" xfId="0" applyFont="1" applyFill="1" applyBorder="1" applyAlignment="1">
      <alignment horizontal="left" vertical="center"/>
    </xf>
    <xf numFmtId="0" fontId="11" fillId="15" borderId="3" xfId="0" applyFont="1" applyFill="1" applyBorder="1" applyAlignment="1">
      <alignment horizontal="left" vertical="center"/>
    </xf>
    <xf numFmtId="0" fontId="11" fillId="15" borderId="2" xfId="0" applyFont="1" applyFill="1" applyBorder="1" applyAlignment="1">
      <alignment horizontal="left" vertical="center"/>
    </xf>
    <xf numFmtId="0" fontId="10" fillId="19" borderId="4" xfId="0" applyFont="1" applyFill="1" applyBorder="1" applyAlignment="1">
      <alignment horizontal="right" vertical="center" wrapText="1"/>
    </xf>
    <xf numFmtId="0" fontId="10" fillId="19" borderId="3" xfId="0" applyFont="1" applyFill="1" applyBorder="1" applyAlignment="1">
      <alignment horizontal="right" vertical="center" wrapText="1"/>
    </xf>
    <xf numFmtId="0" fontId="10" fillId="19" borderId="2" xfId="0" applyFont="1" applyFill="1" applyBorder="1" applyAlignment="1">
      <alignment horizontal="right" vertical="center" wrapText="1"/>
    </xf>
    <xf numFmtId="0" fontId="11" fillId="19" borderId="4" xfId="0" applyFont="1" applyFill="1" applyBorder="1" applyAlignment="1">
      <alignment horizontal="right" vertical="center"/>
    </xf>
    <xf numFmtId="0" fontId="11" fillId="19" borderId="3" xfId="0" applyFont="1" applyFill="1" applyBorder="1" applyAlignment="1">
      <alignment horizontal="right" vertical="center"/>
    </xf>
    <xf numFmtId="0" fontId="11" fillId="0" borderId="13" xfId="0" applyFont="1" applyBorder="1" applyAlignment="1">
      <alignment horizontal="left" vertical="center"/>
    </xf>
    <xf numFmtId="0" fontId="11" fillId="0" borderId="10" xfId="0" applyFont="1" applyBorder="1" applyAlignment="1">
      <alignment horizontal="left" vertical="center"/>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1" xfId="0" applyFont="1" applyFill="1" applyBorder="1" applyAlignment="1">
      <alignment vertical="center" wrapText="1"/>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11" xfId="0" applyFont="1" applyFill="1" applyBorder="1" applyAlignment="1">
      <alignment horizontal="left" vertical="center"/>
    </xf>
    <xf numFmtId="0" fontId="11" fillId="11" borderId="14" xfId="0" applyFont="1" applyFill="1" applyBorder="1" applyAlignment="1">
      <alignment horizontal="left" vertical="center" wrapText="1"/>
    </xf>
    <xf numFmtId="0" fontId="11" fillId="11" borderId="15" xfId="0" applyFont="1" applyFill="1" applyBorder="1" applyAlignment="1">
      <alignment horizontal="left" vertical="center" wrapText="1"/>
    </xf>
    <xf numFmtId="0" fontId="11" fillId="11" borderId="1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8" fillId="14" borderId="1" xfId="2" applyNumberFormat="1" applyFont="1" applyFill="1" applyBorder="1" applyAlignment="1">
      <alignment horizontal="center" vertical="center" wrapText="1"/>
    </xf>
    <xf numFmtId="0" fontId="0" fillId="0" borderId="1" xfId="0" applyBorder="1" applyAlignment="1"/>
    <xf numFmtId="168" fontId="0" fillId="31" borderId="14" xfId="1" applyNumberFormat="1" applyFont="1" applyFill="1" applyBorder="1" applyAlignment="1">
      <alignment horizontal="center" vertical="center" wrapText="1"/>
    </xf>
    <xf numFmtId="168" fontId="0" fillId="31" borderId="11" xfId="1" applyNumberFormat="1" applyFont="1" applyFill="1" applyBorder="1" applyAlignment="1">
      <alignment horizontal="center" vertical="center" wrapText="1"/>
    </xf>
    <xf numFmtId="167" fontId="0" fillId="31" borderId="14" xfId="1" applyFont="1" applyFill="1" applyBorder="1" applyAlignment="1">
      <alignment horizontal="center" vertical="center" wrapText="1"/>
    </xf>
    <xf numFmtId="167" fontId="0" fillId="31" borderId="11" xfId="1" applyFont="1" applyFill="1" applyBorder="1" applyAlignment="1">
      <alignment horizontal="center" vertical="center" wrapText="1"/>
    </xf>
    <xf numFmtId="0" fontId="11" fillId="0" borderId="0" xfId="0" applyFont="1" applyAlignment="1">
      <alignment wrapText="1"/>
    </xf>
    <xf numFmtId="0" fontId="8" fillId="0" borderId="0" xfId="0" applyFont="1" applyFill="1" applyBorder="1" applyAlignment="1">
      <alignment horizontal="center" vertical="center" wrapText="1"/>
    </xf>
    <xf numFmtId="0" fontId="19" fillId="0" borderId="0" xfId="0" applyFont="1" applyBorder="1" applyAlignment="1">
      <alignment horizontal="right" vertical="center"/>
    </xf>
    <xf numFmtId="17" fontId="19" fillId="14" borderId="4" xfId="2" applyNumberFormat="1" applyFont="1" applyFill="1" applyBorder="1" applyAlignment="1">
      <alignment horizontal="center" vertical="center" wrapText="1"/>
    </xf>
    <xf numFmtId="0" fontId="19" fillId="14" borderId="3" xfId="2" applyNumberFormat="1" applyFont="1" applyFill="1" applyBorder="1" applyAlignment="1">
      <alignment horizontal="center" vertical="center" wrapText="1"/>
    </xf>
    <xf numFmtId="0" fontId="19" fillId="14" borderId="2" xfId="2" applyNumberFormat="1" applyFont="1" applyFill="1" applyBorder="1" applyAlignment="1">
      <alignment horizontal="center" vertical="center" wrapText="1"/>
    </xf>
    <xf numFmtId="0" fontId="19" fillId="23" borderId="4" xfId="0" applyFont="1" applyFill="1" applyBorder="1" applyAlignment="1">
      <alignment horizontal="left" vertical="center" wrapText="1"/>
    </xf>
    <xf numFmtId="0" fontId="19" fillId="23" borderId="3" xfId="0" applyFont="1" applyFill="1" applyBorder="1" applyAlignment="1">
      <alignment horizontal="left" vertical="center" wrapText="1"/>
    </xf>
    <xf numFmtId="0" fontId="19" fillId="23" borderId="2" xfId="0" applyFont="1" applyFill="1" applyBorder="1" applyAlignment="1">
      <alignment horizontal="left" vertical="center" wrapText="1"/>
    </xf>
    <xf numFmtId="0" fontId="19" fillId="25" borderId="4" xfId="0" applyFont="1" applyFill="1" applyBorder="1" applyAlignment="1">
      <alignment horizontal="left" vertical="center" wrapText="1"/>
    </xf>
    <xf numFmtId="0" fontId="19" fillId="25" borderId="3" xfId="0" applyFont="1" applyFill="1" applyBorder="1" applyAlignment="1">
      <alignment horizontal="left" vertical="center" wrapText="1"/>
    </xf>
    <xf numFmtId="0" fontId="19" fillId="25" borderId="2" xfId="0" applyFont="1" applyFill="1" applyBorder="1" applyAlignment="1">
      <alignment horizontal="left" vertical="center" wrapText="1"/>
    </xf>
    <xf numFmtId="0" fontId="19" fillId="0" borderId="14" xfId="0" applyFont="1" applyBorder="1" applyAlignment="1">
      <alignment horizontal="center" vertical="center" textRotation="90" wrapText="1"/>
    </xf>
    <xf numFmtId="0" fontId="19" fillId="0" borderId="15" xfId="0" applyFont="1" applyBorder="1" applyAlignment="1">
      <alignment horizontal="center" vertical="center" textRotation="90" wrapText="1"/>
    </xf>
    <xf numFmtId="0" fontId="19" fillId="0" borderId="11" xfId="0" applyFont="1" applyBorder="1" applyAlignment="1">
      <alignment horizontal="center" vertical="center" textRotation="90" wrapText="1"/>
    </xf>
    <xf numFmtId="0" fontId="19" fillId="4" borderId="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15" borderId="4" xfId="0" applyFont="1" applyFill="1" applyBorder="1" applyAlignment="1">
      <alignment horizontal="left" vertical="center"/>
    </xf>
    <xf numFmtId="0" fontId="19" fillId="15" borderId="3" xfId="0" applyFont="1" applyFill="1" applyBorder="1" applyAlignment="1">
      <alignment horizontal="left" vertical="center"/>
    </xf>
    <xf numFmtId="0" fontId="19" fillId="25" borderId="4" xfId="0" applyFont="1" applyFill="1" applyBorder="1" applyAlignment="1">
      <alignment horizontal="center" vertical="center" wrapText="1"/>
    </xf>
    <xf numFmtId="0" fontId="19" fillId="25" borderId="3" xfId="0" applyFont="1" applyFill="1" applyBorder="1" applyAlignment="1">
      <alignment horizontal="center" vertical="center" wrapText="1"/>
    </xf>
    <xf numFmtId="0" fontId="19" fillId="21" borderId="4" xfId="0" applyFont="1" applyFill="1" applyBorder="1" applyAlignment="1">
      <alignment horizontal="left" vertical="center" wrapText="1"/>
    </xf>
    <xf numFmtId="0" fontId="19" fillId="21" borderId="3" xfId="0" applyFont="1" applyFill="1" applyBorder="1" applyAlignment="1">
      <alignment horizontal="left" vertical="center" wrapText="1"/>
    </xf>
    <xf numFmtId="0" fontId="19" fillId="0" borderId="5"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9" fillId="15" borderId="4"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21" borderId="2" xfId="0" applyFont="1" applyFill="1" applyBorder="1" applyAlignment="1">
      <alignment horizontal="left" vertical="center" wrapText="1"/>
    </xf>
    <xf numFmtId="0" fontId="19" fillId="22" borderId="4" xfId="0" applyFont="1" applyFill="1" applyBorder="1" applyAlignment="1">
      <alignment horizontal="left" vertical="center" wrapText="1"/>
    </xf>
    <xf numFmtId="0" fontId="19" fillId="22" borderId="3" xfId="0" applyFont="1" applyFill="1" applyBorder="1" applyAlignment="1">
      <alignment horizontal="left" vertical="center" wrapText="1"/>
    </xf>
    <xf numFmtId="0" fontId="19" fillId="4" borderId="1" xfId="0" applyFont="1" applyFill="1" applyBorder="1" applyAlignment="1">
      <alignment horizontal="center" vertical="center"/>
    </xf>
    <xf numFmtId="0" fontId="19" fillId="22" borderId="4" xfId="0" applyFont="1" applyFill="1" applyBorder="1" applyAlignment="1">
      <alignment horizontal="left" vertical="center"/>
    </xf>
    <xf numFmtId="0" fontId="19" fillId="22" borderId="3" xfId="0" applyFont="1" applyFill="1" applyBorder="1" applyAlignment="1">
      <alignment horizontal="left" vertical="center"/>
    </xf>
    <xf numFmtId="0" fontId="19" fillId="22" borderId="3" xfId="0" applyFont="1" applyFill="1" applyBorder="1" applyAlignment="1">
      <alignment vertical="center"/>
    </xf>
    <xf numFmtId="0" fontId="19" fillId="22" borderId="1" xfId="0" applyFont="1" applyFill="1" applyBorder="1" applyAlignment="1">
      <alignment horizontal="left" vertical="center"/>
    </xf>
    <xf numFmtId="0" fontId="19" fillId="22" borderId="1" xfId="0" applyFont="1" applyFill="1" applyBorder="1" applyAlignment="1">
      <alignment vertical="center"/>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9" fillId="5" borderId="5" xfId="0" applyFont="1" applyFill="1" applyBorder="1" applyAlignment="1">
      <alignment horizontal="right" vertical="center"/>
    </xf>
    <xf numFmtId="0" fontId="19" fillId="5" borderId="6" xfId="0" applyFont="1" applyFill="1" applyBorder="1" applyAlignment="1">
      <alignment horizontal="right" vertical="center"/>
    </xf>
    <xf numFmtId="0" fontId="19" fillId="5" borderId="7" xfId="0" applyFont="1" applyFill="1" applyBorder="1" applyAlignment="1">
      <alignment horizontal="right" vertical="center"/>
    </xf>
    <xf numFmtId="0" fontId="19" fillId="5" borderId="8" xfId="0" applyFont="1" applyFill="1" applyBorder="1" applyAlignment="1">
      <alignment horizontal="right" vertical="center"/>
    </xf>
    <xf numFmtId="0" fontId="19" fillId="5" borderId="9" xfId="0" applyFont="1" applyFill="1" applyBorder="1" applyAlignment="1">
      <alignment horizontal="right" vertical="center"/>
    </xf>
    <xf numFmtId="0" fontId="19" fillId="5" borderId="10" xfId="0" applyFont="1" applyFill="1" applyBorder="1" applyAlignment="1">
      <alignment horizontal="right"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7" borderId="4" xfId="0" applyFont="1" applyFill="1" applyBorder="1" applyAlignment="1">
      <alignment horizontal="right" vertical="center" wrapText="1"/>
    </xf>
    <xf numFmtId="0" fontId="19" fillId="7" borderId="3" xfId="0" applyFont="1" applyFill="1" applyBorder="1" applyAlignment="1">
      <alignment horizontal="right" vertical="center" wrapText="1"/>
    </xf>
    <xf numFmtId="0" fontId="19" fillId="7" borderId="2" xfId="0" applyFont="1" applyFill="1" applyBorder="1" applyAlignment="1">
      <alignment horizontal="right" vertical="center" wrapText="1"/>
    </xf>
    <xf numFmtId="0" fontId="19" fillId="7" borderId="4"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05" fillId="24" borderId="4" xfId="0" applyFont="1" applyFill="1" applyBorder="1" applyAlignment="1">
      <alignment horizontal="right" vertical="center"/>
    </xf>
    <xf numFmtId="0" fontId="105" fillId="24" borderId="3" xfId="0" applyFont="1" applyFill="1" applyBorder="1" applyAlignment="1">
      <alignment horizontal="right" vertical="center"/>
    </xf>
    <xf numFmtId="0" fontId="105" fillId="24" borderId="2" xfId="0" applyFont="1" applyFill="1" applyBorder="1" applyAlignment="1">
      <alignment horizontal="right" vertical="center"/>
    </xf>
    <xf numFmtId="0" fontId="105" fillId="24" borderId="4" xfId="0" applyFont="1" applyFill="1" applyBorder="1" applyAlignment="1">
      <alignment horizontal="center" vertical="center"/>
    </xf>
    <xf numFmtId="0" fontId="105" fillId="24" borderId="3" xfId="0" applyFont="1" applyFill="1" applyBorder="1" applyAlignment="1">
      <alignment horizontal="center" vertical="center"/>
    </xf>
    <xf numFmtId="0" fontId="105" fillId="24" borderId="2" xfId="0" applyFont="1" applyFill="1" applyBorder="1" applyAlignment="1">
      <alignment horizontal="center" vertical="center"/>
    </xf>
    <xf numFmtId="17" fontId="11" fillId="14" borderId="4" xfId="11"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vertical="center"/>
    </xf>
    <xf numFmtId="0" fontId="11" fillId="10" borderId="4"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0" fillId="0" borderId="3"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8" borderId="2" xfId="0" applyFont="1" applyFill="1" applyBorder="1" applyAlignment="1">
      <alignment horizontal="lef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0" fillId="0" borderId="0" xfId="0" applyFont="1" applyAlignment="1">
      <alignment horizontal="left" vertical="center" wrapText="1"/>
    </xf>
    <xf numFmtId="172" fontId="11" fillId="0" borderId="54" xfId="10" applyNumberFormat="1" applyFont="1" applyBorder="1" applyAlignment="1">
      <alignment horizontal="center" vertical="center"/>
    </xf>
    <xf numFmtId="172" fontId="11" fillId="0" borderId="55" xfId="10" applyNumberFormat="1" applyFont="1" applyBorder="1" applyAlignment="1">
      <alignment horizontal="center" vertical="center"/>
    </xf>
    <xf numFmtId="172" fontId="11" fillId="0" borderId="16" xfId="10" applyNumberFormat="1" applyFont="1" applyBorder="1" applyAlignment="1">
      <alignment horizontal="center" vertical="center"/>
    </xf>
    <xf numFmtId="0" fontId="11" fillId="0" borderId="1" xfId="9" applyFont="1" applyBorder="1" applyAlignment="1">
      <alignment horizontal="left" vertical="center" wrapText="1"/>
    </xf>
    <xf numFmtId="0" fontId="11" fillId="18" borderId="1" xfId="9" applyFont="1" applyFill="1" applyBorder="1" applyAlignment="1">
      <alignment horizontal="left" vertical="center" wrapText="1"/>
    </xf>
    <xf numFmtId="0" fontId="10" fillId="0" borderId="12" xfId="9" applyFont="1" applyBorder="1" applyAlignment="1">
      <alignment horizontal="left" vertical="center" wrapText="1"/>
    </xf>
    <xf numFmtId="0" fontId="10" fillId="0" borderId="0" xfId="9" applyFont="1" applyBorder="1" applyAlignment="1">
      <alignment horizontal="left" vertical="center" wrapText="1"/>
    </xf>
    <xf numFmtId="0" fontId="10" fillId="0" borderId="8" xfId="9" applyFont="1" applyBorder="1" applyAlignment="1">
      <alignment horizontal="left" vertical="center" wrapText="1"/>
    </xf>
    <xf numFmtId="0" fontId="10" fillId="0" borderId="9" xfId="9" applyFont="1" applyBorder="1" applyAlignment="1">
      <alignment horizontal="left" vertical="center" wrapText="1"/>
    </xf>
    <xf numFmtId="0" fontId="57" fillId="11" borderId="14" xfId="0" applyFont="1" applyFill="1" applyBorder="1" applyAlignment="1">
      <alignment horizontal="center" wrapText="1"/>
    </xf>
    <xf numFmtId="0" fontId="57" fillId="11" borderId="15" xfId="0" applyFont="1" applyFill="1" applyBorder="1" applyAlignment="1">
      <alignment horizontal="center" wrapText="1"/>
    </xf>
    <xf numFmtId="0" fontId="57" fillId="11" borderId="11" xfId="0" applyFont="1" applyFill="1" applyBorder="1" applyAlignment="1">
      <alignment horizontal="center" wrapText="1"/>
    </xf>
    <xf numFmtId="9" fontId="57" fillId="0" borderId="52" xfId="13" applyFont="1" applyBorder="1" applyAlignment="1">
      <alignment horizontal="center"/>
    </xf>
    <xf numFmtId="9" fontId="57" fillId="0" borderId="15" xfId="13" applyFont="1" applyBorder="1" applyAlignment="1">
      <alignment horizontal="center"/>
    </xf>
    <xf numFmtId="9" fontId="57" fillId="0" borderId="11" xfId="13" applyFont="1" applyBorder="1" applyAlignment="1">
      <alignment horizontal="center"/>
    </xf>
    <xf numFmtId="0" fontId="50" fillId="11" borderId="14" xfId="0" applyFont="1" applyFill="1" applyBorder="1" applyAlignment="1">
      <alignment horizontal="center"/>
    </xf>
    <xf numFmtId="0" fontId="50" fillId="11" borderId="15" xfId="0" applyFont="1" applyFill="1" applyBorder="1" applyAlignment="1">
      <alignment horizontal="center"/>
    </xf>
    <xf numFmtId="0" fontId="50" fillId="11" borderId="11" xfId="0" applyFont="1" applyFill="1" applyBorder="1" applyAlignment="1">
      <alignment horizontal="center"/>
    </xf>
    <xf numFmtId="0" fontId="50" fillId="0" borderId="14" xfId="0" applyFont="1" applyBorder="1" applyAlignment="1">
      <alignment horizontal="center" vertical="top" wrapText="1"/>
    </xf>
    <xf numFmtId="0" fontId="50" fillId="0" borderId="15" xfId="0" applyFont="1" applyBorder="1" applyAlignment="1">
      <alignment horizontal="center" vertical="top" wrapText="1"/>
    </xf>
    <xf numFmtId="0" fontId="50" fillId="0" borderId="11" xfId="0" applyFont="1" applyBorder="1" applyAlignment="1">
      <alignment horizontal="center" vertical="top" wrapText="1"/>
    </xf>
    <xf numFmtId="9" fontId="50" fillId="11" borderId="14" xfId="13" applyFont="1" applyFill="1" applyBorder="1" applyAlignment="1">
      <alignment horizontal="center"/>
    </xf>
    <xf numFmtId="9" fontId="50" fillId="11" borderId="15" xfId="13" applyFont="1" applyFill="1" applyBorder="1" applyAlignment="1">
      <alignment horizontal="center"/>
    </xf>
    <xf numFmtId="9" fontId="50" fillId="11" borderId="11" xfId="13" applyFont="1" applyFill="1" applyBorder="1" applyAlignment="1">
      <alignment horizontal="center"/>
    </xf>
    <xf numFmtId="9" fontId="57" fillId="0" borderId="14" xfId="13" applyFont="1" applyBorder="1" applyAlignment="1">
      <alignment horizontal="center"/>
    </xf>
    <xf numFmtId="9" fontId="57" fillId="0" borderId="47" xfId="13" applyFont="1" applyBorder="1" applyAlignment="1">
      <alignment horizontal="center"/>
    </xf>
    <xf numFmtId="0" fontId="51" fillId="0" borderId="37" xfId="0" applyFont="1" applyBorder="1" applyAlignment="1">
      <alignment horizontal="left" vertical="center" wrapText="1"/>
    </xf>
    <xf numFmtId="0" fontId="51" fillId="0" borderId="38" xfId="0" applyFont="1" applyBorder="1" applyAlignment="1">
      <alignment horizontal="left" vertical="center" wrapText="1"/>
    </xf>
    <xf numFmtId="0" fontId="51" fillId="0" borderId="43" xfId="0" applyFont="1" applyBorder="1" applyAlignment="1">
      <alignment horizontal="left" vertical="center" wrapText="1"/>
    </xf>
    <xf numFmtId="0" fontId="50" fillId="0" borderId="52" xfId="0" applyFont="1" applyBorder="1" applyAlignment="1">
      <alignment horizontal="left" vertical="center" wrapText="1"/>
    </xf>
    <xf numFmtId="0" fontId="50" fillId="0" borderId="15" xfId="0" applyFont="1" applyBorder="1" applyAlignment="1">
      <alignment horizontal="left" vertical="center" wrapText="1"/>
    </xf>
    <xf numFmtId="0" fontId="50" fillId="0" borderId="11" xfId="0" applyFont="1" applyBorder="1" applyAlignment="1">
      <alignment horizontal="left" vertical="center" wrapText="1"/>
    </xf>
    <xf numFmtId="0" fontId="57" fillId="0" borderId="52" xfId="0" applyFont="1" applyBorder="1" applyAlignment="1">
      <alignment horizontal="left" wrapText="1"/>
    </xf>
    <xf numFmtId="0" fontId="57" fillId="0" borderId="15" xfId="0" applyFont="1" applyBorder="1" applyAlignment="1">
      <alignment horizontal="left" wrapText="1"/>
    </xf>
    <xf numFmtId="0" fontId="57" fillId="0" borderId="11" xfId="0" applyFont="1" applyBorder="1" applyAlignment="1">
      <alignment horizontal="left" wrapText="1"/>
    </xf>
    <xf numFmtId="0" fontId="50" fillId="0" borderId="52" xfId="0" applyFont="1" applyBorder="1" applyAlignment="1">
      <alignment horizontal="center"/>
    </xf>
    <xf numFmtId="0" fontId="50" fillId="0" borderId="15" xfId="0" applyFont="1" applyBorder="1" applyAlignment="1">
      <alignment horizontal="center"/>
    </xf>
    <xf numFmtId="0" fontId="50" fillId="0" borderId="11" xfId="0" applyFont="1" applyBorder="1" applyAlignment="1">
      <alignment horizontal="center"/>
    </xf>
    <xf numFmtId="0" fontId="50" fillId="0" borderId="14" xfId="0" applyFont="1" applyBorder="1" applyAlignment="1">
      <alignment horizontal="left" vertical="top" wrapText="1"/>
    </xf>
    <xf numFmtId="0" fontId="50" fillId="0" borderId="15" xfId="0" applyFont="1" applyBorder="1" applyAlignment="1">
      <alignment horizontal="left" vertical="top" wrapText="1"/>
    </xf>
    <xf numFmtId="0" fontId="50" fillId="0" borderId="11" xfId="0" applyFont="1" applyBorder="1" applyAlignment="1">
      <alignment horizontal="left" vertical="top" wrapText="1"/>
    </xf>
    <xf numFmtId="0" fontId="50" fillId="0" borderId="14" xfId="0" applyFont="1" applyBorder="1" applyAlignment="1">
      <alignment horizontal="center"/>
    </xf>
    <xf numFmtId="0" fontId="50" fillId="0" borderId="47" xfId="0" applyFont="1" applyBorder="1" applyAlignment="1">
      <alignment horizontal="center"/>
    </xf>
    <xf numFmtId="0" fontId="50" fillId="0" borderId="14" xfId="0" applyFont="1" applyBorder="1" applyAlignment="1">
      <alignment horizontal="center" wrapText="1"/>
    </xf>
    <xf numFmtId="0" fontId="50" fillId="0" borderId="15" xfId="0" applyFont="1" applyBorder="1" applyAlignment="1">
      <alignment horizontal="center" wrapText="1"/>
    </xf>
    <xf numFmtId="0" fontId="50" fillId="0" borderId="47" xfId="0" applyFont="1" applyBorder="1" applyAlignment="1">
      <alignment horizontal="center" wrapText="1"/>
    </xf>
    <xf numFmtId="0" fontId="50" fillId="0" borderId="14" xfId="0" applyFont="1" applyBorder="1" applyAlignment="1">
      <alignment horizontal="left" vertical="center" wrapText="1"/>
    </xf>
    <xf numFmtId="9" fontId="50" fillId="0" borderId="14" xfId="13" applyFont="1" applyBorder="1" applyAlignment="1">
      <alignment horizontal="center"/>
    </xf>
    <xf numFmtId="9" fontId="50" fillId="0" borderId="15" xfId="13" applyFont="1" applyBorder="1" applyAlignment="1">
      <alignment horizontal="center"/>
    </xf>
    <xf numFmtId="9" fontId="50" fillId="0" borderId="11" xfId="13" applyFont="1" applyBorder="1" applyAlignment="1">
      <alignment horizontal="center"/>
    </xf>
    <xf numFmtId="0" fontId="57" fillId="0" borderId="14" xfId="0" applyFont="1" applyBorder="1" applyAlignment="1">
      <alignment horizontal="left" wrapText="1"/>
    </xf>
    <xf numFmtId="0" fontId="57" fillId="0" borderId="52" xfId="0" applyFont="1" applyBorder="1" applyAlignment="1">
      <alignment horizontal="center" wrapText="1"/>
    </xf>
    <xf numFmtId="0" fontId="57" fillId="0" borderId="15" xfId="0" applyFont="1" applyBorder="1" applyAlignment="1">
      <alignment horizontal="center" wrapText="1"/>
    </xf>
    <xf numFmtId="0" fontId="57" fillId="0" borderId="11" xfId="0" applyFont="1" applyBorder="1" applyAlignment="1">
      <alignment horizontal="center" wrapText="1"/>
    </xf>
    <xf numFmtId="0" fontId="57" fillId="0" borderId="14" xfId="0" applyFont="1" applyBorder="1" applyAlignment="1">
      <alignment horizontal="center" wrapText="1"/>
    </xf>
    <xf numFmtId="9" fontId="59" fillId="0" borderId="14" xfId="13" applyFont="1" applyBorder="1" applyAlignment="1">
      <alignment horizontal="center"/>
    </xf>
    <xf numFmtId="9" fontId="59" fillId="0" borderId="15" xfId="13" applyFont="1" applyBorder="1" applyAlignment="1">
      <alignment horizontal="center"/>
    </xf>
    <xf numFmtId="9" fontId="59" fillId="0" borderId="11" xfId="13" applyFont="1" applyBorder="1" applyAlignment="1">
      <alignment horizontal="center"/>
    </xf>
    <xf numFmtId="9" fontId="106" fillId="11" borderId="14" xfId="13" applyFont="1" applyFill="1" applyBorder="1" applyAlignment="1">
      <alignment horizontal="center" wrapText="1"/>
    </xf>
    <xf numFmtId="9" fontId="106" fillId="11" borderId="15" xfId="13" applyFont="1" applyFill="1" applyBorder="1" applyAlignment="1">
      <alignment horizontal="center" wrapText="1"/>
    </xf>
    <xf numFmtId="9" fontId="106" fillId="11" borderId="11" xfId="13" applyFont="1" applyFill="1" applyBorder="1" applyAlignment="1">
      <alignment horizontal="center" wrapText="1"/>
    </xf>
    <xf numFmtId="0" fontId="50" fillId="0" borderId="11" xfId="0" applyFont="1" applyBorder="1" applyAlignment="1">
      <alignment horizontal="center" wrapText="1"/>
    </xf>
    <xf numFmtId="9" fontId="50" fillId="0" borderId="52" xfId="13" applyFont="1" applyBorder="1" applyAlignment="1">
      <alignment horizontal="center"/>
    </xf>
    <xf numFmtId="0" fontId="50" fillId="0" borderId="12" xfId="0" applyFont="1" applyBorder="1" applyAlignment="1">
      <alignment horizontal="left" wrapText="1"/>
    </xf>
    <xf numFmtId="0" fontId="50" fillId="0" borderId="0" xfId="0" applyFont="1" applyAlignment="1">
      <alignment horizontal="left" wrapText="1"/>
    </xf>
    <xf numFmtId="0" fontId="50" fillId="0" borderId="13" xfId="0" applyFont="1" applyBorder="1" applyAlignment="1">
      <alignment horizontal="left" wrapText="1"/>
    </xf>
    <xf numFmtId="0" fontId="50" fillId="0" borderId="8" xfId="0" applyFont="1" applyBorder="1" applyAlignment="1">
      <alignment horizontal="left" wrapText="1"/>
    </xf>
    <xf numFmtId="0" fontId="50" fillId="0" borderId="9" xfId="0" applyFont="1" applyBorder="1" applyAlignment="1">
      <alignment horizontal="left" wrapText="1"/>
    </xf>
    <xf numFmtId="0" fontId="50" fillId="0" borderId="10" xfId="0" applyFont="1" applyBorder="1" applyAlignment="1">
      <alignment horizontal="left" wrapText="1"/>
    </xf>
    <xf numFmtId="9" fontId="50" fillId="0" borderId="47" xfId="13" applyFont="1" applyBorder="1" applyAlignment="1">
      <alignment horizontal="center"/>
    </xf>
    <xf numFmtId="0" fontId="57" fillId="0" borderId="47" xfId="0" applyFont="1" applyBorder="1" applyAlignment="1">
      <alignment horizont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51" fillId="0" borderId="11" xfId="0" applyFont="1" applyBorder="1" applyAlignment="1">
      <alignment horizontal="left" vertical="center" wrapText="1"/>
    </xf>
    <xf numFmtId="0" fontId="50" fillId="0" borderId="52" xfId="0" applyFont="1" applyBorder="1" applyAlignment="1">
      <alignment horizontal="left" vertical="top" wrapText="1"/>
    </xf>
    <xf numFmtId="0" fontId="51" fillId="0" borderId="12" xfId="0" applyFont="1" applyBorder="1" applyAlignment="1">
      <alignment horizontal="left" vertical="center" wrapText="1"/>
    </xf>
    <xf numFmtId="0" fontId="51" fillId="0" borderId="8" xfId="0" applyFont="1" applyBorder="1" applyAlignment="1">
      <alignment horizontal="left" vertical="center" wrapText="1"/>
    </xf>
    <xf numFmtId="0" fontId="51" fillId="5" borderId="5" xfId="0" applyFont="1" applyFill="1" applyBorder="1" applyAlignment="1">
      <alignment horizontal="right" vertical="center"/>
    </xf>
    <xf numFmtId="0" fontId="51" fillId="5" borderId="6" xfId="0" applyFont="1" applyFill="1" applyBorder="1" applyAlignment="1">
      <alignment horizontal="right" vertical="center"/>
    </xf>
    <xf numFmtId="0" fontId="51" fillId="5" borderId="7" xfId="0" applyFont="1" applyFill="1" applyBorder="1" applyAlignment="1">
      <alignment horizontal="right" vertical="center"/>
    </xf>
    <xf numFmtId="0" fontId="51" fillId="5" borderId="8" xfId="0" applyFont="1" applyFill="1" applyBorder="1" applyAlignment="1">
      <alignment horizontal="right" vertical="center"/>
    </xf>
    <xf numFmtId="0" fontId="51" fillId="5" borderId="9" xfId="0" applyFont="1" applyFill="1" applyBorder="1" applyAlignment="1">
      <alignment horizontal="right" vertical="center"/>
    </xf>
    <xf numFmtId="0" fontId="51" fillId="5" borderId="10" xfId="0" applyFont="1" applyFill="1" applyBorder="1" applyAlignment="1">
      <alignment horizontal="right" vertical="center"/>
    </xf>
    <xf numFmtId="166" fontId="51" fillId="5" borderId="14" xfId="0" applyNumberFormat="1" applyFont="1" applyFill="1" applyBorder="1" applyAlignment="1">
      <alignment horizontal="center" vertical="center"/>
    </xf>
    <xf numFmtId="166" fontId="51" fillId="5" borderId="11" xfId="0" applyNumberFormat="1" applyFont="1" applyFill="1" applyBorder="1" applyAlignment="1">
      <alignment horizontal="center" vertical="center"/>
    </xf>
    <xf numFmtId="0" fontId="51" fillId="19" borderId="4" xfId="0" applyFont="1" applyFill="1" applyBorder="1" applyAlignment="1">
      <alignment horizontal="right" vertical="center"/>
    </xf>
    <xf numFmtId="0" fontId="51" fillId="19" borderId="3" xfId="0" applyFont="1" applyFill="1" applyBorder="1" applyAlignment="1">
      <alignment horizontal="right" vertical="center"/>
    </xf>
    <xf numFmtId="0" fontId="51" fillId="8" borderId="4" xfId="0" applyFont="1" applyFill="1" applyBorder="1" applyAlignment="1">
      <alignment horizontal="left" vertical="center"/>
    </xf>
    <xf numFmtId="0" fontId="51" fillId="8" borderId="3" xfId="0" applyFont="1" applyFill="1" applyBorder="1" applyAlignment="1">
      <alignment horizontal="left" vertical="center"/>
    </xf>
    <xf numFmtId="0" fontId="51" fillId="8" borderId="4" xfId="0" applyFont="1" applyFill="1" applyBorder="1" applyAlignment="1">
      <alignment horizontal="center" vertical="center"/>
    </xf>
    <xf numFmtId="0" fontId="51" fillId="8" borderId="3" xfId="0" applyFont="1" applyFill="1" applyBorder="1" applyAlignment="1">
      <alignment horizontal="center" vertical="center"/>
    </xf>
    <xf numFmtId="0" fontId="51" fillId="8" borderId="2" xfId="0" applyFont="1" applyFill="1" applyBorder="1" applyAlignment="1">
      <alignment horizontal="center" vertical="center"/>
    </xf>
    <xf numFmtId="0" fontId="51" fillId="8" borderId="2" xfId="0" applyFont="1" applyFill="1" applyBorder="1" applyAlignment="1">
      <alignment horizontal="left" vertical="center"/>
    </xf>
    <xf numFmtId="0" fontId="51" fillId="10" borderId="4" xfId="0" applyFont="1" applyFill="1" applyBorder="1" applyAlignment="1">
      <alignment horizontal="left" vertical="center"/>
    </xf>
    <xf numFmtId="0" fontId="51" fillId="10" borderId="3" xfId="0" applyFont="1" applyFill="1" applyBorder="1" applyAlignment="1">
      <alignment horizontal="left" vertical="center"/>
    </xf>
    <xf numFmtId="0" fontId="51" fillId="10" borderId="2" xfId="0" applyFont="1" applyFill="1" applyBorder="1" applyAlignment="1">
      <alignment horizontal="left" vertical="center"/>
    </xf>
    <xf numFmtId="0" fontId="51" fillId="5" borderId="14" xfId="0" applyFont="1" applyFill="1" applyBorder="1" applyAlignment="1">
      <alignment horizontal="left" vertical="center"/>
    </xf>
    <xf numFmtId="0" fontId="51" fillId="5" borderId="11" xfId="0" applyFont="1" applyFill="1" applyBorder="1" applyAlignment="1">
      <alignment horizontal="left" vertical="center"/>
    </xf>
    <xf numFmtId="0" fontId="51" fillId="9" borderId="4" xfId="0" applyFont="1" applyFill="1" applyBorder="1" applyAlignment="1">
      <alignment horizontal="left" vertical="center" wrapText="1"/>
    </xf>
    <xf numFmtId="0" fontId="51" fillId="9" borderId="3" xfId="0" applyFont="1" applyFill="1" applyBorder="1" applyAlignment="1">
      <alignment horizontal="left" vertical="center" wrapText="1"/>
    </xf>
    <xf numFmtId="0" fontId="51" fillId="10" borderId="1" xfId="0" applyFont="1" applyFill="1" applyBorder="1" applyAlignment="1">
      <alignment horizontal="left" vertical="center"/>
    </xf>
    <xf numFmtId="0" fontId="55" fillId="14" borderId="5" xfId="7" applyFont="1" applyFill="1" applyBorder="1" applyAlignment="1">
      <alignment horizontal="center" vertical="center" wrapText="1"/>
    </xf>
    <xf numFmtId="0" fontId="55" fillId="14" borderId="6" xfId="7" applyFont="1" applyFill="1" applyBorder="1" applyAlignment="1">
      <alignment horizontal="center" vertical="center" wrapText="1"/>
    </xf>
    <xf numFmtId="0" fontId="55" fillId="14" borderId="7" xfId="7" applyFont="1" applyFill="1" applyBorder="1" applyAlignment="1">
      <alignment horizontal="center" vertical="center" wrapText="1"/>
    </xf>
    <xf numFmtId="0" fontId="51" fillId="9" borderId="36" xfId="0" applyFont="1" applyFill="1" applyBorder="1" applyAlignment="1">
      <alignment horizontal="left" vertical="center" wrapText="1"/>
    </xf>
    <xf numFmtId="0" fontId="51" fillId="9" borderId="26" xfId="0" applyFont="1" applyFill="1" applyBorder="1" applyAlignment="1">
      <alignment horizontal="left" vertical="center" wrapText="1"/>
    </xf>
    <xf numFmtId="0" fontId="51" fillId="3" borderId="36" xfId="0" applyFont="1" applyFill="1" applyBorder="1" applyAlignment="1">
      <alignment horizontal="left" vertical="center" wrapText="1"/>
    </xf>
    <xf numFmtId="0" fontId="51" fillId="3" borderId="3" xfId="0" applyFont="1" applyFill="1" applyBorder="1" applyAlignment="1">
      <alignment horizontal="left" vertical="center" wrapText="1"/>
    </xf>
    <xf numFmtId="0" fontId="51" fillId="3" borderId="26" xfId="0" applyFont="1" applyFill="1" applyBorder="1" applyAlignment="1">
      <alignment horizontal="left" vertical="center" wrapText="1"/>
    </xf>
    <xf numFmtId="0" fontId="50" fillId="0" borderId="39" xfId="0" applyFont="1" applyBorder="1" applyAlignment="1">
      <alignment horizontal="center"/>
    </xf>
    <xf numFmtId="0" fontId="50" fillId="0" borderId="61" xfId="0" applyFont="1" applyBorder="1" applyAlignment="1">
      <alignment horizontal="center"/>
    </xf>
    <xf numFmtId="0" fontId="50" fillId="0" borderId="42" xfId="0" applyFont="1" applyBorder="1" applyAlignment="1">
      <alignment horizontal="center"/>
    </xf>
    <xf numFmtId="0" fontId="51" fillId="0" borderId="40" xfId="0" applyFont="1" applyBorder="1" applyAlignment="1">
      <alignment horizontal="left" vertical="center" wrapText="1"/>
    </xf>
    <xf numFmtId="0" fontId="57" fillId="0" borderId="14" xfId="0" applyFont="1" applyBorder="1" applyAlignment="1">
      <alignment horizontal="center"/>
    </xf>
    <xf numFmtId="0" fontId="57" fillId="0" borderId="15" xfId="0" applyFont="1" applyBorder="1" applyAlignment="1">
      <alignment horizontal="center"/>
    </xf>
    <xf numFmtId="0" fontId="57" fillId="0" borderId="11" xfId="0" applyFont="1" applyBorder="1" applyAlignment="1">
      <alignment horizontal="center"/>
    </xf>
    <xf numFmtId="0" fontId="50" fillId="0" borderId="62" xfId="0" applyFont="1" applyBorder="1" applyAlignment="1">
      <alignment horizontal="center"/>
    </xf>
    <xf numFmtId="0" fontId="50" fillId="0" borderId="49" xfId="0" applyFont="1" applyBorder="1" applyAlignment="1">
      <alignment horizontal="center"/>
    </xf>
    <xf numFmtId="0" fontId="51" fillId="11" borderId="62" xfId="0" applyFont="1" applyFill="1" applyBorder="1" applyAlignment="1">
      <alignment horizontal="center"/>
    </xf>
    <xf numFmtId="0" fontId="51" fillId="11" borderId="61" xfId="0" applyFont="1" applyFill="1" applyBorder="1" applyAlignment="1">
      <alignment horizontal="center"/>
    </xf>
    <xf numFmtId="0" fontId="51" fillId="11" borderId="42" xfId="0" applyFont="1" applyFill="1" applyBorder="1" applyAlignment="1">
      <alignment horizontal="center"/>
    </xf>
    <xf numFmtId="0" fontId="51" fillId="11" borderId="39" xfId="0" applyFont="1" applyFill="1" applyBorder="1" applyAlignment="1">
      <alignment horizontal="center"/>
    </xf>
    <xf numFmtId="0" fontId="51" fillId="3" borderId="8"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51" fillId="3" borderId="10" xfId="0" applyFont="1" applyFill="1" applyBorder="1" applyAlignment="1">
      <alignment horizontal="left" vertical="center" wrapText="1"/>
    </xf>
    <xf numFmtId="0" fontId="51" fillId="8" borderId="45" xfId="0" applyFont="1" applyFill="1" applyBorder="1" applyAlignment="1">
      <alignment horizontal="left" vertical="center"/>
    </xf>
    <xf numFmtId="0" fontId="51" fillId="8" borderId="46" xfId="0" applyFont="1" applyFill="1" applyBorder="1" applyAlignment="1">
      <alignment horizontal="left" vertical="center"/>
    </xf>
    <xf numFmtId="0" fontId="50" fillId="0" borderId="47" xfId="0" applyFont="1" applyBorder="1" applyAlignment="1">
      <alignment horizontal="left" vertical="center" wrapText="1"/>
    </xf>
    <xf numFmtId="0" fontId="51" fillId="0" borderId="44" xfId="0" applyFont="1" applyBorder="1" applyAlignment="1">
      <alignment horizontal="center" vertical="center" wrapText="1"/>
    </xf>
    <xf numFmtId="0" fontId="51" fillId="0" borderId="30" xfId="0" applyFont="1" applyBorder="1" applyAlignment="1">
      <alignment horizontal="center" vertical="center" wrapText="1"/>
    </xf>
    <xf numFmtId="9" fontId="50" fillId="11" borderId="52" xfId="13" applyFont="1" applyFill="1" applyBorder="1" applyAlignment="1">
      <alignment horizontal="center"/>
    </xf>
    <xf numFmtId="0" fontId="57" fillId="11" borderId="52" xfId="0" applyFont="1" applyFill="1" applyBorder="1" applyAlignment="1">
      <alignment horizontal="center" wrapText="1"/>
    </xf>
    <xf numFmtId="0" fontId="50" fillId="11" borderId="52" xfId="0" applyFont="1" applyFill="1" applyBorder="1" applyAlignment="1">
      <alignment horizontal="center"/>
    </xf>
    <xf numFmtId="0" fontId="50" fillId="0" borderId="7" xfId="0" applyFont="1" applyBorder="1" applyAlignment="1">
      <alignment horizontal="left" vertical="center" wrapText="1"/>
    </xf>
    <xf numFmtId="0" fontId="50" fillId="0" borderId="13" xfId="0" applyFont="1" applyBorder="1" applyAlignment="1">
      <alignment horizontal="left" vertical="center" wrapText="1"/>
    </xf>
    <xf numFmtId="0" fontId="50" fillId="0" borderId="63" xfId="0" applyFont="1" applyBorder="1" applyAlignment="1">
      <alignment horizontal="left" vertical="center" wrapText="1"/>
    </xf>
    <xf numFmtId="0" fontId="50" fillId="0" borderId="1" xfId="0" applyFont="1" applyBorder="1" applyAlignment="1">
      <alignment horizontal="center"/>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Font="1" applyBorder="1" applyAlignment="1">
      <alignment horizontal="left" vertical="center" wrapText="1"/>
    </xf>
    <xf numFmtId="0" fontId="10" fillId="11" borderId="14" xfId="0" applyFont="1" applyFill="1" applyBorder="1" applyAlignment="1">
      <alignment horizontal="left" vertical="center" wrapText="1"/>
    </xf>
    <xf numFmtId="0" fontId="10" fillId="11" borderId="15"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8" borderId="4" xfId="0" applyFont="1" applyFill="1" applyBorder="1" applyAlignment="1">
      <alignment horizontal="left"/>
    </xf>
    <xf numFmtId="0" fontId="26" fillId="8" borderId="3" xfId="0" applyFont="1" applyFill="1" applyBorder="1" applyAlignment="1">
      <alignment horizontal="left"/>
    </xf>
    <xf numFmtId="0" fontId="26" fillId="0" borderId="14" xfId="0" applyFont="1" applyBorder="1" applyAlignment="1">
      <alignment horizontal="center"/>
    </xf>
    <xf numFmtId="0" fontId="26" fillId="0" borderId="15" xfId="0" applyFont="1" applyBorder="1" applyAlignment="1">
      <alignment horizontal="center"/>
    </xf>
    <xf numFmtId="0" fontId="26" fillId="0" borderId="11" xfId="0" applyFont="1" applyBorder="1" applyAlignment="1">
      <alignment horizontal="center"/>
    </xf>
    <xf numFmtId="0" fontId="85" fillId="14" borderId="4" xfId="2" applyFont="1" applyFill="1" applyBorder="1" applyAlignment="1">
      <alignment horizontal="center" vertical="center" wrapText="1"/>
    </xf>
    <xf numFmtId="0" fontId="87" fillId="0" borderId="3" xfId="0" applyFont="1" applyBorder="1" applyAlignment="1">
      <alignment horizontal="center" vertical="center" wrapText="1"/>
    </xf>
    <xf numFmtId="0" fontId="87" fillId="0" borderId="2" xfId="0" applyFont="1" applyBorder="1" applyAlignment="1">
      <alignment horizontal="center" vertical="center" wrapText="1"/>
    </xf>
    <xf numFmtId="0" fontId="87" fillId="9" borderId="4" xfId="0" applyFont="1" applyFill="1" applyBorder="1" applyAlignment="1">
      <alignment horizontal="left" vertical="center" wrapText="1"/>
    </xf>
    <xf numFmtId="0" fontId="87" fillId="9" borderId="3" xfId="0" applyFont="1" applyFill="1" applyBorder="1" applyAlignment="1">
      <alignment horizontal="left" vertical="center" wrapText="1"/>
    </xf>
    <xf numFmtId="0" fontId="86" fillId="0" borderId="3" xfId="0" applyFont="1" applyBorder="1" applyAlignment="1">
      <alignment vertical="center" wrapText="1"/>
    </xf>
    <xf numFmtId="0" fontId="86" fillId="0" borderId="2" xfId="0" applyFont="1" applyBorder="1" applyAlignment="1">
      <alignment vertical="center" wrapText="1"/>
    </xf>
    <xf numFmtId="0" fontId="87" fillId="3" borderId="4" xfId="0" applyFont="1" applyFill="1" applyBorder="1" applyAlignment="1">
      <alignment horizontal="left" vertical="center" wrapText="1"/>
    </xf>
    <xf numFmtId="0" fontId="87" fillId="3" borderId="3" xfId="0" applyFont="1" applyFill="1" applyBorder="1" applyAlignment="1">
      <alignment horizontal="left" vertical="center" wrapText="1"/>
    </xf>
    <xf numFmtId="0" fontId="86" fillId="0" borderId="3" xfId="0" applyFont="1" applyBorder="1"/>
    <xf numFmtId="0" fontId="86" fillId="0" borderId="2" xfId="0" applyFont="1" applyBorder="1"/>
    <xf numFmtId="0" fontId="26" fillId="0" borderId="1" xfId="0" applyFont="1" applyBorder="1" applyAlignment="1">
      <alignment horizontal="center" vertical="center" wrapText="1"/>
    </xf>
    <xf numFmtId="0" fontId="26" fillId="19" borderId="4" xfId="0" applyFont="1" applyFill="1" applyBorder="1" applyAlignment="1">
      <alignment horizontal="right"/>
    </xf>
    <xf numFmtId="0" fontId="26" fillId="19" borderId="3" xfId="0" applyFont="1" applyFill="1" applyBorder="1" applyAlignment="1">
      <alignment horizontal="right"/>
    </xf>
    <xf numFmtId="0" fontId="80" fillId="0" borderId="12" xfId="0" applyFont="1" applyBorder="1" applyAlignment="1">
      <alignment horizontal="left" wrapText="1"/>
    </xf>
    <xf numFmtId="0" fontId="80" fillId="0" borderId="0" xfId="0" applyFont="1" applyAlignment="1">
      <alignment horizontal="left" wrapText="1"/>
    </xf>
    <xf numFmtId="0" fontId="80" fillId="0" borderId="13" xfId="0" applyFont="1" applyBorder="1" applyAlignment="1">
      <alignment horizontal="left" wrapText="1"/>
    </xf>
    <xf numFmtId="0" fontId="80" fillId="0" borderId="8" xfId="0" applyFont="1" applyBorder="1" applyAlignment="1">
      <alignment horizontal="left" wrapText="1"/>
    </xf>
    <xf numFmtId="0" fontId="80" fillId="0" borderId="9" xfId="0" applyFont="1" applyBorder="1" applyAlignment="1">
      <alignment horizontal="left" wrapText="1"/>
    </xf>
    <xf numFmtId="0" fontId="80" fillId="0" borderId="10" xfId="0" applyFont="1" applyBorder="1" applyAlignment="1">
      <alignment horizontal="left" wrapText="1"/>
    </xf>
    <xf numFmtId="0" fontId="26" fillId="8" borderId="4" xfId="0" applyFont="1" applyFill="1" applyBorder="1" applyAlignment="1">
      <alignment horizontal="center"/>
    </xf>
    <xf numFmtId="0" fontId="26" fillId="8" borderId="3" xfId="0" applyFont="1" applyFill="1" applyBorder="1" applyAlignment="1">
      <alignment horizontal="center"/>
    </xf>
    <xf numFmtId="0" fontId="26" fillId="8" borderId="2" xfId="0" applyFont="1" applyFill="1" applyBorder="1" applyAlignment="1">
      <alignment horizontal="center"/>
    </xf>
    <xf numFmtId="0" fontId="87" fillId="9" borderId="4" xfId="0" applyFont="1" applyFill="1" applyBorder="1" applyAlignment="1">
      <alignment horizontal="left" wrapText="1"/>
    </xf>
    <xf numFmtId="0" fontId="87" fillId="9" borderId="3" xfId="0" applyFont="1" applyFill="1" applyBorder="1" applyAlignment="1">
      <alignment horizontal="left" wrapText="1"/>
    </xf>
    <xf numFmtId="0" fontId="87" fillId="9" borderId="2" xfId="0" applyFont="1" applyFill="1" applyBorder="1" applyAlignment="1">
      <alignment horizontal="left" wrapText="1"/>
    </xf>
    <xf numFmtId="0" fontId="26" fillId="5" borderId="5" xfId="0" applyFont="1" applyFill="1" applyBorder="1" applyAlignment="1">
      <alignment horizontal="right"/>
    </xf>
    <xf numFmtId="0" fontId="26" fillId="5" borderId="6" xfId="0" applyFont="1" applyFill="1" applyBorder="1" applyAlignment="1">
      <alignment horizontal="right"/>
    </xf>
    <xf numFmtId="0" fontId="26" fillId="5" borderId="7" xfId="0" applyFont="1" applyFill="1" applyBorder="1" applyAlignment="1">
      <alignment horizontal="right"/>
    </xf>
    <xf numFmtId="0" fontId="26" fillId="5" borderId="8" xfId="0" applyFont="1" applyFill="1" applyBorder="1" applyAlignment="1">
      <alignment horizontal="right"/>
    </xf>
    <xf numFmtId="0" fontId="26" fillId="5" borderId="9" xfId="0" applyFont="1" applyFill="1" applyBorder="1" applyAlignment="1">
      <alignment horizontal="right"/>
    </xf>
    <xf numFmtId="0" fontId="26" fillId="5" borderId="10" xfId="0" applyFont="1" applyFill="1" applyBorder="1" applyAlignment="1">
      <alignment horizontal="right"/>
    </xf>
    <xf numFmtId="0" fontId="26" fillId="8" borderId="2" xfId="0" applyFont="1" applyFill="1" applyBorder="1" applyAlignment="1">
      <alignment horizontal="left"/>
    </xf>
    <xf numFmtId="0" fontId="18" fillId="14" borderId="5" xfId="7" applyFont="1" applyFill="1" applyBorder="1" applyAlignment="1">
      <alignment horizontal="center" vertical="center" wrapText="1"/>
    </xf>
    <xf numFmtId="0" fontId="30" fillId="14" borderId="6" xfId="0" applyFont="1" applyFill="1" applyBorder="1" applyAlignment="1">
      <alignment horizontal="center" vertical="center" wrapText="1"/>
    </xf>
    <xf numFmtId="0" fontId="30" fillId="14" borderId="7" xfId="0" applyFont="1" applyFill="1" applyBorder="1" applyAlignment="1">
      <alignment horizontal="center" vertical="center" wrapText="1"/>
    </xf>
    <xf numFmtId="0" fontId="19" fillId="9" borderId="5"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9" borderId="4"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11" fillId="5" borderId="5" xfId="0" applyFont="1" applyFill="1" applyBorder="1" applyAlignment="1">
      <alignment horizontal="right" vertical="center"/>
    </xf>
    <xf numFmtId="0" fontId="11" fillId="5" borderId="6" xfId="0" applyFont="1" applyFill="1" applyBorder="1" applyAlignment="1">
      <alignment horizontal="right" vertical="center"/>
    </xf>
    <xf numFmtId="0" fontId="11" fillId="5" borderId="8" xfId="0" applyFont="1" applyFill="1" applyBorder="1" applyAlignment="1">
      <alignment horizontal="right" vertical="center"/>
    </xf>
    <xf numFmtId="0" fontId="11" fillId="5" borderId="9" xfId="0" applyFont="1" applyFill="1" applyBorder="1" applyAlignment="1">
      <alignment horizontal="right" vertical="center"/>
    </xf>
    <xf numFmtId="0" fontId="11" fillId="5" borderId="14" xfId="0" applyFont="1" applyFill="1" applyBorder="1" applyAlignment="1">
      <alignment horizontal="left" vertical="center"/>
    </xf>
    <xf numFmtId="0" fontId="11" fillId="5" borderId="11" xfId="0" applyFont="1" applyFill="1" applyBorder="1" applyAlignment="1">
      <alignment horizontal="left" vertical="center"/>
    </xf>
    <xf numFmtId="0" fontId="28" fillId="0" borderId="0" xfId="0" applyFont="1" applyAlignment="1">
      <alignment wrapText="1"/>
    </xf>
  </cellXfs>
  <cellStyles count="25">
    <cellStyle name="aRow-Detail Line" xfId="12" xr:uid="{00000000-0005-0000-0000-000000000000}"/>
    <cellStyle name="Comma 2 2" xfId="5" xr:uid="{00000000-0005-0000-0000-000001000000}"/>
    <cellStyle name="Comma 3" xfId="4" xr:uid="{00000000-0005-0000-0000-000002000000}"/>
    <cellStyle name="Comma 4" xfId="18" xr:uid="{00000000-0005-0000-0000-000003000000}"/>
    <cellStyle name="Currency 2" xfId="10" xr:uid="{00000000-0005-0000-0000-000004000000}"/>
    <cellStyle name="Milliers" xfId="1" builtinId="3"/>
    <cellStyle name="Milliers 2" xfId="8" xr:uid="{00000000-0005-0000-0000-000006000000}"/>
    <cellStyle name="Milliers 2 2" xfId="21" xr:uid="{00000000-0005-0000-0000-000007000000}"/>
    <cellStyle name="Normal" xfId="0" builtinId="0"/>
    <cellStyle name="Normal 10" xfId="9" xr:uid="{00000000-0005-0000-0000-000009000000}"/>
    <cellStyle name="Normal 12" xfId="23" xr:uid="{B86384D7-D4DA-4CAA-A4FF-84027A0F1CC3}"/>
    <cellStyle name="Normal 2" xfId="2" xr:uid="{00000000-0005-0000-0000-00000A000000}"/>
    <cellStyle name="Normal 2 15" xfId="11" xr:uid="{00000000-0005-0000-0000-00000B000000}"/>
    <cellStyle name="Normal 2 2" xfId="7" xr:uid="{00000000-0005-0000-0000-00000C000000}"/>
    <cellStyle name="Normal 2 3 2" xfId="22" xr:uid="{00000000-0005-0000-0000-00000D000000}"/>
    <cellStyle name="Normal 3" xfId="6" xr:uid="{00000000-0005-0000-0000-00000E000000}"/>
    <cellStyle name="Normal 3 2" xfId="16" xr:uid="{00000000-0005-0000-0000-00000F000000}"/>
    <cellStyle name="Normal 3 3" xfId="20" xr:uid="{00000000-0005-0000-0000-000010000000}"/>
    <cellStyle name="Normal 4" xfId="15" xr:uid="{00000000-0005-0000-0000-000011000000}"/>
    <cellStyle name="Normal 5" xfId="17" xr:uid="{00000000-0005-0000-0000-000012000000}"/>
    <cellStyle name="Normal 6" xfId="14" xr:uid="{00000000-0005-0000-0000-000013000000}"/>
    <cellStyle name="Normal 7" xfId="19" xr:uid="{00000000-0005-0000-0000-000014000000}"/>
    <cellStyle name="Normal 9" xfId="24" xr:uid="{1630F080-B7EB-4773-A301-1FA33EBA0486}"/>
    <cellStyle name="Percent 2" xfId="13" xr:uid="{00000000-0005-0000-0000-000015000000}"/>
    <cellStyle name="Pourcentage" xfId="3" builtinId="5"/>
  </cellStyles>
  <dxfs count="97">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0066FF"/>
      <color rgb="FFFF0000"/>
      <color rgb="FF00FFFF"/>
      <color rgb="FF99FF99"/>
      <color rgb="FFFF66CC"/>
      <color rgb="FF00FFCC"/>
      <color rgb="FFFF99CC"/>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HAB/Desktop/BUDGETS%20ACTEURS_SUD%20IRUMU/BUDGET%20CARITAS%20OS%204%20&amp;%20%206_12.04.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HAB/Downloads/Copie%20de%20OIM_OS%205_12%2004%202017_%20Cesaire%20Approuv&#233;%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rcy%20corps/Downloads/BVA_33090_I4S_JUNE201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NHAB/Documents/UN-Hab%20ITURI/PROGRAMME/RAPPORTS%20FINIS/PKa/Rapports%20semestriels/rapports%20sem%205%20revue%20partenaires/Caritas/Caritas%20Rapport%20%20global%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AF/Documents/Bunia%20Novembre/Finances/Budget%20Sud%20Irumu/Budget%20Consortium%20PAMOJA%20KWA%20AMANI%20%20FINAL_%2007.06.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burus/AppData/Local/Microsoft/Windows/INetCache/Content.Outlook/B7EDZD1N/18-03-2020_%20Rapport%20Financier%20Consolid&#233;%20%20PKA%20-%20DEC%20201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Detaille"/>
      <sheetName val="Budget_Recapitulatif"/>
    </sheetNames>
    <sheetDataSet>
      <sheetData sheetId="0">
        <row r="141">
          <cell r="A141" t="str">
            <v>Personnel et autres employés</v>
          </cell>
        </row>
        <row r="142">
          <cell r="A142" t="str">
            <v>Fournitures, produits de base, materiels</v>
          </cell>
        </row>
        <row r="143">
          <cell r="A143" t="str">
            <v>Equipements et mobilier</v>
          </cell>
        </row>
        <row r="144">
          <cell r="A144" t="str">
            <v xml:space="preserve">Services Contractuels </v>
          </cell>
        </row>
        <row r="145">
          <cell r="A145" t="str">
            <v>Frais de deplacement</v>
          </cell>
        </row>
        <row r="146">
          <cell r="A146" t="str">
            <v xml:space="preserve">Transferts et subventions </v>
          </cell>
        </row>
        <row r="147">
          <cell r="A147" t="str">
            <v>Frais generaux de fonctionnement et autres couts directs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Detaille"/>
      <sheetName val="Budget_Recapitulatif"/>
      <sheetName val="Analysis"/>
    </sheetNames>
    <sheetDataSet>
      <sheetData sheetId="0">
        <row r="103">
          <cell r="A103" t="str">
            <v xml:space="preserve">Services Contractuels </v>
          </cell>
        </row>
        <row r="104">
          <cell r="A104" t="str">
            <v>Frais de deplacement</v>
          </cell>
        </row>
        <row r="105">
          <cell r="A105" t="str">
            <v xml:space="preserve">Transferts et subventions </v>
          </cell>
        </row>
        <row r="106">
          <cell r="A106" t="str">
            <v>Frais generaux de fonctionnement et autres couts directs</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Forms Recap for HQ"/>
      <sheetName val=" FACE"/>
      <sheetName val="Budget Recapitulatif"/>
      <sheetName val="BVA (USD)"/>
      <sheetName val="Budget FCS Detaillé"/>
      <sheetName val="Budget_Recapitulatif_AAP"/>
      <sheetName val="Liste des dépenses (Navigator)"/>
      <sheetName val="Alloc Nat"/>
      <sheetName val="Alloc Expat"/>
      <sheetName val="SHARED PROG COSTS REP"/>
    </sheetNames>
    <sheetDataSet>
      <sheetData sheetId="0" refreshError="1"/>
      <sheetData sheetId="1" refreshError="1"/>
      <sheetData sheetId="2" refreshError="1"/>
      <sheetData sheetId="3" refreshError="1">
        <row r="1">
          <cell r="R1">
            <v>43646</v>
          </cell>
        </row>
        <row r="4">
          <cell r="U4">
            <v>43647</v>
          </cell>
          <cell r="V4">
            <v>43678</v>
          </cell>
          <cell r="W4">
            <v>43709</v>
          </cell>
          <cell r="X4">
            <v>43739</v>
          </cell>
          <cell r="Y4">
            <v>43770</v>
          </cell>
          <cell r="Z4">
            <v>43800</v>
          </cell>
        </row>
        <row r="6">
          <cell r="N6">
            <v>22199.702400000009</v>
          </cell>
          <cell r="U6">
            <v>1044.8</v>
          </cell>
          <cell r="V6">
            <v>691.2</v>
          </cell>
          <cell r="W6">
            <v>725.76</v>
          </cell>
          <cell r="X6">
            <v>0</v>
          </cell>
          <cell r="Y6">
            <v>0</v>
          </cell>
          <cell r="Z6">
            <v>0</v>
          </cell>
        </row>
        <row r="7">
          <cell r="N7">
            <v>22199.702400000009</v>
          </cell>
          <cell r="U7">
            <v>1044.8</v>
          </cell>
          <cell r="V7">
            <v>691.2</v>
          </cell>
          <cell r="W7">
            <v>725.76</v>
          </cell>
          <cell r="X7">
            <v>0</v>
          </cell>
          <cell r="Y7">
            <v>0</v>
          </cell>
          <cell r="Z7">
            <v>0</v>
          </cell>
        </row>
        <row r="8">
          <cell r="N8">
            <v>22199.702400000009</v>
          </cell>
          <cell r="U8">
            <v>1044.8</v>
          </cell>
          <cell r="V8">
            <v>691.2</v>
          </cell>
          <cell r="W8">
            <v>725.76</v>
          </cell>
          <cell r="X8">
            <v>0</v>
          </cell>
          <cell r="Y8">
            <v>0</v>
          </cell>
          <cell r="Z8">
            <v>0</v>
          </cell>
        </row>
        <row r="9">
          <cell r="N9">
            <v>22199.702400000009</v>
          </cell>
          <cell r="U9">
            <v>1044.8</v>
          </cell>
          <cell r="V9">
            <v>691.2</v>
          </cell>
          <cell r="W9">
            <v>725.76</v>
          </cell>
          <cell r="X9">
            <v>0</v>
          </cell>
          <cell r="Y9">
            <v>0</v>
          </cell>
          <cell r="Z9">
            <v>0</v>
          </cell>
        </row>
        <row r="10">
          <cell r="N10">
            <v>22199.702400000009</v>
          </cell>
          <cell r="U10">
            <v>1044.8</v>
          </cell>
          <cell r="V10">
            <v>691.2</v>
          </cell>
          <cell r="W10">
            <v>725.76</v>
          </cell>
          <cell r="X10">
            <v>0</v>
          </cell>
          <cell r="Y10">
            <v>0</v>
          </cell>
          <cell r="Z10">
            <v>0</v>
          </cell>
        </row>
        <row r="11">
          <cell r="N11">
            <v>27749.628000000012</v>
          </cell>
          <cell r="U11">
            <v>1305.9999999999998</v>
          </cell>
          <cell r="V11">
            <v>864</v>
          </cell>
          <cell r="W11">
            <v>907.19999999999993</v>
          </cell>
          <cell r="X11">
            <v>0</v>
          </cell>
          <cell r="Y11">
            <v>0</v>
          </cell>
          <cell r="Z11">
            <v>0</v>
          </cell>
        </row>
        <row r="13">
          <cell r="N13">
            <v>9007.0300000000061</v>
          </cell>
          <cell r="U13">
            <v>485.00599999999991</v>
          </cell>
          <cell r="V13">
            <v>220.53960000000004</v>
          </cell>
          <cell r="W13">
            <v>245.04399999999998</v>
          </cell>
          <cell r="X13">
            <v>0</v>
          </cell>
          <cell r="Y13">
            <v>0</v>
          </cell>
          <cell r="Z13">
            <v>0</v>
          </cell>
        </row>
        <row r="14">
          <cell r="N14">
            <v>9007.0300000000061</v>
          </cell>
          <cell r="U14">
            <v>485.00599999999991</v>
          </cell>
          <cell r="V14">
            <v>220.53960000000004</v>
          </cell>
          <cell r="W14">
            <v>245.04399999999998</v>
          </cell>
          <cell r="X14">
            <v>0</v>
          </cell>
          <cell r="Y14">
            <v>0</v>
          </cell>
          <cell r="Z14">
            <v>0</v>
          </cell>
        </row>
        <row r="15">
          <cell r="N15">
            <v>9007.0300000000061</v>
          </cell>
          <cell r="U15">
            <v>485.00599999999991</v>
          </cell>
          <cell r="V15">
            <v>220.53960000000004</v>
          </cell>
          <cell r="W15">
            <v>245.04399999999998</v>
          </cell>
          <cell r="X15">
            <v>0</v>
          </cell>
          <cell r="Y15">
            <v>0</v>
          </cell>
          <cell r="Z15">
            <v>0</v>
          </cell>
        </row>
        <row r="16">
          <cell r="N16">
            <v>9007.0300000000061</v>
          </cell>
          <cell r="U16">
            <v>485.00599999999991</v>
          </cell>
          <cell r="V16">
            <v>220.53960000000004</v>
          </cell>
          <cell r="W16">
            <v>245.04399999999998</v>
          </cell>
          <cell r="X16">
            <v>0</v>
          </cell>
          <cell r="Y16">
            <v>0</v>
          </cell>
          <cell r="Z16">
            <v>0</v>
          </cell>
        </row>
        <row r="17">
          <cell r="N17">
            <v>9007.0300000000061</v>
          </cell>
          <cell r="U17">
            <v>485.00599999999991</v>
          </cell>
          <cell r="V17">
            <v>220.53960000000004</v>
          </cell>
          <cell r="W17">
            <v>245.04399999999998</v>
          </cell>
          <cell r="X17">
            <v>0</v>
          </cell>
          <cell r="Y17">
            <v>0</v>
          </cell>
          <cell r="Z17">
            <v>0</v>
          </cell>
        </row>
        <row r="19">
          <cell r="N19">
            <v>6872.720000000003</v>
          </cell>
          <cell r="U19">
            <v>375.83800000000002</v>
          </cell>
          <cell r="V19">
            <v>375.83800000000002</v>
          </cell>
          <cell r="W19">
            <v>563.75699999999995</v>
          </cell>
          <cell r="X19">
            <v>0</v>
          </cell>
          <cell r="Y19">
            <v>0</v>
          </cell>
          <cell r="Z19">
            <v>0</v>
          </cell>
        </row>
        <row r="20">
          <cell r="N20">
            <v>6872.720000000003</v>
          </cell>
          <cell r="U20">
            <v>375.83800000000002</v>
          </cell>
          <cell r="V20">
            <v>375.83800000000002</v>
          </cell>
          <cell r="W20">
            <v>563.75699999999995</v>
          </cell>
          <cell r="X20">
            <v>0</v>
          </cell>
          <cell r="Y20">
            <v>0</v>
          </cell>
          <cell r="Z20">
            <v>0</v>
          </cell>
        </row>
        <row r="21">
          <cell r="N21">
            <v>6872.720000000003</v>
          </cell>
          <cell r="U21">
            <v>375.83800000000002</v>
          </cell>
          <cell r="V21">
            <v>375.83800000000002</v>
          </cell>
          <cell r="W21">
            <v>563.75699999999995</v>
          </cell>
          <cell r="X21">
            <v>0</v>
          </cell>
          <cell r="Y21">
            <v>0</v>
          </cell>
          <cell r="Z21">
            <v>0</v>
          </cell>
        </row>
        <row r="22">
          <cell r="N22">
            <v>6872.720000000003</v>
          </cell>
          <cell r="U22">
            <v>375.83800000000002</v>
          </cell>
          <cell r="V22">
            <v>375.83800000000002</v>
          </cell>
          <cell r="W22">
            <v>563.75699999999995</v>
          </cell>
          <cell r="X22">
            <v>0</v>
          </cell>
          <cell r="Y22">
            <v>0</v>
          </cell>
          <cell r="Z22">
            <v>0</v>
          </cell>
        </row>
        <row r="23">
          <cell r="N23">
            <v>6872.720000000003</v>
          </cell>
          <cell r="U23">
            <v>375.83800000000002</v>
          </cell>
          <cell r="V23">
            <v>375.83800000000002</v>
          </cell>
          <cell r="W23">
            <v>563.75699999999995</v>
          </cell>
          <cell r="X23">
            <v>0</v>
          </cell>
          <cell r="Y23">
            <v>0</v>
          </cell>
          <cell r="Z23">
            <v>0</v>
          </cell>
        </row>
        <row r="25">
          <cell r="N25">
            <v>2672.26</v>
          </cell>
          <cell r="U25">
            <v>172.316</v>
          </cell>
          <cell r="V25">
            <v>137.85280000000003</v>
          </cell>
          <cell r="W25">
            <v>258.47400000000005</v>
          </cell>
          <cell r="X25">
            <v>0</v>
          </cell>
          <cell r="Y25">
            <v>0</v>
          </cell>
          <cell r="Z25">
            <v>0</v>
          </cell>
        </row>
        <row r="26">
          <cell r="N26">
            <v>2672.26</v>
          </cell>
          <cell r="U26">
            <v>172.316</v>
          </cell>
          <cell r="V26">
            <v>137.85280000000003</v>
          </cell>
          <cell r="W26">
            <v>258.47400000000005</v>
          </cell>
          <cell r="X26">
            <v>0</v>
          </cell>
          <cell r="Y26">
            <v>0</v>
          </cell>
          <cell r="Z26">
            <v>0</v>
          </cell>
        </row>
        <row r="27">
          <cell r="N27">
            <v>2672.26</v>
          </cell>
          <cell r="U27">
            <v>172.316</v>
          </cell>
          <cell r="V27">
            <v>137.85280000000003</v>
          </cell>
          <cell r="W27">
            <v>258.47400000000005</v>
          </cell>
          <cell r="X27">
            <v>0</v>
          </cell>
          <cell r="Y27">
            <v>0</v>
          </cell>
          <cell r="Z27">
            <v>0</v>
          </cell>
        </row>
        <row r="28">
          <cell r="N28">
            <v>2672.26</v>
          </cell>
          <cell r="U28">
            <v>172.316</v>
          </cell>
          <cell r="V28">
            <v>137.85280000000003</v>
          </cell>
          <cell r="W28">
            <v>258.47400000000005</v>
          </cell>
          <cell r="X28">
            <v>0</v>
          </cell>
          <cell r="Y28">
            <v>0</v>
          </cell>
          <cell r="Z28">
            <v>0</v>
          </cell>
        </row>
        <row r="29">
          <cell r="N29">
            <v>2672.26</v>
          </cell>
          <cell r="U29">
            <v>172.316</v>
          </cell>
          <cell r="V29">
            <v>137.85280000000003</v>
          </cell>
          <cell r="W29">
            <v>258.47400000000005</v>
          </cell>
          <cell r="X29">
            <v>0</v>
          </cell>
          <cell r="Y29">
            <v>0</v>
          </cell>
          <cell r="Z29">
            <v>0</v>
          </cell>
        </row>
        <row r="31">
          <cell r="N31">
            <v>4933.7219999999998</v>
          </cell>
          <cell r="U31">
            <v>290</v>
          </cell>
          <cell r="V31">
            <v>232</v>
          </cell>
          <cell r="W31">
            <v>435</v>
          </cell>
          <cell r="X31">
            <v>0</v>
          </cell>
          <cell r="Y31">
            <v>0</v>
          </cell>
          <cell r="Z31">
            <v>0</v>
          </cell>
        </row>
        <row r="32">
          <cell r="N32">
            <v>4933.7219999999998</v>
          </cell>
          <cell r="U32">
            <v>290</v>
          </cell>
          <cell r="V32">
            <v>232</v>
          </cell>
          <cell r="W32">
            <v>435</v>
          </cell>
          <cell r="X32">
            <v>0</v>
          </cell>
          <cell r="Y32">
            <v>0</v>
          </cell>
          <cell r="Z32">
            <v>0</v>
          </cell>
        </row>
        <row r="33">
          <cell r="N33">
            <v>4933.7219999999998</v>
          </cell>
          <cell r="U33">
            <v>290</v>
          </cell>
          <cell r="V33">
            <v>232</v>
          </cell>
          <cell r="W33">
            <v>435</v>
          </cell>
          <cell r="X33">
            <v>0</v>
          </cell>
          <cell r="Y33">
            <v>0</v>
          </cell>
          <cell r="Z33">
            <v>0</v>
          </cell>
        </row>
        <row r="34">
          <cell r="N34">
            <v>4933.7219999999998</v>
          </cell>
          <cell r="U34">
            <v>290</v>
          </cell>
          <cell r="V34">
            <v>232</v>
          </cell>
          <cell r="W34">
            <v>435</v>
          </cell>
          <cell r="X34">
            <v>0</v>
          </cell>
          <cell r="Y34">
            <v>0</v>
          </cell>
          <cell r="Z34">
            <v>0</v>
          </cell>
        </row>
        <row r="35">
          <cell r="N35">
            <v>4933.7219999999998</v>
          </cell>
          <cell r="U35">
            <v>290</v>
          </cell>
          <cell r="V35">
            <v>232</v>
          </cell>
          <cell r="W35">
            <v>435</v>
          </cell>
          <cell r="X35">
            <v>0</v>
          </cell>
          <cell r="Y35">
            <v>0</v>
          </cell>
          <cell r="Z35">
            <v>0</v>
          </cell>
        </row>
        <row r="37">
          <cell r="N37">
            <v>5252.4140000000007</v>
          </cell>
          <cell r="U37">
            <v>100</v>
          </cell>
          <cell r="V37">
            <v>100</v>
          </cell>
          <cell r="W37">
            <v>100</v>
          </cell>
          <cell r="X37">
            <v>0</v>
          </cell>
          <cell r="Y37">
            <v>0</v>
          </cell>
          <cell r="Z37">
            <v>0</v>
          </cell>
        </row>
        <row r="38">
          <cell r="N38">
            <v>5252.4140000000007</v>
          </cell>
          <cell r="U38">
            <v>100</v>
          </cell>
          <cell r="V38">
            <v>100</v>
          </cell>
          <cell r="W38">
            <v>100</v>
          </cell>
          <cell r="X38">
            <v>0</v>
          </cell>
          <cell r="Y38">
            <v>0</v>
          </cell>
          <cell r="Z38">
            <v>0</v>
          </cell>
        </row>
        <row r="39">
          <cell r="N39">
            <v>5252.4140000000007</v>
          </cell>
          <cell r="U39">
            <v>100</v>
          </cell>
          <cell r="V39">
            <v>100</v>
          </cell>
          <cell r="W39">
            <v>100</v>
          </cell>
          <cell r="X39">
            <v>0</v>
          </cell>
          <cell r="Y39">
            <v>0</v>
          </cell>
          <cell r="Z39">
            <v>0</v>
          </cell>
        </row>
        <row r="40">
          <cell r="N40">
            <v>5252.4140000000007</v>
          </cell>
          <cell r="U40">
            <v>100</v>
          </cell>
          <cell r="V40">
            <v>100</v>
          </cell>
          <cell r="W40">
            <v>100</v>
          </cell>
          <cell r="X40">
            <v>0</v>
          </cell>
          <cell r="Y40">
            <v>0</v>
          </cell>
          <cell r="Z40">
            <v>0</v>
          </cell>
        </row>
        <row r="41">
          <cell r="N41">
            <v>5252.4140000000007</v>
          </cell>
          <cell r="U41">
            <v>100</v>
          </cell>
          <cell r="V41">
            <v>100</v>
          </cell>
          <cell r="W41">
            <v>100</v>
          </cell>
          <cell r="X41">
            <v>0</v>
          </cell>
          <cell r="Y41">
            <v>0</v>
          </cell>
          <cell r="Z41">
            <v>0</v>
          </cell>
        </row>
        <row r="43">
          <cell r="N43">
            <v>1341</v>
          </cell>
          <cell r="U43">
            <v>0</v>
          </cell>
          <cell r="V43">
            <v>0</v>
          </cell>
          <cell r="W43">
            <v>400</v>
          </cell>
          <cell r="X43">
            <v>0</v>
          </cell>
          <cell r="Y43">
            <v>0</v>
          </cell>
          <cell r="Z43">
            <v>0</v>
          </cell>
        </row>
        <row r="44">
          <cell r="N44">
            <v>1341</v>
          </cell>
          <cell r="U44">
            <v>0</v>
          </cell>
          <cell r="V44">
            <v>0</v>
          </cell>
          <cell r="W44">
            <v>400</v>
          </cell>
          <cell r="X44">
            <v>0</v>
          </cell>
          <cell r="Y44">
            <v>0</v>
          </cell>
          <cell r="Z44">
            <v>0</v>
          </cell>
        </row>
        <row r="45">
          <cell r="N45">
            <v>1341</v>
          </cell>
          <cell r="U45">
            <v>0</v>
          </cell>
          <cell r="V45">
            <v>0</v>
          </cell>
          <cell r="W45">
            <v>400</v>
          </cell>
          <cell r="X45">
            <v>0</v>
          </cell>
          <cell r="Y45">
            <v>0</v>
          </cell>
          <cell r="Z45">
            <v>0</v>
          </cell>
        </row>
        <row r="46">
          <cell r="N46">
            <v>1341</v>
          </cell>
          <cell r="U46">
            <v>0</v>
          </cell>
          <cell r="V46">
            <v>0</v>
          </cell>
          <cell r="W46">
            <v>400</v>
          </cell>
          <cell r="X46">
            <v>0</v>
          </cell>
          <cell r="Y46">
            <v>0</v>
          </cell>
          <cell r="Z46">
            <v>0</v>
          </cell>
        </row>
        <row r="47">
          <cell r="N47">
            <v>1341</v>
          </cell>
          <cell r="U47">
            <v>0</v>
          </cell>
          <cell r="V47">
            <v>0</v>
          </cell>
          <cell r="W47">
            <v>400</v>
          </cell>
          <cell r="X47">
            <v>0</v>
          </cell>
          <cell r="Y47">
            <v>0</v>
          </cell>
          <cell r="Z47">
            <v>0</v>
          </cell>
        </row>
        <row r="49">
          <cell r="N49">
            <v>241</v>
          </cell>
          <cell r="U49">
            <v>0</v>
          </cell>
          <cell r="V49">
            <v>0</v>
          </cell>
          <cell r="W49">
            <v>0</v>
          </cell>
          <cell r="X49">
            <v>0</v>
          </cell>
          <cell r="Y49">
            <v>0</v>
          </cell>
          <cell r="Z49">
            <v>0</v>
          </cell>
        </row>
        <row r="50">
          <cell r="N50">
            <v>241</v>
          </cell>
          <cell r="U50">
            <v>0</v>
          </cell>
          <cell r="V50">
            <v>0</v>
          </cell>
          <cell r="W50">
            <v>0</v>
          </cell>
          <cell r="X50">
            <v>0</v>
          </cell>
          <cell r="Y50">
            <v>0</v>
          </cell>
          <cell r="Z50">
            <v>0</v>
          </cell>
        </row>
        <row r="51">
          <cell r="N51">
            <v>241</v>
          </cell>
          <cell r="U51">
            <v>0</v>
          </cell>
          <cell r="V51">
            <v>0</v>
          </cell>
          <cell r="W51">
            <v>0</v>
          </cell>
          <cell r="X51">
            <v>0</v>
          </cell>
          <cell r="Y51">
            <v>0</v>
          </cell>
          <cell r="Z51">
            <v>0</v>
          </cell>
        </row>
        <row r="52">
          <cell r="N52">
            <v>241</v>
          </cell>
          <cell r="U52">
            <v>0</v>
          </cell>
          <cell r="V52">
            <v>0</v>
          </cell>
          <cell r="W52">
            <v>0</v>
          </cell>
          <cell r="X52">
            <v>0</v>
          </cell>
          <cell r="Y52">
            <v>0</v>
          </cell>
          <cell r="Z52">
            <v>0</v>
          </cell>
        </row>
        <row r="53">
          <cell r="N53">
            <v>241</v>
          </cell>
          <cell r="U53">
            <v>0</v>
          </cell>
          <cell r="V53">
            <v>0</v>
          </cell>
          <cell r="W53">
            <v>0</v>
          </cell>
          <cell r="X53">
            <v>0</v>
          </cell>
          <cell r="Y53">
            <v>0</v>
          </cell>
          <cell r="Z53">
            <v>0</v>
          </cell>
        </row>
        <row r="58">
          <cell r="N58">
            <v>34374</v>
          </cell>
        </row>
        <row r="60">
          <cell r="N60">
            <v>5289.9</v>
          </cell>
        </row>
        <row r="62">
          <cell r="N62">
            <v>60431.369999999995</v>
          </cell>
          <cell r="U62">
            <v>26074</v>
          </cell>
          <cell r="V62">
            <v>16280</v>
          </cell>
          <cell r="W62">
            <v>12400</v>
          </cell>
        </row>
        <row r="63">
          <cell r="N63">
            <v>22222.05</v>
          </cell>
          <cell r="U63">
            <v>150</v>
          </cell>
          <cell r="V63">
            <v>300</v>
          </cell>
          <cell r="W63">
            <v>150</v>
          </cell>
        </row>
        <row r="64">
          <cell r="N64">
            <v>52620.45</v>
          </cell>
        </row>
        <row r="65">
          <cell r="N65">
            <v>54537.37000000001</v>
          </cell>
          <cell r="U65">
            <v>300</v>
          </cell>
          <cell r="V65">
            <v>600</v>
          </cell>
          <cell r="W65">
            <v>300</v>
          </cell>
        </row>
        <row r="66">
          <cell r="N66">
            <v>0</v>
          </cell>
        </row>
        <row r="67">
          <cell r="N67">
            <v>0</v>
          </cell>
          <cell r="U67">
            <v>21500</v>
          </cell>
        </row>
        <row r="68">
          <cell r="N68">
            <v>0</v>
          </cell>
        </row>
        <row r="69">
          <cell r="N69">
            <v>0</v>
          </cell>
          <cell r="U69">
            <v>5600</v>
          </cell>
        </row>
        <row r="70">
          <cell r="N70">
            <v>0</v>
          </cell>
        </row>
        <row r="71">
          <cell r="N71">
            <v>10238.25</v>
          </cell>
          <cell r="U71">
            <v>25000</v>
          </cell>
        </row>
        <row r="73">
          <cell r="N73">
            <v>5015</v>
          </cell>
        </row>
        <row r="74">
          <cell r="N74">
            <v>16163.619999999999</v>
          </cell>
          <cell r="U74">
            <v>34000</v>
          </cell>
        </row>
        <row r="76">
          <cell r="N76">
            <v>16566.91</v>
          </cell>
        </row>
        <row r="77">
          <cell r="N77">
            <v>7770</v>
          </cell>
          <cell r="W77">
            <v>2000</v>
          </cell>
        </row>
        <row r="84">
          <cell r="N84">
            <v>10737.740000000007</v>
          </cell>
          <cell r="U84">
            <v>850</v>
          </cell>
          <cell r="V84">
            <v>510</v>
          </cell>
          <cell r="W84">
            <v>0</v>
          </cell>
          <cell r="X84">
            <v>0</v>
          </cell>
          <cell r="Y84">
            <v>0</v>
          </cell>
          <cell r="Z84">
            <v>0</v>
          </cell>
        </row>
        <row r="85">
          <cell r="N85">
            <v>9751.130000000001</v>
          </cell>
          <cell r="U85">
            <v>750</v>
          </cell>
          <cell r="V85">
            <v>450</v>
          </cell>
          <cell r="W85">
            <v>0</v>
          </cell>
          <cell r="X85">
            <v>0</v>
          </cell>
          <cell r="Y85">
            <v>0</v>
          </cell>
          <cell r="Z85">
            <v>0</v>
          </cell>
        </row>
        <row r="86">
          <cell r="N86">
            <v>8305.5699999999961</v>
          </cell>
          <cell r="U86">
            <v>550</v>
          </cell>
          <cell r="V86">
            <v>0</v>
          </cell>
          <cell r="W86">
            <v>0</v>
          </cell>
          <cell r="X86">
            <v>0</v>
          </cell>
          <cell r="Y86">
            <v>0</v>
          </cell>
          <cell r="Z86">
            <v>0</v>
          </cell>
        </row>
        <row r="87">
          <cell r="N87">
            <v>9943.8000000000011</v>
          </cell>
          <cell r="U87">
            <v>1350</v>
          </cell>
          <cell r="V87">
            <v>0</v>
          </cell>
          <cell r="W87">
            <v>0</v>
          </cell>
          <cell r="X87">
            <v>0</v>
          </cell>
          <cell r="Y87">
            <v>0</v>
          </cell>
          <cell r="Z87">
            <v>0</v>
          </cell>
        </row>
        <row r="88">
          <cell r="N88">
            <v>6360.98</v>
          </cell>
          <cell r="U88">
            <v>0</v>
          </cell>
          <cell r="V88">
            <v>0</v>
          </cell>
          <cell r="W88">
            <v>211.2</v>
          </cell>
          <cell r="X88">
            <v>0</v>
          </cell>
          <cell r="Y88">
            <v>0</v>
          </cell>
          <cell r="Z88">
            <v>0</v>
          </cell>
        </row>
        <row r="89">
          <cell r="N89">
            <v>9043.2000000000007</v>
          </cell>
          <cell r="U89">
            <v>0</v>
          </cell>
          <cell r="V89">
            <v>0</v>
          </cell>
          <cell r="W89">
            <v>0</v>
          </cell>
          <cell r="X89">
            <v>0</v>
          </cell>
          <cell r="Y89">
            <v>0</v>
          </cell>
          <cell r="Z89">
            <v>0</v>
          </cell>
        </row>
        <row r="90">
          <cell r="N90">
            <v>7329.66</v>
          </cell>
          <cell r="U90">
            <v>457.6</v>
          </cell>
          <cell r="V90">
            <v>274.56</v>
          </cell>
          <cell r="W90">
            <v>0</v>
          </cell>
          <cell r="X90">
            <v>0</v>
          </cell>
          <cell r="Y90">
            <v>0</v>
          </cell>
          <cell r="Z90">
            <v>0</v>
          </cell>
        </row>
        <row r="91">
          <cell r="N91">
            <v>5878.0399999999991</v>
          </cell>
          <cell r="U91">
            <v>256</v>
          </cell>
          <cell r="V91">
            <v>0</v>
          </cell>
          <cell r="W91">
            <v>0</v>
          </cell>
          <cell r="X91">
            <v>0</v>
          </cell>
          <cell r="Y91">
            <v>0</v>
          </cell>
          <cell r="Z91">
            <v>0</v>
          </cell>
        </row>
        <row r="92">
          <cell r="N92">
            <v>7045.1500000000024</v>
          </cell>
          <cell r="U92">
            <v>750</v>
          </cell>
          <cell r="V92">
            <v>0</v>
          </cell>
          <cell r="W92">
            <v>0</v>
          </cell>
          <cell r="X92">
            <v>0</v>
          </cell>
          <cell r="Y92">
            <v>0</v>
          </cell>
          <cell r="Z92">
            <v>0</v>
          </cell>
        </row>
        <row r="93">
          <cell r="N93">
            <v>0</v>
          </cell>
          <cell r="U93">
            <v>0</v>
          </cell>
          <cell r="V93">
            <v>0</v>
          </cell>
          <cell r="W93">
            <v>0</v>
          </cell>
          <cell r="X93">
            <v>0</v>
          </cell>
          <cell r="Y93">
            <v>0</v>
          </cell>
          <cell r="Z93">
            <v>0</v>
          </cell>
        </row>
        <row r="94">
          <cell r="N94">
            <v>7589.2899999999981</v>
          </cell>
          <cell r="U94">
            <v>400</v>
          </cell>
          <cell r="V94">
            <v>0</v>
          </cell>
          <cell r="W94">
            <v>0</v>
          </cell>
          <cell r="X94">
            <v>0</v>
          </cell>
          <cell r="Y94">
            <v>0</v>
          </cell>
          <cell r="Z94">
            <v>0</v>
          </cell>
        </row>
        <row r="95">
          <cell r="N95">
            <v>7292.5000000000009</v>
          </cell>
          <cell r="U95">
            <v>310</v>
          </cell>
          <cell r="V95">
            <v>0</v>
          </cell>
          <cell r="W95">
            <v>0</v>
          </cell>
          <cell r="X95">
            <v>0</v>
          </cell>
          <cell r="Y95">
            <v>0</v>
          </cell>
          <cell r="Z95">
            <v>0</v>
          </cell>
        </row>
        <row r="96">
          <cell r="N96">
            <v>1094.8900000000001</v>
          </cell>
          <cell r="U96">
            <v>0</v>
          </cell>
          <cell r="V96">
            <v>0</v>
          </cell>
          <cell r="W96">
            <v>0</v>
          </cell>
          <cell r="X96">
            <v>0</v>
          </cell>
          <cell r="Y96">
            <v>0</v>
          </cell>
          <cell r="Z96">
            <v>0</v>
          </cell>
        </row>
        <row r="98">
          <cell r="N98">
            <v>3692.4600000000014</v>
          </cell>
          <cell r="V98">
            <v>0</v>
          </cell>
          <cell r="W98">
            <v>0</v>
          </cell>
          <cell r="X98">
            <v>0</v>
          </cell>
          <cell r="Y98">
            <v>0</v>
          </cell>
          <cell r="Z98">
            <v>0</v>
          </cell>
        </row>
        <row r="99">
          <cell r="N99">
            <v>1224.3800000000001</v>
          </cell>
          <cell r="V99">
            <v>0</v>
          </cell>
          <cell r="W99">
            <v>0</v>
          </cell>
          <cell r="X99">
            <v>0</v>
          </cell>
          <cell r="Y99">
            <v>0</v>
          </cell>
          <cell r="Z99">
            <v>0</v>
          </cell>
        </row>
        <row r="101">
          <cell r="N101">
            <v>2785.9299999999985</v>
          </cell>
          <cell r="U101">
            <v>0</v>
          </cell>
          <cell r="V101">
            <v>0</v>
          </cell>
          <cell r="W101">
            <v>0</v>
          </cell>
          <cell r="X101">
            <v>0</v>
          </cell>
          <cell r="Y101">
            <v>0</v>
          </cell>
          <cell r="Z101">
            <v>0</v>
          </cell>
        </row>
        <row r="102">
          <cell r="N102">
            <v>2243.1000000000004</v>
          </cell>
          <cell r="V102">
            <v>0</v>
          </cell>
          <cell r="W102">
            <v>0</v>
          </cell>
          <cell r="X102">
            <v>0</v>
          </cell>
          <cell r="Y102">
            <v>0</v>
          </cell>
          <cell r="Z102">
            <v>0</v>
          </cell>
        </row>
        <row r="103">
          <cell r="N103">
            <v>680.81</v>
          </cell>
          <cell r="U103">
            <v>0</v>
          </cell>
          <cell r="V103">
            <v>0</v>
          </cell>
          <cell r="W103">
            <v>0</v>
          </cell>
          <cell r="X103">
            <v>0</v>
          </cell>
          <cell r="Y103">
            <v>0</v>
          </cell>
          <cell r="Z103">
            <v>0</v>
          </cell>
        </row>
        <row r="104">
          <cell r="N104">
            <v>804.98999999999933</v>
          </cell>
          <cell r="V104">
            <v>0</v>
          </cell>
          <cell r="W104">
            <v>0</v>
          </cell>
          <cell r="X104">
            <v>0</v>
          </cell>
          <cell r="Y104">
            <v>0</v>
          </cell>
          <cell r="Z104">
            <v>0</v>
          </cell>
        </row>
        <row r="105">
          <cell r="N105">
            <v>325.61999999999995</v>
          </cell>
          <cell r="U105">
            <v>0</v>
          </cell>
          <cell r="V105">
            <v>0</v>
          </cell>
          <cell r="W105">
            <v>0</v>
          </cell>
          <cell r="X105">
            <v>0</v>
          </cell>
          <cell r="Y105">
            <v>0</v>
          </cell>
          <cell r="Z105">
            <v>0</v>
          </cell>
        </row>
        <row r="107">
          <cell r="N107">
            <v>1262.0100000000004</v>
          </cell>
          <cell r="V107">
            <v>0</v>
          </cell>
          <cell r="W107">
            <v>0</v>
          </cell>
          <cell r="X107">
            <v>0</v>
          </cell>
          <cell r="Y107">
            <v>0</v>
          </cell>
          <cell r="Z107">
            <v>0</v>
          </cell>
        </row>
        <row r="108">
          <cell r="N108">
            <v>2382.63</v>
          </cell>
          <cell r="V108">
            <v>0</v>
          </cell>
          <cell r="W108">
            <v>0</v>
          </cell>
          <cell r="X108">
            <v>0</v>
          </cell>
          <cell r="Y108">
            <v>0</v>
          </cell>
          <cell r="Z108">
            <v>0</v>
          </cell>
        </row>
        <row r="109">
          <cell r="N109">
            <v>2913.3600000000006</v>
          </cell>
          <cell r="V109">
            <v>0</v>
          </cell>
          <cell r="W109">
            <v>0</v>
          </cell>
          <cell r="X109">
            <v>0</v>
          </cell>
          <cell r="Y109">
            <v>0</v>
          </cell>
          <cell r="Z109">
            <v>0</v>
          </cell>
        </row>
        <row r="110">
          <cell r="N110">
            <v>2035.9100000000003</v>
          </cell>
          <cell r="V110">
            <v>0</v>
          </cell>
          <cell r="W110">
            <v>0</v>
          </cell>
          <cell r="X110">
            <v>0</v>
          </cell>
          <cell r="Y110">
            <v>0</v>
          </cell>
          <cell r="Z110">
            <v>0</v>
          </cell>
        </row>
        <row r="111">
          <cell r="N111">
            <v>2295.1999999999998</v>
          </cell>
          <cell r="V111">
            <v>0</v>
          </cell>
          <cell r="W111">
            <v>0</v>
          </cell>
          <cell r="X111">
            <v>0</v>
          </cell>
          <cell r="Y111">
            <v>0</v>
          </cell>
          <cell r="Z111">
            <v>0</v>
          </cell>
        </row>
        <row r="112">
          <cell r="N112">
            <v>1022.6899999999998</v>
          </cell>
          <cell r="V112">
            <v>0</v>
          </cell>
          <cell r="W112">
            <v>0</v>
          </cell>
          <cell r="X112">
            <v>0</v>
          </cell>
          <cell r="Y112">
            <v>0</v>
          </cell>
          <cell r="Z112">
            <v>0</v>
          </cell>
        </row>
        <row r="113">
          <cell r="N113">
            <v>2067.9100000000003</v>
          </cell>
          <cell r="V113">
            <v>0</v>
          </cell>
          <cell r="W113">
            <v>0</v>
          </cell>
          <cell r="X113">
            <v>0</v>
          </cell>
          <cell r="Y113">
            <v>0</v>
          </cell>
          <cell r="Z113">
            <v>0</v>
          </cell>
        </row>
        <row r="115">
          <cell r="N115">
            <v>1665.3100000000002</v>
          </cell>
          <cell r="V115">
            <v>0</v>
          </cell>
          <cell r="W115">
            <v>0</v>
          </cell>
          <cell r="X115">
            <v>0</v>
          </cell>
          <cell r="Y115">
            <v>0</v>
          </cell>
          <cell r="Z115">
            <v>0</v>
          </cell>
        </row>
        <row r="116">
          <cell r="N116">
            <v>3087.1899999999996</v>
          </cell>
          <cell r="V116">
            <v>0</v>
          </cell>
          <cell r="W116">
            <v>0</v>
          </cell>
          <cell r="X116">
            <v>0</v>
          </cell>
          <cell r="Y116">
            <v>0</v>
          </cell>
          <cell r="Z116">
            <v>0</v>
          </cell>
        </row>
        <row r="117">
          <cell r="N117">
            <v>779.81999999999982</v>
          </cell>
          <cell r="V117">
            <v>0</v>
          </cell>
          <cell r="W117">
            <v>0</v>
          </cell>
          <cell r="X117">
            <v>0</v>
          </cell>
          <cell r="Y117">
            <v>0</v>
          </cell>
          <cell r="Z117">
            <v>0</v>
          </cell>
        </row>
        <row r="119">
          <cell r="N119">
            <v>68.55</v>
          </cell>
          <cell r="V119">
            <v>0</v>
          </cell>
          <cell r="W119">
            <v>0</v>
          </cell>
          <cell r="X119">
            <v>0</v>
          </cell>
          <cell r="Y119">
            <v>0</v>
          </cell>
          <cell r="Z119">
            <v>0</v>
          </cell>
        </row>
        <row r="120">
          <cell r="N120">
            <v>1510.79</v>
          </cell>
          <cell r="V120">
            <v>0</v>
          </cell>
          <cell r="W120">
            <v>0</v>
          </cell>
          <cell r="X120">
            <v>0</v>
          </cell>
          <cell r="Y120">
            <v>0</v>
          </cell>
          <cell r="Z120">
            <v>0</v>
          </cell>
        </row>
        <row r="121">
          <cell r="N121">
            <v>966.55000000000018</v>
          </cell>
          <cell r="V121">
            <v>0</v>
          </cell>
          <cell r="W121">
            <v>0</v>
          </cell>
          <cell r="X121">
            <v>0</v>
          </cell>
          <cell r="Y121">
            <v>0</v>
          </cell>
          <cell r="Z121">
            <v>0</v>
          </cell>
        </row>
        <row r="122">
          <cell r="N122">
            <v>704.97999999999968</v>
          </cell>
          <cell r="V122">
            <v>0</v>
          </cell>
          <cell r="W122">
            <v>0</v>
          </cell>
          <cell r="X122">
            <v>0</v>
          </cell>
          <cell r="Y122">
            <v>0</v>
          </cell>
          <cell r="Z122">
            <v>0</v>
          </cell>
        </row>
        <row r="123">
          <cell r="N123">
            <v>602.18999999999983</v>
          </cell>
          <cell r="V123">
            <v>0</v>
          </cell>
          <cell r="W123">
            <v>0</v>
          </cell>
          <cell r="X123">
            <v>0</v>
          </cell>
          <cell r="Y123">
            <v>0</v>
          </cell>
          <cell r="Z123">
            <v>0</v>
          </cell>
        </row>
        <row r="124">
          <cell r="N124">
            <v>342.84999999999997</v>
          </cell>
          <cell r="V124">
            <v>0</v>
          </cell>
          <cell r="W124">
            <v>0</v>
          </cell>
          <cell r="X124">
            <v>0</v>
          </cell>
          <cell r="Y124">
            <v>0</v>
          </cell>
          <cell r="Z124">
            <v>0</v>
          </cell>
        </row>
        <row r="125">
          <cell r="N125">
            <v>137.20000000000002</v>
          </cell>
          <cell r="V125">
            <v>0</v>
          </cell>
          <cell r="W125">
            <v>0</v>
          </cell>
          <cell r="X125">
            <v>0</v>
          </cell>
          <cell r="Y125">
            <v>0</v>
          </cell>
          <cell r="Z125">
            <v>0</v>
          </cell>
        </row>
        <row r="126">
          <cell r="N126">
            <v>1404.5800000000006</v>
          </cell>
          <cell r="V126">
            <v>0</v>
          </cell>
          <cell r="W126">
            <v>0</v>
          </cell>
          <cell r="X126">
            <v>0</v>
          </cell>
          <cell r="Y126">
            <v>0</v>
          </cell>
          <cell r="Z126">
            <v>0</v>
          </cell>
        </row>
        <row r="127">
          <cell r="N127">
            <v>1210.2900000000002</v>
          </cell>
          <cell r="V127">
            <v>0</v>
          </cell>
          <cell r="W127">
            <v>0</v>
          </cell>
          <cell r="X127">
            <v>0</v>
          </cell>
          <cell r="Y127">
            <v>0</v>
          </cell>
          <cell r="Z127">
            <v>0</v>
          </cell>
        </row>
        <row r="128">
          <cell r="N128">
            <v>724.18999999999983</v>
          </cell>
          <cell r="V128">
            <v>0</v>
          </cell>
          <cell r="W128">
            <v>0</v>
          </cell>
          <cell r="X128">
            <v>0</v>
          </cell>
          <cell r="Y128">
            <v>0</v>
          </cell>
          <cell r="Z128">
            <v>0</v>
          </cell>
        </row>
        <row r="129">
          <cell r="N129">
            <v>1875.74</v>
          </cell>
          <cell r="V129">
            <v>0</v>
          </cell>
          <cell r="W129">
            <v>0</v>
          </cell>
          <cell r="X129">
            <v>0</v>
          </cell>
          <cell r="Y129">
            <v>0</v>
          </cell>
          <cell r="Z129">
            <v>0</v>
          </cell>
        </row>
        <row r="130">
          <cell r="N130">
            <v>293.75</v>
          </cell>
          <cell r="U130">
            <v>5</v>
          </cell>
          <cell r="V130">
            <v>0</v>
          </cell>
          <cell r="W130">
            <v>0</v>
          </cell>
          <cell r="X130">
            <v>0</v>
          </cell>
          <cell r="Y130">
            <v>0</v>
          </cell>
          <cell r="Z130">
            <v>0</v>
          </cell>
        </row>
        <row r="133">
          <cell r="N133">
            <v>19487.900000000005</v>
          </cell>
          <cell r="U133">
            <v>3</v>
          </cell>
          <cell r="V133">
            <v>5</v>
          </cell>
        </row>
        <row r="136">
          <cell r="N136">
            <v>38758.99</v>
          </cell>
        </row>
        <row r="142">
          <cell r="N142">
            <v>16502.02</v>
          </cell>
          <cell r="U142">
            <v>450</v>
          </cell>
          <cell r="V142">
            <v>450</v>
          </cell>
          <cell r="W142">
            <v>450</v>
          </cell>
        </row>
        <row r="143">
          <cell r="N143">
            <v>25258.719999999994</v>
          </cell>
          <cell r="U143">
            <v>300</v>
          </cell>
          <cell r="V143">
            <v>300</v>
          </cell>
          <cell r="W143">
            <v>300</v>
          </cell>
          <cell r="X143">
            <v>250</v>
          </cell>
        </row>
        <row r="144">
          <cell r="N144">
            <v>5749.3400000000038</v>
          </cell>
          <cell r="U144">
            <v>150</v>
          </cell>
          <cell r="V144">
            <v>75</v>
          </cell>
        </row>
        <row r="151">
          <cell r="N151">
            <v>3830.2300000000005</v>
          </cell>
          <cell r="U151">
            <v>50</v>
          </cell>
          <cell r="V151">
            <v>50</v>
          </cell>
        </row>
        <row r="152">
          <cell r="N152">
            <v>465.25000000000006</v>
          </cell>
          <cell r="U152">
            <v>7.94</v>
          </cell>
          <cell r="V152">
            <v>0.79400000000000004</v>
          </cell>
        </row>
        <row r="153">
          <cell r="N153">
            <v>9854.2400000000016</v>
          </cell>
          <cell r="U153">
            <v>299.745</v>
          </cell>
          <cell r="V153">
            <v>29.974500000000003</v>
          </cell>
        </row>
        <row r="154">
          <cell r="N154">
            <v>4244.72</v>
          </cell>
          <cell r="U154">
            <v>131.99</v>
          </cell>
          <cell r="V154">
            <v>13.199000000000002</v>
          </cell>
        </row>
        <row r="155">
          <cell r="N155">
            <v>4696.0000000000437</v>
          </cell>
          <cell r="U155">
            <v>48.540000000000191</v>
          </cell>
        </row>
        <row r="156">
          <cell r="N156">
            <v>3487.49</v>
          </cell>
          <cell r="U156">
            <v>144.345</v>
          </cell>
          <cell r="V156">
            <v>14.4345</v>
          </cell>
        </row>
        <row r="157">
          <cell r="N157">
            <v>5204.9900000000007</v>
          </cell>
          <cell r="U157">
            <v>111.94</v>
          </cell>
          <cell r="V157">
            <v>11.194000000000001</v>
          </cell>
        </row>
        <row r="159">
          <cell r="N159">
            <v>16610.16</v>
          </cell>
          <cell r="U159">
            <v>925</v>
          </cell>
          <cell r="V159">
            <v>908.04</v>
          </cell>
          <cell r="W159">
            <v>925</v>
          </cell>
        </row>
        <row r="160">
          <cell r="N160">
            <v>11233.5</v>
          </cell>
          <cell r="U160">
            <v>525</v>
          </cell>
          <cell r="V160">
            <v>490.83</v>
          </cell>
          <cell r="W160">
            <v>525</v>
          </cell>
        </row>
        <row r="161">
          <cell r="N161">
            <v>4836.26</v>
          </cell>
          <cell r="U161">
            <v>225</v>
          </cell>
          <cell r="V161">
            <v>220.87999999999997</v>
          </cell>
          <cell r="W161">
            <v>225</v>
          </cell>
        </row>
        <row r="162">
          <cell r="N162">
            <v>3320.38</v>
          </cell>
          <cell r="U162">
            <v>200</v>
          </cell>
          <cell r="V162">
            <v>196.33</v>
          </cell>
          <cell r="W162">
            <v>200</v>
          </cell>
          <cell r="X162">
            <v>200</v>
          </cell>
        </row>
        <row r="163">
          <cell r="N163">
            <v>3060.48</v>
          </cell>
          <cell r="U163">
            <v>200</v>
          </cell>
          <cell r="V163">
            <v>169.93</v>
          </cell>
          <cell r="W163">
            <v>200</v>
          </cell>
        </row>
        <row r="164">
          <cell r="N164">
            <v>120</v>
          </cell>
          <cell r="U164">
            <v>50</v>
          </cell>
          <cell r="V164">
            <v>0</v>
          </cell>
        </row>
        <row r="165">
          <cell r="N165">
            <v>24929.94000000001</v>
          </cell>
          <cell r="U165">
            <v>1200</v>
          </cell>
          <cell r="V165">
            <v>1367.1400000000003</v>
          </cell>
          <cell r="W165">
            <v>900</v>
          </cell>
        </row>
        <row r="166">
          <cell r="N166">
            <v>5787.7100000000019</v>
          </cell>
          <cell r="U166">
            <v>200</v>
          </cell>
          <cell r="V166">
            <v>223.7</v>
          </cell>
          <cell r="W166">
            <v>200</v>
          </cell>
        </row>
        <row r="171">
          <cell r="N171">
            <v>978513.97000000009</v>
          </cell>
          <cell r="U171">
            <v>146772.86299999998</v>
          </cell>
          <cell r="V171">
            <v>34873.609060000003</v>
          </cell>
          <cell r="W171">
            <v>35880.92525</v>
          </cell>
          <cell r="X171">
            <v>481.5</v>
          </cell>
          <cell r="Y171">
            <v>0</v>
          </cell>
          <cell r="Z171">
            <v>0</v>
          </cell>
          <cell r="AD171">
            <v>1196522.8701100003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ITULATIF 2 ANS"/>
      <sheetName val="Budget_Detaille_AMI_AAP"/>
      <sheetName val="Budget_Recapitulatif_AAP"/>
    </sheetNames>
    <sheetDataSet>
      <sheetData sheetId="0">
        <row r="15">
          <cell r="T15">
            <v>1620</v>
          </cell>
        </row>
        <row r="16">
          <cell r="T16">
            <v>5147.2</v>
          </cell>
        </row>
        <row r="17">
          <cell r="T17">
            <v>7000</v>
          </cell>
        </row>
        <row r="20">
          <cell r="T20">
            <v>22500</v>
          </cell>
        </row>
        <row r="21">
          <cell r="T21">
            <v>12500</v>
          </cell>
        </row>
        <row r="22">
          <cell r="T22">
            <v>8000</v>
          </cell>
        </row>
        <row r="23">
          <cell r="T23">
            <v>2313</v>
          </cell>
        </row>
        <row r="24">
          <cell r="T24">
            <v>7790</v>
          </cell>
        </row>
        <row r="27">
          <cell r="T27">
            <v>2766.25</v>
          </cell>
        </row>
        <row r="28">
          <cell r="T28">
            <v>3446</v>
          </cell>
        </row>
        <row r="29">
          <cell r="T29">
            <v>2756</v>
          </cell>
        </row>
        <row r="30">
          <cell r="T30">
            <v>3445</v>
          </cell>
        </row>
        <row r="31">
          <cell r="T31">
            <v>2531</v>
          </cell>
        </row>
        <row r="32">
          <cell r="T32">
            <v>2532</v>
          </cell>
        </row>
        <row r="35">
          <cell r="T35">
            <v>2600</v>
          </cell>
        </row>
        <row r="36">
          <cell r="T36">
            <v>18388</v>
          </cell>
        </row>
        <row r="37">
          <cell r="T37">
            <v>1584</v>
          </cell>
        </row>
        <row r="38">
          <cell r="T38">
            <v>6710</v>
          </cell>
        </row>
        <row r="39">
          <cell r="T39">
            <v>3050</v>
          </cell>
        </row>
        <row r="42">
          <cell r="T42">
            <v>0</v>
          </cell>
        </row>
        <row r="43">
          <cell r="T43">
            <v>750</v>
          </cell>
        </row>
        <row r="44">
          <cell r="T44">
            <v>1445</v>
          </cell>
        </row>
        <row r="49">
          <cell r="T49">
            <v>5000</v>
          </cell>
        </row>
        <row r="50">
          <cell r="T50">
            <v>5600</v>
          </cell>
        </row>
        <row r="51">
          <cell r="T51">
            <v>2800</v>
          </cell>
        </row>
        <row r="52">
          <cell r="T52">
            <v>2800</v>
          </cell>
        </row>
        <row r="53">
          <cell r="T53">
            <v>32150</v>
          </cell>
        </row>
        <row r="54">
          <cell r="T54">
            <v>39500</v>
          </cell>
        </row>
        <row r="55">
          <cell r="T55">
            <v>0</v>
          </cell>
        </row>
        <row r="56">
          <cell r="T56">
            <v>35999</v>
          </cell>
        </row>
        <row r="57">
          <cell r="T57">
            <v>42000</v>
          </cell>
        </row>
        <row r="58">
          <cell r="T58">
            <v>12600</v>
          </cell>
        </row>
        <row r="62">
          <cell r="T62">
            <v>5399.42</v>
          </cell>
        </row>
        <row r="63">
          <cell r="T63">
            <v>2100</v>
          </cell>
        </row>
        <row r="65">
          <cell r="T65">
            <v>5100</v>
          </cell>
        </row>
        <row r="67">
          <cell r="T67">
            <v>108000</v>
          </cell>
        </row>
        <row r="70">
          <cell r="T70">
            <v>0</v>
          </cell>
        </row>
        <row r="71">
          <cell r="T71">
            <v>5400</v>
          </cell>
        </row>
        <row r="75">
          <cell r="T75">
            <v>7000</v>
          </cell>
        </row>
        <row r="76">
          <cell r="T76">
            <v>3360</v>
          </cell>
        </row>
        <row r="77">
          <cell r="T77">
            <v>0</v>
          </cell>
        </row>
        <row r="78">
          <cell r="T78">
            <v>0</v>
          </cell>
        </row>
        <row r="80">
          <cell r="T80">
            <v>4800</v>
          </cell>
        </row>
        <row r="81">
          <cell r="T81">
            <v>6650</v>
          </cell>
        </row>
        <row r="82">
          <cell r="T82">
            <v>2800</v>
          </cell>
        </row>
        <row r="83">
          <cell r="T83">
            <v>0</v>
          </cell>
        </row>
        <row r="84">
          <cell r="T84">
            <v>2100</v>
          </cell>
        </row>
        <row r="85">
          <cell r="T85">
            <v>4156</v>
          </cell>
        </row>
        <row r="86">
          <cell r="T86">
            <v>2100</v>
          </cell>
        </row>
        <row r="87">
          <cell r="T87">
            <v>8400</v>
          </cell>
        </row>
        <row r="88">
          <cell r="T88">
            <v>3500</v>
          </cell>
        </row>
        <row r="89">
          <cell r="T89">
            <v>3760</v>
          </cell>
        </row>
        <row r="90">
          <cell r="T90">
            <v>630</v>
          </cell>
        </row>
        <row r="96">
          <cell r="T96">
            <v>12118</v>
          </cell>
        </row>
        <row r="97">
          <cell r="T97">
            <v>19945.110000000004</v>
          </cell>
        </row>
        <row r="98">
          <cell r="T98">
            <v>16185.17</v>
          </cell>
        </row>
        <row r="99">
          <cell r="T99">
            <v>15367.47</v>
          </cell>
        </row>
        <row r="100">
          <cell r="T100">
            <v>5836.8700000000008</v>
          </cell>
        </row>
        <row r="101">
          <cell r="T101">
            <v>12007.98</v>
          </cell>
        </row>
        <row r="102">
          <cell r="T102">
            <v>18000</v>
          </cell>
        </row>
        <row r="103">
          <cell r="T103">
            <v>8640.0600000000013</v>
          </cell>
        </row>
        <row r="104">
          <cell r="T104">
            <v>4080</v>
          </cell>
        </row>
        <row r="105">
          <cell r="T105">
            <v>1020</v>
          </cell>
        </row>
        <row r="108">
          <cell r="T108">
            <v>2400</v>
          </cell>
        </row>
        <row r="109">
          <cell r="T109">
            <v>8600</v>
          </cell>
        </row>
        <row r="112">
          <cell r="T112">
            <v>800</v>
          </cell>
        </row>
        <row r="113">
          <cell r="T113">
            <v>5000</v>
          </cell>
        </row>
        <row r="114">
          <cell r="T114">
            <v>3000</v>
          </cell>
        </row>
        <row r="115">
          <cell r="T115">
            <v>15000</v>
          </cell>
        </row>
        <row r="118">
          <cell r="T118">
            <v>9000</v>
          </cell>
        </row>
        <row r="119">
          <cell r="T119">
            <v>9000</v>
          </cell>
        </row>
        <row r="122">
          <cell r="T122">
            <v>7620</v>
          </cell>
        </row>
        <row r="123">
          <cell r="T123">
            <v>10418.5</v>
          </cell>
        </row>
        <row r="128">
          <cell r="T128">
            <v>5420.369999999999</v>
          </cell>
        </row>
        <row r="129">
          <cell r="T129">
            <v>7000</v>
          </cell>
        </row>
        <row r="130">
          <cell r="T130">
            <v>7470</v>
          </cell>
        </row>
        <row r="131">
          <cell r="T131">
            <v>10328.41</v>
          </cell>
        </row>
        <row r="132">
          <cell r="T132">
            <v>21322.55</v>
          </cell>
        </row>
        <row r="137">
          <cell r="T137">
            <v>51126.939999999995</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IAR_OS 1 &amp; 6"/>
      <sheetName val="OS 1&amp;2 UNH"/>
      <sheetName val="OIM_OS 3&amp;4"/>
      <sheetName val="Caritas_OS 4"/>
      <sheetName val="SFCG_OS 5"/>
      <sheetName val="MERCY CORPS_OS 6"/>
      <sheetName val="COOPI_OS7"/>
      <sheetName val="Recapitulatif (2)"/>
    </sheetNames>
    <sheetDataSet>
      <sheetData sheetId="0">
        <row r="249">
          <cell r="Q249">
            <v>800424</v>
          </cell>
        </row>
        <row r="285">
          <cell r="Q285">
            <v>241632.1</v>
          </cell>
        </row>
        <row r="289">
          <cell r="Q289">
            <v>72943.927000000011</v>
          </cell>
        </row>
      </sheetData>
      <sheetData sheetId="1">
        <row r="58">
          <cell r="Q58">
            <v>128500.06000000001</v>
          </cell>
        </row>
        <row r="68">
          <cell r="Q68">
            <v>1013392.04</v>
          </cell>
        </row>
        <row r="76">
          <cell r="Q76">
            <v>263025.59999999998</v>
          </cell>
        </row>
        <row r="97">
          <cell r="Q97">
            <v>384738.89999999997</v>
          </cell>
        </row>
        <row r="101">
          <cell r="Q101">
            <v>97869.165800000002</v>
          </cell>
        </row>
      </sheetData>
      <sheetData sheetId="2">
        <row r="136">
          <cell r="Q136">
            <v>506168.5</v>
          </cell>
        </row>
        <row r="187">
          <cell r="Q187">
            <v>220000</v>
          </cell>
        </row>
        <row r="191">
          <cell r="Q191">
            <v>50831.795000000006</v>
          </cell>
        </row>
      </sheetData>
      <sheetData sheetId="3">
        <row r="83">
          <cell r="Q83">
            <v>476484.6</v>
          </cell>
        </row>
        <row r="126">
          <cell r="Q126">
            <v>238468.89</v>
          </cell>
        </row>
        <row r="129">
          <cell r="Q129">
            <v>50046.744300000006</v>
          </cell>
        </row>
      </sheetData>
      <sheetData sheetId="4">
        <row r="52">
          <cell r="Q52">
            <v>365937.1</v>
          </cell>
        </row>
      </sheetData>
      <sheetData sheetId="5">
        <row r="70">
          <cell r="Q70">
            <v>745034.79999999993</v>
          </cell>
        </row>
        <row r="172">
          <cell r="Q172">
            <v>374124.09</v>
          </cell>
        </row>
        <row r="176">
          <cell r="Q176">
            <v>78341.122300000003</v>
          </cell>
        </row>
      </sheetData>
      <sheetData sheetId="6">
        <row r="64">
          <cell r="Q64">
            <v>348187</v>
          </cell>
        </row>
        <row r="106">
          <cell r="Q106">
            <v>193027.96000000002</v>
          </cell>
        </row>
        <row r="110">
          <cell r="Q110">
            <v>37885.047200000001</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Global"/>
      <sheetName val="Budget Recapitulatif PMOs"/>
      <sheetName val="UNHABITAT"/>
      <sheetName val="SFCG"/>
      <sheetName val="MERCY COPRS"/>
      <sheetName val="ACIAR"/>
      <sheetName val="OIM"/>
      <sheetName val="CARITAS"/>
      <sheetName val="COOPI"/>
      <sheetName val="Budget tous PMO"/>
    </sheetNames>
    <sheetDataSet>
      <sheetData sheetId="0" refreshError="1"/>
      <sheetData sheetId="1" refreshError="1"/>
      <sheetData sheetId="2" refreshError="1"/>
      <sheetData sheetId="3">
        <row r="86">
          <cell r="P86">
            <v>477763.1</v>
          </cell>
        </row>
        <row r="132">
          <cell r="P132">
            <v>215459</v>
          </cell>
        </row>
        <row r="135">
          <cell r="P135">
            <v>48525.547000000006</v>
          </cell>
        </row>
      </sheetData>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Emma Nziwa" id="{9F614AE7-6CAC-46AF-8779-B746C2541F2C}" userId="Emma Nziw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54" dT="2020-02-21T08:41:19.26" personId="{9F614AE7-6CAC-46AF-8779-B746C2541F2C}" id="{66FA1058-9969-4CD0-B781-BCE6EE1AD244}">
    <text>Dear Susane, please this activity has to be held in march with SSU authorisation (thats whay we sent a request to sumbit to SSU)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Q729"/>
  <sheetViews>
    <sheetView tabSelected="1" zoomScale="60" zoomScaleNormal="60" workbookViewId="0">
      <pane xSplit="2" ySplit="13" topLeftCell="C679" activePane="bottomRight" state="frozen"/>
      <selection pane="topRight" activeCell="C1" sqref="C1"/>
      <selection pane="bottomLeft" activeCell="A13" sqref="A13"/>
      <selection pane="bottomRight" activeCell="D5" sqref="D5"/>
    </sheetView>
  </sheetViews>
  <sheetFormatPr baseColWidth="10" defaultColWidth="11.453125" defaultRowHeight="13" x14ac:dyDescent="0.25"/>
  <cols>
    <col min="1" max="1" width="40" style="454" customWidth="1"/>
    <col min="2" max="2" width="56.81640625" style="896" customWidth="1"/>
    <col min="3" max="3" width="32.6328125" style="1844" customWidth="1"/>
    <col min="4" max="4" width="27.1796875" style="494" customWidth="1"/>
    <col min="5" max="7" width="10.7265625" style="1158" customWidth="1"/>
    <col min="8" max="8" width="12.453125" style="1070" customWidth="1"/>
    <col min="9" max="9" width="14" style="1159" customWidth="1"/>
    <col min="10" max="11" width="10.7265625" style="1160" hidden="1" customWidth="1"/>
    <col min="12" max="12" width="11.7265625" style="1160" hidden="1" customWidth="1"/>
    <col min="13" max="13" width="12" style="2861" customWidth="1"/>
    <col min="14" max="14" width="13.1796875" style="1159" customWidth="1"/>
    <col min="15" max="15" width="12.453125" style="2915" customWidth="1"/>
    <col min="16" max="16" width="15.453125" style="1094" hidden="1" customWidth="1"/>
    <col min="17" max="17" width="15.453125" style="733" hidden="1" customWidth="1"/>
    <col min="18" max="18" width="59" style="523" hidden="1" customWidth="1"/>
    <col min="19" max="19" width="17.81640625" style="1095" customWidth="1"/>
    <col min="20" max="20" width="19.54296875" style="249" customWidth="1"/>
    <col min="21" max="21" width="49.26953125" style="1684" customWidth="1"/>
    <col min="22" max="22" width="18.453125" style="249" customWidth="1"/>
    <col min="23" max="23" width="16.453125" style="1095" customWidth="1"/>
    <col min="24" max="24" width="68.54296875" style="261" customWidth="1"/>
    <col min="25" max="16384" width="11.453125" style="261"/>
  </cols>
  <sheetData>
    <row r="1" spans="1:43" x14ac:dyDescent="0.25">
      <c r="U1" s="2493"/>
    </row>
    <row r="2" spans="1:43" ht="21" x14ac:dyDescent="0.25">
      <c r="A2" s="670"/>
      <c r="B2" s="1089"/>
      <c r="C2" s="1843"/>
      <c r="D2" s="1180" t="s">
        <v>28</v>
      </c>
      <c r="E2" s="1090"/>
      <c r="F2" s="1090"/>
      <c r="G2" s="1090"/>
      <c r="H2" s="1091"/>
      <c r="I2" s="1092"/>
      <c r="J2" s="1093"/>
      <c r="K2" s="1093"/>
      <c r="L2" s="1093"/>
      <c r="M2" s="2862"/>
      <c r="N2" s="1092"/>
      <c r="O2" s="2916"/>
    </row>
    <row r="3" spans="1:43" x14ac:dyDescent="0.25">
      <c r="A3" s="670" t="s">
        <v>23</v>
      </c>
      <c r="B3" s="1096" t="s">
        <v>1376</v>
      </c>
      <c r="C3" s="1843"/>
      <c r="D3" s="449"/>
      <c r="E3" s="1097"/>
      <c r="F3" s="1097"/>
      <c r="G3" s="1097"/>
      <c r="H3" s="1091"/>
      <c r="I3" s="1092"/>
      <c r="J3" s="1093"/>
      <c r="K3" s="1093"/>
      <c r="L3" s="1093"/>
      <c r="M3" s="2862"/>
      <c r="N3" s="1092"/>
      <c r="O3" s="2916"/>
    </row>
    <row r="4" spans="1:43" x14ac:dyDescent="0.25">
      <c r="A4" s="670" t="s">
        <v>24</v>
      </c>
      <c r="B4" s="1096" t="s">
        <v>98</v>
      </c>
      <c r="D4" s="449"/>
      <c r="E4" s="1097"/>
      <c r="F4" s="1097"/>
      <c r="G4" s="1097"/>
      <c r="H4" s="1091"/>
      <c r="I4" s="1092"/>
      <c r="J4" s="1093"/>
      <c r="K4" s="1093">
        <f>H52*30/100</f>
        <v>330</v>
      </c>
      <c r="L4" s="1093"/>
      <c r="M4" s="2862"/>
      <c r="N4" s="1092"/>
      <c r="O4" s="2916"/>
    </row>
    <row r="5" spans="1:43" x14ac:dyDescent="0.25">
      <c r="A5" s="670" t="s">
        <v>21</v>
      </c>
      <c r="B5" s="1098" t="s">
        <v>1673</v>
      </c>
      <c r="D5" s="449"/>
      <c r="E5" s="1099"/>
      <c r="F5" s="1099"/>
      <c r="G5" s="1099"/>
      <c r="H5" s="1100"/>
      <c r="I5" s="1101"/>
      <c r="J5" s="1102"/>
      <c r="K5" s="1102"/>
      <c r="L5" s="1102"/>
      <c r="M5" s="2863"/>
      <c r="N5" s="1101"/>
      <c r="O5" s="1100"/>
    </row>
    <row r="6" spans="1:43" x14ac:dyDescent="0.25">
      <c r="A6" s="670" t="s">
        <v>22</v>
      </c>
      <c r="B6" s="1053">
        <f>O710</f>
        <v>6234904.8050000006</v>
      </c>
      <c r="D6" s="2896"/>
      <c r="E6" s="1099"/>
      <c r="F6" s="1099"/>
      <c r="G6" s="1099"/>
      <c r="H6" s="1100"/>
      <c r="I6" s="1101"/>
      <c r="J6" s="1102"/>
      <c r="K6" s="1102"/>
      <c r="L6" s="1102"/>
      <c r="M6" s="2863"/>
      <c r="N6" s="1101"/>
      <c r="O6" s="1100"/>
      <c r="R6" s="523">
        <f>+S14*100/O14</f>
        <v>55.995624999999997</v>
      </c>
    </row>
    <row r="7" spans="1:43" x14ac:dyDescent="0.25">
      <c r="A7" s="670" t="s">
        <v>37</v>
      </c>
      <c r="B7" s="1054">
        <f>B6*0.07</f>
        <v>436443.33635000011</v>
      </c>
      <c r="C7" s="1845"/>
      <c r="D7" s="449"/>
      <c r="E7" s="1099"/>
      <c r="F7" s="1099"/>
      <c r="G7" s="1099"/>
      <c r="H7" s="1100"/>
      <c r="I7" s="1101"/>
      <c r="J7" s="1102"/>
      <c r="K7" s="1102"/>
      <c r="L7" s="1102"/>
      <c r="M7" s="2863"/>
      <c r="N7" s="1101"/>
      <c r="O7" s="1100"/>
    </row>
    <row r="8" spans="1:43" ht="26" x14ac:dyDescent="0.25">
      <c r="A8" s="670" t="s">
        <v>38</v>
      </c>
      <c r="B8" s="1873">
        <f>B6+B7</f>
        <v>6671348.1413500011</v>
      </c>
      <c r="C8" s="1845"/>
      <c r="D8" s="449"/>
      <c r="E8" s="1099"/>
      <c r="F8" s="1099"/>
      <c r="G8" s="1099"/>
      <c r="H8" s="1100"/>
      <c r="I8" s="1101"/>
      <c r="J8" s="1102"/>
      <c r="K8" s="1102"/>
      <c r="L8" s="1102"/>
      <c r="M8" s="2863"/>
      <c r="N8" s="1101"/>
      <c r="O8" s="1100"/>
      <c r="U8" s="1684" t="s">
        <v>1637</v>
      </c>
    </row>
    <row r="9" spans="1:43" x14ac:dyDescent="0.25">
      <c r="A9" s="670"/>
      <c r="B9" s="1089"/>
      <c r="C9" s="1843"/>
      <c r="D9" s="449"/>
      <c r="E9" s="1097"/>
      <c r="F9" s="1097"/>
      <c r="G9" s="1097"/>
      <c r="H9" s="1091"/>
      <c r="I9" s="1092"/>
      <c r="J9" s="1093"/>
      <c r="K9" s="1093"/>
      <c r="L9" s="1093"/>
      <c r="M9" s="2862"/>
      <c r="N9" s="1092"/>
      <c r="O9" s="2916"/>
      <c r="S9" s="2985" t="s">
        <v>1466</v>
      </c>
      <c r="T9" s="2986"/>
      <c r="U9" s="2986"/>
      <c r="V9" s="2986"/>
      <c r="W9" s="2986"/>
      <c r="X9" s="2987"/>
    </row>
    <row r="10" spans="1:43" s="1184" customFormat="1" ht="26" x14ac:dyDescent="0.25">
      <c r="A10" s="1185" t="s">
        <v>9</v>
      </c>
      <c r="B10" s="1181" t="s">
        <v>10</v>
      </c>
      <c r="C10" s="1185" t="s">
        <v>45</v>
      </c>
      <c r="D10" s="529" t="s">
        <v>35</v>
      </c>
      <c r="E10" s="1186" t="s">
        <v>6</v>
      </c>
      <c r="F10" s="1186" t="s">
        <v>7</v>
      </c>
      <c r="G10" s="1186" t="s">
        <v>8</v>
      </c>
      <c r="H10" s="1187" t="s">
        <v>11</v>
      </c>
      <c r="I10" s="1188" t="s">
        <v>25</v>
      </c>
      <c r="J10" s="1186" t="s">
        <v>6</v>
      </c>
      <c r="K10" s="1186" t="s">
        <v>7</v>
      </c>
      <c r="L10" s="1186" t="s">
        <v>8</v>
      </c>
      <c r="M10" s="2864" t="s">
        <v>12</v>
      </c>
      <c r="N10" s="1188" t="s">
        <v>25</v>
      </c>
      <c r="O10" s="2914" t="s">
        <v>13</v>
      </c>
      <c r="P10" s="1188" t="s">
        <v>64</v>
      </c>
      <c r="Q10" s="1187" t="s">
        <v>84</v>
      </c>
      <c r="R10" s="1189" t="s">
        <v>42</v>
      </c>
      <c r="S10" s="1183" t="s">
        <v>79</v>
      </c>
      <c r="T10" s="1182" t="s">
        <v>80</v>
      </c>
      <c r="U10" s="1190" t="s">
        <v>81</v>
      </c>
      <c r="V10" s="1182" t="s">
        <v>82</v>
      </c>
      <c r="W10" s="1183" t="s">
        <v>399</v>
      </c>
      <c r="X10" s="1190" t="s">
        <v>83</v>
      </c>
    </row>
    <row r="11" spans="1:43" ht="24.65" customHeight="1" x14ac:dyDescent="0.25">
      <c r="A11" s="2988" t="s">
        <v>52</v>
      </c>
      <c r="B11" s="2989"/>
      <c r="C11" s="2989"/>
      <c r="D11" s="2989"/>
      <c r="E11" s="2989"/>
      <c r="F11" s="2989"/>
      <c r="G11" s="2989"/>
      <c r="H11" s="2989"/>
      <c r="I11" s="2989"/>
      <c r="J11" s="2989"/>
      <c r="K11" s="2989"/>
      <c r="L11" s="2989"/>
      <c r="M11" s="2989"/>
      <c r="N11" s="2989"/>
      <c r="O11" s="2989"/>
      <c r="P11" s="2989"/>
      <c r="Q11" s="2989"/>
      <c r="R11" s="2989"/>
      <c r="S11" s="2989"/>
      <c r="T11" s="2989"/>
      <c r="U11" s="2989"/>
      <c r="V11" s="2989"/>
      <c r="W11" s="2989"/>
      <c r="X11" s="2990"/>
    </row>
    <row r="12" spans="1:43" ht="13.9" customHeight="1" x14ac:dyDescent="0.25">
      <c r="A12" s="2991" t="s">
        <v>1243</v>
      </c>
      <c r="B12" s="2992"/>
      <c r="C12" s="2992"/>
      <c r="D12" s="2992"/>
      <c r="E12" s="2992"/>
      <c r="F12" s="2992"/>
      <c r="G12" s="2992"/>
      <c r="H12" s="2992"/>
      <c r="I12" s="2992"/>
      <c r="J12" s="2992"/>
      <c r="K12" s="2992"/>
      <c r="L12" s="2992"/>
      <c r="M12" s="2992"/>
      <c r="N12" s="2992"/>
      <c r="O12" s="2992"/>
      <c r="P12" s="2992"/>
      <c r="Q12" s="2992"/>
      <c r="R12" s="2992"/>
      <c r="S12" s="2992"/>
      <c r="T12" s="2992"/>
      <c r="U12" s="2992"/>
      <c r="V12" s="2992"/>
      <c r="W12" s="2992"/>
      <c r="X12" s="2993"/>
    </row>
    <row r="13" spans="1:43" ht="13.9" customHeight="1" x14ac:dyDescent="0.25">
      <c r="A13" s="3000" t="s">
        <v>1230</v>
      </c>
      <c r="B13" s="3001"/>
      <c r="C13" s="3001"/>
      <c r="D13" s="3001"/>
      <c r="E13" s="3001"/>
      <c r="F13" s="3001"/>
      <c r="G13" s="3001"/>
      <c r="H13" s="3001"/>
      <c r="I13" s="3001"/>
      <c r="J13" s="3001"/>
      <c r="K13" s="3001"/>
      <c r="L13" s="3001"/>
      <c r="M13" s="3001"/>
      <c r="N13" s="3001"/>
      <c r="O13" s="3001"/>
      <c r="P13" s="3001"/>
      <c r="Q13" s="3001"/>
      <c r="R13" s="3002"/>
      <c r="S13" s="1671"/>
      <c r="T13" s="1088"/>
      <c r="U13" s="893"/>
      <c r="V13" s="1103"/>
      <c r="W13" s="1104"/>
      <c r="X13" s="1105"/>
      <c r="Y13" s="448"/>
      <c r="Z13" s="448"/>
      <c r="AA13" s="448"/>
      <c r="AB13" s="448"/>
      <c r="AC13" s="448"/>
      <c r="AD13" s="448"/>
      <c r="AE13" s="448"/>
      <c r="AF13" s="448"/>
      <c r="AG13" s="448"/>
      <c r="AH13" s="448"/>
      <c r="AI13" s="448"/>
      <c r="AJ13" s="448"/>
      <c r="AK13" s="448"/>
      <c r="AL13" s="448"/>
      <c r="AM13" s="448"/>
      <c r="AN13" s="448"/>
      <c r="AO13" s="448"/>
      <c r="AP13" s="448"/>
      <c r="AQ13" s="448"/>
    </row>
    <row r="14" spans="1:43" s="450" customFormat="1" ht="17.5" customHeight="1" x14ac:dyDescent="0.25">
      <c r="A14" s="2994" t="s">
        <v>1226</v>
      </c>
      <c r="B14" s="3011" t="s">
        <v>504</v>
      </c>
      <c r="C14" s="276" t="s">
        <v>15</v>
      </c>
      <c r="D14" s="467" t="s">
        <v>500</v>
      </c>
      <c r="E14" s="1721"/>
      <c r="F14" s="1721"/>
      <c r="G14" s="1721"/>
      <c r="H14" s="451">
        <v>2400</v>
      </c>
      <c r="I14" s="675">
        <v>0.3</v>
      </c>
      <c r="J14" s="1722"/>
      <c r="K14" s="1722"/>
      <c r="L14" s="1722"/>
      <c r="M14" s="1834">
        <v>2400</v>
      </c>
      <c r="N14" s="697">
        <v>0.3</v>
      </c>
      <c r="O14" s="696">
        <f>+H14+M14</f>
        <v>4800</v>
      </c>
      <c r="P14" s="675">
        <v>0.3</v>
      </c>
      <c r="Q14" s="709">
        <f>+O14*P14</f>
        <v>1440</v>
      </c>
      <c r="R14" s="539"/>
      <c r="S14" s="706">
        <f>ACIAR!T12</f>
        <v>2687.79</v>
      </c>
      <c r="T14" s="591">
        <f>S14/O14</f>
        <v>0.55995625000000004</v>
      </c>
      <c r="U14" s="595" t="s">
        <v>1231</v>
      </c>
      <c r="V14" s="591">
        <f>W14/Q14</f>
        <v>0.55995625000000004</v>
      </c>
      <c r="W14" s="706">
        <f>P14*S14</f>
        <v>806.33699999999999</v>
      </c>
      <c r="X14" s="1687"/>
      <c r="Y14" s="3058" t="s">
        <v>1501</v>
      </c>
      <c r="Z14" s="3058"/>
      <c r="AA14" s="3058"/>
      <c r="AB14" s="3058"/>
    </row>
    <row r="15" spans="1:43" s="450" customFormat="1" ht="17.5" customHeight="1" x14ac:dyDescent="0.25">
      <c r="A15" s="2995"/>
      <c r="B15" s="3012"/>
      <c r="C15" s="276" t="s">
        <v>47</v>
      </c>
      <c r="D15" s="467" t="s">
        <v>500</v>
      </c>
      <c r="E15" s="1721"/>
      <c r="F15" s="1721"/>
      <c r="G15" s="1721"/>
      <c r="H15" s="451">
        <v>30600</v>
      </c>
      <c r="I15" s="675">
        <v>0.3</v>
      </c>
      <c r="J15" s="1722"/>
      <c r="K15" s="1722"/>
      <c r="L15" s="1722"/>
      <c r="M15" s="1834">
        <v>30600</v>
      </c>
      <c r="N15" s="697">
        <v>0.3</v>
      </c>
      <c r="O15" s="696">
        <f t="shared" ref="O15:O18" si="0">+H15+M15</f>
        <v>61200</v>
      </c>
      <c r="P15" s="675">
        <v>0.3</v>
      </c>
      <c r="Q15" s="709">
        <f t="shared" ref="Q15:Q18" si="1">+O15*P15</f>
        <v>18360</v>
      </c>
      <c r="R15" s="539"/>
      <c r="S15" s="706">
        <f>ACIAR!T13</f>
        <v>38751.699999999997</v>
      </c>
      <c r="T15" s="591">
        <f t="shared" ref="T15:T18" si="2">S15/O15</f>
        <v>0.63319771241830058</v>
      </c>
      <c r="U15" s="595"/>
      <c r="V15" s="591">
        <f t="shared" ref="V15:V18" si="3">W15/Q15</f>
        <v>0.63319771241830058</v>
      </c>
      <c r="W15" s="706">
        <f t="shared" ref="W15:W18" si="4">P15*S15</f>
        <v>11625.509999999998</v>
      </c>
      <c r="X15" s="1687"/>
      <c r="Y15" s="3058"/>
      <c r="Z15" s="3058"/>
      <c r="AA15" s="3058"/>
      <c r="AB15" s="3058"/>
    </row>
    <row r="16" spans="1:43" s="450" customFormat="1" ht="17.5" customHeight="1" x14ac:dyDescent="0.25">
      <c r="A16" s="2995"/>
      <c r="B16" s="3012"/>
      <c r="C16" s="276" t="s">
        <v>17</v>
      </c>
      <c r="D16" s="467" t="s">
        <v>500</v>
      </c>
      <c r="E16" s="1721"/>
      <c r="F16" s="1721"/>
      <c r="G16" s="1721"/>
      <c r="H16" s="451">
        <v>1505</v>
      </c>
      <c r="I16" s="675">
        <v>0.3</v>
      </c>
      <c r="J16" s="1722"/>
      <c r="K16" s="1722"/>
      <c r="L16" s="1722"/>
      <c r="M16" s="1834">
        <v>1505</v>
      </c>
      <c r="N16" s="697">
        <v>0.3</v>
      </c>
      <c r="O16" s="696">
        <f t="shared" si="0"/>
        <v>3010</v>
      </c>
      <c r="P16" s="675">
        <v>0.3</v>
      </c>
      <c r="Q16" s="709">
        <f t="shared" si="1"/>
        <v>903</v>
      </c>
      <c r="R16" s="539"/>
      <c r="S16" s="706">
        <f>ACIAR!T14</f>
        <v>1726</v>
      </c>
      <c r="T16" s="591">
        <f t="shared" si="2"/>
        <v>0.57342192691029903</v>
      </c>
      <c r="U16" s="595"/>
      <c r="V16" s="591">
        <f t="shared" si="3"/>
        <v>0.57342192691029892</v>
      </c>
      <c r="W16" s="706">
        <f t="shared" si="4"/>
        <v>517.79999999999995</v>
      </c>
      <c r="X16" s="1687"/>
      <c r="Y16" s="3058"/>
      <c r="Z16" s="3058"/>
      <c r="AA16" s="3058"/>
      <c r="AB16" s="3058"/>
    </row>
    <row r="17" spans="1:28" s="450" customFormat="1" ht="17.5" customHeight="1" x14ac:dyDescent="0.25">
      <c r="A17" s="2995"/>
      <c r="B17" s="3012"/>
      <c r="C17" s="276" t="s">
        <v>48</v>
      </c>
      <c r="D17" s="467" t="s">
        <v>500</v>
      </c>
      <c r="E17" s="1721"/>
      <c r="F17" s="1721"/>
      <c r="G17" s="1721"/>
      <c r="H17" s="451">
        <v>0</v>
      </c>
      <c r="I17" s="675">
        <v>0</v>
      </c>
      <c r="J17" s="1722"/>
      <c r="K17" s="1722"/>
      <c r="L17" s="1722"/>
      <c r="M17" s="1834">
        <v>0</v>
      </c>
      <c r="N17" s="697">
        <v>0</v>
      </c>
      <c r="O17" s="696">
        <f t="shared" si="0"/>
        <v>0</v>
      </c>
      <c r="P17" s="675">
        <v>0</v>
      </c>
      <c r="Q17" s="709">
        <f t="shared" si="1"/>
        <v>0</v>
      </c>
      <c r="R17" s="539"/>
      <c r="S17" s="706">
        <f>ACIAR!T15</f>
        <v>1120</v>
      </c>
      <c r="T17" s="591">
        <v>0</v>
      </c>
      <c r="U17" s="595"/>
      <c r="V17" s="591">
        <v>0</v>
      </c>
      <c r="W17" s="706">
        <f t="shared" si="4"/>
        <v>0</v>
      </c>
      <c r="X17" s="1687"/>
      <c r="Y17" s="3058"/>
      <c r="Z17" s="3058"/>
      <c r="AA17" s="3058"/>
      <c r="AB17" s="3058"/>
    </row>
    <row r="18" spans="1:28" s="450" customFormat="1" ht="17.5" customHeight="1" x14ac:dyDescent="0.25">
      <c r="A18" s="2995"/>
      <c r="B18" s="3013"/>
      <c r="C18" s="276" t="s">
        <v>1374</v>
      </c>
      <c r="D18" s="467" t="s">
        <v>500</v>
      </c>
      <c r="E18" s="1721"/>
      <c r="F18" s="1721"/>
      <c r="G18" s="1721"/>
      <c r="H18" s="451">
        <v>412</v>
      </c>
      <c r="I18" s="675">
        <v>0.3</v>
      </c>
      <c r="J18" s="1722"/>
      <c r="K18" s="1722"/>
      <c r="L18" s="1722"/>
      <c r="M18" s="1834">
        <v>412</v>
      </c>
      <c r="N18" s="697">
        <v>0.3</v>
      </c>
      <c r="O18" s="696">
        <f t="shared" si="0"/>
        <v>824</v>
      </c>
      <c r="P18" s="675">
        <v>0.3</v>
      </c>
      <c r="Q18" s="709">
        <f t="shared" si="1"/>
        <v>247.2</v>
      </c>
      <c r="R18" s="539"/>
      <c r="S18" s="706">
        <f>ACIAR!T16</f>
        <v>244.5</v>
      </c>
      <c r="T18" s="591">
        <f t="shared" si="2"/>
        <v>0.29672330097087379</v>
      </c>
      <c r="U18" s="595"/>
      <c r="V18" s="591">
        <f t="shared" si="3"/>
        <v>0.29672330097087379</v>
      </c>
      <c r="W18" s="706">
        <f t="shared" si="4"/>
        <v>73.349999999999994</v>
      </c>
      <c r="X18" s="1687"/>
      <c r="Y18" s="3058"/>
      <c r="Z18" s="3058"/>
      <c r="AA18" s="3058"/>
      <c r="AB18" s="3058"/>
    </row>
    <row r="19" spans="1:28" s="450" customFormat="1" ht="27.65" customHeight="1" x14ac:dyDescent="0.25">
      <c r="A19" s="2995"/>
      <c r="B19" s="3011" t="s">
        <v>505</v>
      </c>
      <c r="C19" s="276" t="s">
        <v>15</v>
      </c>
      <c r="D19" s="467" t="s">
        <v>500</v>
      </c>
      <c r="E19" s="724"/>
      <c r="F19" s="724"/>
      <c r="G19" s="724"/>
      <c r="H19" s="451">
        <v>4000</v>
      </c>
      <c r="I19" s="675">
        <v>0.5</v>
      </c>
      <c r="J19" s="1722"/>
      <c r="K19" s="1722"/>
      <c r="L19" s="1722"/>
      <c r="M19" s="1834">
        <v>2000</v>
      </c>
      <c r="N19" s="697">
        <v>0.5</v>
      </c>
      <c r="O19" s="696">
        <f>+H19+M19</f>
        <v>6000</v>
      </c>
      <c r="P19" s="675">
        <v>0.5</v>
      </c>
      <c r="Q19" s="709">
        <f>+O19*P19</f>
        <v>3000</v>
      </c>
      <c r="R19" s="539"/>
      <c r="S19" s="706">
        <f>ACIAR!T18</f>
        <v>12459.67</v>
      </c>
      <c r="T19" s="591">
        <f>S19/O19</f>
        <v>2.0766116666666665</v>
      </c>
      <c r="U19" s="1725" t="s">
        <v>1232</v>
      </c>
      <c r="V19" s="591">
        <f t="shared" ref="V19:V42" si="5">W19/Q19</f>
        <v>2.0766116666666665</v>
      </c>
      <c r="W19" s="706">
        <f t="shared" ref="W19:W33" si="6">P19*S19</f>
        <v>6229.835</v>
      </c>
      <c r="X19" s="1723"/>
      <c r="Y19" s="1874"/>
      <c r="Z19" s="1874"/>
      <c r="AA19" s="1874"/>
      <c r="AB19" s="1874"/>
    </row>
    <row r="20" spans="1:28" s="450" customFormat="1" ht="13.9" customHeight="1" x14ac:dyDescent="0.25">
      <c r="A20" s="2995"/>
      <c r="B20" s="3012"/>
      <c r="C20" s="276" t="s">
        <v>47</v>
      </c>
      <c r="D20" s="467" t="s">
        <v>500</v>
      </c>
      <c r="E20" s="724"/>
      <c r="F20" s="724"/>
      <c r="G20" s="724"/>
      <c r="H20" s="451">
        <v>14760</v>
      </c>
      <c r="I20" s="675">
        <v>0.5</v>
      </c>
      <c r="J20" s="1722"/>
      <c r="K20" s="1722"/>
      <c r="L20" s="1722"/>
      <c r="M20" s="1834">
        <v>11880</v>
      </c>
      <c r="N20" s="697">
        <v>0.5</v>
      </c>
      <c r="O20" s="696">
        <f t="shared" ref="O20:O22" si="7">+H20+M20</f>
        <v>26640</v>
      </c>
      <c r="P20" s="675">
        <v>0.5</v>
      </c>
      <c r="Q20" s="709">
        <f t="shared" ref="Q20:Q23" si="8">+O20*P20</f>
        <v>13320</v>
      </c>
      <c r="R20" s="539"/>
      <c r="S20" s="706">
        <f>ACIAR!T19</f>
        <v>31399.45</v>
      </c>
      <c r="T20" s="591">
        <f t="shared" ref="T20:T23" si="9">S20/O20</f>
        <v>1.178658033033033</v>
      </c>
      <c r="U20" s="1725"/>
      <c r="V20" s="591">
        <f t="shared" si="5"/>
        <v>1.178658033033033</v>
      </c>
      <c r="W20" s="706">
        <f t="shared" si="6"/>
        <v>15699.725</v>
      </c>
      <c r="X20" s="1723"/>
    </row>
    <row r="21" spans="1:28" s="450" customFormat="1" ht="13.9" customHeight="1" x14ac:dyDescent="0.25">
      <c r="A21" s="2995"/>
      <c r="B21" s="3012"/>
      <c r="C21" s="276" t="s">
        <v>17</v>
      </c>
      <c r="D21" s="467" t="s">
        <v>500</v>
      </c>
      <c r="E21" s="724"/>
      <c r="F21" s="724"/>
      <c r="G21" s="724"/>
      <c r="H21" s="451">
        <v>8580</v>
      </c>
      <c r="I21" s="675">
        <v>0.5</v>
      </c>
      <c r="J21" s="1722"/>
      <c r="K21" s="1722"/>
      <c r="L21" s="1722"/>
      <c r="M21" s="1834">
        <v>4290</v>
      </c>
      <c r="N21" s="697">
        <v>0.5</v>
      </c>
      <c r="O21" s="696">
        <f t="shared" si="7"/>
        <v>12870</v>
      </c>
      <c r="P21" s="675">
        <v>0.5</v>
      </c>
      <c r="Q21" s="709">
        <f t="shared" si="8"/>
        <v>6435</v>
      </c>
      <c r="R21" s="539"/>
      <c r="S21" s="706">
        <f>ACIAR!T20</f>
        <v>13879.07</v>
      </c>
      <c r="T21" s="591">
        <f t="shared" si="9"/>
        <v>1.0784048174048173</v>
      </c>
      <c r="U21" s="1725"/>
      <c r="V21" s="591">
        <f t="shared" si="5"/>
        <v>1.0784048174048173</v>
      </c>
      <c r="W21" s="706">
        <f t="shared" si="6"/>
        <v>6939.5349999999999</v>
      </c>
      <c r="X21" s="1723"/>
    </row>
    <row r="22" spans="1:28" s="450" customFormat="1" ht="13.9" customHeight="1" x14ac:dyDescent="0.25">
      <c r="A22" s="2995"/>
      <c r="B22" s="3012"/>
      <c r="C22" s="276" t="s">
        <v>48</v>
      </c>
      <c r="D22" s="467" t="s">
        <v>500</v>
      </c>
      <c r="E22" s="724"/>
      <c r="F22" s="724"/>
      <c r="G22" s="724"/>
      <c r="H22" s="451">
        <v>21600</v>
      </c>
      <c r="I22" s="675">
        <v>0.5</v>
      </c>
      <c r="J22" s="1722"/>
      <c r="K22" s="1722"/>
      <c r="L22" s="1722"/>
      <c r="M22" s="1834">
        <v>21600</v>
      </c>
      <c r="N22" s="697">
        <v>0.5</v>
      </c>
      <c r="O22" s="696">
        <f t="shared" si="7"/>
        <v>43200</v>
      </c>
      <c r="P22" s="675">
        <v>0.5</v>
      </c>
      <c r="Q22" s="709">
        <f t="shared" si="8"/>
        <v>21600</v>
      </c>
      <c r="R22" s="539"/>
      <c r="S22" s="706">
        <f>ACIAR!T21</f>
        <v>50193.5</v>
      </c>
      <c r="T22" s="591">
        <f t="shared" si="9"/>
        <v>1.161886574074074</v>
      </c>
      <c r="U22" s="1725"/>
      <c r="V22" s="591">
        <f t="shared" si="5"/>
        <v>1.161886574074074</v>
      </c>
      <c r="W22" s="706">
        <f t="shared" si="6"/>
        <v>25096.75</v>
      </c>
      <c r="X22" s="1723"/>
    </row>
    <row r="23" spans="1:28" s="450" customFormat="1" ht="27.65" customHeight="1" x14ac:dyDescent="0.25">
      <c r="A23" s="2995"/>
      <c r="B23" s="3013"/>
      <c r="C23" s="276" t="s">
        <v>1374</v>
      </c>
      <c r="D23" s="467" t="s">
        <v>500</v>
      </c>
      <c r="E23" s="724"/>
      <c r="F23" s="724"/>
      <c r="G23" s="724"/>
      <c r="H23" s="451">
        <v>918</v>
      </c>
      <c r="I23" s="675">
        <v>0.5</v>
      </c>
      <c r="J23" s="1722"/>
      <c r="K23" s="1722"/>
      <c r="L23" s="1722"/>
      <c r="M23" s="1834">
        <v>534</v>
      </c>
      <c r="N23" s="697">
        <v>0.5</v>
      </c>
      <c r="O23" s="696">
        <f t="shared" ref="O23" si="10">+H23+M23</f>
        <v>1452</v>
      </c>
      <c r="P23" s="675">
        <v>0.5</v>
      </c>
      <c r="Q23" s="709">
        <f t="shared" si="8"/>
        <v>726</v>
      </c>
      <c r="R23" s="539"/>
      <c r="S23" s="706">
        <f>ACIAR!T22</f>
        <v>4667.96</v>
      </c>
      <c r="T23" s="591">
        <f t="shared" si="9"/>
        <v>3.2148484848484848</v>
      </c>
      <c r="U23" s="1725" t="s">
        <v>1232</v>
      </c>
      <c r="V23" s="591">
        <f t="shared" si="5"/>
        <v>3.2148484848484848</v>
      </c>
      <c r="W23" s="706">
        <f t="shared" si="6"/>
        <v>2333.98</v>
      </c>
      <c r="X23" s="1723"/>
    </row>
    <row r="24" spans="1:28" s="450" customFormat="1" ht="27.65" customHeight="1" x14ac:dyDescent="0.25">
      <c r="A24" s="2995"/>
      <c r="B24" s="3011" t="s">
        <v>506</v>
      </c>
      <c r="C24" s="276" t="s">
        <v>15</v>
      </c>
      <c r="D24" s="467" t="s">
        <v>500</v>
      </c>
      <c r="E24" s="724"/>
      <c r="F24" s="724"/>
      <c r="G24" s="724"/>
      <c r="H24" s="451">
        <f>ACIAR!I24</f>
        <v>1280</v>
      </c>
      <c r="I24" s="675">
        <v>0.15</v>
      </c>
      <c r="J24" s="1722"/>
      <c r="K24" s="1722"/>
      <c r="L24" s="1722"/>
      <c r="M24" s="1834">
        <f>ACIAR!N24</f>
        <v>640</v>
      </c>
      <c r="N24" s="697">
        <v>0.15</v>
      </c>
      <c r="O24" s="696">
        <f t="shared" ref="O24:O33" si="11">+H24+M24</f>
        <v>1920</v>
      </c>
      <c r="P24" s="675">
        <v>0.15</v>
      </c>
      <c r="Q24" s="709">
        <f>+O24*P24</f>
        <v>288</v>
      </c>
      <c r="R24" s="539"/>
      <c r="S24" s="706">
        <f>ACIAR!T24</f>
        <v>2443</v>
      </c>
      <c r="T24" s="591">
        <f>S24/O24</f>
        <v>1.2723958333333334</v>
      </c>
      <c r="U24" s="541" t="s">
        <v>487</v>
      </c>
      <c r="V24" s="591">
        <f t="shared" si="5"/>
        <v>1.2723958333333334</v>
      </c>
      <c r="W24" s="706">
        <f t="shared" si="6"/>
        <v>366.45</v>
      </c>
      <c r="X24" s="1723"/>
    </row>
    <row r="25" spans="1:28" s="450" customFormat="1" ht="13.9" customHeight="1" x14ac:dyDescent="0.25">
      <c r="A25" s="2995"/>
      <c r="B25" s="3012"/>
      <c r="C25" s="276" t="s">
        <v>47</v>
      </c>
      <c r="D25" s="467" t="s">
        <v>500</v>
      </c>
      <c r="E25" s="724"/>
      <c r="F25" s="724"/>
      <c r="G25" s="724"/>
      <c r="H25" s="451">
        <f>ACIAR!I25</f>
        <v>0</v>
      </c>
      <c r="I25" s="675">
        <v>0</v>
      </c>
      <c r="J25" s="1722"/>
      <c r="K25" s="1722"/>
      <c r="L25" s="1722"/>
      <c r="M25" s="1834">
        <f>ACIAR!N25</f>
        <v>0</v>
      </c>
      <c r="N25" s="697">
        <v>0</v>
      </c>
      <c r="O25" s="696">
        <f t="shared" si="11"/>
        <v>0</v>
      </c>
      <c r="P25" s="675">
        <v>0</v>
      </c>
      <c r="Q25" s="709">
        <f t="shared" ref="Q25:Q28" si="12">+O25*P25</f>
        <v>0</v>
      </c>
      <c r="R25" s="539"/>
      <c r="S25" s="706">
        <f>ACIAR!T25</f>
        <v>10750</v>
      </c>
      <c r="T25" s="591">
        <v>0</v>
      </c>
      <c r="U25" s="541"/>
      <c r="V25" s="591">
        <v>0</v>
      </c>
      <c r="W25" s="706">
        <f t="shared" si="6"/>
        <v>0</v>
      </c>
      <c r="X25" s="1723"/>
    </row>
    <row r="26" spans="1:28" s="450" customFormat="1" ht="13.9" customHeight="1" x14ac:dyDescent="0.25">
      <c r="A26" s="2995"/>
      <c r="B26" s="3012"/>
      <c r="C26" s="276" t="s">
        <v>17</v>
      </c>
      <c r="D26" s="467" t="s">
        <v>500</v>
      </c>
      <c r="E26" s="724"/>
      <c r="F26" s="724"/>
      <c r="G26" s="724"/>
      <c r="H26" s="451">
        <f>ACIAR!I26</f>
        <v>1230</v>
      </c>
      <c r="I26" s="675">
        <v>0.15</v>
      </c>
      <c r="J26" s="1722"/>
      <c r="K26" s="1722"/>
      <c r="L26" s="1722"/>
      <c r="M26" s="1834">
        <f>ACIAR!N26</f>
        <v>865</v>
      </c>
      <c r="N26" s="697">
        <v>0.15</v>
      </c>
      <c r="O26" s="696">
        <f t="shared" si="11"/>
        <v>2095</v>
      </c>
      <c r="P26" s="675">
        <v>0.15</v>
      </c>
      <c r="Q26" s="709">
        <f t="shared" si="12"/>
        <v>314.25</v>
      </c>
      <c r="R26" s="539"/>
      <c r="S26" s="706">
        <f>ACIAR!T26</f>
        <v>7031.59</v>
      </c>
      <c r="T26" s="591">
        <f t="shared" ref="T26:T27" si="13">S26/O26</f>
        <v>3.3563675417661099</v>
      </c>
      <c r="U26" s="541" t="s">
        <v>487</v>
      </c>
      <c r="V26" s="591">
        <f t="shared" si="5"/>
        <v>3.3563675417661094</v>
      </c>
      <c r="W26" s="706">
        <f t="shared" si="6"/>
        <v>1054.7384999999999</v>
      </c>
      <c r="X26" s="1723"/>
    </row>
    <row r="27" spans="1:28" s="450" customFormat="1" ht="13.9" customHeight="1" x14ac:dyDescent="0.25">
      <c r="A27" s="2995"/>
      <c r="B27" s="3012"/>
      <c r="C27" s="276" t="s">
        <v>48</v>
      </c>
      <c r="D27" s="467" t="s">
        <v>500</v>
      </c>
      <c r="E27" s="724"/>
      <c r="F27" s="724"/>
      <c r="G27" s="724"/>
      <c r="H27" s="451">
        <f>ACIAR!I27</f>
        <v>17500</v>
      </c>
      <c r="I27" s="675">
        <v>0.15</v>
      </c>
      <c r="J27" s="1722"/>
      <c r="K27" s="1722"/>
      <c r="L27" s="1722"/>
      <c r="M27" s="1834">
        <f>ACIAR!N27</f>
        <v>12500</v>
      </c>
      <c r="N27" s="697">
        <v>0.15</v>
      </c>
      <c r="O27" s="696">
        <f t="shared" si="11"/>
        <v>30000</v>
      </c>
      <c r="P27" s="675">
        <v>0.15</v>
      </c>
      <c r="Q27" s="709">
        <f t="shared" si="12"/>
        <v>4500</v>
      </c>
      <c r="R27" s="539"/>
      <c r="S27" s="706">
        <f>ACIAR!T27</f>
        <v>6113.77</v>
      </c>
      <c r="T27" s="591">
        <f t="shared" si="13"/>
        <v>0.20379233333333335</v>
      </c>
      <c r="U27" s="541"/>
      <c r="V27" s="591">
        <f t="shared" si="5"/>
        <v>0.20379233333333335</v>
      </c>
      <c r="W27" s="706">
        <f t="shared" si="6"/>
        <v>917.06550000000004</v>
      </c>
      <c r="X27" s="1723"/>
    </row>
    <row r="28" spans="1:28" s="450" customFormat="1" ht="27.65" customHeight="1" x14ac:dyDescent="0.25">
      <c r="A28" s="2995"/>
      <c r="B28" s="3013"/>
      <c r="C28" s="276" t="s">
        <v>1374</v>
      </c>
      <c r="D28" s="467" t="s">
        <v>500</v>
      </c>
      <c r="E28" s="724"/>
      <c r="F28" s="724"/>
      <c r="G28" s="724"/>
      <c r="H28" s="451">
        <f>ACIAR!I28</f>
        <v>488</v>
      </c>
      <c r="I28" s="675">
        <v>0.15</v>
      </c>
      <c r="J28" s="1722"/>
      <c r="K28" s="1722"/>
      <c r="L28" s="1722"/>
      <c r="M28" s="1834">
        <f>ACIAR!N28</f>
        <v>244</v>
      </c>
      <c r="N28" s="697">
        <v>0.15</v>
      </c>
      <c r="O28" s="696">
        <f t="shared" si="11"/>
        <v>732</v>
      </c>
      <c r="P28" s="675">
        <v>0.15</v>
      </c>
      <c r="Q28" s="709">
        <f t="shared" si="12"/>
        <v>109.8</v>
      </c>
      <c r="R28" s="539"/>
      <c r="S28" s="706">
        <f>ACIAR!T28</f>
        <v>9410.3799999999992</v>
      </c>
      <c r="T28" s="591">
        <f>S28/O28</f>
        <v>12.85571038251366</v>
      </c>
      <c r="U28" s="541"/>
      <c r="V28" s="591">
        <f t="shared" si="5"/>
        <v>12.85571038251366</v>
      </c>
      <c r="W28" s="706">
        <f>P28*S28</f>
        <v>1411.5569999999998</v>
      </c>
      <c r="X28" s="1723"/>
    </row>
    <row r="29" spans="1:28" s="450" customFormat="1" ht="13.9" customHeight="1" x14ac:dyDescent="0.25">
      <c r="A29" s="2995"/>
      <c r="B29" s="3011" t="s">
        <v>508</v>
      </c>
      <c r="C29" s="276" t="s">
        <v>15</v>
      </c>
      <c r="D29" s="467" t="s">
        <v>500</v>
      </c>
      <c r="E29" s="724"/>
      <c r="F29" s="724"/>
      <c r="G29" s="724"/>
      <c r="H29" s="451">
        <f>ACIAR!I30</f>
        <v>7980</v>
      </c>
      <c r="I29" s="675">
        <v>0.5</v>
      </c>
      <c r="J29" s="1722"/>
      <c r="K29" s="1722"/>
      <c r="L29" s="1722"/>
      <c r="M29" s="1834">
        <f>ACIAR!N30</f>
        <v>7980</v>
      </c>
      <c r="N29" s="697">
        <v>0.5</v>
      </c>
      <c r="O29" s="696">
        <f>+H29+M29</f>
        <v>15960</v>
      </c>
      <c r="P29" s="675">
        <v>0.5</v>
      </c>
      <c r="Q29" s="709">
        <f>+O29*P29</f>
        <v>7980</v>
      </c>
      <c r="R29" s="539"/>
      <c r="S29" s="706">
        <f>ACIAR!T30</f>
        <v>13913.65</v>
      </c>
      <c r="T29" s="591">
        <f t="shared" ref="T29:T33" si="14">S29/O29</f>
        <v>0.87178258145363408</v>
      </c>
      <c r="U29" s="541" t="s">
        <v>1233</v>
      </c>
      <c r="V29" s="591">
        <f>W29/Q29</f>
        <v>0.87178258145363408</v>
      </c>
      <c r="W29" s="706">
        <f t="shared" si="6"/>
        <v>6956.8249999999998</v>
      </c>
      <c r="X29" s="1723"/>
    </row>
    <row r="30" spans="1:28" s="450" customFormat="1" ht="13.9" customHeight="1" x14ac:dyDescent="0.25">
      <c r="A30" s="2995"/>
      <c r="B30" s="3012"/>
      <c r="C30" s="276" t="s">
        <v>47</v>
      </c>
      <c r="D30" s="467" t="s">
        <v>500</v>
      </c>
      <c r="E30" s="724"/>
      <c r="F30" s="724"/>
      <c r="G30" s="724"/>
      <c r="H30" s="451">
        <f>ACIAR!I31</f>
        <v>18910</v>
      </c>
      <c r="I30" s="675">
        <v>0.5</v>
      </c>
      <c r="J30" s="1722"/>
      <c r="K30" s="1722"/>
      <c r="L30" s="1722"/>
      <c r="M30" s="1834">
        <f>ACIAR!N31</f>
        <v>18910</v>
      </c>
      <c r="N30" s="697">
        <v>0.5</v>
      </c>
      <c r="O30" s="696">
        <f t="shared" si="11"/>
        <v>37820</v>
      </c>
      <c r="P30" s="675">
        <v>0.5</v>
      </c>
      <c r="Q30" s="709">
        <f t="shared" ref="Q30:Q33" si="15">+O30*P30</f>
        <v>18910</v>
      </c>
      <c r="R30" s="539"/>
      <c r="S30" s="706">
        <f>ACIAR!T31</f>
        <v>21314.58</v>
      </c>
      <c r="T30" s="591">
        <f t="shared" si="14"/>
        <v>0.56357958751983084</v>
      </c>
      <c r="U30" s="541"/>
      <c r="V30" s="591">
        <f t="shared" si="5"/>
        <v>0.56357958751983084</v>
      </c>
      <c r="W30" s="706">
        <f t="shared" si="6"/>
        <v>10657.29</v>
      </c>
      <c r="X30" s="1687"/>
    </row>
    <row r="31" spans="1:28" s="450" customFormat="1" ht="13.9" customHeight="1" x14ac:dyDescent="0.25">
      <c r="A31" s="2995"/>
      <c r="B31" s="3012"/>
      <c r="C31" s="276" t="s">
        <v>17</v>
      </c>
      <c r="D31" s="467" t="s">
        <v>500</v>
      </c>
      <c r="E31" s="724"/>
      <c r="F31" s="724"/>
      <c r="G31" s="724"/>
      <c r="H31" s="451">
        <f>ACIAR!I32</f>
        <v>4500</v>
      </c>
      <c r="I31" s="675">
        <v>0.5</v>
      </c>
      <c r="J31" s="1722"/>
      <c r="K31" s="1722"/>
      <c r="L31" s="1722"/>
      <c r="M31" s="1834">
        <f>ACIAR!N32</f>
        <v>4500</v>
      </c>
      <c r="N31" s="697">
        <v>0.5</v>
      </c>
      <c r="O31" s="696">
        <f t="shared" si="11"/>
        <v>9000</v>
      </c>
      <c r="P31" s="675">
        <v>0.5</v>
      </c>
      <c r="Q31" s="709">
        <f t="shared" si="15"/>
        <v>4500</v>
      </c>
      <c r="R31" s="539"/>
      <c r="S31" s="706">
        <f>ACIAR!T32</f>
        <v>11058</v>
      </c>
      <c r="T31" s="591">
        <f t="shared" si="14"/>
        <v>1.2286666666666666</v>
      </c>
      <c r="U31" s="541"/>
      <c r="V31" s="591">
        <f t="shared" si="5"/>
        <v>1.2286666666666666</v>
      </c>
      <c r="W31" s="706">
        <f t="shared" si="6"/>
        <v>5529</v>
      </c>
      <c r="X31" s="1687"/>
    </row>
    <row r="32" spans="1:28" s="450" customFormat="1" ht="13.9" customHeight="1" x14ac:dyDescent="0.25">
      <c r="A32" s="2995"/>
      <c r="B32" s="3012"/>
      <c r="C32" s="276" t="s">
        <v>48</v>
      </c>
      <c r="D32" s="467" t="s">
        <v>500</v>
      </c>
      <c r="E32" s="724"/>
      <c r="F32" s="724"/>
      <c r="G32" s="724"/>
      <c r="H32" s="451">
        <f>ACIAR!I33</f>
        <v>21600</v>
      </c>
      <c r="I32" s="675">
        <v>0.5</v>
      </c>
      <c r="J32" s="1722"/>
      <c r="K32" s="1722"/>
      <c r="L32" s="1722"/>
      <c r="M32" s="1834">
        <f>ACIAR!N33</f>
        <v>21600</v>
      </c>
      <c r="N32" s="697">
        <v>0.5</v>
      </c>
      <c r="O32" s="696">
        <f t="shared" si="11"/>
        <v>43200</v>
      </c>
      <c r="P32" s="675">
        <v>0.5</v>
      </c>
      <c r="Q32" s="709">
        <f t="shared" si="15"/>
        <v>21600</v>
      </c>
      <c r="R32" s="539"/>
      <c r="S32" s="706">
        <f>ACIAR!T33</f>
        <v>63372.74</v>
      </c>
      <c r="T32" s="591">
        <f t="shared" si="14"/>
        <v>1.466961574074074</v>
      </c>
      <c r="U32" s="541"/>
      <c r="V32" s="591">
        <f t="shared" si="5"/>
        <v>1.466961574074074</v>
      </c>
      <c r="W32" s="706">
        <f t="shared" si="6"/>
        <v>31686.37</v>
      </c>
      <c r="X32" s="1687"/>
    </row>
    <row r="33" spans="1:24" s="450" customFormat="1" ht="27.65" customHeight="1" x14ac:dyDescent="0.25">
      <c r="A33" s="2995"/>
      <c r="B33" s="3013"/>
      <c r="C33" s="276" t="s">
        <v>1374</v>
      </c>
      <c r="D33" s="467" t="s">
        <v>500</v>
      </c>
      <c r="E33" s="724"/>
      <c r="F33" s="724"/>
      <c r="G33" s="724"/>
      <c r="H33" s="451">
        <f>ACIAR!I34</f>
        <v>1092</v>
      </c>
      <c r="I33" s="675">
        <v>0.5</v>
      </c>
      <c r="J33" s="1722"/>
      <c r="K33" s="1722"/>
      <c r="L33" s="1722"/>
      <c r="M33" s="1834">
        <f>ACIAR!N34</f>
        <v>1092</v>
      </c>
      <c r="N33" s="697">
        <v>0.5</v>
      </c>
      <c r="O33" s="696">
        <f t="shared" si="11"/>
        <v>2184</v>
      </c>
      <c r="P33" s="675">
        <v>0.5</v>
      </c>
      <c r="Q33" s="709">
        <f t="shared" si="15"/>
        <v>1092</v>
      </c>
      <c r="R33" s="539"/>
      <c r="S33" s="706">
        <f>ACIAR!T34</f>
        <v>1864.6</v>
      </c>
      <c r="T33" s="591">
        <f t="shared" si="14"/>
        <v>0.85375457875457872</v>
      </c>
      <c r="U33" s="541"/>
      <c r="V33" s="591">
        <f t="shared" si="5"/>
        <v>0.85375457875457872</v>
      </c>
      <c r="W33" s="706">
        <f t="shared" si="6"/>
        <v>932.3</v>
      </c>
      <c r="X33" s="1687"/>
    </row>
    <row r="34" spans="1:24" s="454" customFormat="1" ht="13.9" customHeight="1" x14ac:dyDescent="0.25">
      <c r="A34" s="2996"/>
      <c r="B34" s="711"/>
      <c r="C34" s="1106"/>
      <c r="D34" s="897" t="s">
        <v>0</v>
      </c>
      <c r="E34" s="1073"/>
      <c r="F34" s="1073"/>
      <c r="G34" s="1073"/>
      <c r="H34" s="470">
        <f>SUM(H14:H33)</f>
        <v>159355</v>
      </c>
      <c r="I34" s="1076"/>
      <c r="J34" s="1107"/>
      <c r="K34" s="1107"/>
      <c r="L34" s="1107"/>
      <c r="M34" s="2865">
        <f>SUM(M14:M33)</f>
        <v>143552</v>
      </c>
      <c r="N34" s="1108"/>
      <c r="O34" s="470">
        <f>SUM(O14:O33)</f>
        <v>302907</v>
      </c>
      <c r="P34" s="1076"/>
      <c r="Q34" s="1109">
        <f>SUM(Q14:Q33)</f>
        <v>125325.25</v>
      </c>
      <c r="R34" s="1110"/>
      <c r="S34" s="1111">
        <f>SUM(S14:S33)</f>
        <v>304401.94999999995</v>
      </c>
      <c r="T34" s="600">
        <f>S34/O34</f>
        <v>1.0049353431911443</v>
      </c>
      <c r="U34" s="711"/>
      <c r="V34" s="600">
        <f>W34/Q34</f>
        <v>1.0280004867335193</v>
      </c>
      <c r="W34" s="1111">
        <f>SUM(W14:W33)</f>
        <v>128834.41799999999</v>
      </c>
      <c r="X34" s="1112"/>
    </row>
    <row r="35" spans="1:24" s="450" customFormat="1" ht="27.65" customHeight="1" x14ac:dyDescent="0.25">
      <c r="A35" s="2994" t="s">
        <v>509</v>
      </c>
      <c r="B35" s="3011" t="s">
        <v>510</v>
      </c>
      <c r="C35" s="276" t="s">
        <v>15</v>
      </c>
      <c r="D35" s="2490" t="s">
        <v>500</v>
      </c>
      <c r="E35" s="1727"/>
      <c r="F35" s="1727"/>
      <c r="G35" s="1727"/>
      <c r="H35" s="451">
        <f>ACIAR!I37</f>
        <v>300</v>
      </c>
      <c r="I35" s="684"/>
      <c r="J35" s="1728"/>
      <c r="K35" s="1728"/>
      <c r="L35" s="1728"/>
      <c r="M35" s="1834">
        <f>ACIAR!N37</f>
        <v>300</v>
      </c>
      <c r="N35" s="1729">
        <v>0.15</v>
      </c>
      <c r="O35" s="696">
        <f>+H35+M35</f>
        <v>600</v>
      </c>
      <c r="P35" s="684">
        <v>0.15</v>
      </c>
      <c r="Q35" s="451">
        <f>+O35*P35</f>
        <v>90</v>
      </c>
      <c r="R35" s="1730"/>
      <c r="S35" s="452">
        <f>ACIAR!T37</f>
        <v>495.94</v>
      </c>
      <c r="T35" s="1731">
        <f>S35/O35</f>
        <v>0.82656666666666667</v>
      </c>
      <c r="U35" s="1726" t="s">
        <v>1234</v>
      </c>
      <c r="V35" s="591">
        <f t="shared" si="5"/>
        <v>0.82656666666666656</v>
      </c>
      <c r="W35" s="732">
        <f>P35*S35</f>
        <v>74.390999999999991</v>
      </c>
      <c r="X35" s="1732"/>
    </row>
    <row r="36" spans="1:24" s="450" customFormat="1" ht="27.65" customHeight="1" x14ac:dyDescent="0.25">
      <c r="A36" s="2995"/>
      <c r="B36" s="3012"/>
      <c r="C36" s="276" t="s">
        <v>47</v>
      </c>
      <c r="D36" s="2490" t="s">
        <v>500</v>
      </c>
      <c r="E36" s="1727"/>
      <c r="F36" s="1727"/>
      <c r="G36" s="1727"/>
      <c r="H36" s="451">
        <f>ACIAR!I38</f>
        <v>1200</v>
      </c>
      <c r="I36" s="684"/>
      <c r="J36" s="1728"/>
      <c r="K36" s="1728"/>
      <c r="L36" s="1728"/>
      <c r="M36" s="1834">
        <f>ACIAR!N38</f>
        <v>1200</v>
      </c>
      <c r="N36" s="1729">
        <v>0.15</v>
      </c>
      <c r="O36" s="696">
        <f t="shared" ref="O36:O39" si="16">+H36+M36</f>
        <v>2400</v>
      </c>
      <c r="P36" s="684">
        <v>0.15</v>
      </c>
      <c r="Q36" s="451">
        <f t="shared" ref="Q36:Q39" si="17">+O36*P36</f>
        <v>360</v>
      </c>
      <c r="R36" s="1730"/>
      <c r="S36" s="452">
        <f>ACIAR!T38</f>
        <v>165</v>
      </c>
      <c r="T36" s="1731">
        <f t="shared" ref="T36" si="18">S36/O36</f>
        <v>6.8750000000000006E-2</v>
      </c>
      <c r="U36" s="1726"/>
      <c r="V36" s="591">
        <f t="shared" si="5"/>
        <v>6.8750000000000006E-2</v>
      </c>
      <c r="W36" s="732">
        <f t="shared" ref="W36:W39" si="19">P36*S36</f>
        <v>24.75</v>
      </c>
      <c r="X36" s="1732"/>
    </row>
    <row r="37" spans="1:24" s="450" customFormat="1" ht="27.65" customHeight="1" x14ac:dyDescent="0.25">
      <c r="A37" s="2995"/>
      <c r="B37" s="3012"/>
      <c r="C37" s="276" t="s">
        <v>17</v>
      </c>
      <c r="D37" s="2490" t="s">
        <v>500</v>
      </c>
      <c r="E37" s="1727"/>
      <c r="F37" s="1727"/>
      <c r="G37" s="1727"/>
      <c r="H37" s="451">
        <f>ACIAR!I39</f>
        <v>0</v>
      </c>
      <c r="I37" s="684"/>
      <c r="J37" s="1728"/>
      <c r="K37" s="1728"/>
      <c r="L37" s="1728"/>
      <c r="M37" s="1834">
        <f>ACIAR!N39</f>
        <v>0</v>
      </c>
      <c r="N37" s="1729">
        <v>0</v>
      </c>
      <c r="O37" s="696">
        <f t="shared" si="16"/>
        <v>0</v>
      </c>
      <c r="P37" s="684">
        <v>0</v>
      </c>
      <c r="Q37" s="451">
        <f t="shared" si="17"/>
        <v>0</v>
      </c>
      <c r="R37" s="1730"/>
      <c r="S37" s="452">
        <f>ACIAR!T39</f>
        <v>350</v>
      </c>
      <c r="T37" s="1731">
        <v>0</v>
      </c>
      <c r="U37" s="1726"/>
      <c r="V37" s="591">
        <v>0</v>
      </c>
      <c r="W37" s="732">
        <f t="shared" si="19"/>
        <v>0</v>
      </c>
      <c r="X37" s="1732"/>
    </row>
    <row r="38" spans="1:24" s="450" customFormat="1" ht="27.65" customHeight="1" x14ac:dyDescent="0.25">
      <c r="A38" s="2995"/>
      <c r="B38" s="3012"/>
      <c r="C38" s="276" t="s">
        <v>48</v>
      </c>
      <c r="D38" s="2490" t="s">
        <v>500</v>
      </c>
      <c r="E38" s="1727"/>
      <c r="F38" s="1727"/>
      <c r="G38" s="1727"/>
      <c r="H38" s="451">
        <f>ACIAR!I40</f>
        <v>0</v>
      </c>
      <c r="I38" s="684"/>
      <c r="J38" s="1728"/>
      <c r="K38" s="1728"/>
      <c r="L38" s="1728"/>
      <c r="M38" s="1834">
        <f>ACIAR!N40</f>
        <v>0</v>
      </c>
      <c r="N38" s="1729">
        <v>0</v>
      </c>
      <c r="O38" s="696">
        <f t="shared" si="16"/>
        <v>0</v>
      </c>
      <c r="P38" s="684">
        <v>0</v>
      </c>
      <c r="Q38" s="451">
        <f t="shared" si="17"/>
        <v>0</v>
      </c>
      <c r="R38" s="1730"/>
      <c r="S38" s="452">
        <f>ACIAR!T40</f>
        <v>1975</v>
      </c>
      <c r="T38" s="1731">
        <v>0</v>
      </c>
      <c r="U38" s="1726"/>
      <c r="V38" s="591">
        <v>0</v>
      </c>
      <c r="W38" s="732">
        <f t="shared" si="19"/>
        <v>0</v>
      </c>
      <c r="X38" s="1732"/>
    </row>
    <row r="39" spans="1:24" s="450" customFormat="1" ht="27.65" customHeight="1" x14ac:dyDescent="0.25">
      <c r="A39" s="2995"/>
      <c r="B39" s="3013"/>
      <c r="C39" s="276" t="s">
        <v>1374</v>
      </c>
      <c r="D39" s="2490" t="s">
        <v>500</v>
      </c>
      <c r="E39" s="1727"/>
      <c r="F39" s="1727"/>
      <c r="G39" s="1727"/>
      <c r="H39" s="451">
        <f>ACIAR!I41</f>
        <v>0</v>
      </c>
      <c r="I39" s="684"/>
      <c r="J39" s="1728"/>
      <c r="K39" s="1728"/>
      <c r="L39" s="1728"/>
      <c r="M39" s="1834">
        <f>ACIAR!N41</f>
        <v>0</v>
      </c>
      <c r="N39" s="1729">
        <v>0</v>
      </c>
      <c r="O39" s="696">
        <f t="shared" si="16"/>
        <v>0</v>
      </c>
      <c r="P39" s="684">
        <v>0</v>
      </c>
      <c r="Q39" s="451">
        <f t="shared" si="17"/>
        <v>0</v>
      </c>
      <c r="R39" s="1730"/>
      <c r="S39" s="452">
        <f>ACIAR!T41</f>
        <v>168</v>
      </c>
      <c r="T39" s="1731">
        <v>0</v>
      </c>
      <c r="U39" s="1726"/>
      <c r="V39" s="591">
        <v>0</v>
      </c>
      <c r="W39" s="732">
        <f t="shared" si="19"/>
        <v>0</v>
      </c>
      <c r="X39" s="1732"/>
    </row>
    <row r="40" spans="1:24" s="450" customFormat="1" ht="27.65" customHeight="1" x14ac:dyDescent="0.25">
      <c r="A40" s="2995"/>
      <c r="B40" s="3011" t="s">
        <v>511</v>
      </c>
      <c r="C40" s="276" t="s">
        <v>15</v>
      </c>
      <c r="D40" s="467" t="s">
        <v>500</v>
      </c>
      <c r="E40" s="724"/>
      <c r="F40" s="724"/>
      <c r="G40" s="724"/>
      <c r="H40" s="451">
        <f>ACIAR!I43</f>
        <v>0</v>
      </c>
      <c r="I40" s="675"/>
      <c r="J40" s="1722"/>
      <c r="K40" s="1722"/>
      <c r="L40" s="1722"/>
      <c r="M40" s="1834">
        <v>1050</v>
      </c>
      <c r="N40" s="697">
        <v>0.15</v>
      </c>
      <c r="O40" s="696">
        <f>+H40+M40</f>
        <v>1050</v>
      </c>
      <c r="P40" s="675">
        <v>0.15</v>
      </c>
      <c r="Q40" s="451">
        <f>+O40*P40</f>
        <v>157.5</v>
      </c>
      <c r="R40" s="539"/>
      <c r="S40" s="452">
        <f>ACIAR!T43</f>
        <v>3949</v>
      </c>
      <c r="T40" s="1731">
        <f t="shared" ref="T40:T42" si="20">S40/O40</f>
        <v>3.7609523809523808</v>
      </c>
      <c r="U40" s="595" t="s">
        <v>512</v>
      </c>
      <c r="V40" s="591">
        <f t="shared" si="5"/>
        <v>3.7609523809523813</v>
      </c>
      <c r="W40" s="732">
        <f t="shared" ref="W40:W49" si="21">P40*S40</f>
        <v>592.35</v>
      </c>
      <c r="X40" s="1723"/>
    </row>
    <row r="41" spans="1:24" s="450" customFormat="1" ht="13.9" customHeight="1" x14ac:dyDescent="0.25">
      <c r="A41" s="2995"/>
      <c r="B41" s="3012"/>
      <c r="C41" s="276" t="s">
        <v>47</v>
      </c>
      <c r="D41" s="467" t="s">
        <v>500</v>
      </c>
      <c r="E41" s="724"/>
      <c r="F41" s="724"/>
      <c r="G41" s="724"/>
      <c r="H41" s="451">
        <v>0</v>
      </c>
      <c r="I41" s="675"/>
      <c r="J41" s="1722"/>
      <c r="K41" s="1722"/>
      <c r="L41" s="1722"/>
      <c r="M41" s="1834">
        <v>3700</v>
      </c>
      <c r="N41" s="697">
        <v>0.15</v>
      </c>
      <c r="O41" s="696">
        <f t="shared" ref="O41:O44" si="22">+H41+M41</f>
        <v>3700</v>
      </c>
      <c r="P41" s="675">
        <v>0.15</v>
      </c>
      <c r="Q41" s="451">
        <f t="shared" ref="Q41:Q44" si="23">+O41*P41</f>
        <v>555</v>
      </c>
      <c r="R41" s="539"/>
      <c r="S41" s="452">
        <f>ACIAR!T44</f>
        <v>1739</v>
      </c>
      <c r="T41" s="1731">
        <f t="shared" si="20"/>
        <v>0.47</v>
      </c>
      <c r="U41" s="595"/>
      <c r="V41" s="591">
        <f t="shared" si="5"/>
        <v>0.46999999999999992</v>
      </c>
      <c r="W41" s="732">
        <f t="shared" si="21"/>
        <v>260.84999999999997</v>
      </c>
      <c r="X41" s="1723"/>
    </row>
    <row r="42" spans="1:24" s="450" customFormat="1" ht="27.65" customHeight="1" x14ac:dyDescent="0.25">
      <c r="A42" s="2995"/>
      <c r="B42" s="3012"/>
      <c r="C42" s="276" t="s">
        <v>17</v>
      </c>
      <c r="D42" s="467" t="s">
        <v>500</v>
      </c>
      <c r="E42" s="724"/>
      <c r="F42" s="724"/>
      <c r="G42" s="724"/>
      <c r="H42" s="451">
        <v>0</v>
      </c>
      <c r="I42" s="675"/>
      <c r="J42" s="1722"/>
      <c r="K42" s="1722"/>
      <c r="L42" s="1722"/>
      <c r="M42" s="1834">
        <v>8500</v>
      </c>
      <c r="N42" s="697">
        <v>0.15</v>
      </c>
      <c r="O42" s="696">
        <f t="shared" si="22"/>
        <v>8500</v>
      </c>
      <c r="P42" s="675">
        <v>0.15</v>
      </c>
      <c r="Q42" s="451">
        <f t="shared" si="23"/>
        <v>1275</v>
      </c>
      <c r="R42" s="539"/>
      <c r="S42" s="452">
        <f>ACIAR!T45</f>
        <v>12096.25</v>
      </c>
      <c r="T42" s="1731">
        <f t="shared" si="20"/>
        <v>1.4230882352941177</v>
      </c>
      <c r="U42" s="595" t="s">
        <v>512</v>
      </c>
      <c r="V42" s="591">
        <f t="shared" si="5"/>
        <v>1.4230882352941177</v>
      </c>
      <c r="W42" s="732">
        <f t="shared" si="21"/>
        <v>1814.4375</v>
      </c>
      <c r="X42" s="1723"/>
    </row>
    <row r="43" spans="1:24" s="450" customFormat="1" ht="13.9" customHeight="1" x14ac:dyDescent="0.25">
      <c r="A43" s="2995"/>
      <c r="B43" s="3012"/>
      <c r="C43" s="276" t="s">
        <v>48</v>
      </c>
      <c r="D43" s="467" t="s">
        <v>500</v>
      </c>
      <c r="E43" s="724"/>
      <c r="F43" s="724"/>
      <c r="G43" s="724"/>
      <c r="H43" s="451">
        <v>0</v>
      </c>
      <c r="I43" s="675"/>
      <c r="J43" s="1722"/>
      <c r="K43" s="1722"/>
      <c r="L43" s="1722"/>
      <c r="M43" s="1834">
        <v>0</v>
      </c>
      <c r="N43" s="697">
        <v>0</v>
      </c>
      <c r="O43" s="696">
        <f t="shared" si="22"/>
        <v>0</v>
      </c>
      <c r="P43" s="675">
        <v>0</v>
      </c>
      <c r="Q43" s="451">
        <f t="shared" si="23"/>
        <v>0</v>
      </c>
      <c r="R43" s="539"/>
      <c r="S43" s="452">
        <f>ACIAR!T46</f>
        <v>400</v>
      </c>
      <c r="T43" s="1731">
        <v>0</v>
      </c>
      <c r="U43" s="595"/>
      <c r="V43" s="591">
        <v>0</v>
      </c>
      <c r="W43" s="732">
        <f t="shared" si="21"/>
        <v>0</v>
      </c>
      <c r="X43" s="1723"/>
    </row>
    <row r="44" spans="1:24" s="450" customFormat="1" ht="27.65" customHeight="1" x14ac:dyDescent="0.25">
      <c r="A44" s="2995"/>
      <c r="B44" s="3013"/>
      <c r="C44" s="276" t="s">
        <v>1374</v>
      </c>
      <c r="D44" s="467" t="s">
        <v>500</v>
      </c>
      <c r="E44" s="724"/>
      <c r="F44" s="724"/>
      <c r="G44" s="724"/>
      <c r="H44" s="451">
        <v>0</v>
      </c>
      <c r="I44" s="675"/>
      <c r="J44" s="1722"/>
      <c r="K44" s="1722"/>
      <c r="L44" s="1722"/>
      <c r="M44" s="1834">
        <v>0</v>
      </c>
      <c r="N44" s="697">
        <v>0</v>
      </c>
      <c r="O44" s="696">
        <f t="shared" si="22"/>
        <v>0</v>
      </c>
      <c r="P44" s="675">
        <v>0</v>
      </c>
      <c r="Q44" s="451">
        <f t="shared" si="23"/>
        <v>0</v>
      </c>
      <c r="R44" s="539"/>
      <c r="S44" s="452">
        <f>ACIAR!T47</f>
        <v>285</v>
      </c>
      <c r="T44" s="1731">
        <v>0</v>
      </c>
      <c r="U44" s="595"/>
      <c r="V44" s="591">
        <v>0</v>
      </c>
      <c r="W44" s="732">
        <f t="shared" si="21"/>
        <v>0</v>
      </c>
      <c r="X44" s="1723"/>
    </row>
    <row r="45" spans="1:24" s="450" customFormat="1" ht="13.15" customHeight="1" x14ac:dyDescent="0.25">
      <c r="A45" s="2995"/>
      <c r="B45" s="3011" t="s">
        <v>513</v>
      </c>
      <c r="C45" s="595" t="s">
        <v>15</v>
      </c>
      <c r="D45" s="467" t="s">
        <v>500</v>
      </c>
      <c r="E45" s="724"/>
      <c r="F45" s="724"/>
      <c r="G45" s="724"/>
      <c r="H45" s="451">
        <v>5700</v>
      </c>
      <c r="I45" s="675"/>
      <c r="J45" s="1722"/>
      <c r="K45" s="1722"/>
      <c r="L45" s="1722"/>
      <c r="M45" s="1834">
        <v>11400</v>
      </c>
      <c r="N45" s="697">
        <v>0.15</v>
      </c>
      <c r="O45" s="696">
        <f>+H45+M45</f>
        <v>17100</v>
      </c>
      <c r="P45" s="675">
        <v>0.15</v>
      </c>
      <c r="Q45" s="451">
        <f>+O45*P45</f>
        <v>2565</v>
      </c>
      <c r="R45" s="539"/>
      <c r="S45" s="452">
        <f>ACIAR!T49</f>
        <v>5730.25</v>
      </c>
      <c r="T45" s="1731">
        <f>S45/O45</f>
        <v>0.33510233918128657</v>
      </c>
      <c r="U45" s="595" t="s">
        <v>1234</v>
      </c>
      <c r="V45" s="591">
        <f>W45/Q45</f>
        <v>0.33510233918128657</v>
      </c>
      <c r="W45" s="732">
        <f t="shared" si="21"/>
        <v>859.53750000000002</v>
      </c>
      <c r="X45" s="1723"/>
    </row>
    <row r="46" spans="1:24" s="450" customFormat="1" ht="13.15" customHeight="1" x14ac:dyDescent="0.25">
      <c r="A46" s="2995"/>
      <c r="B46" s="3012"/>
      <c r="C46" s="595" t="s">
        <v>47</v>
      </c>
      <c r="D46" s="467" t="s">
        <v>500</v>
      </c>
      <c r="E46" s="724"/>
      <c r="F46" s="724"/>
      <c r="G46" s="724"/>
      <c r="H46" s="451">
        <v>500</v>
      </c>
      <c r="I46" s="675"/>
      <c r="J46" s="1722"/>
      <c r="K46" s="1722"/>
      <c r="L46" s="1722"/>
      <c r="M46" s="1834">
        <v>1000</v>
      </c>
      <c r="N46" s="697">
        <v>0.15</v>
      </c>
      <c r="O46" s="696">
        <f t="shared" ref="O46:O49" si="24">+H46+M46</f>
        <v>1500</v>
      </c>
      <c r="P46" s="675">
        <v>0.15</v>
      </c>
      <c r="Q46" s="451">
        <f t="shared" ref="Q46:Q49" si="25">+O46*P46</f>
        <v>225</v>
      </c>
      <c r="R46" s="539"/>
      <c r="S46" s="452">
        <f>ACIAR!T50</f>
        <v>7658</v>
      </c>
      <c r="T46" s="1731">
        <f t="shared" ref="T46:T49" si="26">S46/O46</f>
        <v>5.1053333333333333</v>
      </c>
      <c r="U46" s="595"/>
      <c r="V46" s="591">
        <f t="shared" ref="V46:V49" si="27">W46/Q46</f>
        <v>5.1053333333333333</v>
      </c>
      <c r="W46" s="732">
        <f t="shared" si="21"/>
        <v>1148.7</v>
      </c>
      <c r="X46" s="1687"/>
    </row>
    <row r="47" spans="1:24" s="450" customFormat="1" ht="13.15" customHeight="1" x14ac:dyDescent="0.25">
      <c r="A47" s="2995"/>
      <c r="B47" s="3012"/>
      <c r="C47" s="595" t="s">
        <v>17</v>
      </c>
      <c r="D47" s="467" t="s">
        <v>500</v>
      </c>
      <c r="E47" s="724"/>
      <c r="F47" s="724"/>
      <c r="G47" s="724"/>
      <c r="H47" s="451">
        <v>525</v>
      </c>
      <c r="I47" s="675"/>
      <c r="J47" s="1722"/>
      <c r="K47" s="1722"/>
      <c r="L47" s="1722"/>
      <c r="M47" s="1834">
        <v>1050</v>
      </c>
      <c r="N47" s="697">
        <v>0.15</v>
      </c>
      <c r="O47" s="696">
        <f t="shared" si="24"/>
        <v>1575</v>
      </c>
      <c r="P47" s="675">
        <v>0.15</v>
      </c>
      <c r="Q47" s="451">
        <f t="shared" si="25"/>
        <v>236.25</v>
      </c>
      <c r="R47" s="539"/>
      <c r="S47" s="452">
        <f>ACIAR!T51</f>
        <v>2228</v>
      </c>
      <c r="T47" s="1731">
        <f t="shared" si="26"/>
        <v>1.4146031746031746</v>
      </c>
      <c r="U47" s="595"/>
      <c r="V47" s="591">
        <f t="shared" si="27"/>
        <v>1.4146031746031746</v>
      </c>
      <c r="W47" s="732">
        <f t="shared" si="21"/>
        <v>334.2</v>
      </c>
      <c r="X47" s="1687"/>
    </row>
    <row r="48" spans="1:24" s="450" customFormat="1" ht="13.15" customHeight="1" x14ac:dyDescent="0.25">
      <c r="A48" s="2995"/>
      <c r="B48" s="3012"/>
      <c r="C48" s="595" t="s">
        <v>48</v>
      </c>
      <c r="D48" s="467" t="s">
        <v>500</v>
      </c>
      <c r="E48" s="724"/>
      <c r="F48" s="724"/>
      <c r="G48" s="724"/>
      <c r="H48" s="451">
        <v>0</v>
      </c>
      <c r="I48" s="675"/>
      <c r="J48" s="1722"/>
      <c r="K48" s="1722"/>
      <c r="L48" s="1722"/>
      <c r="M48" s="1834">
        <v>0</v>
      </c>
      <c r="N48" s="697">
        <v>0</v>
      </c>
      <c r="O48" s="696">
        <f t="shared" si="24"/>
        <v>0</v>
      </c>
      <c r="P48" s="675">
        <v>0</v>
      </c>
      <c r="Q48" s="451">
        <f t="shared" si="25"/>
        <v>0</v>
      </c>
      <c r="R48" s="539"/>
      <c r="S48" s="452">
        <f>ACIAR!T52</f>
        <v>6040</v>
      </c>
      <c r="T48" s="1731">
        <v>0</v>
      </c>
      <c r="U48" s="595"/>
      <c r="V48" s="591">
        <v>0</v>
      </c>
      <c r="W48" s="732">
        <f t="shared" si="21"/>
        <v>0</v>
      </c>
      <c r="X48" s="1687"/>
    </row>
    <row r="49" spans="1:43" s="450" customFormat="1" ht="24" customHeight="1" x14ac:dyDescent="0.25">
      <c r="A49" s="2995"/>
      <c r="B49" s="3013"/>
      <c r="C49" s="595" t="s">
        <v>1374</v>
      </c>
      <c r="D49" s="467" t="s">
        <v>500</v>
      </c>
      <c r="E49" s="724"/>
      <c r="F49" s="724"/>
      <c r="G49" s="724"/>
      <c r="H49" s="451">
        <v>84</v>
      </c>
      <c r="I49" s="675"/>
      <c r="J49" s="1722"/>
      <c r="K49" s="1722"/>
      <c r="L49" s="1722"/>
      <c r="M49" s="1834">
        <v>168</v>
      </c>
      <c r="N49" s="697">
        <v>0.15</v>
      </c>
      <c r="O49" s="696">
        <f t="shared" si="24"/>
        <v>252</v>
      </c>
      <c r="P49" s="675">
        <v>0.15</v>
      </c>
      <c r="Q49" s="451">
        <f t="shared" si="25"/>
        <v>37.799999999999997</v>
      </c>
      <c r="R49" s="539"/>
      <c r="S49" s="452">
        <f>ACIAR!T53</f>
        <v>57</v>
      </c>
      <c r="T49" s="1731">
        <f t="shared" si="26"/>
        <v>0.22619047619047619</v>
      </c>
      <c r="U49" s="595"/>
      <c r="V49" s="591">
        <f t="shared" si="27"/>
        <v>0.22619047619047619</v>
      </c>
      <c r="W49" s="732">
        <f t="shared" si="21"/>
        <v>8.5499999999999989</v>
      </c>
      <c r="X49" s="1687"/>
    </row>
    <row r="50" spans="1:43" s="454" customFormat="1" ht="13.9" customHeight="1" x14ac:dyDescent="0.25">
      <c r="A50" s="2996"/>
      <c r="B50" s="711"/>
      <c r="C50" s="711"/>
      <c r="D50" s="897" t="s">
        <v>0</v>
      </c>
      <c r="E50" s="1073"/>
      <c r="F50" s="1073"/>
      <c r="G50" s="1073"/>
      <c r="H50" s="470">
        <f>SUM(H35:H49)</f>
        <v>8309</v>
      </c>
      <c r="I50" s="1076"/>
      <c r="J50" s="1107"/>
      <c r="K50" s="1107"/>
      <c r="L50" s="1107"/>
      <c r="M50" s="2865">
        <f>SUM(M35:M49)</f>
        <v>28368</v>
      </c>
      <c r="N50" s="1108"/>
      <c r="O50" s="470">
        <f>SUM(O35:O49)</f>
        <v>36677</v>
      </c>
      <c r="P50" s="1076"/>
      <c r="Q50" s="1109">
        <f>SUM(Q35:Q49)</f>
        <v>5501.55</v>
      </c>
      <c r="R50" s="1110"/>
      <c r="S50" s="1111">
        <f>SUM(S35:S49)</f>
        <v>43336.44</v>
      </c>
      <c r="T50" s="600">
        <f>S50/O50</f>
        <v>1.1815699212040245</v>
      </c>
      <c r="U50" s="711"/>
      <c r="V50" s="600">
        <f>W50/Q50</f>
        <v>0.93024075033399667</v>
      </c>
      <c r="W50" s="1111">
        <f>SUM(W35:W49)</f>
        <v>5117.7659999999996</v>
      </c>
      <c r="X50" s="1112"/>
    </row>
    <row r="51" spans="1:43" ht="13.9" customHeight="1" x14ac:dyDescent="0.25">
      <c r="A51" s="3000" t="s">
        <v>1235</v>
      </c>
      <c r="B51" s="3001"/>
      <c r="C51" s="3001"/>
      <c r="D51" s="3001"/>
      <c r="E51" s="3001"/>
      <c r="F51" s="3001"/>
      <c r="G51" s="3001"/>
      <c r="H51" s="3001"/>
      <c r="I51" s="3001"/>
      <c r="J51" s="3001"/>
      <c r="K51" s="3001"/>
      <c r="L51" s="3001"/>
      <c r="M51" s="3001"/>
      <c r="N51" s="3001"/>
      <c r="O51" s="3001"/>
      <c r="P51" s="3001"/>
      <c r="Q51" s="3001"/>
      <c r="R51" s="3002"/>
      <c r="S51" s="1671"/>
      <c r="T51" s="1088"/>
      <c r="U51" s="893"/>
      <c r="V51" s="1103"/>
      <c r="W51" s="1104"/>
      <c r="X51" s="1105"/>
      <c r="Y51" s="448"/>
      <c r="Z51" s="448"/>
      <c r="AA51" s="448"/>
      <c r="AB51" s="448"/>
      <c r="AC51" s="448"/>
      <c r="AD51" s="448"/>
      <c r="AE51" s="448"/>
      <c r="AF51" s="448"/>
      <c r="AG51" s="448"/>
      <c r="AH51" s="448"/>
      <c r="AI51" s="448"/>
      <c r="AJ51" s="448"/>
      <c r="AK51" s="448"/>
      <c r="AL51" s="448"/>
      <c r="AM51" s="448"/>
      <c r="AN51" s="448"/>
      <c r="AO51" s="448"/>
      <c r="AP51" s="448"/>
      <c r="AQ51" s="448"/>
    </row>
    <row r="52" spans="1:43" s="450" customFormat="1" ht="68.5" customHeight="1" x14ac:dyDescent="0.25">
      <c r="A52" s="2997" t="s">
        <v>1236</v>
      </c>
      <c r="B52" s="3011" t="s">
        <v>515</v>
      </c>
      <c r="C52" s="276" t="s">
        <v>15</v>
      </c>
      <c r="D52" s="2490" t="s">
        <v>500</v>
      </c>
      <c r="E52" s="1727"/>
      <c r="F52" s="1727"/>
      <c r="G52" s="1727"/>
      <c r="H52" s="1750">
        <f>ACIAR!I56</f>
        <v>1100</v>
      </c>
      <c r="I52" s="684">
        <v>0.3</v>
      </c>
      <c r="J52" s="1728"/>
      <c r="K52" s="1728"/>
      <c r="L52" s="1728"/>
      <c r="M52" s="1834">
        <f>ACIAR!N56</f>
        <v>0</v>
      </c>
      <c r="N52" s="1729">
        <v>0.3</v>
      </c>
      <c r="O52" s="696">
        <f>+H52+M52</f>
        <v>1100</v>
      </c>
      <c r="P52" s="684">
        <v>0.3</v>
      </c>
      <c r="Q52" s="451">
        <f>+O52*P52</f>
        <v>330</v>
      </c>
      <c r="R52" s="1730"/>
      <c r="S52" s="732">
        <f>ACIAR!T56</f>
        <v>1148.2</v>
      </c>
      <c r="T52" s="1731">
        <f>S52/O52</f>
        <v>1.0438181818181818</v>
      </c>
      <c r="U52" s="3017" t="s">
        <v>516</v>
      </c>
      <c r="V52" s="591">
        <f>W52/Q52</f>
        <v>1.0438181818181818</v>
      </c>
      <c r="W52" s="732">
        <f>P52*S52</f>
        <v>344.46</v>
      </c>
      <c r="X52" s="1732"/>
    </row>
    <row r="53" spans="1:43" s="450" customFormat="1" ht="14.5" customHeight="1" x14ac:dyDescent="0.25">
      <c r="A53" s="2998"/>
      <c r="B53" s="3012"/>
      <c r="C53" s="276" t="s">
        <v>47</v>
      </c>
      <c r="D53" s="2490" t="s">
        <v>500</v>
      </c>
      <c r="E53" s="1727"/>
      <c r="F53" s="1727"/>
      <c r="G53" s="1727"/>
      <c r="H53" s="1750">
        <f>ACIAR!I57</f>
        <v>1150</v>
      </c>
      <c r="I53" s="684">
        <v>0.3</v>
      </c>
      <c r="J53" s="1728"/>
      <c r="K53" s="1728"/>
      <c r="L53" s="1728"/>
      <c r="M53" s="1834">
        <f>ACIAR!N57</f>
        <v>0</v>
      </c>
      <c r="N53" s="1729">
        <v>0.3</v>
      </c>
      <c r="O53" s="696">
        <f t="shared" ref="O53:O56" si="28">+H53+M53</f>
        <v>1150</v>
      </c>
      <c r="P53" s="684">
        <v>0.3</v>
      </c>
      <c r="Q53" s="451">
        <f t="shared" ref="Q53:Q56" si="29">+O53*P53</f>
        <v>345</v>
      </c>
      <c r="R53" s="1730"/>
      <c r="S53" s="732">
        <f>ACIAR!T57</f>
        <v>359</v>
      </c>
      <c r="T53" s="1731">
        <f t="shared" ref="T53:T56" si="30">S53/O53</f>
        <v>0.31217391304347825</v>
      </c>
      <c r="U53" s="3018"/>
      <c r="V53" s="591">
        <f t="shared" ref="V53:V56" si="31">W53/Q53</f>
        <v>0.31217391304347825</v>
      </c>
      <c r="W53" s="732">
        <f t="shared" ref="W53:W56" si="32">P53*S53</f>
        <v>107.7</v>
      </c>
      <c r="X53" s="1732"/>
    </row>
    <row r="54" spans="1:43" s="450" customFormat="1" ht="14.5" customHeight="1" x14ac:dyDescent="0.25">
      <c r="A54" s="2998"/>
      <c r="B54" s="3012"/>
      <c r="C54" s="276" t="s">
        <v>17</v>
      </c>
      <c r="D54" s="2490" t="s">
        <v>500</v>
      </c>
      <c r="E54" s="1727"/>
      <c r="F54" s="1727"/>
      <c r="G54" s="1727"/>
      <c r="H54" s="1750">
        <f>ACIAR!I58</f>
        <v>1155</v>
      </c>
      <c r="I54" s="684">
        <v>0.3</v>
      </c>
      <c r="J54" s="1728"/>
      <c r="K54" s="1728"/>
      <c r="L54" s="1728"/>
      <c r="M54" s="1834">
        <f>ACIAR!N58</f>
        <v>0</v>
      </c>
      <c r="N54" s="1729">
        <v>0.3</v>
      </c>
      <c r="O54" s="696">
        <f t="shared" si="28"/>
        <v>1155</v>
      </c>
      <c r="P54" s="684">
        <v>0.3</v>
      </c>
      <c r="Q54" s="451">
        <f t="shared" si="29"/>
        <v>346.5</v>
      </c>
      <c r="R54" s="1730"/>
      <c r="S54" s="732">
        <f>ACIAR!T58</f>
        <v>2184</v>
      </c>
      <c r="T54" s="1731">
        <f t="shared" si="30"/>
        <v>1.8909090909090909</v>
      </c>
      <c r="U54" s="3018"/>
      <c r="V54" s="591">
        <f t="shared" si="31"/>
        <v>1.8909090909090907</v>
      </c>
      <c r="W54" s="732">
        <f t="shared" si="32"/>
        <v>655.19999999999993</v>
      </c>
      <c r="X54" s="1732"/>
    </row>
    <row r="55" spans="1:43" s="450" customFormat="1" ht="14.5" customHeight="1" x14ac:dyDescent="0.25">
      <c r="A55" s="2998"/>
      <c r="B55" s="3012"/>
      <c r="C55" s="276" t="s">
        <v>48</v>
      </c>
      <c r="D55" s="2490" t="s">
        <v>500</v>
      </c>
      <c r="E55" s="1727"/>
      <c r="F55" s="1727"/>
      <c r="G55" s="1727"/>
      <c r="H55" s="1750">
        <f>ACIAR!I59</f>
        <v>0</v>
      </c>
      <c r="I55" s="684">
        <v>0</v>
      </c>
      <c r="J55" s="1728"/>
      <c r="K55" s="1728"/>
      <c r="L55" s="1728"/>
      <c r="M55" s="1834">
        <f>ACIAR!N59</f>
        <v>0</v>
      </c>
      <c r="N55" s="1729">
        <v>0</v>
      </c>
      <c r="O55" s="696">
        <f t="shared" si="28"/>
        <v>0</v>
      </c>
      <c r="P55" s="684">
        <v>0</v>
      </c>
      <c r="Q55" s="451">
        <f t="shared" si="29"/>
        <v>0</v>
      </c>
      <c r="R55" s="1730"/>
      <c r="S55" s="732">
        <f>ACIAR!T59</f>
        <v>0</v>
      </c>
      <c r="T55" s="1731">
        <v>0</v>
      </c>
      <c r="U55" s="3018"/>
      <c r="V55" s="591">
        <v>0</v>
      </c>
      <c r="W55" s="732">
        <f t="shared" si="32"/>
        <v>0</v>
      </c>
      <c r="X55" s="1732"/>
    </row>
    <row r="56" spans="1:43" s="450" customFormat="1" ht="27.65" customHeight="1" x14ac:dyDescent="0.25">
      <c r="A56" s="2998"/>
      <c r="B56" s="3013"/>
      <c r="C56" s="276" t="s">
        <v>1374</v>
      </c>
      <c r="D56" s="2490" t="s">
        <v>500</v>
      </c>
      <c r="E56" s="1727"/>
      <c r="F56" s="1727"/>
      <c r="G56" s="1727"/>
      <c r="H56" s="1750">
        <f>ACIAR!I60</f>
        <v>574</v>
      </c>
      <c r="I56" s="684">
        <v>0.3</v>
      </c>
      <c r="J56" s="1728"/>
      <c r="K56" s="1728"/>
      <c r="L56" s="1728"/>
      <c r="M56" s="1834">
        <f>ACIAR!N60</f>
        <v>0</v>
      </c>
      <c r="N56" s="1729">
        <v>0.3</v>
      </c>
      <c r="O56" s="696">
        <f t="shared" si="28"/>
        <v>574</v>
      </c>
      <c r="P56" s="684">
        <v>0.3</v>
      </c>
      <c r="Q56" s="451">
        <f t="shared" si="29"/>
        <v>172.2</v>
      </c>
      <c r="R56" s="1730"/>
      <c r="S56" s="732">
        <f>ACIAR!T60</f>
        <v>352.18</v>
      </c>
      <c r="T56" s="1731">
        <f t="shared" si="30"/>
        <v>0.61355400696864115</v>
      </c>
      <c r="U56" s="3019"/>
      <c r="V56" s="591">
        <f t="shared" si="31"/>
        <v>0.61355400696864115</v>
      </c>
      <c r="W56" s="732">
        <f t="shared" si="32"/>
        <v>105.654</v>
      </c>
      <c r="X56" s="1732"/>
    </row>
    <row r="57" spans="1:43" s="450" customFormat="1" ht="13.9" customHeight="1" x14ac:dyDescent="0.25">
      <c r="A57" s="2998"/>
      <c r="B57" s="3011" t="s">
        <v>517</v>
      </c>
      <c r="C57" s="276" t="s">
        <v>15</v>
      </c>
      <c r="D57" s="467" t="s">
        <v>500</v>
      </c>
      <c r="E57" s="724"/>
      <c r="F57" s="724"/>
      <c r="G57" s="724"/>
      <c r="H57" s="451">
        <f>ACIAR!I62</f>
        <v>1860</v>
      </c>
      <c r="I57" s="675">
        <v>0.5</v>
      </c>
      <c r="J57" s="1722"/>
      <c r="K57" s="1722"/>
      <c r="L57" s="1722"/>
      <c r="M57" s="1834">
        <f>ACIAR!N62</f>
        <v>1860</v>
      </c>
      <c r="N57" s="697">
        <v>0.5</v>
      </c>
      <c r="O57" s="696">
        <f>+H57+M57</f>
        <v>3720</v>
      </c>
      <c r="P57" s="675">
        <v>0.5</v>
      </c>
      <c r="Q57" s="451">
        <f>+O57*P57</f>
        <v>1860</v>
      </c>
      <c r="R57" s="539"/>
      <c r="S57" s="706">
        <f>ACIAR!T62</f>
        <v>6150.76</v>
      </c>
      <c r="T57" s="1731">
        <f t="shared" ref="T57:T74" si="33">S57/O57</f>
        <v>1.6534301075268818</v>
      </c>
      <c r="U57" s="541"/>
      <c r="V57" s="591">
        <f t="shared" ref="V57:V75" si="34">W57/Q57</f>
        <v>1.6534301075268818</v>
      </c>
      <c r="W57" s="732">
        <f t="shared" ref="W57:W75" si="35">P57*S57</f>
        <v>3075.38</v>
      </c>
      <c r="X57" s="1723"/>
    </row>
    <row r="58" spans="1:43" s="450" customFormat="1" ht="13.9" customHeight="1" x14ac:dyDescent="0.25">
      <c r="A58" s="2998"/>
      <c r="B58" s="3012"/>
      <c r="C58" s="276" t="s">
        <v>47</v>
      </c>
      <c r="D58" s="467" t="s">
        <v>500</v>
      </c>
      <c r="E58" s="724"/>
      <c r="F58" s="724"/>
      <c r="G58" s="724"/>
      <c r="H58" s="451">
        <f>ACIAR!I63</f>
        <v>2040</v>
      </c>
      <c r="I58" s="675">
        <v>0.5</v>
      </c>
      <c r="J58" s="1722"/>
      <c r="K58" s="1722"/>
      <c r="L58" s="1722"/>
      <c r="M58" s="1834">
        <f>ACIAR!N63</f>
        <v>2040</v>
      </c>
      <c r="N58" s="697">
        <v>0.5</v>
      </c>
      <c r="O58" s="696">
        <f t="shared" ref="O58:O60" si="36">+H58+M58</f>
        <v>4080</v>
      </c>
      <c r="P58" s="675">
        <v>0.5</v>
      </c>
      <c r="Q58" s="451">
        <f t="shared" ref="Q58:Q60" si="37">+O58*P58</f>
        <v>2040</v>
      </c>
      <c r="R58" s="539"/>
      <c r="S58" s="706">
        <f>ACIAR!T63</f>
        <v>1319.46</v>
      </c>
      <c r="T58" s="1731">
        <f t="shared" si="33"/>
        <v>0.32339705882352943</v>
      </c>
      <c r="U58" s="541"/>
      <c r="V58" s="591">
        <f t="shared" si="34"/>
        <v>0.32339705882352943</v>
      </c>
      <c r="W58" s="732">
        <f t="shared" si="35"/>
        <v>659.73</v>
      </c>
      <c r="X58" s="1723"/>
    </row>
    <row r="59" spans="1:43" s="450" customFormat="1" ht="13.9" customHeight="1" x14ac:dyDescent="0.25">
      <c r="A59" s="2998"/>
      <c r="B59" s="3012"/>
      <c r="C59" s="276" t="s">
        <v>17</v>
      </c>
      <c r="D59" s="467" t="s">
        <v>500</v>
      </c>
      <c r="E59" s="724"/>
      <c r="F59" s="724"/>
      <c r="G59" s="724"/>
      <c r="H59" s="451">
        <f>ACIAR!I64</f>
        <v>1280</v>
      </c>
      <c r="I59" s="675">
        <v>0.5</v>
      </c>
      <c r="J59" s="1722"/>
      <c r="K59" s="1722"/>
      <c r="L59" s="1722"/>
      <c r="M59" s="1834">
        <f>ACIAR!N64</f>
        <v>1280</v>
      </c>
      <c r="N59" s="697">
        <v>0.5</v>
      </c>
      <c r="O59" s="696">
        <f t="shared" si="36"/>
        <v>2560</v>
      </c>
      <c r="P59" s="675">
        <v>0.5</v>
      </c>
      <c r="Q59" s="451">
        <f t="shared" si="37"/>
        <v>1280</v>
      </c>
      <c r="R59" s="539"/>
      <c r="S59" s="706">
        <f>ACIAR!T64</f>
        <v>1820</v>
      </c>
      <c r="T59" s="1731">
        <f t="shared" si="33"/>
        <v>0.7109375</v>
      </c>
      <c r="U59" s="541"/>
      <c r="V59" s="591">
        <f t="shared" si="34"/>
        <v>0.7109375</v>
      </c>
      <c r="W59" s="732">
        <f t="shared" si="35"/>
        <v>910</v>
      </c>
      <c r="X59" s="1723"/>
    </row>
    <row r="60" spans="1:43" s="450" customFormat="1" ht="27.65" customHeight="1" x14ac:dyDescent="0.25">
      <c r="A60" s="2998"/>
      <c r="B60" s="3013"/>
      <c r="C60" s="276" t="s">
        <v>1374</v>
      </c>
      <c r="D60" s="467" t="s">
        <v>500</v>
      </c>
      <c r="E60" s="724"/>
      <c r="F60" s="724"/>
      <c r="G60" s="724"/>
      <c r="H60" s="451">
        <f>ACIAR!I65</f>
        <v>204</v>
      </c>
      <c r="I60" s="675">
        <v>0.5</v>
      </c>
      <c r="J60" s="1722"/>
      <c r="K60" s="1722"/>
      <c r="L60" s="1722"/>
      <c r="M60" s="1834">
        <f>ACIAR!N65</f>
        <v>204</v>
      </c>
      <c r="N60" s="697">
        <v>0.5</v>
      </c>
      <c r="O60" s="696">
        <f t="shared" si="36"/>
        <v>408</v>
      </c>
      <c r="P60" s="675">
        <v>0.5</v>
      </c>
      <c r="Q60" s="451">
        <f t="shared" si="37"/>
        <v>204</v>
      </c>
      <c r="R60" s="539"/>
      <c r="S60" s="706">
        <f>ACIAR!T65</f>
        <v>121</v>
      </c>
      <c r="T60" s="1731">
        <f t="shared" si="33"/>
        <v>0.29656862745098039</v>
      </c>
      <c r="U60" s="541"/>
      <c r="V60" s="591">
        <f t="shared" si="34"/>
        <v>0.29656862745098039</v>
      </c>
      <c r="W60" s="732">
        <f t="shared" si="35"/>
        <v>60.5</v>
      </c>
      <c r="X60" s="1723"/>
    </row>
    <row r="61" spans="1:43" s="450" customFormat="1" ht="69" customHeight="1" x14ac:dyDescent="0.25">
      <c r="A61" s="2998"/>
      <c r="B61" s="3011" t="s">
        <v>518</v>
      </c>
      <c r="C61" s="276" t="s">
        <v>15</v>
      </c>
      <c r="D61" s="467" t="s">
        <v>500</v>
      </c>
      <c r="E61" s="724"/>
      <c r="F61" s="724"/>
      <c r="G61" s="724"/>
      <c r="H61" s="451">
        <f>ACIAR!I67</f>
        <v>10200</v>
      </c>
      <c r="I61" s="675">
        <v>0.15</v>
      </c>
      <c r="J61" s="1722"/>
      <c r="K61" s="1722"/>
      <c r="L61" s="1722"/>
      <c r="M61" s="1834">
        <f>ACIAR!N67</f>
        <v>0</v>
      </c>
      <c r="N61" s="697">
        <v>0.15</v>
      </c>
      <c r="O61" s="696">
        <f t="shared" ref="O61:O75" si="38">+H61+M61</f>
        <v>10200</v>
      </c>
      <c r="P61" s="675">
        <v>0.15</v>
      </c>
      <c r="Q61" s="451">
        <f>+O61*P61</f>
        <v>1530</v>
      </c>
      <c r="R61" s="539"/>
      <c r="S61" s="1853">
        <f>ACIAR!T67</f>
        <v>20306.2</v>
      </c>
      <c r="T61" s="1731">
        <f t="shared" si="33"/>
        <v>1.9908039215686275</v>
      </c>
      <c r="U61" s="3014" t="s">
        <v>519</v>
      </c>
      <c r="V61" s="591">
        <f t="shared" si="34"/>
        <v>1.9908039215686273</v>
      </c>
      <c r="W61" s="732">
        <f t="shared" si="35"/>
        <v>3045.93</v>
      </c>
      <c r="X61" s="1723"/>
    </row>
    <row r="62" spans="1:43" s="450" customFormat="1" ht="13.9" customHeight="1" x14ac:dyDescent="0.25">
      <c r="A62" s="2998"/>
      <c r="B62" s="3012"/>
      <c r="C62" s="276" t="s">
        <v>47</v>
      </c>
      <c r="D62" s="467" t="s">
        <v>500</v>
      </c>
      <c r="E62" s="1733"/>
      <c r="F62" s="1733"/>
      <c r="G62" s="1733"/>
      <c r="H62" s="451">
        <f>ACIAR!I68</f>
        <v>8550</v>
      </c>
      <c r="I62" s="675">
        <v>0.15</v>
      </c>
      <c r="J62" s="1735"/>
      <c r="K62" s="1735"/>
      <c r="L62" s="1735"/>
      <c r="M62" s="1834">
        <f>ACIAR!N68</f>
        <v>0</v>
      </c>
      <c r="N62" s="697">
        <v>0.15</v>
      </c>
      <c r="O62" s="696">
        <f t="shared" si="38"/>
        <v>8550</v>
      </c>
      <c r="P62" s="675">
        <v>0.15</v>
      </c>
      <c r="Q62" s="451">
        <f t="shared" ref="Q62:Q65" si="39">+O62*P62</f>
        <v>1282.5</v>
      </c>
      <c r="R62" s="1736"/>
      <c r="S62" s="1853">
        <f>ACIAR!T68</f>
        <v>15906</v>
      </c>
      <c r="T62" s="1731">
        <f t="shared" si="33"/>
        <v>1.8603508771929824</v>
      </c>
      <c r="U62" s="3015"/>
      <c r="V62" s="591">
        <f t="shared" si="34"/>
        <v>1.8603508771929824</v>
      </c>
      <c r="W62" s="732">
        <f t="shared" si="35"/>
        <v>2385.9</v>
      </c>
      <c r="X62" s="1737"/>
    </row>
    <row r="63" spans="1:43" s="450" customFormat="1" ht="13.9" customHeight="1" x14ac:dyDescent="0.25">
      <c r="A63" s="2998"/>
      <c r="B63" s="3012"/>
      <c r="C63" s="276" t="s">
        <v>17</v>
      </c>
      <c r="D63" s="467" t="s">
        <v>500</v>
      </c>
      <c r="E63" s="1733"/>
      <c r="F63" s="1733"/>
      <c r="G63" s="1733"/>
      <c r="H63" s="451">
        <f>ACIAR!I69</f>
        <v>1700</v>
      </c>
      <c r="I63" s="675">
        <v>0.15</v>
      </c>
      <c r="J63" s="1735"/>
      <c r="K63" s="1735"/>
      <c r="L63" s="1735"/>
      <c r="M63" s="1834">
        <f>ACIAR!N69</f>
        <v>0</v>
      </c>
      <c r="N63" s="697">
        <v>0.15</v>
      </c>
      <c r="O63" s="696">
        <f t="shared" si="38"/>
        <v>1700</v>
      </c>
      <c r="P63" s="675">
        <v>0.15</v>
      </c>
      <c r="Q63" s="451">
        <f t="shared" si="39"/>
        <v>255</v>
      </c>
      <c r="R63" s="1736"/>
      <c r="S63" s="1853">
        <f>ACIAR!T69</f>
        <v>11127</v>
      </c>
      <c r="T63" s="1731">
        <f t="shared" si="33"/>
        <v>6.5452941176470585</v>
      </c>
      <c r="U63" s="3015"/>
      <c r="V63" s="591">
        <f t="shared" si="34"/>
        <v>6.5452941176470585</v>
      </c>
      <c r="W63" s="732">
        <f t="shared" si="35"/>
        <v>1669.05</v>
      </c>
      <c r="X63" s="1737"/>
    </row>
    <row r="64" spans="1:43" s="450" customFormat="1" ht="27.65" customHeight="1" x14ac:dyDescent="0.25">
      <c r="A64" s="2998"/>
      <c r="B64" s="3013"/>
      <c r="C64" s="276" t="s">
        <v>1374</v>
      </c>
      <c r="D64" s="467" t="s">
        <v>500</v>
      </c>
      <c r="E64" s="1733"/>
      <c r="F64" s="1733"/>
      <c r="G64" s="1733"/>
      <c r="H64" s="451">
        <f>ACIAR!I70</f>
        <v>180</v>
      </c>
      <c r="I64" s="675">
        <v>0.15</v>
      </c>
      <c r="J64" s="1735"/>
      <c r="K64" s="1735"/>
      <c r="L64" s="1735"/>
      <c r="M64" s="1834">
        <f>ACIAR!N70</f>
        <v>0</v>
      </c>
      <c r="N64" s="697">
        <v>0.15</v>
      </c>
      <c r="O64" s="696">
        <f t="shared" si="38"/>
        <v>180</v>
      </c>
      <c r="P64" s="675">
        <v>0.15</v>
      </c>
      <c r="Q64" s="451">
        <f t="shared" si="39"/>
        <v>27</v>
      </c>
      <c r="R64" s="1736"/>
      <c r="S64" s="1853">
        <f>ACIAR!T70</f>
        <v>725</v>
      </c>
      <c r="T64" s="1731">
        <f t="shared" si="33"/>
        <v>4.0277777777777777</v>
      </c>
      <c r="U64" s="3016"/>
      <c r="V64" s="591">
        <f t="shared" si="34"/>
        <v>4.0277777777777777</v>
      </c>
      <c r="W64" s="732">
        <f t="shared" si="35"/>
        <v>108.75</v>
      </c>
      <c r="X64" s="1737"/>
    </row>
    <row r="65" spans="1:24" s="450" customFormat="1" ht="14.5" customHeight="1" x14ac:dyDescent="0.25">
      <c r="A65" s="2998"/>
      <c r="B65" s="1720" t="s">
        <v>520</v>
      </c>
      <c r="C65" s="276" t="s">
        <v>47</v>
      </c>
      <c r="D65" s="2489" t="s">
        <v>500</v>
      </c>
      <c r="E65" s="1733"/>
      <c r="F65" s="1733"/>
      <c r="G65" s="1733"/>
      <c r="H65" s="1750">
        <f>ACIAR!I77</f>
        <v>60000</v>
      </c>
      <c r="I65" s="675">
        <v>0.5</v>
      </c>
      <c r="J65" s="2665"/>
      <c r="K65" s="2665"/>
      <c r="L65" s="2665"/>
      <c r="M65" s="2866">
        <f>ACIAR!N77</f>
        <v>0</v>
      </c>
      <c r="N65" s="1739">
        <v>0</v>
      </c>
      <c r="O65" s="696">
        <f t="shared" si="38"/>
        <v>60000</v>
      </c>
      <c r="P65" s="1740">
        <v>0.5</v>
      </c>
      <c r="Q65" s="1741">
        <f t="shared" si="39"/>
        <v>30000</v>
      </c>
      <c r="R65" s="1736"/>
      <c r="S65" s="1854">
        <f>ACIAR!T77</f>
        <v>64081.820000000007</v>
      </c>
      <c r="T65" s="1731">
        <f t="shared" si="33"/>
        <v>1.0680303333333334</v>
      </c>
      <c r="U65" s="433"/>
      <c r="V65" s="591">
        <f t="shared" si="34"/>
        <v>1.0680303333333334</v>
      </c>
      <c r="W65" s="732">
        <f t="shared" si="35"/>
        <v>32040.910000000003</v>
      </c>
      <c r="X65" s="1742"/>
    </row>
    <row r="66" spans="1:24" s="450" customFormat="1" ht="72" customHeight="1" x14ac:dyDescent="0.25">
      <c r="A66" s="2998"/>
      <c r="B66" s="595" t="s">
        <v>87</v>
      </c>
      <c r="C66" s="266" t="s">
        <v>118</v>
      </c>
      <c r="D66" s="467" t="s">
        <v>100</v>
      </c>
      <c r="E66" s="724">
        <v>1</v>
      </c>
      <c r="F66" s="1743">
        <v>10000</v>
      </c>
      <c r="G66" s="266">
        <v>1</v>
      </c>
      <c r="H66" s="451">
        <f>UNHABITAT!H12</f>
        <v>10000</v>
      </c>
      <c r="I66" s="684">
        <v>0.3</v>
      </c>
      <c r="J66" s="451"/>
      <c r="K66" s="451"/>
      <c r="L66" s="451"/>
      <c r="M66" s="1834">
        <f>UNHABITAT!M12</f>
        <v>0</v>
      </c>
      <c r="N66" s="697">
        <v>0</v>
      </c>
      <c r="O66" s="696">
        <f t="shared" si="38"/>
        <v>10000</v>
      </c>
      <c r="P66" s="675">
        <v>0.3</v>
      </c>
      <c r="Q66" s="709">
        <f>O66*P66</f>
        <v>3000</v>
      </c>
      <c r="R66" s="595" t="s">
        <v>101</v>
      </c>
      <c r="S66" s="452">
        <f>UNHABITAT!V12</f>
        <v>10000</v>
      </c>
      <c r="T66" s="1731">
        <f>S66/O66</f>
        <v>1</v>
      </c>
      <c r="U66" s="595" t="s">
        <v>185</v>
      </c>
      <c r="V66" s="591">
        <f t="shared" si="34"/>
        <v>1</v>
      </c>
      <c r="W66" s="732">
        <f t="shared" si="35"/>
        <v>3000</v>
      </c>
      <c r="X66" s="266" t="s">
        <v>1104</v>
      </c>
    </row>
    <row r="67" spans="1:24" s="450" customFormat="1" ht="78" customHeight="1" x14ac:dyDescent="0.25">
      <c r="A67" s="2998"/>
      <c r="B67" s="595" t="s">
        <v>88</v>
      </c>
      <c r="C67" s="266" t="s">
        <v>15</v>
      </c>
      <c r="D67" s="467" t="s">
        <v>100</v>
      </c>
      <c r="E67" s="724">
        <v>1</v>
      </c>
      <c r="F67" s="1743">
        <v>7000</v>
      </c>
      <c r="G67" s="266">
        <v>2</v>
      </c>
      <c r="H67" s="451">
        <f>UNHABITAT!H13</f>
        <v>14000</v>
      </c>
      <c r="I67" s="675">
        <v>0.3</v>
      </c>
      <c r="J67" s="451"/>
      <c r="K67" s="451"/>
      <c r="L67" s="451"/>
      <c r="M67" s="1834">
        <f>UNHABITAT!M13</f>
        <v>0</v>
      </c>
      <c r="N67" s="697">
        <v>0</v>
      </c>
      <c r="O67" s="696">
        <f t="shared" si="38"/>
        <v>14000</v>
      </c>
      <c r="P67" s="675">
        <v>0.3</v>
      </c>
      <c r="Q67" s="709">
        <f>O67*P67</f>
        <v>4200</v>
      </c>
      <c r="R67" s="1744"/>
      <c r="S67" s="452">
        <f>UNHABITAT!V13</f>
        <v>14000</v>
      </c>
      <c r="T67" s="1731">
        <f>S67/O67</f>
        <v>1</v>
      </c>
      <c r="U67" s="595" t="s">
        <v>186</v>
      </c>
      <c r="V67" s="591">
        <f t="shared" si="34"/>
        <v>1</v>
      </c>
      <c r="W67" s="732">
        <f t="shared" si="35"/>
        <v>4200</v>
      </c>
      <c r="X67" s="266" t="s">
        <v>1105</v>
      </c>
    </row>
    <row r="68" spans="1:24" s="450" customFormat="1" ht="66" customHeight="1" x14ac:dyDescent="0.25">
      <c r="A68" s="2998"/>
      <c r="B68" s="595" t="s">
        <v>89</v>
      </c>
      <c r="C68" s="266" t="s">
        <v>48</v>
      </c>
      <c r="D68" s="467" t="s">
        <v>100</v>
      </c>
      <c r="E68" s="724">
        <v>5</v>
      </c>
      <c r="F68" s="1743">
        <v>15970</v>
      </c>
      <c r="G68" s="266">
        <v>1</v>
      </c>
      <c r="H68" s="451">
        <f>UNHABITAT!H14</f>
        <v>79850</v>
      </c>
      <c r="I68" s="675">
        <v>0.4</v>
      </c>
      <c r="J68" s="451">
        <v>5</v>
      </c>
      <c r="K68" s="451">
        <v>15970</v>
      </c>
      <c r="L68" s="451">
        <v>1</v>
      </c>
      <c r="M68" s="1834">
        <f>UNHABITAT!M14</f>
        <v>79850</v>
      </c>
      <c r="N68" s="697">
        <v>0</v>
      </c>
      <c r="O68" s="696">
        <f t="shared" si="38"/>
        <v>159700</v>
      </c>
      <c r="P68" s="675">
        <v>0.4</v>
      </c>
      <c r="Q68" s="709">
        <f>O68*P68</f>
        <v>63880</v>
      </c>
      <c r="R68" s="1745" t="s">
        <v>102</v>
      </c>
      <c r="S68" s="452">
        <f>UNHABITAT!V14</f>
        <v>164700</v>
      </c>
      <c r="T68" s="1731">
        <f>S68/O68</f>
        <v>1.0313087038196618</v>
      </c>
      <c r="U68" s="595" t="s">
        <v>548</v>
      </c>
      <c r="V68" s="591">
        <f t="shared" si="34"/>
        <v>1.0313087038196618</v>
      </c>
      <c r="W68" s="732">
        <f t="shared" si="35"/>
        <v>65880</v>
      </c>
      <c r="X68" s="266" t="s">
        <v>557</v>
      </c>
    </row>
    <row r="69" spans="1:24" s="450" customFormat="1" ht="69" customHeight="1" x14ac:dyDescent="0.25">
      <c r="A69" s="2998"/>
      <c r="B69" s="595" t="s">
        <v>90</v>
      </c>
      <c r="C69" s="266" t="s">
        <v>15</v>
      </c>
      <c r="D69" s="467" t="s">
        <v>100</v>
      </c>
      <c r="E69" s="724">
        <v>1</v>
      </c>
      <c r="F69" s="1743">
        <v>25000</v>
      </c>
      <c r="G69" s="266">
        <v>1</v>
      </c>
      <c r="H69" s="451">
        <f>UNHABITAT!H15</f>
        <v>25000</v>
      </c>
      <c r="I69" s="675">
        <v>0.5</v>
      </c>
      <c r="J69" s="451">
        <v>1</v>
      </c>
      <c r="K69" s="451">
        <v>25000</v>
      </c>
      <c r="L69" s="451">
        <v>1</v>
      </c>
      <c r="M69" s="1834">
        <f>UNHABITAT!M15</f>
        <v>25000</v>
      </c>
      <c r="N69" s="697">
        <v>0</v>
      </c>
      <c r="O69" s="696">
        <f t="shared" si="38"/>
        <v>50000</v>
      </c>
      <c r="P69" s="675">
        <v>0.5</v>
      </c>
      <c r="Q69" s="709">
        <f t="shared" ref="Q69:Q75" si="40">O69*P69</f>
        <v>25000</v>
      </c>
      <c r="R69" s="595" t="s">
        <v>549</v>
      </c>
      <c r="S69" s="452">
        <f>UNHABITAT!V15</f>
        <v>48593.91</v>
      </c>
      <c r="T69" s="1731">
        <f t="shared" si="33"/>
        <v>0.97187820000000003</v>
      </c>
      <c r="U69" s="595" t="s">
        <v>550</v>
      </c>
      <c r="V69" s="591">
        <f t="shared" si="34"/>
        <v>0.97187820000000003</v>
      </c>
      <c r="W69" s="732">
        <f t="shared" si="35"/>
        <v>24296.955000000002</v>
      </c>
      <c r="X69" s="266" t="s">
        <v>1137</v>
      </c>
    </row>
    <row r="70" spans="1:24" s="450" customFormat="1" ht="72.650000000000006" customHeight="1" x14ac:dyDescent="0.25">
      <c r="A70" s="2998"/>
      <c r="B70" s="595" t="s">
        <v>91</v>
      </c>
      <c r="C70" s="266" t="s">
        <v>15</v>
      </c>
      <c r="D70" s="467" t="s">
        <v>100</v>
      </c>
      <c r="E70" s="724">
        <v>1</v>
      </c>
      <c r="F70" s="1743">
        <v>5000</v>
      </c>
      <c r="G70" s="266">
        <v>2</v>
      </c>
      <c r="H70" s="451">
        <f>UNHABITAT!H16</f>
        <v>10000</v>
      </c>
      <c r="I70" s="675">
        <v>0.4</v>
      </c>
      <c r="J70" s="451">
        <v>1</v>
      </c>
      <c r="K70" s="451">
        <v>5000</v>
      </c>
      <c r="L70" s="451">
        <v>2</v>
      </c>
      <c r="M70" s="1834">
        <f>UNHABITAT!M16</f>
        <v>10000</v>
      </c>
      <c r="N70" s="697">
        <v>0.4</v>
      </c>
      <c r="O70" s="696">
        <f t="shared" si="38"/>
        <v>20000</v>
      </c>
      <c r="P70" s="675">
        <v>0.21</v>
      </c>
      <c r="Q70" s="709">
        <f t="shared" si="40"/>
        <v>4200</v>
      </c>
      <c r="R70" s="1746" t="s">
        <v>103</v>
      </c>
      <c r="S70" s="452">
        <f>UNHABITAT!V16</f>
        <v>10089</v>
      </c>
      <c r="T70" s="1731">
        <f t="shared" si="33"/>
        <v>0.50444999999999995</v>
      </c>
      <c r="U70" s="595" t="s">
        <v>551</v>
      </c>
      <c r="V70" s="591">
        <f t="shared" si="34"/>
        <v>0.50445000000000007</v>
      </c>
      <c r="W70" s="732">
        <f t="shared" si="35"/>
        <v>2118.69</v>
      </c>
      <c r="X70" s="266" t="s">
        <v>558</v>
      </c>
    </row>
    <row r="71" spans="1:24" s="450" customFormat="1" ht="70.150000000000006" customHeight="1" x14ac:dyDescent="0.25">
      <c r="A71" s="2998"/>
      <c r="B71" s="595" t="s">
        <v>92</v>
      </c>
      <c r="C71" s="266" t="s">
        <v>48</v>
      </c>
      <c r="D71" s="467" t="s">
        <v>100</v>
      </c>
      <c r="E71" s="724">
        <v>1</v>
      </c>
      <c r="F71" s="1743">
        <v>3000</v>
      </c>
      <c r="G71" s="266">
        <v>2</v>
      </c>
      <c r="H71" s="451">
        <f>UNHABITAT!H17</f>
        <v>6000</v>
      </c>
      <c r="I71" s="675">
        <v>0.3</v>
      </c>
      <c r="J71" s="451">
        <v>1</v>
      </c>
      <c r="K71" s="451">
        <v>3500</v>
      </c>
      <c r="L71" s="451">
        <v>2</v>
      </c>
      <c r="M71" s="1834">
        <f>UNHABITAT!M17</f>
        <v>7000</v>
      </c>
      <c r="N71" s="697">
        <v>0.4</v>
      </c>
      <c r="O71" s="696">
        <f t="shared" si="38"/>
        <v>13000</v>
      </c>
      <c r="P71" s="675">
        <v>0.3</v>
      </c>
      <c r="Q71" s="709">
        <f>O71*P71</f>
        <v>3900</v>
      </c>
      <c r="R71" s="1745" t="s">
        <v>104</v>
      </c>
      <c r="S71" s="452">
        <f>UNHABITAT!V17</f>
        <v>13937.58</v>
      </c>
      <c r="T71" s="1731">
        <f t="shared" si="33"/>
        <v>1.0721215384615383</v>
      </c>
      <c r="U71" s="595" t="s">
        <v>708</v>
      </c>
      <c r="V71" s="591">
        <f t="shared" si="34"/>
        <v>1.0721215384615383</v>
      </c>
      <c r="W71" s="732">
        <f t="shared" si="35"/>
        <v>4181.2739999999994</v>
      </c>
      <c r="X71" s="266" t="s">
        <v>708</v>
      </c>
    </row>
    <row r="72" spans="1:24" s="450" customFormat="1" ht="41.5" customHeight="1" x14ac:dyDescent="0.25">
      <c r="A72" s="2998"/>
      <c r="B72" s="595" t="s">
        <v>93</v>
      </c>
      <c r="C72" s="266" t="s">
        <v>15</v>
      </c>
      <c r="D72" s="467" t="s">
        <v>100</v>
      </c>
      <c r="E72" s="724">
        <v>1</v>
      </c>
      <c r="F72" s="1747">
        <v>6000</v>
      </c>
      <c r="G72" s="266">
        <v>2</v>
      </c>
      <c r="H72" s="451">
        <f>UNHABITAT!H18</f>
        <v>12000</v>
      </c>
      <c r="I72" s="675">
        <v>0.5</v>
      </c>
      <c r="J72" s="451">
        <v>1</v>
      </c>
      <c r="K72" s="451">
        <v>6000</v>
      </c>
      <c r="L72" s="451">
        <v>2</v>
      </c>
      <c r="M72" s="1834">
        <f>UNHABITAT!M18</f>
        <v>12000</v>
      </c>
      <c r="N72" s="697">
        <v>0.5</v>
      </c>
      <c r="O72" s="696">
        <f t="shared" si="38"/>
        <v>24000</v>
      </c>
      <c r="P72" s="675">
        <v>0.5</v>
      </c>
      <c r="Q72" s="709">
        <f t="shared" si="40"/>
        <v>12000</v>
      </c>
      <c r="R72" s="1748"/>
      <c r="S72" s="452">
        <f>UNHABITAT!V18</f>
        <v>12995.72</v>
      </c>
      <c r="T72" s="1731">
        <f t="shared" si="33"/>
        <v>0.54148833333333335</v>
      </c>
      <c r="U72" s="595" t="s">
        <v>709</v>
      </c>
      <c r="V72" s="591">
        <f t="shared" si="34"/>
        <v>0.54148833333333335</v>
      </c>
      <c r="W72" s="732">
        <f t="shared" si="35"/>
        <v>6497.86</v>
      </c>
      <c r="X72" s="266" t="s">
        <v>709</v>
      </c>
    </row>
    <row r="73" spans="1:24" s="450" customFormat="1" ht="41.5" customHeight="1" x14ac:dyDescent="0.25">
      <c r="A73" s="2998"/>
      <c r="B73" s="595" t="s">
        <v>94</v>
      </c>
      <c r="C73" s="266" t="s">
        <v>15</v>
      </c>
      <c r="D73" s="467" t="s">
        <v>100</v>
      </c>
      <c r="E73" s="724">
        <v>1</v>
      </c>
      <c r="F73" s="1743">
        <v>3000</v>
      </c>
      <c r="G73" s="266">
        <v>1</v>
      </c>
      <c r="H73" s="451">
        <f>UNHABITAT!H19</f>
        <v>3000</v>
      </c>
      <c r="I73" s="675">
        <v>0.5</v>
      </c>
      <c r="J73" s="451">
        <v>1</v>
      </c>
      <c r="K73" s="451">
        <v>10000</v>
      </c>
      <c r="L73" s="451">
        <v>1</v>
      </c>
      <c r="M73" s="1834">
        <f>UNHABITAT!M19</f>
        <v>10000</v>
      </c>
      <c r="N73" s="697">
        <v>0.5</v>
      </c>
      <c r="O73" s="696">
        <f t="shared" si="38"/>
        <v>13000</v>
      </c>
      <c r="P73" s="675">
        <v>0.5</v>
      </c>
      <c r="Q73" s="709">
        <f t="shared" si="40"/>
        <v>6500</v>
      </c>
      <c r="R73" s="1748"/>
      <c r="S73" s="452">
        <f>UNHABITAT!V19</f>
        <v>13126.97</v>
      </c>
      <c r="T73" s="1731">
        <f t="shared" si="33"/>
        <v>1.0097669230769231</v>
      </c>
      <c r="U73" s="595" t="s">
        <v>710</v>
      </c>
      <c r="V73" s="591">
        <f t="shared" si="34"/>
        <v>1.0097669230769231</v>
      </c>
      <c r="W73" s="732">
        <f t="shared" si="35"/>
        <v>6563.4849999999997</v>
      </c>
      <c r="X73" s="266" t="s">
        <v>710</v>
      </c>
    </row>
    <row r="74" spans="1:24" s="450" customFormat="1" ht="96.65" customHeight="1" x14ac:dyDescent="0.25">
      <c r="A74" s="2998"/>
      <c r="B74" s="595" t="s">
        <v>95</v>
      </c>
      <c r="C74" s="266" t="s">
        <v>48</v>
      </c>
      <c r="D74" s="467" t="s">
        <v>100</v>
      </c>
      <c r="E74" s="724">
        <v>1</v>
      </c>
      <c r="F74" s="1743">
        <v>17600</v>
      </c>
      <c r="G74" s="266">
        <v>1</v>
      </c>
      <c r="H74" s="451">
        <f>UNHABITAT!H20</f>
        <v>17600</v>
      </c>
      <c r="I74" s="675">
        <v>0.4</v>
      </c>
      <c r="J74" s="451">
        <v>0</v>
      </c>
      <c r="K74" s="451">
        <v>0</v>
      </c>
      <c r="L74" s="451">
        <v>0</v>
      </c>
      <c r="M74" s="1834">
        <f>UNHABITAT!M20</f>
        <v>0</v>
      </c>
      <c r="N74" s="697">
        <v>0</v>
      </c>
      <c r="O74" s="696">
        <f>+H74+M74</f>
        <v>17600</v>
      </c>
      <c r="P74" s="675">
        <v>0.4</v>
      </c>
      <c r="Q74" s="709">
        <f t="shared" si="40"/>
        <v>7040</v>
      </c>
      <c r="R74" s="1745" t="s">
        <v>105</v>
      </c>
      <c r="S74" s="452">
        <f>UNHABITAT!V20</f>
        <v>17600</v>
      </c>
      <c r="T74" s="1731">
        <f t="shared" si="33"/>
        <v>1</v>
      </c>
      <c r="U74" s="595" t="s">
        <v>711</v>
      </c>
      <c r="V74" s="591">
        <f t="shared" si="34"/>
        <v>1</v>
      </c>
      <c r="W74" s="732">
        <f t="shared" si="35"/>
        <v>7040</v>
      </c>
      <c r="X74" s="266" t="s">
        <v>711</v>
      </c>
    </row>
    <row r="75" spans="1:24" s="450" customFormat="1" ht="96.65" customHeight="1" x14ac:dyDescent="0.25">
      <c r="A75" s="2998"/>
      <c r="B75" s="595" t="s">
        <v>96</v>
      </c>
      <c r="C75" s="266" t="s">
        <v>48</v>
      </c>
      <c r="D75" s="467" t="s">
        <v>100</v>
      </c>
      <c r="E75" s="724">
        <v>1</v>
      </c>
      <c r="F75" s="1747">
        <v>10000</v>
      </c>
      <c r="G75" s="266">
        <v>5</v>
      </c>
      <c r="H75" s="451">
        <f>UNHABITAT!H21</f>
        <v>50000</v>
      </c>
      <c r="I75" s="675">
        <v>0.4</v>
      </c>
      <c r="J75" s="676">
        <v>0</v>
      </c>
      <c r="K75" s="676">
        <v>0</v>
      </c>
      <c r="L75" s="676">
        <v>0</v>
      </c>
      <c r="M75" s="1834">
        <f>UNHABITAT!M21</f>
        <v>0</v>
      </c>
      <c r="N75" s="697">
        <v>0</v>
      </c>
      <c r="O75" s="696">
        <f t="shared" si="38"/>
        <v>50000</v>
      </c>
      <c r="P75" s="675">
        <v>0.4</v>
      </c>
      <c r="Q75" s="709">
        <f t="shared" si="40"/>
        <v>20000</v>
      </c>
      <c r="R75" s="595" t="s">
        <v>181</v>
      </c>
      <c r="S75" s="452">
        <f>UNHABITAT!V21</f>
        <v>55000</v>
      </c>
      <c r="T75" s="1731">
        <f>S75/O75</f>
        <v>1.1000000000000001</v>
      </c>
      <c r="U75" s="595" t="s">
        <v>552</v>
      </c>
      <c r="V75" s="591">
        <f t="shared" si="34"/>
        <v>1.1000000000000001</v>
      </c>
      <c r="W75" s="732">
        <f t="shared" si="35"/>
        <v>22000</v>
      </c>
      <c r="X75" s="266" t="s">
        <v>712</v>
      </c>
    </row>
    <row r="76" spans="1:24" s="461" customFormat="1" ht="13.9" customHeight="1" x14ac:dyDescent="0.25">
      <c r="A76" s="2999"/>
      <c r="B76" s="1685"/>
      <c r="C76" s="711"/>
      <c r="D76" s="897" t="s">
        <v>0</v>
      </c>
      <c r="E76" s="1073"/>
      <c r="F76" s="1073"/>
      <c r="G76" s="1073"/>
      <c r="H76" s="470">
        <f>SUM(H52:H75)</f>
        <v>317443</v>
      </c>
      <c r="I76" s="1076"/>
      <c r="J76" s="1107"/>
      <c r="K76" s="1107"/>
      <c r="L76" s="1107"/>
      <c r="M76" s="2865">
        <f>SUM(M52:M75)</f>
        <v>149234</v>
      </c>
      <c r="N76" s="1108"/>
      <c r="O76" s="1111">
        <f t="shared" ref="O76:R76" si="41">SUM(O52:O75)</f>
        <v>466677</v>
      </c>
      <c r="P76" s="1111">
        <f t="shared" si="41"/>
        <v>8.11</v>
      </c>
      <c r="Q76" s="1111">
        <f t="shared" si="41"/>
        <v>189392.2</v>
      </c>
      <c r="R76" s="1111">
        <f t="shared" si="41"/>
        <v>0</v>
      </c>
      <c r="S76" s="1111">
        <f>SUM(S52:S75)</f>
        <v>485643.8</v>
      </c>
      <c r="T76" s="600">
        <f>S76/O76</f>
        <v>1.0406422429217639</v>
      </c>
      <c r="U76" s="711"/>
      <c r="V76" s="600">
        <f>W76/Q76</f>
        <v>1.0082116792560623</v>
      </c>
      <c r="W76" s="1113">
        <f>SUM(W52:W75)</f>
        <v>190947.42799999999</v>
      </c>
      <c r="X76" s="1112"/>
    </row>
    <row r="77" spans="1:24" s="450" customFormat="1" ht="41.5" customHeight="1" x14ac:dyDescent="0.25">
      <c r="A77" s="3003" t="s">
        <v>106</v>
      </c>
      <c r="B77" s="3011" t="s">
        <v>521</v>
      </c>
      <c r="C77" s="276" t="s">
        <v>15</v>
      </c>
      <c r="D77" s="2490" t="s">
        <v>500</v>
      </c>
      <c r="E77" s="1727"/>
      <c r="F77" s="1727"/>
      <c r="G77" s="1727"/>
      <c r="H77" s="1750">
        <f>ACIAR!I79</f>
        <v>2280</v>
      </c>
      <c r="I77" s="684">
        <v>0.3</v>
      </c>
      <c r="J77" s="1728"/>
      <c r="K77" s="1728"/>
      <c r="L77" s="1728"/>
      <c r="M77" s="2867">
        <f>ACIAR!N79</f>
        <v>2280</v>
      </c>
      <c r="N77" s="1729">
        <v>0.3</v>
      </c>
      <c r="O77" s="2917">
        <f>+H77+M77</f>
        <v>4560</v>
      </c>
      <c r="P77" s="684">
        <v>0.3</v>
      </c>
      <c r="Q77" s="1749">
        <f>+O77*P77</f>
        <v>1368</v>
      </c>
      <c r="R77" s="1730"/>
      <c r="S77" s="2868">
        <f>ACIAR!T79</f>
        <v>7472.69</v>
      </c>
      <c r="T77" s="1731">
        <f>S77/O77</f>
        <v>1.6387478070175439</v>
      </c>
      <c r="U77" s="3017" t="s">
        <v>1237</v>
      </c>
      <c r="V77" s="591">
        <f>W77/S77</f>
        <v>0.3</v>
      </c>
      <c r="W77" s="732">
        <f>P77*S77</f>
        <v>2241.8069999999998</v>
      </c>
      <c r="X77" s="1732"/>
    </row>
    <row r="78" spans="1:24" s="450" customFormat="1" ht="14.5" customHeight="1" x14ac:dyDescent="0.25">
      <c r="A78" s="3004"/>
      <c r="B78" s="3012"/>
      <c r="C78" s="276" t="s">
        <v>47</v>
      </c>
      <c r="D78" s="2490" t="s">
        <v>500</v>
      </c>
      <c r="E78" s="1727"/>
      <c r="F78" s="1727"/>
      <c r="G78" s="1727"/>
      <c r="H78" s="1750">
        <f>ACIAR!I80</f>
        <v>1540</v>
      </c>
      <c r="I78" s="684">
        <v>0.3</v>
      </c>
      <c r="J78" s="2689"/>
      <c r="K78" s="2689"/>
      <c r="L78" s="2689"/>
      <c r="M78" s="2867">
        <f>ACIAR!N80</f>
        <v>1540</v>
      </c>
      <c r="N78" s="1729">
        <v>0.3</v>
      </c>
      <c r="O78" s="2917">
        <f t="shared" ref="O78:O81" si="42">+H78+M78</f>
        <v>3080</v>
      </c>
      <c r="P78" s="684">
        <v>0.3</v>
      </c>
      <c r="Q78" s="1749">
        <f t="shared" ref="Q78:Q81" si="43">+O78*P78</f>
        <v>924</v>
      </c>
      <c r="R78" s="1730"/>
      <c r="S78" s="2868">
        <f>ACIAR!T80</f>
        <v>8956.75</v>
      </c>
      <c r="T78" s="1731">
        <f t="shared" ref="T78:T81" si="44">S78/O78</f>
        <v>2.9080357142857145</v>
      </c>
      <c r="U78" s="3018"/>
      <c r="V78" s="591">
        <v>0</v>
      </c>
      <c r="W78" s="732">
        <f t="shared" ref="W78:W80" si="45">P78*S78</f>
        <v>2687.0250000000001</v>
      </c>
      <c r="X78" s="1732"/>
    </row>
    <row r="79" spans="1:24" s="450" customFormat="1" ht="14.5" customHeight="1" x14ac:dyDescent="0.25">
      <c r="A79" s="3004"/>
      <c r="B79" s="3012"/>
      <c r="C79" s="276" t="s">
        <v>17</v>
      </c>
      <c r="D79" s="2490" t="s">
        <v>500</v>
      </c>
      <c r="E79" s="1727"/>
      <c r="F79" s="1727"/>
      <c r="G79" s="1727"/>
      <c r="H79" s="1750">
        <f>ACIAR!I81</f>
        <v>935</v>
      </c>
      <c r="I79" s="684">
        <v>0.3</v>
      </c>
      <c r="J79" s="2689"/>
      <c r="K79" s="2689"/>
      <c r="L79" s="2689"/>
      <c r="M79" s="2867">
        <f>ACIAR!N81</f>
        <v>935</v>
      </c>
      <c r="N79" s="1729">
        <v>0.3</v>
      </c>
      <c r="O79" s="2917">
        <f t="shared" si="42"/>
        <v>1870</v>
      </c>
      <c r="P79" s="684">
        <v>0.3</v>
      </c>
      <c r="Q79" s="1749">
        <f t="shared" si="43"/>
        <v>561</v>
      </c>
      <c r="R79" s="1730"/>
      <c r="S79" s="2868">
        <f>ACIAR!T81</f>
        <v>4765</v>
      </c>
      <c r="T79" s="1731">
        <f t="shared" si="44"/>
        <v>2.5481283422459895</v>
      </c>
      <c r="U79" s="3018"/>
      <c r="V79" s="591">
        <v>0</v>
      </c>
      <c r="W79" s="732">
        <f t="shared" si="45"/>
        <v>1429.5</v>
      </c>
      <c r="X79" s="1732"/>
    </row>
    <row r="80" spans="1:24" s="450" customFormat="1" ht="14.5" customHeight="1" x14ac:dyDescent="0.25">
      <c r="A80" s="3004"/>
      <c r="B80" s="3012"/>
      <c r="C80" s="276" t="s">
        <v>48</v>
      </c>
      <c r="D80" s="2490" t="s">
        <v>500</v>
      </c>
      <c r="E80" s="1727"/>
      <c r="F80" s="1727"/>
      <c r="G80" s="1727"/>
      <c r="H80" s="1750">
        <f>ACIAR!I82</f>
        <v>0</v>
      </c>
      <c r="I80" s="684">
        <v>0.3</v>
      </c>
      <c r="J80" s="2689"/>
      <c r="K80" s="2689"/>
      <c r="L80" s="2689"/>
      <c r="M80" s="2867">
        <f>ACIAR!N82</f>
        <v>0</v>
      </c>
      <c r="N80" s="1729">
        <v>0.3</v>
      </c>
      <c r="O80" s="2917">
        <f t="shared" si="42"/>
        <v>0</v>
      </c>
      <c r="P80" s="684">
        <v>0.3</v>
      </c>
      <c r="Q80" s="1749">
        <f t="shared" si="43"/>
        <v>0</v>
      </c>
      <c r="R80" s="1730"/>
      <c r="S80" s="2868">
        <f>ACIAR!T82</f>
        <v>0</v>
      </c>
      <c r="T80" s="1731">
        <v>0</v>
      </c>
      <c r="U80" s="3018"/>
      <c r="V80" s="591">
        <v>0</v>
      </c>
      <c r="W80" s="732">
        <f t="shared" si="45"/>
        <v>0</v>
      </c>
      <c r="X80" s="1732"/>
    </row>
    <row r="81" spans="1:24" s="450" customFormat="1" ht="27.65" customHeight="1" x14ac:dyDescent="0.25">
      <c r="A81" s="3004"/>
      <c r="B81" s="3013"/>
      <c r="C81" s="266" t="s">
        <v>1374</v>
      </c>
      <c r="D81" s="2490" t="s">
        <v>500</v>
      </c>
      <c r="E81" s="1727"/>
      <c r="F81" s="1727"/>
      <c r="G81" s="1727"/>
      <c r="H81" s="1750">
        <f>ACIAR!I83</f>
        <v>255</v>
      </c>
      <c r="I81" s="684">
        <v>0.3</v>
      </c>
      <c r="J81" s="2689"/>
      <c r="K81" s="2689"/>
      <c r="L81" s="2689"/>
      <c r="M81" s="2867">
        <f>ACIAR!N83</f>
        <v>255</v>
      </c>
      <c r="N81" s="1729">
        <v>0.3</v>
      </c>
      <c r="O81" s="2917">
        <f t="shared" si="42"/>
        <v>510</v>
      </c>
      <c r="P81" s="684">
        <v>0.3</v>
      </c>
      <c r="Q81" s="1749">
        <f t="shared" si="43"/>
        <v>153</v>
      </c>
      <c r="R81" s="1730"/>
      <c r="S81" s="2868">
        <f>ACIAR!T83</f>
        <v>550</v>
      </c>
      <c r="T81" s="1731">
        <f t="shared" si="44"/>
        <v>1.0784313725490196</v>
      </c>
      <c r="U81" s="3019"/>
      <c r="V81" s="591">
        <f>W81/S81</f>
        <v>0.3</v>
      </c>
      <c r="W81" s="732">
        <f>P81*S81</f>
        <v>165</v>
      </c>
      <c r="X81" s="1732"/>
    </row>
    <row r="82" spans="1:24" s="450" customFormat="1" ht="14.5" customHeight="1" x14ac:dyDescent="0.25">
      <c r="A82" s="3004"/>
      <c r="B82" s="3011" t="s">
        <v>522</v>
      </c>
      <c r="C82" s="276" t="s">
        <v>15</v>
      </c>
      <c r="D82" s="467" t="s">
        <v>500</v>
      </c>
      <c r="E82" s="724"/>
      <c r="F82" s="724"/>
      <c r="G82" s="724"/>
      <c r="H82" s="1751">
        <f>ACIAR!I85</f>
        <v>4800</v>
      </c>
      <c r="I82" s="684">
        <v>0.3</v>
      </c>
      <c r="J82" s="2690"/>
      <c r="K82" s="2690"/>
      <c r="L82" s="2690"/>
      <c r="M82" s="1750">
        <f>ACIAR!N85</f>
        <v>6000</v>
      </c>
      <c r="N82" s="684">
        <v>0.3</v>
      </c>
      <c r="O82" s="2917">
        <f t="shared" ref="O82:O92" si="46">+H82+M82</f>
        <v>10800</v>
      </c>
      <c r="P82" s="684">
        <v>0.3</v>
      </c>
      <c r="Q82" s="1749">
        <f>+O82*P82</f>
        <v>3240</v>
      </c>
      <c r="R82" s="539"/>
      <c r="S82" s="706">
        <f>ACIAR!T85</f>
        <v>5115.75</v>
      </c>
      <c r="T82" s="1731">
        <f t="shared" ref="T82:T92" si="47">S82/O82</f>
        <v>0.47368055555555555</v>
      </c>
      <c r="U82" s="3017" t="s">
        <v>507</v>
      </c>
      <c r="V82" s="591">
        <f t="shared" ref="V82:V93" si="48">W82/S82</f>
        <v>0.3</v>
      </c>
      <c r="W82" s="732">
        <f t="shared" ref="W82:W93" si="49">P82*S82</f>
        <v>1534.7249999999999</v>
      </c>
      <c r="X82" s="1723"/>
    </row>
    <row r="83" spans="1:24" s="450" customFormat="1" ht="14.5" customHeight="1" x14ac:dyDescent="0.25">
      <c r="A83" s="3004"/>
      <c r="B83" s="3012"/>
      <c r="C83" s="276" t="s">
        <v>47</v>
      </c>
      <c r="D83" s="467" t="s">
        <v>500</v>
      </c>
      <c r="E83" s="724"/>
      <c r="F83" s="724"/>
      <c r="G83" s="724"/>
      <c r="H83" s="1751">
        <f>ACIAR!I86</f>
        <v>2100</v>
      </c>
      <c r="I83" s="684">
        <v>0.3</v>
      </c>
      <c r="J83" s="2690"/>
      <c r="K83" s="2690"/>
      <c r="L83" s="2690"/>
      <c r="M83" s="1750">
        <f>ACIAR!N86</f>
        <v>2600</v>
      </c>
      <c r="N83" s="684">
        <v>0.3</v>
      </c>
      <c r="O83" s="2917">
        <f t="shared" si="46"/>
        <v>4700</v>
      </c>
      <c r="P83" s="684">
        <v>0.3</v>
      </c>
      <c r="Q83" s="1749">
        <f t="shared" ref="Q83:Q86" si="50">+O83*P83</f>
        <v>1410</v>
      </c>
      <c r="R83" s="539"/>
      <c r="S83" s="706">
        <f>ACIAR!T86</f>
        <v>6640</v>
      </c>
      <c r="T83" s="1731">
        <f t="shared" si="47"/>
        <v>1.4127659574468086</v>
      </c>
      <c r="U83" s="3018"/>
      <c r="V83" s="591">
        <f t="shared" si="48"/>
        <v>0.3</v>
      </c>
      <c r="W83" s="732">
        <f t="shared" si="49"/>
        <v>1992</v>
      </c>
      <c r="X83" s="1723"/>
    </row>
    <row r="84" spans="1:24" s="450" customFormat="1" ht="14.5" customHeight="1" x14ac:dyDescent="0.25">
      <c r="A84" s="3004"/>
      <c r="B84" s="3012"/>
      <c r="C84" s="276" t="s">
        <v>17</v>
      </c>
      <c r="D84" s="467" t="s">
        <v>500</v>
      </c>
      <c r="E84" s="724"/>
      <c r="F84" s="724"/>
      <c r="G84" s="724"/>
      <c r="H84" s="1751">
        <f>ACIAR!I87</f>
        <v>980</v>
      </c>
      <c r="I84" s="684">
        <v>0.3</v>
      </c>
      <c r="J84" s="2690"/>
      <c r="K84" s="2690"/>
      <c r="L84" s="2690"/>
      <c r="M84" s="1750">
        <f>ACIAR!N87</f>
        <v>1000</v>
      </c>
      <c r="N84" s="684">
        <v>0.3</v>
      </c>
      <c r="O84" s="2917">
        <f t="shared" si="46"/>
        <v>1980</v>
      </c>
      <c r="P84" s="684">
        <v>0.3</v>
      </c>
      <c r="Q84" s="1749">
        <f t="shared" si="50"/>
        <v>594</v>
      </c>
      <c r="R84" s="539"/>
      <c r="S84" s="706">
        <f>ACIAR!T87</f>
        <v>3158</v>
      </c>
      <c r="T84" s="1731">
        <f t="shared" si="47"/>
        <v>1.5949494949494949</v>
      </c>
      <c r="U84" s="3018"/>
      <c r="V84" s="591">
        <f t="shared" si="48"/>
        <v>0.3</v>
      </c>
      <c r="W84" s="732">
        <f t="shared" si="49"/>
        <v>947.4</v>
      </c>
      <c r="X84" s="1723"/>
    </row>
    <row r="85" spans="1:24" s="450" customFormat="1" ht="14.5" customHeight="1" x14ac:dyDescent="0.25">
      <c r="A85" s="3004"/>
      <c r="B85" s="3012"/>
      <c r="C85" s="276" t="s">
        <v>48</v>
      </c>
      <c r="D85" s="467" t="s">
        <v>500</v>
      </c>
      <c r="E85" s="724"/>
      <c r="F85" s="724"/>
      <c r="G85" s="724"/>
      <c r="H85" s="1751">
        <f>ACIAR!I88</f>
        <v>0</v>
      </c>
      <c r="I85" s="684">
        <v>0.3</v>
      </c>
      <c r="J85" s="2690"/>
      <c r="K85" s="2690"/>
      <c r="L85" s="2690"/>
      <c r="M85" s="1750">
        <f>ACIAR!N88</f>
        <v>0</v>
      </c>
      <c r="N85" s="684">
        <v>0.3</v>
      </c>
      <c r="O85" s="2917">
        <f t="shared" si="46"/>
        <v>0</v>
      </c>
      <c r="P85" s="684">
        <v>0.3</v>
      </c>
      <c r="Q85" s="1749">
        <f t="shared" si="50"/>
        <v>0</v>
      </c>
      <c r="R85" s="539"/>
      <c r="S85" s="706">
        <f>ACIAR!T88</f>
        <v>3030</v>
      </c>
      <c r="T85" s="1731">
        <v>0</v>
      </c>
      <c r="U85" s="3018"/>
      <c r="V85" s="591">
        <f t="shared" si="48"/>
        <v>0.3</v>
      </c>
      <c r="W85" s="732">
        <f t="shared" si="49"/>
        <v>909</v>
      </c>
      <c r="X85" s="1723"/>
    </row>
    <row r="86" spans="1:24" s="450" customFormat="1" ht="27.65" customHeight="1" x14ac:dyDescent="0.25">
      <c r="A86" s="3004"/>
      <c r="B86" s="3013"/>
      <c r="C86" s="276" t="s">
        <v>1374</v>
      </c>
      <c r="D86" s="467" t="s">
        <v>500</v>
      </c>
      <c r="E86" s="724"/>
      <c r="F86" s="724"/>
      <c r="G86" s="724"/>
      <c r="H86" s="1751">
        <f>ACIAR!I89</f>
        <v>605</v>
      </c>
      <c r="I86" s="684">
        <v>0.3</v>
      </c>
      <c r="J86" s="2690"/>
      <c r="K86" s="2690"/>
      <c r="L86" s="2690"/>
      <c r="M86" s="1750">
        <f>ACIAR!N89</f>
        <v>605</v>
      </c>
      <c r="N86" s="684">
        <v>0.3</v>
      </c>
      <c r="O86" s="2917">
        <f t="shared" si="46"/>
        <v>1210</v>
      </c>
      <c r="P86" s="684">
        <v>0.3</v>
      </c>
      <c r="Q86" s="1749">
        <f t="shared" si="50"/>
        <v>363</v>
      </c>
      <c r="R86" s="539"/>
      <c r="S86" s="706">
        <f>ACIAR!T89</f>
        <v>0</v>
      </c>
      <c r="T86" s="1731">
        <f t="shared" si="47"/>
        <v>0</v>
      </c>
      <c r="U86" s="3019"/>
      <c r="V86" s="591">
        <v>0</v>
      </c>
      <c r="W86" s="732">
        <f t="shared" si="49"/>
        <v>0</v>
      </c>
      <c r="X86" s="1723"/>
    </row>
    <row r="87" spans="1:24" s="450" customFormat="1" ht="27.65" customHeight="1" x14ac:dyDescent="0.25">
      <c r="A87" s="3004"/>
      <c r="B87" s="3011" t="s">
        <v>523</v>
      </c>
      <c r="C87" s="276" t="s">
        <v>15</v>
      </c>
      <c r="D87" s="467" t="s">
        <v>500</v>
      </c>
      <c r="E87" s="724"/>
      <c r="F87" s="724"/>
      <c r="G87" s="724"/>
      <c r="H87" s="451">
        <v>10425</v>
      </c>
      <c r="I87" s="684">
        <v>0.3</v>
      </c>
      <c r="J87" s="2690"/>
      <c r="K87" s="2690"/>
      <c r="L87" s="2690"/>
      <c r="M87" s="1834">
        <v>10425</v>
      </c>
      <c r="N87" s="684">
        <v>0.3</v>
      </c>
      <c r="O87" s="2917">
        <f t="shared" si="46"/>
        <v>20850</v>
      </c>
      <c r="P87" s="684">
        <v>0.3</v>
      </c>
      <c r="Q87" s="1749">
        <f>+O87*P87</f>
        <v>6255</v>
      </c>
      <c r="R87" s="539"/>
      <c r="S87" s="706">
        <f>ACIAR!T91</f>
        <v>712.84</v>
      </c>
      <c r="T87" s="1731">
        <f>S87/O87</f>
        <v>3.4188968824940047E-2</v>
      </c>
      <c r="U87" s="3017" t="s">
        <v>524</v>
      </c>
      <c r="V87" s="591">
        <f t="shared" si="48"/>
        <v>0.3</v>
      </c>
      <c r="W87" s="732">
        <f t="shared" si="49"/>
        <v>213.852</v>
      </c>
      <c r="X87" s="1723"/>
    </row>
    <row r="88" spans="1:24" s="450" customFormat="1" ht="13.9" customHeight="1" x14ac:dyDescent="0.25">
      <c r="A88" s="3004"/>
      <c r="B88" s="3012"/>
      <c r="C88" s="276" t="s">
        <v>47</v>
      </c>
      <c r="D88" s="467" t="s">
        <v>500</v>
      </c>
      <c r="E88" s="724"/>
      <c r="F88" s="724"/>
      <c r="G88" s="724"/>
      <c r="H88" s="451">
        <v>7350</v>
      </c>
      <c r="I88" s="684">
        <v>0.3</v>
      </c>
      <c r="J88" s="2690"/>
      <c r="K88" s="2690"/>
      <c r="L88" s="2690"/>
      <c r="M88" s="1834">
        <v>7350</v>
      </c>
      <c r="N88" s="684">
        <v>0.3</v>
      </c>
      <c r="O88" s="2917">
        <f t="shared" si="46"/>
        <v>14700</v>
      </c>
      <c r="P88" s="684">
        <v>0.3</v>
      </c>
      <c r="Q88" s="1749">
        <f t="shared" ref="Q88:Q91" si="51">+O88*P88</f>
        <v>4410</v>
      </c>
      <c r="R88" s="539"/>
      <c r="S88" s="706">
        <f>ACIAR!T92</f>
        <v>4540.3999999999996</v>
      </c>
      <c r="T88" s="1731">
        <f t="shared" ref="T88:T91" si="52">S88/O88</f>
        <v>0.30887074829931971</v>
      </c>
      <c r="U88" s="3018"/>
      <c r="V88" s="591">
        <f t="shared" si="48"/>
        <v>0.3</v>
      </c>
      <c r="W88" s="732">
        <f t="shared" si="49"/>
        <v>1362.12</v>
      </c>
      <c r="X88" s="1723"/>
    </row>
    <row r="89" spans="1:24" s="450" customFormat="1" ht="13.9" customHeight="1" x14ac:dyDescent="0.25">
      <c r="A89" s="3004"/>
      <c r="B89" s="3012"/>
      <c r="C89" s="276" t="s">
        <v>17</v>
      </c>
      <c r="D89" s="467" t="s">
        <v>500</v>
      </c>
      <c r="E89" s="724"/>
      <c r="F89" s="724"/>
      <c r="G89" s="724"/>
      <c r="H89" s="451">
        <v>820</v>
      </c>
      <c r="I89" s="684">
        <v>0.3</v>
      </c>
      <c r="J89" s="2690"/>
      <c r="K89" s="2690"/>
      <c r="L89" s="2690"/>
      <c r="M89" s="1834">
        <v>820</v>
      </c>
      <c r="N89" s="684">
        <v>0.3</v>
      </c>
      <c r="O89" s="2917">
        <f t="shared" si="46"/>
        <v>1640</v>
      </c>
      <c r="P89" s="684">
        <v>0.3</v>
      </c>
      <c r="Q89" s="1749">
        <f t="shared" si="51"/>
        <v>492</v>
      </c>
      <c r="R89" s="539"/>
      <c r="S89" s="706">
        <f>ACIAR!T93</f>
        <v>19296.25</v>
      </c>
      <c r="T89" s="1731">
        <f t="shared" si="52"/>
        <v>11.766006097560975</v>
      </c>
      <c r="U89" s="3018"/>
      <c r="V89" s="591">
        <f t="shared" si="48"/>
        <v>0.3</v>
      </c>
      <c r="W89" s="732">
        <f t="shared" si="49"/>
        <v>5788.875</v>
      </c>
      <c r="X89" s="1723"/>
    </row>
    <row r="90" spans="1:24" s="450" customFormat="1" ht="13.9" customHeight="1" x14ac:dyDescent="0.25">
      <c r="A90" s="3004"/>
      <c r="B90" s="3012"/>
      <c r="C90" s="276" t="s">
        <v>48</v>
      </c>
      <c r="D90" s="467" t="s">
        <v>500</v>
      </c>
      <c r="E90" s="724"/>
      <c r="F90" s="724"/>
      <c r="G90" s="724"/>
      <c r="H90" s="451">
        <v>0</v>
      </c>
      <c r="I90" s="684">
        <v>0.3</v>
      </c>
      <c r="J90" s="2690"/>
      <c r="K90" s="2690"/>
      <c r="L90" s="2690"/>
      <c r="M90" s="1834">
        <v>0</v>
      </c>
      <c r="N90" s="684">
        <v>0.3</v>
      </c>
      <c r="O90" s="2917">
        <f t="shared" si="46"/>
        <v>0</v>
      </c>
      <c r="P90" s="684">
        <v>0.3</v>
      </c>
      <c r="Q90" s="1749">
        <f t="shared" si="51"/>
        <v>0</v>
      </c>
      <c r="R90" s="539"/>
      <c r="S90" s="706">
        <f>ACIAR!T94</f>
        <v>6000</v>
      </c>
      <c r="T90" s="1731">
        <v>0</v>
      </c>
      <c r="U90" s="3018"/>
      <c r="V90" s="591">
        <f t="shared" si="48"/>
        <v>0.3</v>
      </c>
      <c r="W90" s="732">
        <f t="shared" si="49"/>
        <v>1800</v>
      </c>
      <c r="X90" s="1723"/>
    </row>
    <row r="91" spans="1:24" s="450" customFormat="1" ht="27.65" customHeight="1" x14ac:dyDescent="0.25">
      <c r="A91" s="3004"/>
      <c r="B91" s="3013"/>
      <c r="C91" s="276" t="s">
        <v>1374</v>
      </c>
      <c r="D91" s="467" t="s">
        <v>500</v>
      </c>
      <c r="E91" s="724"/>
      <c r="F91" s="724"/>
      <c r="G91" s="724"/>
      <c r="H91" s="451">
        <v>280</v>
      </c>
      <c r="I91" s="684">
        <v>0.3</v>
      </c>
      <c r="J91" s="2690"/>
      <c r="K91" s="2690"/>
      <c r="L91" s="2690"/>
      <c r="M91" s="1834">
        <v>280</v>
      </c>
      <c r="N91" s="684">
        <v>0.3</v>
      </c>
      <c r="O91" s="2917">
        <f t="shared" si="46"/>
        <v>560</v>
      </c>
      <c r="P91" s="684">
        <v>0.3</v>
      </c>
      <c r="Q91" s="1749">
        <f t="shared" si="51"/>
        <v>168</v>
      </c>
      <c r="R91" s="539"/>
      <c r="S91" s="706">
        <f>ACIAR!T95</f>
        <v>63</v>
      </c>
      <c r="T91" s="1731">
        <f t="shared" si="52"/>
        <v>0.1125</v>
      </c>
      <c r="U91" s="3019"/>
      <c r="V91" s="591">
        <f t="shared" si="48"/>
        <v>0.3</v>
      </c>
      <c r="W91" s="732">
        <f t="shared" si="49"/>
        <v>18.899999999999999</v>
      </c>
      <c r="X91" s="1723"/>
    </row>
    <row r="92" spans="1:24" s="450" customFormat="1" ht="13.9" customHeight="1" x14ac:dyDescent="0.25">
      <c r="A92" s="3004"/>
      <c r="B92" s="595" t="s">
        <v>525</v>
      </c>
      <c r="C92" s="276" t="s">
        <v>47</v>
      </c>
      <c r="D92" s="467" t="s">
        <v>500</v>
      </c>
      <c r="E92" s="724"/>
      <c r="F92" s="724"/>
      <c r="G92" s="724"/>
      <c r="H92" s="451">
        <v>0</v>
      </c>
      <c r="I92" s="675">
        <v>0</v>
      </c>
      <c r="J92" s="2690"/>
      <c r="K92" s="2690"/>
      <c r="L92" s="2690"/>
      <c r="M92" s="1834">
        <v>57779</v>
      </c>
      <c r="N92" s="697">
        <v>0.5</v>
      </c>
      <c r="O92" s="2917">
        <f t="shared" si="46"/>
        <v>57779</v>
      </c>
      <c r="P92" s="675">
        <v>0.5</v>
      </c>
      <c r="Q92" s="1749">
        <f>+O92*P92</f>
        <v>28889.5</v>
      </c>
      <c r="R92" s="539"/>
      <c r="S92" s="706">
        <f>ACIAR!T102</f>
        <v>40908.25</v>
      </c>
      <c r="T92" s="1731">
        <f t="shared" si="47"/>
        <v>0.70801242666020525</v>
      </c>
      <c r="U92" s="541"/>
      <c r="V92" s="591">
        <f t="shared" si="48"/>
        <v>0.5</v>
      </c>
      <c r="W92" s="732">
        <f t="shared" si="49"/>
        <v>20454.125</v>
      </c>
      <c r="X92" s="1723"/>
    </row>
    <row r="93" spans="1:24" s="450" customFormat="1" ht="73.5" customHeight="1" x14ac:dyDescent="0.25">
      <c r="A93" s="3004"/>
      <c r="B93" s="595" t="s">
        <v>107</v>
      </c>
      <c r="C93" s="266" t="s">
        <v>15</v>
      </c>
      <c r="D93" s="467" t="s">
        <v>100</v>
      </c>
      <c r="E93" s="724">
        <v>1</v>
      </c>
      <c r="F93" s="1752">
        <v>7000</v>
      </c>
      <c r="G93" s="595">
        <v>1</v>
      </c>
      <c r="H93" s="451">
        <f>UNHABITAT!H23</f>
        <v>7000</v>
      </c>
      <c r="I93" s="675">
        <v>0.4</v>
      </c>
      <c r="J93" s="676">
        <v>1</v>
      </c>
      <c r="K93" s="676">
        <v>7500</v>
      </c>
      <c r="L93" s="676">
        <v>1</v>
      </c>
      <c r="M93" s="1834">
        <f>J93*K93*L93</f>
        <v>7500</v>
      </c>
      <c r="N93" s="675">
        <v>0</v>
      </c>
      <c r="O93" s="696">
        <f>H93+M93</f>
        <v>14500</v>
      </c>
      <c r="P93" s="675">
        <v>0.21</v>
      </c>
      <c r="Q93" s="709">
        <f>O93*P93</f>
        <v>3045</v>
      </c>
      <c r="R93" s="539"/>
      <c r="S93" s="706">
        <f>UNHABITAT!V23</f>
        <v>14044.17</v>
      </c>
      <c r="T93" s="1731">
        <f>S93/O93</f>
        <v>0.96856344827586205</v>
      </c>
      <c r="U93" s="595" t="s">
        <v>713</v>
      </c>
      <c r="V93" s="591">
        <f t="shared" si="48"/>
        <v>0.20999999999999996</v>
      </c>
      <c r="W93" s="732">
        <f t="shared" si="49"/>
        <v>2949.2756999999997</v>
      </c>
      <c r="X93" s="266" t="s">
        <v>713</v>
      </c>
    </row>
    <row r="94" spans="1:24" s="454" customFormat="1" ht="13.9" customHeight="1" thickBot="1" x14ac:dyDescent="0.3">
      <c r="A94" s="3005"/>
      <c r="B94" s="711"/>
      <c r="C94" s="711"/>
      <c r="D94" s="897" t="s">
        <v>0</v>
      </c>
      <c r="E94" s="1073"/>
      <c r="F94" s="1073"/>
      <c r="G94" s="1073"/>
      <c r="H94" s="470">
        <f>SUM(H77:H93)</f>
        <v>39370</v>
      </c>
      <c r="I94" s="1076"/>
      <c r="J94" s="1107"/>
      <c r="K94" s="1107"/>
      <c r="L94" s="1107"/>
      <c r="M94" s="2865">
        <f>SUM(M77:M93)</f>
        <v>99369</v>
      </c>
      <c r="N94" s="1108"/>
      <c r="O94" s="1111">
        <f t="shared" ref="O94:R94" si="53">SUM(O77:O93)</f>
        <v>138739</v>
      </c>
      <c r="P94" s="1111">
        <f t="shared" si="53"/>
        <v>5.2099999999999991</v>
      </c>
      <c r="Q94" s="1111">
        <f t="shared" si="53"/>
        <v>51872.5</v>
      </c>
      <c r="R94" s="1111">
        <f t="shared" si="53"/>
        <v>0</v>
      </c>
      <c r="S94" s="1111">
        <f>SUM(S77:S93)</f>
        <v>125253.09999999999</v>
      </c>
      <c r="T94" s="600">
        <f>S94/O94</f>
        <v>0.90279661811026457</v>
      </c>
      <c r="U94" s="711"/>
      <c r="V94" s="600">
        <f>W94/Q94</f>
        <v>0.85774937972914345</v>
      </c>
      <c r="W94" s="1111">
        <f>SUM(W77:W93)</f>
        <v>44493.604699999996</v>
      </c>
      <c r="X94" s="1112"/>
    </row>
    <row r="95" spans="1:24" s="461" customFormat="1" ht="13.9" customHeight="1" x14ac:dyDescent="0.25">
      <c r="A95" s="3006" t="s">
        <v>1238</v>
      </c>
      <c r="B95" s="3059" t="s">
        <v>527</v>
      </c>
      <c r="C95" s="276" t="s">
        <v>15</v>
      </c>
      <c r="D95" s="2490" t="s">
        <v>500</v>
      </c>
      <c r="E95" s="1753"/>
      <c r="F95" s="1753"/>
      <c r="G95" s="1753"/>
      <c r="H95" s="708">
        <f>ACIAR!I104</f>
        <v>3525</v>
      </c>
      <c r="I95" s="684">
        <v>0.5</v>
      </c>
      <c r="J95" s="2691"/>
      <c r="K95" s="2691"/>
      <c r="L95" s="2691"/>
      <c r="M95" s="1759">
        <v>3525</v>
      </c>
      <c r="N95" s="1729">
        <v>0.5</v>
      </c>
      <c r="O95" s="2917">
        <f>+H95+M95</f>
        <v>7050</v>
      </c>
      <c r="P95" s="684">
        <v>0.5</v>
      </c>
      <c r="Q95" s="1754">
        <f>+O95*P95</f>
        <v>3525</v>
      </c>
      <c r="R95" s="1755"/>
      <c r="S95" s="1756">
        <f>ACIAR!T104</f>
        <v>461</v>
      </c>
      <c r="T95" s="1757">
        <f>S95/O95</f>
        <v>6.5390070921985816E-2</v>
      </c>
      <c r="U95" s="3017" t="s">
        <v>1239</v>
      </c>
      <c r="V95" s="591">
        <f>W95/S95</f>
        <v>0.5</v>
      </c>
      <c r="W95" s="1756">
        <f>P95*S95</f>
        <v>230.5</v>
      </c>
      <c r="X95" s="1758"/>
    </row>
    <row r="96" spans="1:24" s="461" customFormat="1" ht="13.9" customHeight="1" x14ac:dyDescent="0.25">
      <c r="A96" s="3007"/>
      <c r="B96" s="3018"/>
      <c r="C96" s="276" t="s">
        <v>47</v>
      </c>
      <c r="D96" s="2490" t="s">
        <v>500</v>
      </c>
      <c r="E96" s="1753"/>
      <c r="F96" s="1753"/>
      <c r="G96" s="1753"/>
      <c r="H96" s="708">
        <f>ACIAR!I105</f>
        <v>7050</v>
      </c>
      <c r="I96" s="684">
        <v>0.5</v>
      </c>
      <c r="J96" s="2691"/>
      <c r="K96" s="2691"/>
      <c r="L96" s="2691"/>
      <c r="M96" s="1759">
        <v>7050</v>
      </c>
      <c r="N96" s="1729">
        <v>0.5</v>
      </c>
      <c r="O96" s="2917">
        <f t="shared" ref="O96:O99" si="54">+H96+M96</f>
        <v>14100</v>
      </c>
      <c r="P96" s="684">
        <v>0.5</v>
      </c>
      <c r="Q96" s="1754">
        <f t="shared" ref="Q96:Q99" si="55">+O96*P96</f>
        <v>7050</v>
      </c>
      <c r="R96" s="1755"/>
      <c r="S96" s="1756">
        <f>ACIAR!T105</f>
        <v>1524</v>
      </c>
      <c r="T96" s="1757">
        <f t="shared" ref="T96:T99" si="56">S96/O96</f>
        <v>0.10808510638297872</v>
      </c>
      <c r="U96" s="3018"/>
      <c r="V96" s="591">
        <f t="shared" ref="V96:V99" si="57">W96/S96</f>
        <v>0.5</v>
      </c>
      <c r="W96" s="1756">
        <f t="shared" ref="W96:W99" si="58">P96*S96</f>
        <v>762</v>
      </c>
      <c r="X96" s="1758"/>
    </row>
    <row r="97" spans="1:43" s="461" customFormat="1" ht="13.9" customHeight="1" x14ac:dyDescent="0.25">
      <c r="A97" s="3007"/>
      <c r="B97" s="3018"/>
      <c r="C97" s="276" t="s">
        <v>17</v>
      </c>
      <c r="D97" s="2490" t="s">
        <v>500</v>
      </c>
      <c r="E97" s="1753"/>
      <c r="F97" s="1753"/>
      <c r="G97" s="1753"/>
      <c r="H97" s="708">
        <f>ACIAR!I106</f>
        <v>1825</v>
      </c>
      <c r="I97" s="684">
        <v>0.5</v>
      </c>
      <c r="J97" s="2691"/>
      <c r="K97" s="2691"/>
      <c r="L97" s="2691"/>
      <c r="M97" s="1759">
        <v>1825</v>
      </c>
      <c r="N97" s="1729">
        <v>0.5</v>
      </c>
      <c r="O97" s="2917">
        <f t="shared" si="54"/>
        <v>3650</v>
      </c>
      <c r="P97" s="684">
        <v>0.5</v>
      </c>
      <c r="Q97" s="1754">
        <f t="shared" si="55"/>
        <v>1825</v>
      </c>
      <c r="R97" s="1755"/>
      <c r="S97" s="1756">
        <f>ACIAR!T106</f>
        <v>985</v>
      </c>
      <c r="T97" s="1757">
        <f t="shared" si="56"/>
        <v>0.26986301369863014</v>
      </c>
      <c r="U97" s="3018"/>
      <c r="V97" s="591">
        <f t="shared" si="57"/>
        <v>0.5</v>
      </c>
      <c r="W97" s="1756">
        <f t="shared" si="58"/>
        <v>492.5</v>
      </c>
      <c r="X97" s="1758"/>
    </row>
    <row r="98" spans="1:43" s="461" customFormat="1" ht="13.9" customHeight="1" x14ac:dyDescent="0.25">
      <c r="A98" s="3007"/>
      <c r="B98" s="3018"/>
      <c r="C98" s="276" t="s">
        <v>48</v>
      </c>
      <c r="D98" s="2490" t="s">
        <v>500</v>
      </c>
      <c r="E98" s="1753"/>
      <c r="F98" s="1753"/>
      <c r="G98" s="1753"/>
      <c r="H98" s="708">
        <f>ACIAR!I107</f>
        <v>0</v>
      </c>
      <c r="I98" s="684">
        <v>0.5</v>
      </c>
      <c r="J98" s="2691"/>
      <c r="K98" s="2691"/>
      <c r="L98" s="2691"/>
      <c r="M98" s="1759">
        <v>0</v>
      </c>
      <c r="N98" s="1729">
        <v>0.5</v>
      </c>
      <c r="O98" s="2917">
        <f t="shared" si="54"/>
        <v>0</v>
      </c>
      <c r="P98" s="684">
        <v>0</v>
      </c>
      <c r="Q98" s="1754">
        <f t="shared" si="55"/>
        <v>0</v>
      </c>
      <c r="R98" s="1755"/>
      <c r="S98" s="1756">
        <f>ACIAR!T107</f>
        <v>150</v>
      </c>
      <c r="T98" s="1757">
        <v>0</v>
      </c>
      <c r="U98" s="3018"/>
      <c r="V98" s="591">
        <f t="shared" si="57"/>
        <v>0</v>
      </c>
      <c r="W98" s="1756">
        <f t="shared" si="58"/>
        <v>0</v>
      </c>
      <c r="X98" s="1758"/>
    </row>
    <row r="99" spans="1:43" s="461" customFormat="1" ht="27.65" customHeight="1" x14ac:dyDescent="0.25">
      <c r="A99" s="3007"/>
      <c r="B99" s="3019"/>
      <c r="C99" s="266" t="s">
        <v>1374</v>
      </c>
      <c r="D99" s="2490" t="s">
        <v>500</v>
      </c>
      <c r="E99" s="1753"/>
      <c r="F99" s="1753"/>
      <c r="G99" s="1753"/>
      <c r="H99" s="708">
        <f>ACIAR!I108</f>
        <v>204</v>
      </c>
      <c r="I99" s="684">
        <v>0.5</v>
      </c>
      <c r="J99" s="2691"/>
      <c r="K99" s="2691"/>
      <c r="L99" s="2691"/>
      <c r="M99" s="1759">
        <v>204</v>
      </c>
      <c r="N99" s="1729">
        <v>0.5</v>
      </c>
      <c r="O99" s="2917">
        <f t="shared" si="54"/>
        <v>408</v>
      </c>
      <c r="P99" s="684">
        <v>0.5</v>
      </c>
      <c r="Q99" s="1754">
        <f t="shared" si="55"/>
        <v>204</v>
      </c>
      <c r="R99" s="1755"/>
      <c r="S99" s="1756">
        <f>ACIAR!T108</f>
        <v>490</v>
      </c>
      <c r="T99" s="1757">
        <f t="shared" si="56"/>
        <v>1.2009803921568627</v>
      </c>
      <c r="U99" s="3019"/>
      <c r="V99" s="591">
        <f t="shared" si="57"/>
        <v>0.5</v>
      </c>
      <c r="W99" s="1756">
        <f t="shared" si="58"/>
        <v>245</v>
      </c>
      <c r="X99" s="1758"/>
    </row>
    <row r="100" spans="1:43" s="461" customFormat="1" ht="13.9" customHeight="1" x14ac:dyDescent="0.25">
      <c r="A100" s="3007"/>
      <c r="B100" s="3017" t="s">
        <v>528</v>
      </c>
      <c r="C100" s="276" t="s">
        <v>15</v>
      </c>
      <c r="D100" s="467" t="s">
        <v>500</v>
      </c>
      <c r="E100" s="1065"/>
      <c r="F100" s="1065"/>
      <c r="G100" s="1065"/>
      <c r="H100" s="708">
        <v>13600</v>
      </c>
      <c r="I100" s="675">
        <v>0.3</v>
      </c>
      <c r="J100" s="2692"/>
      <c r="K100" s="2692"/>
      <c r="L100" s="2692"/>
      <c r="M100" s="1759">
        <v>13600</v>
      </c>
      <c r="N100" s="675">
        <v>0.3</v>
      </c>
      <c r="O100" s="2917">
        <f t="shared" ref="O100:O105" si="59">+H100+M100</f>
        <v>27200</v>
      </c>
      <c r="P100" s="675">
        <v>0.3</v>
      </c>
      <c r="Q100" s="1754">
        <f>+O100*P100</f>
        <v>8160</v>
      </c>
      <c r="R100" s="1115"/>
      <c r="S100" s="1855">
        <f>ACIAR!T110</f>
        <v>4615.07</v>
      </c>
      <c r="T100" s="1757">
        <f t="shared" ref="T100:T104" si="60">S100/O100</f>
        <v>0.16967169117647057</v>
      </c>
      <c r="U100" s="3017" t="s">
        <v>1240</v>
      </c>
      <c r="V100" s="591">
        <f t="shared" ref="V100:V104" si="61">W100/S100</f>
        <v>0.3</v>
      </c>
      <c r="W100" s="1756">
        <f t="shared" ref="W100:W105" si="62">P100*S100</f>
        <v>1384.521</v>
      </c>
      <c r="X100" s="1760"/>
    </row>
    <row r="101" spans="1:43" s="461" customFormat="1" ht="13.9" customHeight="1" x14ac:dyDescent="0.25">
      <c r="A101" s="3007"/>
      <c r="B101" s="3018"/>
      <c r="C101" s="276" t="s">
        <v>17</v>
      </c>
      <c r="D101" s="467" t="s">
        <v>500</v>
      </c>
      <c r="E101" s="1065"/>
      <c r="F101" s="1065"/>
      <c r="G101" s="1065"/>
      <c r="H101" s="708">
        <v>1700</v>
      </c>
      <c r="I101" s="675">
        <v>0.3</v>
      </c>
      <c r="J101" s="2692"/>
      <c r="K101" s="2692"/>
      <c r="L101" s="2692"/>
      <c r="M101" s="1759">
        <v>1700</v>
      </c>
      <c r="N101" s="675">
        <v>0.3</v>
      </c>
      <c r="O101" s="2917">
        <f t="shared" si="59"/>
        <v>3400</v>
      </c>
      <c r="P101" s="675">
        <v>0.3</v>
      </c>
      <c r="Q101" s="1754">
        <f t="shared" ref="Q101:Q103" si="63">+O101*P101</f>
        <v>1020</v>
      </c>
      <c r="R101" s="1115"/>
      <c r="S101" s="1855">
        <f>ACIAR!T112</f>
        <v>2097.4299999999998</v>
      </c>
      <c r="T101" s="1757">
        <f t="shared" si="60"/>
        <v>0.61689117647058822</v>
      </c>
      <c r="U101" s="3018"/>
      <c r="V101" s="591">
        <f t="shared" si="61"/>
        <v>0.3</v>
      </c>
      <c r="W101" s="1756">
        <f t="shared" si="62"/>
        <v>629.22899999999993</v>
      </c>
      <c r="X101" s="1760"/>
    </row>
    <row r="102" spans="1:43" s="461" customFormat="1" ht="13.9" customHeight="1" x14ac:dyDescent="0.25">
      <c r="A102" s="3007"/>
      <c r="B102" s="3018"/>
      <c r="C102" s="276" t="s">
        <v>48</v>
      </c>
      <c r="D102" s="467" t="s">
        <v>500</v>
      </c>
      <c r="E102" s="1065"/>
      <c r="F102" s="1065"/>
      <c r="G102" s="1065"/>
      <c r="H102" s="708">
        <v>0</v>
      </c>
      <c r="I102" s="675">
        <v>0.3</v>
      </c>
      <c r="J102" s="2692"/>
      <c r="K102" s="2692"/>
      <c r="L102" s="2692"/>
      <c r="M102" s="1759">
        <v>0</v>
      </c>
      <c r="N102" s="675">
        <v>0.3</v>
      </c>
      <c r="O102" s="2917">
        <f t="shared" si="59"/>
        <v>0</v>
      </c>
      <c r="P102" s="675">
        <v>0.3</v>
      </c>
      <c r="Q102" s="1754">
        <f t="shared" si="63"/>
        <v>0</v>
      </c>
      <c r="R102" s="1115"/>
      <c r="S102" s="1855">
        <f>ACIAR!T113</f>
        <v>16067.94</v>
      </c>
      <c r="T102" s="1757">
        <v>0</v>
      </c>
      <c r="U102" s="3018"/>
      <c r="V102" s="591">
        <f t="shared" si="61"/>
        <v>0.3</v>
      </c>
      <c r="W102" s="1756">
        <f t="shared" si="62"/>
        <v>4820.3819999999996</v>
      </c>
      <c r="X102" s="1760"/>
    </row>
    <row r="103" spans="1:43" s="461" customFormat="1" ht="27.65" customHeight="1" x14ac:dyDescent="0.25">
      <c r="A103" s="3007"/>
      <c r="B103" s="3019"/>
      <c r="C103" s="276" t="s">
        <v>1374</v>
      </c>
      <c r="D103" s="467" t="s">
        <v>500</v>
      </c>
      <c r="E103" s="1065"/>
      <c r="F103" s="1065"/>
      <c r="G103" s="1065"/>
      <c r="H103" s="708">
        <v>380</v>
      </c>
      <c r="I103" s="675">
        <v>0.3</v>
      </c>
      <c r="J103" s="2692"/>
      <c r="K103" s="2692"/>
      <c r="L103" s="2692"/>
      <c r="M103" s="1759">
        <v>380</v>
      </c>
      <c r="N103" s="675">
        <v>0.3</v>
      </c>
      <c r="O103" s="2917">
        <f t="shared" si="59"/>
        <v>760</v>
      </c>
      <c r="P103" s="675">
        <v>0.3</v>
      </c>
      <c r="Q103" s="1754">
        <f t="shared" si="63"/>
        <v>228</v>
      </c>
      <c r="R103" s="1115"/>
      <c r="S103" s="1855">
        <f>ACIAR!T114</f>
        <v>206.17</v>
      </c>
      <c r="T103" s="1757">
        <f t="shared" si="60"/>
        <v>0.27127631578947364</v>
      </c>
      <c r="U103" s="3019"/>
      <c r="V103" s="591">
        <v>0</v>
      </c>
      <c r="W103" s="1756">
        <f t="shared" si="62"/>
        <v>61.850999999999992</v>
      </c>
      <c r="X103" s="1760"/>
    </row>
    <row r="104" spans="1:43" s="461" customFormat="1" ht="27.65" customHeight="1" x14ac:dyDescent="0.25">
      <c r="A104" s="3007"/>
      <c r="B104" s="595" t="s">
        <v>529</v>
      </c>
      <c r="C104" s="438" t="s">
        <v>47</v>
      </c>
      <c r="D104" s="467" t="s">
        <v>500</v>
      </c>
      <c r="E104" s="1065"/>
      <c r="F104" s="1065"/>
      <c r="G104" s="1065"/>
      <c r="H104" s="708">
        <v>1920</v>
      </c>
      <c r="I104" s="684">
        <v>0.5</v>
      </c>
      <c r="J104" s="2692"/>
      <c r="K104" s="2692"/>
      <c r="L104" s="2692"/>
      <c r="M104" s="1759">
        <v>1920</v>
      </c>
      <c r="N104" s="684">
        <v>0.5</v>
      </c>
      <c r="O104" s="2917">
        <f t="shared" si="59"/>
        <v>3840</v>
      </c>
      <c r="P104" s="684">
        <v>0.5</v>
      </c>
      <c r="Q104" s="1754">
        <f>+O104*P104</f>
        <v>1920</v>
      </c>
      <c r="R104" s="1115"/>
      <c r="S104" s="1855">
        <f>ACIAR!T116</f>
        <v>1850</v>
      </c>
      <c r="T104" s="1757">
        <f t="shared" si="60"/>
        <v>0.48177083333333331</v>
      </c>
      <c r="U104" s="1761" t="s">
        <v>1241</v>
      </c>
      <c r="V104" s="591">
        <f t="shared" si="61"/>
        <v>0.5</v>
      </c>
      <c r="W104" s="1756">
        <f>P104*S104</f>
        <v>925</v>
      </c>
      <c r="X104" s="1760"/>
    </row>
    <row r="105" spans="1:43" s="461" customFormat="1" ht="13.9" customHeight="1" x14ac:dyDescent="0.25">
      <c r="A105" s="3007"/>
      <c r="B105" s="595" t="s">
        <v>530</v>
      </c>
      <c r="C105" s="438" t="s">
        <v>47</v>
      </c>
      <c r="D105" s="467" t="s">
        <v>500</v>
      </c>
      <c r="E105" s="1065"/>
      <c r="F105" s="1065"/>
      <c r="G105" s="1065"/>
      <c r="H105" s="708">
        <v>0</v>
      </c>
      <c r="I105" s="675">
        <v>0.15</v>
      </c>
      <c r="J105" s="2692"/>
      <c r="K105" s="2692"/>
      <c r="L105" s="2692"/>
      <c r="M105" s="1759">
        <v>0</v>
      </c>
      <c r="N105" s="675">
        <v>0</v>
      </c>
      <c r="O105" s="2917">
        <f t="shared" si="59"/>
        <v>0</v>
      </c>
      <c r="P105" s="675">
        <v>0</v>
      </c>
      <c r="Q105" s="1754">
        <f>+O105*P105</f>
        <v>0</v>
      </c>
      <c r="R105" s="1115"/>
      <c r="S105" s="1855">
        <f>ACIAR!T117</f>
        <v>1106</v>
      </c>
      <c r="T105" s="1757">
        <v>0</v>
      </c>
      <c r="U105" s="1762"/>
      <c r="V105" s="591">
        <v>0</v>
      </c>
      <c r="W105" s="1756">
        <f t="shared" si="62"/>
        <v>0</v>
      </c>
      <c r="X105" s="1760"/>
    </row>
    <row r="106" spans="1:43" s="454" customFormat="1" ht="13.9" customHeight="1" x14ac:dyDescent="0.25">
      <c r="A106" s="3008"/>
      <c r="B106" s="711"/>
      <c r="C106" s="711"/>
      <c r="D106" s="897" t="s">
        <v>0</v>
      </c>
      <c r="E106" s="1073"/>
      <c r="F106" s="1073"/>
      <c r="G106" s="1073"/>
      <c r="H106" s="470">
        <f>SUM(H95:H105)</f>
        <v>30204</v>
      </c>
      <c r="I106" s="1076"/>
      <c r="J106" s="1107"/>
      <c r="K106" s="1107"/>
      <c r="L106" s="1107"/>
      <c r="M106" s="2865">
        <f>SUM(M95:M105)</f>
        <v>30204</v>
      </c>
      <c r="N106" s="1108"/>
      <c r="O106" s="1111">
        <f t="shared" ref="O106:R106" si="64">SUM(O95:O105)</f>
        <v>60408</v>
      </c>
      <c r="P106" s="1111">
        <f t="shared" si="64"/>
        <v>3.6999999999999993</v>
      </c>
      <c r="Q106" s="1111">
        <f t="shared" si="64"/>
        <v>23932</v>
      </c>
      <c r="R106" s="1111">
        <f t="shared" si="64"/>
        <v>0</v>
      </c>
      <c r="S106" s="1111">
        <f>SUM(S95:S105)</f>
        <v>29552.61</v>
      </c>
      <c r="T106" s="600">
        <f>S106/O106</f>
        <v>0.48921682558601509</v>
      </c>
      <c r="U106" s="711"/>
      <c r="V106" s="600">
        <f>W106/Q106</f>
        <v>0.39908837539695807</v>
      </c>
      <c r="W106" s="1111">
        <f>SUM(W95:W105)</f>
        <v>9550.9830000000002</v>
      </c>
      <c r="X106" s="1112"/>
    </row>
    <row r="107" spans="1:43" s="461" customFormat="1" ht="13.9" customHeight="1" x14ac:dyDescent="0.25">
      <c r="A107" s="3009" t="s">
        <v>43</v>
      </c>
      <c r="B107" s="3010"/>
      <c r="C107" s="1846"/>
      <c r="D107" s="903"/>
      <c r="E107" s="1116"/>
      <c r="F107" s="1116"/>
      <c r="G107" s="1116"/>
      <c r="H107" s="476">
        <f>H34+H50+H76+H94+H106</f>
        <v>554681</v>
      </c>
      <c r="I107" s="677"/>
      <c r="J107" s="1117"/>
      <c r="K107" s="1117"/>
      <c r="L107" s="1117"/>
      <c r="M107" s="2869">
        <f>M34+M50+M76+M94+M106</f>
        <v>450727</v>
      </c>
      <c r="N107" s="1118"/>
      <c r="O107" s="1122">
        <f t="shared" ref="O107:R107" si="65">O34+O50+O76+O94+O106</f>
        <v>1005408</v>
      </c>
      <c r="P107" s="1122">
        <f t="shared" si="65"/>
        <v>17.019999999999996</v>
      </c>
      <c r="Q107" s="1122">
        <f t="shared" si="65"/>
        <v>396023.5</v>
      </c>
      <c r="R107" s="1122">
        <f t="shared" si="65"/>
        <v>0</v>
      </c>
      <c r="S107" s="1122">
        <f>S34+S50+S76+S94+S106</f>
        <v>988187.89999999991</v>
      </c>
      <c r="T107" s="1120">
        <f>S107/O107</f>
        <v>0.98287252538273007</v>
      </c>
      <c r="U107" s="1121"/>
      <c r="V107" s="1056">
        <f>W107/Q107</f>
        <v>0.95687301309139483</v>
      </c>
      <c r="W107" s="1122">
        <f>W34+W50+W76+W94+W106</f>
        <v>378944.1997</v>
      </c>
      <c r="X107" s="1119"/>
    </row>
    <row r="108" spans="1:43" ht="13.9" customHeight="1" x14ac:dyDescent="0.25">
      <c r="A108" s="2991" t="s">
        <v>1225</v>
      </c>
      <c r="B108" s="2992"/>
      <c r="C108" s="2992"/>
      <c r="D108" s="2992"/>
      <c r="E108" s="2992"/>
      <c r="F108" s="2992"/>
      <c r="G108" s="2992"/>
      <c r="H108" s="2992"/>
      <c r="I108" s="2992"/>
      <c r="J108" s="2992"/>
      <c r="K108" s="2992"/>
      <c r="L108" s="2992"/>
      <c r="M108" s="2992"/>
      <c r="N108" s="2992"/>
      <c r="O108" s="2992"/>
      <c r="P108" s="2992"/>
      <c r="Q108" s="2992"/>
      <c r="R108" s="2992"/>
      <c r="S108" s="2992"/>
      <c r="T108" s="2992"/>
      <c r="U108" s="2992"/>
      <c r="V108" s="2992"/>
      <c r="W108" s="2992"/>
      <c r="X108" s="2993"/>
    </row>
    <row r="109" spans="1:43" ht="13.9" customHeight="1" x14ac:dyDescent="0.25">
      <c r="A109" s="3000" t="s">
        <v>1242</v>
      </c>
      <c r="B109" s="3001"/>
      <c r="C109" s="3001"/>
      <c r="D109" s="3001"/>
      <c r="E109" s="3001"/>
      <c r="F109" s="3001"/>
      <c r="G109" s="3001"/>
      <c r="H109" s="3001"/>
      <c r="I109" s="3001"/>
      <c r="J109" s="3001"/>
      <c r="K109" s="3001"/>
      <c r="L109" s="3001"/>
      <c r="M109" s="3001"/>
      <c r="N109" s="3001"/>
      <c r="O109" s="3001"/>
      <c r="P109" s="3001"/>
      <c r="Q109" s="3001"/>
      <c r="R109" s="3002"/>
      <c r="S109" s="1671"/>
      <c r="T109" s="1088"/>
      <c r="U109" s="893"/>
      <c r="V109" s="1103"/>
      <c r="W109" s="1104"/>
      <c r="X109" s="1105"/>
      <c r="Y109" s="448"/>
      <c r="Z109" s="448"/>
      <c r="AA109" s="448"/>
      <c r="AB109" s="448"/>
      <c r="AC109" s="448"/>
      <c r="AD109" s="448"/>
      <c r="AE109" s="448"/>
      <c r="AF109" s="448"/>
      <c r="AG109" s="448"/>
      <c r="AH109" s="448"/>
      <c r="AI109" s="448"/>
      <c r="AJ109" s="448"/>
      <c r="AK109" s="448"/>
      <c r="AL109" s="448"/>
      <c r="AM109" s="448"/>
      <c r="AN109" s="448"/>
      <c r="AO109" s="448"/>
      <c r="AP109" s="448"/>
      <c r="AQ109" s="448"/>
    </row>
    <row r="110" spans="1:43" s="450" customFormat="1" ht="82.9" customHeight="1" x14ac:dyDescent="0.25">
      <c r="A110" s="2994" t="s">
        <v>126</v>
      </c>
      <c r="B110" s="595" t="s">
        <v>110</v>
      </c>
      <c r="C110" s="266" t="s">
        <v>118</v>
      </c>
      <c r="D110" s="467" t="s">
        <v>100</v>
      </c>
      <c r="E110" s="710">
        <v>1</v>
      </c>
      <c r="F110" s="1752">
        <v>10000</v>
      </c>
      <c r="G110" s="437">
        <v>1</v>
      </c>
      <c r="H110" s="451">
        <f>UNHABITAT!H27</f>
        <v>10000</v>
      </c>
      <c r="I110" s="675">
        <v>0.2</v>
      </c>
      <c r="J110" s="676">
        <v>0</v>
      </c>
      <c r="K110" s="676">
        <v>0</v>
      </c>
      <c r="L110" s="676">
        <v>0</v>
      </c>
      <c r="M110" s="1834">
        <f>+J110*K110*L110</f>
        <v>0</v>
      </c>
      <c r="N110" s="675">
        <v>0</v>
      </c>
      <c r="O110" s="2918">
        <f t="shared" ref="O110:O117" si="66">+H110+M110</f>
        <v>10000</v>
      </c>
      <c r="P110" s="675">
        <v>0.2</v>
      </c>
      <c r="Q110" s="709">
        <f>P110*O110</f>
        <v>2000</v>
      </c>
      <c r="R110" s="1745" t="s">
        <v>119</v>
      </c>
      <c r="S110" s="452">
        <f>UNHABITAT!V27</f>
        <v>11055.57</v>
      </c>
      <c r="T110" s="591">
        <f>O110/H110</f>
        <v>1</v>
      </c>
      <c r="U110" s="595" t="s">
        <v>187</v>
      </c>
      <c r="V110" s="1763">
        <f>W110/Q110</f>
        <v>1.1055570000000001</v>
      </c>
      <c r="W110" s="1021">
        <f>P110*S110</f>
        <v>2211.114</v>
      </c>
      <c r="X110" s="266" t="s">
        <v>1106</v>
      </c>
    </row>
    <row r="111" spans="1:43" s="450" customFormat="1" ht="55.15" customHeight="1" x14ac:dyDescent="0.25">
      <c r="A111" s="2995"/>
      <c r="B111" s="595" t="s">
        <v>111</v>
      </c>
      <c r="C111" s="266" t="s">
        <v>15</v>
      </c>
      <c r="D111" s="467" t="s">
        <v>100</v>
      </c>
      <c r="E111" s="710">
        <v>1</v>
      </c>
      <c r="F111" s="1752">
        <v>30000</v>
      </c>
      <c r="G111" s="437">
        <v>1</v>
      </c>
      <c r="H111" s="451">
        <f t="shared" ref="H111:H117" si="67">+E111*F111*G111</f>
        <v>30000</v>
      </c>
      <c r="I111" s="675">
        <v>0.3</v>
      </c>
      <c r="J111" s="676">
        <v>0</v>
      </c>
      <c r="K111" s="676">
        <v>0</v>
      </c>
      <c r="L111" s="676">
        <v>0</v>
      </c>
      <c r="M111" s="1834">
        <f>+J111*K111*L111</f>
        <v>0</v>
      </c>
      <c r="N111" s="697">
        <v>0</v>
      </c>
      <c r="O111" s="696">
        <f t="shared" si="66"/>
        <v>30000</v>
      </c>
      <c r="P111" s="675">
        <v>0.3</v>
      </c>
      <c r="Q111" s="709">
        <f>P111*O111</f>
        <v>9000</v>
      </c>
      <c r="R111" s="1748"/>
      <c r="S111" s="452">
        <f>UNHABITAT!V28</f>
        <v>30556.58</v>
      </c>
      <c r="T111" s="591">
        <v>0</v>
      </c>
      <c r="U111" s="595" t="s">
        <v>193</v>
      </c>
      <c r="V111" s="1763">
        <f t="shared" ref="V111:V117" si="68">W111/Q111</f>
        <v>1.0185526666666667</v>
      </c>
      <c r="W111" s="1021">
        <f t="shared" ref="W111:W117" si="69">P111*S111</f>
        <v>9166.9740000000002</v>
      </c>
      <c r="X111" s="266" t="s">
        <v>193</v>
      </c>
    </row>
    <row r="112" spans="1:43" s="450" customFormat="1" ht="67.900000000000006" customHeight="1" x14ac:dyDescent="0.25">
      <c r="A112" s="2995"/>
      <c r="B112" s="595" t="s">
        <v>112</v>
      </c>
      <c r="C112" s="266" t="s">
        <v>15</v>
      </c>
      <c r="D112" s="467" t="s">
        <v>100</v>
      </c>
      <c r="E112" s="710">
        <v>1</v>
      </c>
      <c r="F112" s="1752">
        <v>10000</v>
      </c>
      <c r="G112" s="437">
        <v>1</v>
      </c>
      <c r="H112" s="451">
        <f t="shared" si="67"/>
        <v>10000</v>
      </c>
      <c r="I112" s="675">
        <v>0.05</v>
      </c>
      <c r="J112" s="676">
        <v>0</v>
      </c>
      <c r="K112" s="676">
        <v>0</v>
      </c>
      <c r="L112" s="676">
        <v>0</v>
      </c>
      <c r="M112" s="1834">
        <f>+J112*K112*L112</f>
        <v>0</v>
      </c>
      <c r="N112" s="697">
        <v>0</v>
      </c>
      <c r="O112" s="696">
        <f t="shared" si="66"/>
        <v>10000</v>
      </c>
      <c r="P112" s="675">
        <v>0.05</v>
      </c>
      <c r="Q112" s="709">
        <f t="shared" ref="Q112:Q117" si="70">P112*O112</f>
        <v>500</v>
      </c>
      <c r="R112" s="541"/>
      <c r="S112" s="452">
        <f>UNHABITAT!V29</f>
        <v>10115</v>
      </c>
      <c r="T112" s="591">
        <f>O112/H112</f>
        <v>1</v>
      </c>
      <c r="U112" s="595" t="s">
        <v>188</v>
      </c>
      <c r="V112" s="1763">
        <f t="shared" si="68"/>
        <v>1.0115000000000001</v>
      </c>
      <c r="W112" s="1021">
        <f t="shared" si="69"/>
        <v>505.75</v>
      </c>
      <c r="X112" s="266" t="s">
        <v>1107</v>
      </c>
    </row>
    <row r="113" spans="1:24" s="450" customFormat="1" ht="55.15" customHeight="1" x14ac:dyDescent="0.25">
      <c r="A113" s="2995"/>
      <c r="B113" s="595" t="s">
        <v>113</v>
      </c>
      <c r="C113" s="266" t="s">
        <v>15</v>
      </c>
      <c r="D113" s="467" t="s">
        <v>100</v>
      </c>
      <c r="E113" s="710">
        <v>1</v>
      </c>
      <c r="F113" s="1752">
        <v>10000</v>
      </c>
      <c r="G113" s="437">
        <v>1</v>
      </c>
      <c r="H113" s="451">
        <f t="shared" si="67"/>
        <v>10000</v>
      </c>
      <c r="I113" s="675">
        <v>0.3</v>
      </c>
      <c r="J113" s="676">
        <v>1</v>
      </c>
      <c r="K113" s="676">
        <v>10000</v>
      </c>
      <c r="L113" s="676">
        <v>1</v>
      </c>
      <c r="M113" s="1834">
        <f>+J113*K113*L113</f>
        <v>10000</v>
      </c>
      <c r="N113" s="697">
        <v>0.3</v>
      </c>
      <c r="O113" s="696">
        <f t="shared" si="66"/>
        <v>20000</v>
      </c>
      <c r="P113" s="675">
        <v>0.3</v>
      </c>
      <c r="Q113" s="709">
        <f>P113*O113</f>
        <v>6000</v>
      </c>
      <c r="R113" s="1764"/>
      <c r="S113" s="452">
        <f>UNHABITAT!V30</f>
        <v>20903.04</v>
      </c>
      <c r="T113" s="591">
        <f t="shared" ref="T113:T116" si="71">O113/H113</f>
        <v>2</v>
      </c>
      <c r="U113" s="595" t="s">
        <v>714</v>
      </c>
      <c r="V113" s="1763">
        <f t="shared" si="68"/>
        <v>1.0451520000000001</v>
      </c>
      <c r="W113" s="1021">
        <f t="shared" si="69"/>
        <v>6270.9120000000003</v>
      </c>
      <c r="X113" s="266" t="s">
        <v>1108</v>
      </c>
    </row>
    <row r="114" spans="1:24" s="450" customFormat="1" ht="41.5" customHeight="1" x14ac:dyDescent="0.25">
      <c r="A114" s="2995"/>
      <c r="B114" s="595" t="s">
        <v>114</v>
      </c>
      <c r="C114" s="266" t="s">
        <v>15</v>
      </c>
      <c r="D114" s="467" t="s">
        <v>100</v>
      </c>
      <c r="E114" s="710">
        <v>1</v>
      </c>
      <c r="F114" s="1752">
        <v>7500</v>
      </c>
      <c r="G114" s="437">
        <v>2</v>
      </c>
      <c r="H114" s="451">
        <f t="shared" si="67"/>
        <v>15000</v>
      </c>
      <c r="I114" s="675">
        <v>0.3</v>
      </c>
      <c r="J114" s="676">
        <v>0</v>
      </c>
      <c r="K114" s="676">
        <v>0</v>
      </c>
      <c r="L114" s="676">
        <v>0</v>
      </c>
      <c r="M114" s="1834">
        <v>0</v>
      </c>
      <c r="N114" s="675">
        <v>0</v>
      </c>
      <c r="O114" s="696">
        <f t="shared" si="66"/>
        <v>15000</v>
      </c>
      <c r="P114" s="675">
        <v>0.3</v>
      </c>
      <c r="Q114" s="709">
        <f t="shared" si="70"/>
        <v>4500</v>
      </c>
      <c r="R114" s="541"/>
      <c r="S114" s="452">
        <f>UNHABITAT!V31</f>
        <v>15141.92</v>
      </c>
      <c r="T114" s="591">
        <v>0</v>
      </c>
      <c r="U114" s="595" t="s">
        <v>193</v>
      </c>
      <c r="V114" s="1763">
        <f t="shared" si="68"/>
        <v>1.0094613333333333</v>
      </c>
      <c r="W114" s="1021">
        <f t="shared" si="69"/>
        <v>4542.576</v>
      </c>
      <c r="X114" s="266" t="s">
        <v>193</v>
      </c>
    </row>
    <row r="115" spans="1:24" s="450" customFormat="1" ht="41.5" customHeight="1" x14ac:dyDescent="0.25">
      <c r="A115" s="2995"/>
      <c r="B115" s="595" t="s">
        <v>115</v>
      </c>
      <c r="C115" s="266" t="s">
        <v>15</v>
      </c>
      <c r="D115" s="467" t="s">
        <v>100</v>
      </c>
      <c r="E115" s="710">
        <v>1</v>
      </c>
      <c r="F115" s="1752">
        <v>10000</v>
      </c>
      <c r="G115" s="437">
        <v>1</v>
      </c>
      <c r="H115" s="451">
        <f t="shared" si="67"/>
        <v>10000</v>
      </c>
      <c r="I115" s="675">
        <v>0.3</v>
      </c>
      <c r="J115" s="676">
        <v>0</v>
      </c>
      <c r="K115" s="676">
        <v>0</v>
      </c>
      <c r="L115" s="676">
        <v>0</v>
      </c>
      <c r="M115" s="1834">
        <v>0</v>
      </c>
      <c r="N115" s="697">
        <v>0</v>
      </c>
      <c r="O115" s="696">
        <f t="shared" si="66"/>
        <v>10000</v>
      </c>
      <c r="P115" s="675">
        <v>0.3</v>
      </c>
      <c r="Q115" s="709">
        <f t="shared" si="70"/>
        <v>3000</v>
      </c>
      <c r="R115" s="541"/>
      <c r="S115" s="452">
        <f>UNHABITAT!V32</f>
        <v>10100</v>
      </c>
      <c r="T115" s="591">
        <f t="shared" si="71"/>
        <v>1</v>
      </c>
      <c r="U115" s="595" t="s">
        <v>713</v>
      </c>
      <c r="V115" s="1763">
        <f t="shared" si="68"/>
        <v>1.01</v>
      </c>
      <c r="W115" s="1021">
        <f t="shared" si="69"/>
        <v>3030</v>
      </c>
      <c r="X115" s="266" t="s">
        <v>713</v>
      </c>
    </row>
    <row r="116" spans="1:24" s="450" customFormat="1" ht="69" customHeight="1" x14ac:dyDescent="0.25">
      <c r="A116" s="2995"/>
      <c r="B116" s="595" t="s">
        <v>116</v>
      </c>
      <c r="C116" s="266" t="s">
        <v>48</v>
      </c>
      <c r="D116" s="467" t="s">
        <v>100</v>
      </c>
      <c r="E116" s="710">
        <v>1</v>
      </c>
      <c r="F116" s="1752">
        <v>3000</v>
      </c>
      <c r="G116" s="437">
        <v>2</v>
      </c>
      <c r="H116" s="451">
        <f t="shared" si="67"/>
        <v>6000</v>
      </c>
      <c r="I116" s="675">
        <v>0.3</v>
      </c>
      <c r="J116" s="676">
        <v>1</v>
      </c>
      <c r="K116" s="676">
        <v>3000</v>
      </c>
      <c r="L116" s="676">
        <v>2</v>
      </c>
      <c r="M116" s="1834">
        <f>+J116*K116*L116</f>
        <v>6000</v>
      </c>
      <c r="N116" s="697">
        <v>0.3</v>
      </c>
      <c r="O116" s="696">
        <f t="shared" si="66"/>
        <v>12000</v>
      </c>
      <c r="P116" s="675">
        <v>0.3</v>
      </c>
      <c r="Q116" s="709">
        <f>P116*O116</f>
        <v>3600</v>
      </c>
      <c r="R116" s="1745" t="s">
        <v>135</v>
      </c>
      <c r="S116" s="452">
        <f>UNHABITAT!V33</f>
        <v>12000</v>
      </c>
      <c r="T116" s="591">
        <f t="shared" si="71"/>
        <v>2</v>
      </c>
      <c r="U116" s="595" t="s">
        <v>715</v>
      </c>
      <c r="V116" s="1763">
        <f t="shared" si="68"/>
        <v>1</v>
      </c>
      <c r="W116" s="1021">
        <f>P116*S116</f>
        <v>3600</v>
      </c>
      <c r="X116" s="266" t="s">
        <v>715</v>
      </c>
    </row>
    <row r="117" spans="1:24" s="450" customFormat="1" ht="96.65" customHeight="1" x14ac:dyDescent="0.25">
      <c r="A117" s="2995"/>
      <c r="B117" s="595" t="s">
        <v>117</v>
      </c>
      <c r="C117" s="266" t="s">
        <v>118</v>
      </c>
      <c r="D117" s="467" t="s">
        <v>100</v>
      </c>
      <c r="E117" s="710">
        <v>1</v>
      </c>
      <c r="F117" s="1752">
        <v>35000</v>
      </c>
      <c r="G117" s="437">
        <v>1</v>
      </c>
      <c r="H117" s="451">
        <f t="shared" si="67"/>
        <v>35000</v>
      </c>
      <c r="I117" s="675">
        <v>0.3</v>
      </c>
      <c r="J117" s="676">
        <v>0</v>
      </c>
      <c r="K117" s="676">
        <v>0</v>
      </c>
      <c r="L117" s="676">
        <v>0</v>
      </c>
      <c r="M117" s="1834">
        <v>0</v>
      </c>
      <c r="N117" s="675">
        <v>0</v>
      </c>
      <c r="O117" s="696">
        <f t="shared" si="66"/>
        <v>35000</v>
      </c>
      <c r="P117" s="675">
        <v>0.3</v>
      </c>
      <c r="Q117" s="709">
        <f t="shared" si="70"/>
        <v>10500</v>
      </c>
      <c r="R117" s="1745" t="s">
        <v>121</v>
      </c>
      <c r="S117" s="452">
        <f>UNHABITAT!V34</f>
        <v>38667.42</v>
      </c>
      <c r="T117" s="591">
        <v>0</v>
      </c>
      <c r="U117" s="595" t="s">
        <v>193</v>
      </c>
      <c r="V117" s="1763">
        <f t="shared" si="68"/>
        <v>1.1047834285714284</v>
      </c>
      <c r="W117" s="1021">
        <f t="shared" si="69"/>
        <v>11600.225999999999</v>
      </c>
      <c r="X117" s="266" t="s">
        <v>193</v>
      </c>
    </row>
    <row r="118" spans="1:24" s="454" customFormat="1" ht="13.9" customHeight="1" x14ac:dyDescent="0.25">
      <c r="A118" s="2996"/>
      <c r="B118" s="711"/>
      <c r="C118" s="711"/>
      <c r="D118" s="897" t="s">
        <v>0</v>
      </c>
      <c r="E118" s="1073"/>
      <c r="F118" s="1073"/>
      <c r="G118" s="1073"/>
      <c r="H118" s="470">
        <f>SUM(H110:H117)</f>
        <v>126000</v>
      </c>
      <c r="I118" s="1076"/>
      <c r="J118" s="1107"/>
      <c r="K118" s="1107"/>
      <c r="L118" s="1107"/>
      <c r="M118" s="2865">
        <f>SUM(M110:M117)</f>
        <v>16000</v>
      </c>
      <c r="N118" s="1108"/>
      <c r="O118" s="1111">
        <f t="shared" ref="O118:R118" si="72">SUM(O110:O117)</f>
        <v>142000</v>
      </c>
      <c r="P118" s="1111">
        <f t="shared" si="72"/>
        <v>2.0500000000000003</v>
      </c>
      <c r="Q118" s="1111">
        <f t="shared" si="72"/>
        <v>39100</v>
      </c>
      <c r="R118" s="1111">
        <f t="shared" si="72"/>
        <v>0</v>
      </c>
      <c r="S118" s="1111">
        <f>SUM(S110:S117)</f>
        <v>148539.53</v>
      </c>
      <c r="T118" s="600">
        <f>S118/O118</f>
        <v>1.0460530281690141</v>
      </c>
      <c r="U118" s="711"/>
      <c r="V118" s="600">
        <f>W118/Q118</f>
        <v>1.0467404603580561</v>
      </c>
      <c r="W118" s="1111">
        <f>SUM(W110:W117)</f>
        <v>40927.551999999996</v>
      </c>
      <c r="X118" s="1112"/>
    </row>
    <row r="119" spans="1:24" s="450" customFormat="1" ht="86.5" customHeight="1" x14ac:dyDescent="0.25">
      <c r="A119" s="2994" t="s">
        <v>122</v>
      </c>
      <c r="B119" s="595" t="s">
        <v>123</v>
      </c>
      <c r="C119" s="266" t="s">
        <v>48</v>
      </c>
      <c r="D119" s="467" t="s">
        <v>100</v>
      </c>
      <c r="E119" s="710">
        <v>1</v>
      </c>
      <c r="F119" s="1752">
        <v>1500</v>
      </c>
      <c r="G119" s="437">
        <v>7</v>
      </c>
      <c r="H119" s="451">
        <f>E119*F119*G119</f>
        <v>10500</v>
      </c>
      <c r="I119" s="675">
        <v>0.3</v>
      </c>
      <c r="J119" s="696">
        <v>1</v>
      </c>
      <c r="K119" s="696">
        <v>1500</v>
      </c>
      <c r="L119" s="696">
        <v>7</v>
      </c>
      <c r="M119" s="2883">
        <f>+J119*K119*L119</f>
        <v>10500</v>
      </c>
      <c r="N119" s="601">
        <v>0.3</v>
      </c>
      <c r="O119" s="696">
        <f>+H119+M119</f>
        <v>21000</v>
      </c>
      <c r="P119" s="599">
        <v>0.3</v>
      </c>
      <c r="Q119" s="1020">
        <f>P119*O119</f>
        <v>6300</v>
      </c>
      <c r="R119" s="1745" t="s">
        <v>120</v>
      </c>
      <c r="S119" s="706">
        <f>UNHABITAT!V36</f>
        <v>20829.55</v>
      </c>
      <c r="T119" s="591">
        <f>S119/O119</f>
        <v>0.99188333333333334</v>
      </c>
      <c r="U119" s="595" t="s">
        <v>189</v>
      </c>
      <c r="V119" s="1064">
        <f>W119/Q119</f>
        <v>0.99188333333333334</v>
      </c>
      <c r="W119" s="1021">
        <f>P119*S119</f>
        <v>6248.8649999999998</v>
      </c>
      <c r="X119" s="266" t="s">
        <v>561</v>
      </c>
    </row>
    <row r="120" spans="1:24" s="450" customFormat="1" ht="76.150000000000006" customHeight="1" x14ac:dyDescent="0.25">
      <c r="A120" s="2995"/>
      <c r="B120" s="595" t="s">
        <v>124</v>
      </c>
      <c r="C120" s="266" t="s">
        <v>15</v>
      </c>
      <c r="D120" s="467" t="s">
        <v>100</v>
      </c>
      <c r="E120" s="710">
        <v>1</v>
      </c>
      <c r="F120" s="1752">
        <v>7500</v>
      </c>
      <c r="G120" s="437">
        <v>1</v>
      </c>
      <c r="H120" s="451">
        <f>E120*F120*G120</f>
        <v>7500</v>
      </c>
      <c r="I120" s="675">
        <v>0.3</v>
      </c>
      <c r="J120" s="451">
        <v>1</v>
      </c>
      <c r="K120" s="451">
        <v>7500</v>
      </c>
      <c r="L120" s="451">
        <v>1</v>
      </c>
      <c r="M120" s="1834">
        <f>J120*K120*L120</f>
        <v>7500</v>
      </c>
      <c r="N120" s="697">
        <v>0.3</v>
      </c>
      <c r="O120" s="696">
        <f>H120+M120</f>
        <v>15000</v>
      </c>
      <c r="P120" s="675">
        <v>0.3</v>
      </c>
      <c r="Q120" s="709">
        <f>P120*O120</f>
        <v>4500</v>
      </c>
      <c r="R120" s="541"/>
      <c r="S120" s="706">
        <f>UNHABITAT!V37</f>
        <v>15114.65</v>
      </c>
      <c r="T120" s="591">
        <f t="shared" ref="T120:T125" si="73">S120/O120</f>
        <v>1.0076433333333332</v>
      </c>
      <c r="U120" s="595" t="s">
        <v>190</v>
      </c>
      <c r="V120" s="1064">
        <f t="shared" ref="V120:V126" si="74">W120/Q120</f>
        <v>1.0076433333333332</v>
      </c>
      <c r="W120" s="1021">
        <f t="shared" ref="W120:W126" si="75">P120*S120</f>
        <v>4534.3949999999995</v>
      </c>
      <c r="X120" s="266" t="s">
        <v>559</v>
      </c>
    </row>
    <row r="121" spans="1:24" s="450" customFormat="1" ht="69" customHeight="1" x14ac:dyDescent="0.25">
      <c r="A121" s="2995"/>
      <c r="B121" s="595" t="s">
        <v>125</v>
      </c>
      <c r="C121" s="266" t="s">
        <v>15</v>
      </c>
      <c r="D121" s="467" t="s">
        <v>100</v>
      </c>
      <c r="E121" s="710">
        <v>1</v>
      </c>
      <c r="F121" s="1752">
        <v>7500</v>
      </c>
      <c r="G121" s="437">
        <v>1</v>
      </c>
      <c r="H121" s="451">
        <f>E121*F121*G121</f>
        <v>7500</v>
      </c>
      <c r="I121" s="675">
        <v>0.3</v>
      </c>
      <c r="J121" s="451">
        <v>1</v>
      </c>
      <c r="K121" s="451">
        <v>7500</v>
      </c>
      <c r="L121" s="451">
        <v>1</v>
      </c>
      <c r="M121" s="1834">
        <f>J121*K121*L121</f>
        <v>7500</v>
      </c>
      <c r="N121" s="697">
        <v>0.3</v>
      </c>
      <c r="O121" s="696">
        <f>H121+M121</f>
        <v>15000</v>
      </c>
      <c r="P121" s="675">
        <v>0.3</v>
      </c>
      <c r="Q121" s="709">
        <f>P121*O121</f>
        <v>4500</v>
      </c>
      <c r="R121" s="541"/>
      <c r="S121" s="706">
        <f>UNHABITAT!V38</f>
        <v>15000</v>
      </c>
      <c r="T121" s="591">
        <f>S121/O121</f>
        <v>1</v>
      </c>
      <c r="U121" s="595" t="s">
        <v>553</v>
      </c>
      <c r="V121" s="1064">
        <f t="shared" si="74"/>
        <v>1</v>
      </c>
      <c r="W121" s="1021">
        <f t="shared" si="75"/>
        <v>4500</v>
      </c>
      <c r="X121" s="266" t="s">
        <v>560</v>
      </c>
    </row>
    <row r="122" spans="1:24" s="454" customFormat="1" ht="13.9" customHeight="1" x14ac:dyDescent="0.25">
      <c r="A122" s="2996"/>
      <c r="B122" s="711"/>
      <c r="C122" s="711"/>
      <c r="D122" s="897" t="s">
        <v>0</v>
      </c>
      <c r="E122" s="1073"/>
      <c r="F122" s="1073"/>
      <c r="G122" s="1073"/>
      <c r="H122" s="470">
        <f>SUM(H119:H121)</f>
        <v>25500</v>
      </c>
      <c r="I122" s="1076"/>
      <c r="J122" s="1107"/>
      <c r="K122" s="1107"/>
      <c r="L122" s="1107"/>
      <c r="M122" s="2865">
        <f>SUM(M119:M121)</f>
        <v>25500</v>
      </c>
      <c r="N122" s="1108"/>
      <c r="O122" s="1111">
        <f t="shared" ref="O122:R122" si="76">SUM(O119:O121)</f>
        <v>51000</v>
      </c>
      <c r="P122" s="1111">
        <f t="shared" si="76"/>
        <v>0.89999999999999991</v>
      </c>
      <c r="Q122" s="1111">
        <f t="shared" si="76"/>
        <v>15300</v>
      </c>
      <c r="R122" s="1111">
        <f t="shared" si="76"/>
        <v>0</v>
      </c>
      <c r="S122" s="1111">
        <f>SUM(S119:S121)</f>
        <v>50944.2</v>
      </c>
      <c r="T122" s="600">
        <f>S122/O122</f>
        <v>0.99890588235294109</v>
      </c>
      <c r="U122" s="711"/>
      <c r="V122" s="600">
        <f>W122/Q122</f>
        <v>0.99890588235294109</v>
      </c>
      <c r="W122" s="1111">
        <f>SUM(W119:W121)</f>
        <v>15283.259999999998</v>
      </c>
      <c r="X122" s="1112"/>
    </row>
    <row r="123" spans="1:24" s="450" customFormat="1" ht="55.15" customHeight="1" x14ac:dyDescent="0.25">
      <c r="A123" s="2994" t="s">
        <v>129</v>
      </c>
      <c r="B123" s="595" t="s">
        <v>130</v>
      </c>
      <c r="C123" s="266" t="s">
        <v>15</v>
      </c>
      <c r="D123" s="467" t="s">
        <v>100</v>
      </c>
      <c r="E123" s="2976">
        <v>0</v>
      </c>
      <c r="F123" s="1765">
        <v>0</v>
      </c>
      <c r="G123" s="1765">
        <v>0</v>
      </c>
      <c r="H123" s="722">
        <v>0</v>
      </c>
      <c r="I123" s="675">
        <v>0</v>
      </c>
      <c r="J123" s="451">
        <v>1</v>
      </c>
      <c r="K123" s="1766">
        <f>(1021+1680)-117+8</f>
        <v>2592</v>
      </c>
      <c r="L123" s="451">
        <v>1</v>
      </c>
      <c r="M123" s="1834">
        <f>J123*K123*L123</f>
        <v>2592</v>
      </c>
      <c r="N123" s="697">
        <v>0.3</v>
      </c>
      <c r="O123" s="696">
        <f>H124+M123</f>
        <v>2592</v>
      </c>
      <c r="P123" s="675">
        <v>0.3</v>
      </c>
      <c r="Q123" s="709">
        <f>P123*O123</f>
        <v>777.6</v>
      </c>
      <c r="R123" s="1767"/>
      <c r="S123" s="452">
        <f>UNHABITAT!V40</f>
        <v>2595.6999999999998</v>
      </c>
      <c r="T123" s="591">
        <f t="shared" si="73"/>
        <v>1.0014274691358025</v>
      </c>
      <c r="U123" s="595" t="s">
        <v>136</v>
      </c>
      <c r="V123" s="1064">
        <f t="shared" si="74"/>
        <v>1.0014274691358023</v>
      </c>
      <c r="W123" s="1021">
        <f t="shared" si="75"/>
        <v>778.70999999999992</v>
      </c>
      <c r="X123" s="266" t="s">
        <v>1377</v>
      </c>
    </row>
    <row r="124" spans="1:24" s="450" customFormat="1" ht="69" customHeight="1" x14ac:dyDescent="0.25">
      <c r="A124" s="2995"/>
      <c r="B124" s="595" t="s">
        <v>131</v>
      </c>
      <c r="C124" s="266" t="s">
        <v>48</v>
      </c>
      <c r="D124" s="467" t="s">
        <v>100</v>
      </c>
      <c r="E124" s="2976">
        <v>0</v>
      </c>
      <c r="F124" s="1765">
        <v>0</v>
      </c>
      <c r="G124" s="1765">
        <v>0</v>
      </c>
      <c r="H124" s="722">
        <v>0</v>
      </c>
      <c r="I124" s="714">
        <v>0</v>
      </c>
      <c r="J124" s="451">
        <v>1</v>
      </c>
      <c r="K124" s="451">
        <v>20000</v>
      </c>
      <c r="L124" s="451">
        <v>1</v>
      </c>
      <c r="M124" s="1834">
        <f>J124*K124*L124</f>
        <v>20000</v>
      </c>
      <c r="N124" s="697">
        <v>0.3</v>
      </c>
      <c r="O124" s="696">
        <f>H125+M124</f>
        <v>20000</v>
      </c>
      <c r="P124" s="675">
        <v>0.3</v>
      </c>
      <c r="Q124" s="709">
        <f>P124*O124</f>
        <v>6000</v>
      </c>
      <c r="R124" s="1768" t="s">
        <v>183</v>
      </c>
      <c r="S124" s="452">
        <f>UNHABITAT!V41</f>
        <v>20196.97</v>
      </c>
      <c r="T124" s="591">
        <f t="shared" si="73"/>
        <v>1.0098485000000001</v>
      </c>
      <c r="U124" s="595" t="s">
        <v>136</v>
      </c>
      <c r="V124" s="1064">
        <f t="shared" si="74"/>
        <v>1.0098485000000001</v>
      </c>
      <c r="W124" s="1021">
        <f t="shared" si="75"/>
        <v>6059.0910000000003</v>
      </c>
      <c r="X124" s="266" t="s">
        <v>1129</v>
      </c>
    </row>
    <row r="125" spans="1:24" s="450" customFormat="1" ht="27.65" customHeight="1" x14ac:dyDescent="0.25">
      <c r="A125" s="2995"/>
      <c r="B125" s="595" t="s">
        <v>132</v>
      </c>
      <c r="C125" s="266" t="s">
        <v>15</v>
      </c>
      <c r="D125" s="467" t="s">
        <v>100</v>
      </c>
      <c r="E125" s="2976">
        <v>0</v>
      </c>
      <c r="F125" s="1765">
        <v>0</v>
      </c>
      <c r="G125" s="1765">
        <v>0</v>
      </c>
      <c r="H125" s="722">
        <v>0</v>
      </c>
      <c r="I125" s="714">
        <v>0</v>
      </c>
      <c r="J125" s="451">
        <v>1</v>
      </c>
      <c r="K125" s="451">
        <v>500</v>
      </c>
      <c r="L125" s="451">
        <v>160</v>
      </c>
      <c r="M125" s="1834">
        <f>J125*K125*L125</f>
        <v>80000</v>
      </c>
      <c r="N125" s="697">
        <v>0.4</v>
      </c>
      <c r="O125" s="696">
        <f>H125+M125</f>
        <v>80000</v>
      </c>
      <c r="P125" s="675">
        <v>0.4</v>
      </c>
      <c r="Q125" s="709">
        <f>P125*O125</f>
        <v>32000</v>
      </c>
      <c r="R125" s="1767"/>
      <c r="S125" s="452">
        <f>UNHABITAT!V42</f>
        <v>80603.03</v>
      </c>
      <c r="T125" s="591">
        <f t="shared" si="73"/>
        <v>1.0075378749999999</v>
      </c>
      <c r="U125" s="595" t="s">
        <v>136</v>
      </c>
      <c r="V125" s="1064">
        <f t="shared" si="74"/>
        <v>1.0075378749999999</v>
      </c>
      <c r="W125" s="1021">
        <f t="shared" si="75"/>
        <v>32241.212</v>
      </c>
      <c r="X125" s="266" t="s">
        <v>1129</v>
      </c>
    </row>
    <row r="126" spans="1:24" s="450" customFormat="1" ht="55.15" customHeight="1" x14ac:dyDescent="0.25">
      <c r="A126" s="2995"/>
      <c r="B126" s="595" t="s">
        <v>133</v>
      </c>
      <c r="C126" s="266" t="s">
        <v>15</v>
      </c>
      <c r="D126" s="467" t="s">
        <v>100</v>
      </c>
      <c r="E126" s="2976">
        <v>0</v>
      </c>
      <c r="F126" s="1765">
        <v>0</v>
      </c>
      <c r="G126" s="1765">
        <v>0</v>
      </c>
      <c r="H126" s="722">
        <v>0</v>
      </c>
      <c r="I126" s="714">
        <v>0</v>
      </c>
      <c r="J126" s="451">
        <v>1</v>
      </c>
      <c r="K126" s="451">
        <v>500</v>
      </c>
      <c r="L126" s="451">
        <v>14</v>
      </c>
      <c r="M126" s="1834">
        <f>J126*K126*L126</f>
        <v>7000</v>
      </c>
      <c r="N126" s="697">
        <v>0.4</v>
      </c>
      <c r="O126" s="696">
        <f>H126+M126</f>
        <v>7000</v>
      </c>
      <c r="P126" s="675">
        <v>0.4</v>
      </c>
      <c r="Q126" s="709">
        <f>P126*O126</f>
        <v>2800</v>
      </c>
      <c r="R126" s="1767"/>
      <c r="S126" s="452">
        <f>UNHABITAT!V43</f>
        <v>7066.97</v>
      </c>
      <c r="T126" s="591">
        <f>S126/O126</f>
        <v>1.0095671428571429</v>
      </c>
      <c r="U126" s="595" t="s">
        <v>136</v>
      </c>
      <c r="V126" s="1064">
        <f t="shared" si="74"/>
        <v>1.0095671428571431</v>
      </c>
      <c r="W126" s="1021">
        <f t="shared" si="75"/>
        <v>2826.7880000000005</v>
      </c>
      <c r="X126" s="266" t="s">
        <v>1377</v>
      </c>
    </row>
    <row r="127" spans="1:24" s="454" customFormat="1" ht="13.9" customHeight="1" x14ac:dyDescent="0.25">
      <c r="A127" s="2996"/>
      <c r="B127" s="711"/>
      <c r="C127" s="711"/>
      <c r="D127" s="897" t="s">
        <v>0</v>
      </c>
      <c r="E127" s="1073"/>
      <c r="F127" s="1073"/>
      <c r="G127" s="1073"/>
      <c r="H127" s="470">
        <f>SUM(H123:H126)</f>
        <v>0</v>
      </c>
      <c r="I127" s="1076"/>
      <c r="J127" s="1107"/>
      <c r="K127" s="1107"/>
      <c r="L127" s="1107"/>
      <c r="M127" s="2865">
        <f>SUM(M123:M126)</f>
        <v>109592</v>
      </c>
      <c r="N127" s="1108"/>
      <c r="O127" s="1111">
        <f>SUM(O123:O126)</f>
        <v>109592</v>
      </c>
      <c r="P127" s="1111">
        <f t="shared" ref="P127:R127" si="77">SUM(P123:P126)</f>
        <v>1.4</v>
      </c>
      <c r="Q127" s="1111">
        <f t="shared" si="77"/>
        <v>41577.599999999999</v>
      </c>
      <c r="R127" s="1111">
        <f t="shared" si="77"/>
        <v>0</v>
      </c>
      <c r="S127" s="1111">
        <f>SUM(S123:S126)</f>
        <v>110462.67</v>
      </c>
      <c r="T127" s="600">
        <f>S127/O127</f>
        <v>1.0079446492444704</v>
      </c>
      <c r="U127" s="711"/>
      <c r="V127" s="600">
        <f>W127/Q127</f>
        <v>1.0078936975679211</v>
      </c>
      <c r="W127" s="1111">
        <f>SUM(W123:W126)</f>
        <v>41905.800999999999</v>
      </c>
      <c r="X127" s="1112"/>
    </row>
    <row r="128" spans="1:24" s="461" customFormat="1" ht="13.9" customHeight="1" x14ac:dyDescent="0.25">
      <c r="A128" s="3009" t="s">
        <v>456</v>
      </c>
      <c r="B128" s="3010"/>
      <c r="C128" s="1846"/>
      <c r="D128" s="903"/>
      <c r="E128" s="1116"/>
      <c r="F128" s="1116"/>
      <c r="G128" s="1116"/>
      <c r="H128" s="476">
        <f>H118+H122+H127</f>
        <v>151500</v>
      </c>
      <c r="I128" s="677"/>
      <c r="J128" s="1117"/>
      <c r="K128" s="1117"/>
      <c r="L128" s="1117"/>
      <c r="M128" s="2869">
        <f>M118+M122+M127</f>
        <v>151092</v>
      </c>
      <c r="N128" s="1118"/>
      <c r="O128" s="1122">
        <f>O118+O122+O127</f>
        <v>302592</v>
      </c>
      <c r="P128" s="1122">
        <f t="shared" ref="P128:R128" si="78">P118+P122+P127</f>
        <v>4.3499999999999996</v>
      </c>
      <c r="Q128" s="1122">
        <f t="shared" si="78"/>
        <v>95977.600000000006</v>
      </c>
      <c r="R128" s="1122">
        <f t="shared" si="78"/>
        <v>0</v>
      </c>
      <c r="S128" s="1122">
        <f>S118+S122+S127</f>
        <v>309946.39999999997</v>
      </c>
      <c r="T128" s="1120">
        <f>S128/O128</f>
        <v>1.0243046742808797</v>
      </c>
      <c r="U128" s="1121"/>
      <c r="V128" s="1120">
        <f>W128/Q128</f>
        <v>1.0222865856199777</v>
      </c>
      <c r="W128" s="1122">
        <f>W118+W122+W127</f>
        <v>98116.612999999983</v>
      </c>
      <c r="X128" s="1119"/>
    </row>
    <row r="129" spans="1:43" ht="13.9" customHeight="1" x14ac:dyDescent="0.25">
      <c r="A129" s="2991" t="s">
        <v>457</v>
      </c>
      <c r="B129" s="2992"/>
      <c r="C129" s="2992"/>
      <c r="D129" s="2992"/>
      <c r="E129" s="2992"/>
      <c r="F129" s="2992"/>
      <c r="G129" s="2992"/>
      <c r="H129" s="2992"/>
      <c r="I129" s="2992"/>
      <c r="J129" s="2992"/>
      <c r="K129" s="2992"/>
      <c r="L129" s="2992"/>
      <c r="M129" s="2992"/>
      <c r="N129" s="2992"/>
      <c r="O129" s="2992"/>
      <c r="P129" s="2992"/>
      <c r="Q129" s="2992"/>
      <c r="R129" s="2992"/>
      <c r="S129" s="2992"/>
      <c r="T129" s="2992"/>
      <c r="U129" s="2992"/>
      <c r="V129" s="2992"/>
      <c r="W129" s="2992"/>
      <c r="X129" s="2993"/>
    </row>
    <row r="130" spans="1:43" ht="13.9" customHeight="1" x14ac:dyDescent="0.25">
      <c r="A130" s="3000" t="s">
        <v>569</v>
      </c>
      <c r="B130" s="3001"/>
      <c r="C130" s="3001"/>
      <c r="D130" s="3001"/>
      <c r="E130" s="3001"/>
      <c r="F130" s="3001"/>
      <c r="G130" s="3001"/>
      <c r="H130" s="3001"/>
      <c r="I130" s="3001"/>
      <c r="J130" s="3001"/>
      <c r="K130" s="3001"/>
      <c r="L130" s="3001"/>
      <c r="M130" s="3001"/>
      <c r="N130" s="3001"/>
      <c r="O130" s="3001"/>
      <c r="P130" s="3001"/>
      <c r="Q130" s="3001"/>
      <c r="R130" s="3002"/>
      <c r="S130" s="1671"/>
      <c r="T130" s="1088"/>
      <c r="U130" s="893"/>
      <c r="V130" s="1103"/>
      <c r="W130" s="1104"/>
      <c r="X130" s="1105"/>
      <c r="Y130" s="448"/>
      <c r="Z130" s="448"/>
      <c r="AA130" s="448"/>
      <c r="AB130" s="448"/>
      <c r="AC130" s="448"/>
      <c r="AD130" s="448"/>
      <c r="AE130" s="448"/>
      <c r="AF130" s="448"/>
      <c r="AG130" s="448"/>
      <c r="AH130" s="448"/>
      <c r="AI130" s="448"/>
      <c r="AJ130" s="448"/>
      <c r="AK130" s="448"/>
      <c r="AL130" s="448"/>
      <c r="AM130" s="448"/>
      <c r="AN130" s="448"/>
      <c r="AO130" s="448"/>
      <c r="AP130" s="448"/>
      <c r="AQ130" s="448"/>
    </row>
    <row r="131" spans="1:43" s="450" customFormat="1" ht="41.5" customHeight="1" x14ac:dyDescent="0.25">
      <c r="A131" s="2994" t="s">
        <v>570</v>
      </c>
      <c r="B131" s="595" t="s">
        <v>572</v>
      </c>
      <c r="C131" s="595" t="s">
        <v>15</v>
      </c>
      <c r="D131" s="467" t="s">
        <v>563</v>
      </c>
      <c r="E131" s="724">
        <v>1</v>
      </c>
      <c r="F131" s="724">
        <v>1000</v>
      </c>
      <c r="G131" s="724">
        <v>3</v>
      </c>
      <c r="H131" s="725">
        <f>OIM!I15</f>
        <v>3000</v>
      </c>
      <c r="I131" s="675">
        <v>0.3</v>
      </c>
      <c r="J131" s="710">
        <v>1</v>
      </c>
      <c r="K131" s="710">
        <v>1000</v>
      </c>
      <c r="L131" s="710">
        <v>2</v>
      </c>
      <c r="M131" s="2892">
        <f>OIM!N15</f>
        <v>1800</v>
      </c>
      <c r="N131" s="675">
        <v>0.3</v>
      </c>
      <c r="O131" s="2919">
        <f>H131+M131</f>
        <v>4800</v>
      </c>
      <c r="P131" s="675">
        <v>0.3</v>
      </c>
      <c r="Q131" s="592">
        <f>O131*P131</f>
        <v>1440</v>
      </c>
      <c r="R131" s="521"/>
      <c r="S131" s="1069">
        <f>OIM!T15</f>
        <v>4575</v>
      </c>
      <c r="T131" s="591">
        <f>S131/O131</f>
        <v>0.953125</v>
      </c>
      <c r="U131" s="521" t="s">
        <v>1498</v>
      </c>
      <c r="V131" s="591">
        <f>W131/Q131</f>
        <v>0.953125</v>
      </c>
      <c r="W131" s="452">
        <f>P131*S131</f>
        <v>1372.5</v>
      </c>
      <c r="X131" s="266" t="s">
        <v>1120</v>
      </c>
    </row>
    <row r="132" spans="1:43" s="450" customFormat="1" ht="13.9" customHeight="1" x14ac:dyDescent="0.25">
      <c r="A132" s="2995"/>
      <c r="B132" s="595" t="s">
        <v>575</v>
      </c>
      <c r="C132" s="595" t="s">
        <v>15</v>
      </c>
      <c r="D132" s="467" t="s">
        <v>563</v>
      </c>
      <c r="E132" s="710">
        <v>1</v>
      </c>
      <c r="F132" s="710">
        <v>1000</v>
      </c>
      <c r="G132" s="710">
        <v>2</v>
      </c>
      <c r="H132" s="592">
        <v>0</v>
      </c>
      <c r="I132" s="675">
        <v>0</v>
      </c>
      <c r="J132" s="710">
        <v>1</v>
      </c>
      <c r="K132" s="710">
        <v>1800</v>
      </c>
      <c r="L132" s="710">
        <v>1</v>
      </c>
      <c r="M132" s="2874">
        <f>L132*K132*J132</f>
        <v>1800</v>
      </c>
      <c r="N132" s="697">
        <v>0</v>
      </c>
      <c r="O132" s="2919">
        <f t="shared" ref="O132:O146" si="79">H132+M132</f>
        <v>1800</v>
      </c>
      <c r="P132" s="697">
        <v>0</v>
      </c>
      <c r="Q132" s="592">
        <f>O132*P132</f>
        <v>0</v>
      </c>
      <c r="R132" s="1061"/>
      <c r="S132" s="1069">
        <f>OIM!T18</f>
        <v>1400</v>
      </c>
      <c r="T132" s="591">
        <f t="shared" ref="T132:T147" si="80">S132/O132</f>
        <v>0.77777777777777779</v>
      </c>
      <c r="U132" s="521"/>
      <c r="V132" s="591">
        <v>0</v>
      </c>
      <c r="W132" s="452">
        <f t="shared" ref="W132:W148" si="81">P132*S132</f>
        <v>0</v>
      </c>
      <c r="X132" s="594"/>
    </row>
    <row r="133" spans="1:43" s="450" customFormat="1" ht="13.9" customHeight="1" x14ac:dyDescent="0.25">
      <c r="A133" s="2995"/>
      <c r="B133" s="595" t="s">
        <v>576</v>
      </c>
      <c r="C133" s="595" t="s">
        <v>577</v>
      </c>
      <c r="D133" s="467" t="s">
        <v>563</v>
      </c>
      <c r="E133" s="710">
        <v>1</v>
      </c>
      <c r="F133" s="710">
        <v>7000</v>
      </c>
      <c r="G133" s="710">
        <v>1</v>
      </c>
      <c r="H133" s="592">
        <f t="shared" ref="H133" si="82">G133*F133*E133</f>
        <v>7000</v>
      </c>
      <c r="I133" s="675">
        <v>0.3</v>
      </c>
      <c r="J133" s="710">
        <v>1</v>
      </c>
      <c r="K133" s="710">
        <v>7000</v>
      </c>
      <c r="L133" s="710">
        <v>1</v>
      </c>
      <c r="M133" s="2874">
        <f>L133*K133*J133</f>
        <v>7000</v>
      </c>
      <c r="N133" s="675">
        <v>0.3</v>
      </c>
      <c r="O133" s="2919">
        <f t="shared" si="79"/>
        <v>14000</v>
      </c>
      <c r="P133" s="675">
        <v>0.3</v>
      </c>
      <c r="Q133" s="592">
        <f>O133*P133</f>
        <v>4200</v>
      </c>
      <c r="R133" s="1061"/>
      <c r="S133" s="1069">
        <f>OIM!T19</f>
        <v>12450.5</v>
      </c>
      <c r="T133" s="591">
        <f t="shared" si="80"/>
        <v>0.8893214285714286</v>
      </c>
      <c r="U133" s="521"/>
      <c r="V133" s="591">
        <f t="shared" ref="V133:V147" si="83">W133/Q133</f>
        <v>0.88932142857142849</v>
      </c>
      <c r="W133" s="452">
        <f t="shared" si="81"/>
        <v>3735.1499999999996</v>
      </c>
      <c r="X133" s="594"/>
    </row>
    <row r="134" spans="1:43" s="454" customFormat="1" ht="13.9" customHeight="1" x14ac:dyDescent="0.25">
      <c r="A134" s="2996"/>
      <c r="B134" s="711"/>
      <c r="C134" s="711"/>
      <c r="D134" s="897" t="s">
        <v>0</v>
      </c>
      <c r="E134" s="1073"/>
      <c r="F134" s="1073"/>
      <c r="G134" s="1073"/>
      <c r="H134" s="470">
        <f>SUM(H131:H133)</f>
        <v>10000</v>
      </c>
      <c r="I134" s="1076"/>
      <c r="J134" s="1107"/>
      <c r="K134" s="1107"/>
      <c r="L134" s="1107"/>
      <c r="M134" s="2865">
        <f>SUM(M131:M133)</f>
        <v>10600</v>
      </c>
      <c r="N134" s="1108"/>
      <c r="O134" s="1111">
        <f t="shared" ref="O134:R134" si="84">SUM(O131:O133)</f>
        <v>20600</v>
      </c>
      <c r="P134" s="1111">
        <f t="shared" si="84"/>
        <v>0.6</v>
      </c>
      <c r="Q134" s="1111">
        <f t="shared" si="84"/>
        <v>5640</v>
      </c>
      <c r="R134" s="1111">
        <f t="shared" si="84"/>
        <v>0</v>
      </c>
      <c r="S134" s="1111">
        <f>SUM(S131:S133)</f>
        <v>18425.5</v>
      </c>
      <c r="T134" s="600">
        <f>S134/O134</f>
        <v>0.89444174757281558</v>
      </c>
      <c r="U134" s="711"/>
      <c r="V134" s="600">
        <f>W134/Q134</f>
        <v>0.90561170212765951</v>
      </c>
      <c r="W134" s="1111">
        <f>SUM(W131:W133)</f>
        <v>5107.6499999999996</v>
      </c>
      <c r="X134" s="1112"/>
    </row>
    <row r="135" spans="1:43" s="450" customFormat="1" ht="13.9" customHeight="1" x14ac:dyDescent="0.25">
      <c r="A135" s="2994" t="s">
        <v>1227</v>
      </c>
      <c r="B135" s="595" t="s">
        <v>580</v>
      </c>
      <c r="C135" s="595" t="s">
        <v>15</v>
      </c>
      <c r="D135" s="467" t="s">
        <v>563</v>
      </c>
      <c r="E135" s="710">
        <v>0</v>
      </c>
      <c r="F135" s="710">
        <v>0</v>
      </c>
      <c r="G135" s="710">
        <v>0</v>
      </c>
      <c r="H135" s="592">
        <f>E135*F135*G135</f>
        <v>0</v>
      </c>
      <c r="I135" s="675">
        <v>0.3</v>
      </c>
      <c r="J135" s="1769">
        <v>0</v>
      </c>
      <c r="K135" s="1769"/>
      <c r="L135" s="1769">
        <v>0</v>
      </c>
      <c r="M135" s="2874">
        <v>0</v>
      </c>
      <c r="N135" s="697">
        <v>0</v>
      </c>
      <c r="O135" s="2919">
        <f t="shared" si="79"/>
        <v>0</v>
      </c>
      <c r="P135" s="697">
        <v>0</v>
      </c>
      <c r="Q135" s="592">
        <f t="shared" ref="Q135:Q144" si="85">O135*P135</f>
        <v>0</v>
      </c>
      <c r="R135" s="1061"/>
      <c r="S135" s="1069">
        <v>0</v>
      </c>
      <c r="T135" s="591">
        <v>0</v>
      </c>
      <c r="U135" s="521" t="s">
        <v>1250</v>
      </c>
      <c r="V135" s="591">
        <v>0</v>
      </c>
      <c r="W135" s="706">
        <f t="shared" si="81"/>
        <v>0</v>
      </c>
      <c r="X135" s="594"/>
    </row>
    <row r="136" spans="1:43" s="450" customFormat="1" ht="13.9" customHeight="1" x14ac:dyDescent="0.25">
      <c r="A136" s="2995"/>
      <c r="B136" s="541" t="s">
        <v>581</v>
      </c>
      <c r="C136" s="438" t="s">
        <v>15</v>
      </c>
      <c r="D136" s="467" t="s">
        <v>563</v>
      </c>
      <c r="E136" s="710">
        <v>1</v>
      </c>
      <c r="F136" s="710">
        <v>0</v>
      </c>
      <c r="G136" s="1770">
        <v>1</v>
      </c>
      <c r="H136" s="725">
        <f>G136*F136*E136</f>
        <v>0</v>
      </c>
      <c r="I136" s="675">
        <v>0.3</v>
      </c>
      <c r="J136" s="1769">
        <v>0</v>
      </c>
      <c r="K136" s="1769">
        <v>0</v>
      </c>
      <c r="L136" s="1769">
        <v>0</v>
      </c>
      <c r="M136" s="2874">
        <v>0</v>
      </c>
      <c r="N136" s="675">
        <v>0</v>
      </c>
      <c r="O136" s="2919">
        <f t="shared" si="79"/>
        <v>0</v>
      </c>
      <c r="P136" s="675">
        <v>0</v>
      </c>
      <c r="Q136" s="592">
        <f t="shared" si="85"/>
        <v>0</v>
      </c>
      <c r="R136" s="1061"/>
      <c r="S136" s="1069">
        <v>0</v>
      </c>
      <c r="T136" s="591">
        <v>0</v>
      </c>
      <c r="U136" s="521" t="s">
        <v>1250</v>
      </c>
      <c r="V136" s="591">
        <v>0</v>
      </c>
      <c r="W136" s="706">
        <f t="shared" si="81"/>
        <v>0</v>
      </c>
      <c r="X136" s="594"/>
    </row>
    <row r="137" spans="1:43" s="450" customFormat="1" ht="13.9" customHeight="1" x14ac:dyDescent="0.25">
      <c r="A137" s="2995"/>
      <c r="B137" s="595" t="s">
        <v>583</v>
      </c>
      <c r="C137" s="438" t="s">
        <v>15</v>
      </c>
      <c r="D137" s="467" t="s">
        <v>563</v>
      </c>
      <c r="E137" s="710">
        <v>1</v>
      </c>
      <c r="F137" s="710">
        <v>15000</v>
      </c>
      <c r="G137" s="1770">
        <v>1</v>
      </c>
      <c r="H137" s="725">
        <f>G137*F137*E137</f>
        <v>15000</v>
      </c>
      <c r="I137" s="675">
        <v>0.3</v>
      </c>
      <c r="J137" s="710">
        <v>0</v>
      </c>
      <c r="K137" s="710">
        <v>0</v>
      </c>
      <c r="L137" s="1770">
        <v>2</v>
      </c>
      <c r="M137" s="1798">
        <f>L137*K137*J137</f>
        <v>0</v>
      </c>
      <c r="N137" s="675">
        <v>0.3</v>
      </c>
      <c r="O137" s="2919">
        <f t="shared" si="79"/>
        <v>15000</v>
      </c>
      <c r="P137" s="675">
        <v>0.3</v>
      </c>
      <c r="Q137" s="592">
        <f t="shared" si="85"/>
        <v>4500</v>
      </c>
      <c r="R137" s="1061"/>
      <c r="S137" s="1069">
        <f>OIM!T26</f>
        <v>16091</v>
      </c>
      <c r="T137" s="591">
        <f>S137/O137</f>
        <v>1.0727333333333333</v>
      </c>
      <c r="U137" s="521" t="s">
        <v>1121</v>
      </c>
      <c r="V137" s="591">
        <f>W137/Q137</f>
        <v>1.0727333333333333</v>
      </c>
      <c r="W137" s="706">
        <f t="shared" si="81"/>
        <v>4827.3</v>
      </c>
      <c r="X137" s="594"/>
    </row>
    <row r="138" spans="1:43" s="450" customFormat="1" ht="13.9" customHeight="1" x14ac:dyDescent="0.25">
      <c r="A138" s="2995"/>
      <c r="B138" s="541" t="s">
        <v>584</v>
      </c>
      <c r="C138" s="438" t="s">
        <v>15</v>
      </c>
      <c r="D138" s="467" t="s">
        <v>563</v>
      </c>
      <c r="E138" s="710">
        <v>0</v>
      </c>
      <c r="F138" s="710">
        <v>0</v>
      </c>
      <c r="G138" s="1770">
        <v>2</v>
      </c>
      <c r="H138" s="725">
        <f>G138*F138*E138</f>
        <v>0</v>
      </c>
      <c r="I138" s="675">
        <v>0.3</v>
      </c>
      <c r="J138" s="1769">
        <v>0</v>
      </c>
      <c r="K138" s="1769">
        <v>0</v>
      </c>
      <c r="L138" s="1769">
        <v>0</v>
      </c>
      <c r="M138" s="2874">
        <v>0</v>
      </c>
      <c r="N138" s="675">
        <v>0</v>
      </c>
      <c r="O138" s="2919">
        <f t="shared" si="79"/>
        <v>0</v>
      </c>
      <c r="P138" s="675">
        <v>0.3</v>
      </c>
      <c r="Q138" s="592">
        <f t="shared" si="85"/>
        <v>0</v>
      </c>
      <c r="R138" s="521"/>
      <c r="S138" s="1069">
        <v>0</v>
      </c>
      <c r="T138" s="591">
        <v>0</v>
      </c>
      <c r="U138" s="521" t="s">
        <v>1499</v>
      </c>
      <c r="V138" s="591">
        <v>0</v>
      </c>
      <c r="W138" s="706">
        <f t="shared" si="81"/>
        <v>0</v>
      </c>
      <c r="X138" s="594"/>
    </row>
    <row r="139" spans="1:43" s="450" customFormat="1" ht="13.9" customHeight="1" x14ac:dyDescent="0.25">
      <c r="A139" s="2995"/>
      <c r="B139" s="595" t="s">
        <v>585</v>
      </c>
      <c r="C139" s="438" t="s">
        <v>15</v>
      </c>
      <c r="D139" s="467" t="s">
        <v>563</v>
      </c>
      <c r="E139" s="710">
        <v>1</v>
      </c>
      <c r="F139" s="710">
        <v>0</v>
      </c>
      <c r="G139" s="1770">
        <v>1</v>
      </c>
      <c r="H139" s="725">
        <f>G139*F139*E139</f>
        <v>0</v>
      </c>
      <c r="I139" s="675">
        <v>0.3</v>
      </c>
      <c r="J139" s="1769">
        <v>0</v>
      </c>
      <c r="K139" s="1769">
        <v>0</v>
      </c>
      <c r="L139" s="1769">
        <v>0</v>
      </c>
      <c r="M139" s="2874">
        <v>0</v>
      </c>
      <c r="N139" s="675">
        <v>0</v>
      </c>
      <c r="O139" s="2919">
        <f t="shared" si="79"/>
        <v>0</v>
      </c>
      <c r="P139" s="675">
        <v>0</v>
      </c>
      <c r="Q139" s="592">
        <f t="shared" si="85"/>
        <v>0</v>
      </c>
      <c r="R139" s="1061"/>
      <c r="S139" s="1069">
        <v>0</v>
      </c>
      <c r="T139" s="591">
        <v>0</v>
      </c>
      <c r="U139" s="521"/>
      <c r="V139" s="591">
        <v>0</v>
      </c>
      <c r="W139" s="706">
        <f t="shared" si="81"/>
        <v>0</v>
      </c>
      <c r="X139" s="594"/>
    </row>
    <row r="140" spans="1:43" s="450" customFormat="1" ht="13.9" customHeight="1" x14ac:dyDescent="0.25">
      <c r="A140" s="2995"/>
      <c r="B140" s="595" t="s">
        <v>587</v>
      </c>
      <c r="C140" s="438" t="s">
        <v>15</v>
      </c>
      <c r="D140" s="1771" t="s">
        <v>563</v>
      </c>
      <c r="E140" s="710">
        <v>0</v>
      </c>
      <c r="F140" s="710">
        <v>4480</v>
      </c>
      <c r="G140" s="710">
        <v>1</v>
      </c>
      <c r="H140" s="701">
        <f>E140*F140*G140</f>
        <v>0</v>
      </c>
      <c r="I140" s="675"/>
      <c r="J140" s="1770">
        <v>1</v>
      </c>
      <c r="K140" s="710">
        <v>2480</v>
      </c>
      <c r="L140" s="1770">
        <v>1</v>
      </c>
      <c r="M140" s="2882">
        <f>J140*K140*L140</f>
        <v>2480</v>
      </c>
      <c r="N140" s="675">
        <v>0</v>
      </c>
      <c r="O140" s="2919">
        <f>H140+M140</f>
        <v>2480</v>
      </c>
      <c r="P140" s="675">
        <v>0</v>
      </c>
      <c r="Q140" s="592">
        <f t="shared" si="85"/>
        <v>0</v>
      </c>
      <c r="R140" s="1061"/>
      <c r="S140" s="1069">
        <f>OIM!T31</f>
        <v>1488.13</v>
      </c>
      <c r="T140" s="591">
        <f t="shared" si="80"/>
        <v>0.60005241935483877</v>
      </c>
      <c r="U140" s="521" t="s">
        <v>1251</v>
      </c>
      <c r="V140" s="591">
        <v>0</v>
      </c>
      <c r="W140" s="706">
        <f t="shared" si="81"/>
        <v>0</v>
      </c>
      <c r="X140" s="594"/>
    </row>
    <row r="141" spans="1:43" s="450" customFormat="1" ht="13.9" customHeight="1" x14ac:dyDescent="0.25">
      <c r="A141" s="2995"/>
      <c r="B141" s="541" t="s">
        <v>588</v>
      </c>
      <c r="C141" s="438" t="s">
        <v>17</v>
      </c>
      <c r="D141" s="1771" t="s">
        <v>563</v>
      </c>
      <c r="E141" s="710">
        <v>1</v>
      </c>
      <c r="F141" s="710">
        <v>1150</v>
      </c>
      <c r="G141" s="710">
        <v>1</v>
      </c>
      <c r="H141" s="701">
        <f t="shared" ref="H141:H144" si="86">E141*F141*G141</f>
        <v>1150</v>
      </c>
      <c r="I141" s="675"/>
      <c r="J141" s="1770">
        <v>1</v>
      </c>
      <c r="K141" s="710">
        <v>0</v>
      </c>
      <c r="L141" s="1770">
        <v>9</v>
      </c>
      <c r="M141" s="2882">
        <f>J141*K141*L141</f>
        <v>0</v>
      </c>
      <c r="N141" s="675">
        <v>0</v>
      </c>
      <c r="O141" s="2919">
        <f t="shared" si="79"/>
        <v>1150</v>
      </c>
      <c r="P141" s="675">
        <v>0</v>
      </c>
      <c r="Q141" s="592">
        <f t="shared" si="85"/>
        <v>0</v>
      </c>
      <c r="R141" s="1061"/>
      <c r="S141" s="1069">
        <f>OIM!T32</f>
        <v>1194.5999999999999</v>
      </c>
      <c r="T141" s="591">
        <f t="shared" si="80"/>
        <v>1.0387826086956522</v>
      </c>
      <c r="U141" s="521" t="s">
        <v>589</v>
      </c>
      <c r="V141" s="591">
        <v>0</v>
      </c>
      <c r="W141" s="706">
        <f t="shared" si="81"/>
        <v>0</v>
      </c>
      <c r="X141" s="594"/>
    </row>
    <row r="142" spans="1:43" s="450" customFormat="1" ht="27.65" customHeight="1" x14ac:dyDescent="0.25">
      <c r="A142" s="2995"/>
      <c r="B142" s="595" t="s">
        <v>590</v>
      </c>
      <c r="C142" s="595" t="s">
        <v>15</v>
      </c>
      <c r="D142" s="1771" t="s">
        <v>563</v>
      </c>
      <c r="E142" s="710"/>
      <c r="F142" s="710"/>
      <c r="G142" s="710"/>
      <c r="H142" s="701"/>
      <c r="I142" s="675"/>
      <c r="J142" s="1770">
        <v>1</v>
      </c>
      <c r="K142" s="710">
        <v>9000</v>
      </c>
      <c r="L142" s="1770">
        <v>1</v>
      </c>
      <c r="M142" s="2882">
        <f>J142*K142*L142</f>
        <v>9000</v>
      </c>
      <c r="N142" s="675">
        <v>0</v>
      </c>
      <c r="O142" s="2919">
        <f t="shared" si="79"/>
        <v>9000</v>
      </c>
      <c r="P142" s="675">
        <v>0</v>
      </c>
      <c r="Q142" s="592">
        <f t="shared" si="85"/>
        <v>0</v>
      </c>
      <c r="R142" s="1061"/>
      <c r="S142" s="1069">
        <f>OIM!T33</f>
        <v>5333</v>
      </c>
      <c r="T142" s="591">
        <f t="shared" si="80"/>
        <v>0.5925555555555555</v>
      </c>
      <c r="U142" s="521" t="s">
        <v>589</v>
      </c>
      <c r="V142" s="591">
        <v>0</v>
      </c>
      <c r="W142" s="706">
        <f t="shared" si="81"/>
        <v>0</v>
      </c>
      <c r="X142" s="594"/>
    </row>
    <row r="143" spans="1:43" s="450" customFormat="1" ht="13.9" customHeight="1" x14ac:dyDescent="0.25">
      <c r="A143" s="2995"/>
      <c r="B143" s="595" t="s">
        <v>591</v>
      </c>
      <c r="C143" s="595" t="s">
        <v>15</v>
      </c>
      <c r="D143" s="467" t="s">
        <v>563</v>
      </c>
      <c r="E143" s="710">
        <v>1</v>
      </c>
      <c r="F143" s="710">
        <v>1000</v>
      </c>
      <c r="G143" s="710">
        <v>1</v>
      </c>
      <c r="H143" s="701">
        <f t="shared" si="86"/>
        <v>1000</v>
      </c>
      <c r="I143" s="675"/>
      <c r="J143" s="1770"/>
      <c r="K143" s="710"/>
      <c r="L143" s="1772">
        <v>0</v>
      </c>
      <c r="M143" s="2882">
        <f>J143*K143*L143</f>
        <v>0</v>
      </c>
      <c r="N143" s="675">
        <v>0</v>
      </c>
      <c r="O143" s="2919">
        <f t="shared" si="79"/>
        <v>1000</v>
      </c>
      <c r="P143" s="675">
        <v>0</v>
      </c>
      <c r="Q143" s="592">
        <f t="shared" si="85"/>
        <v>0</v>
      </c>
      <c r="R143" s="521"/>
      <c r="S143" s="1069">
        <f>OIM!T34</f>
        <v>632</v>
      </c>
      <c r="T143" s="591">
        <f t="shared" si="80"/>
        <v>0.63200000000000001</v>
      </c>
      <c r="U143" s="521" t="s">
        <v>1252</v>
      </c>
      <c r="V143" s="591">
        <v>0</v>
      </c>
      <c r="W143" s="706">
        <f t="shared" si="81"/>
        <v>0</v>
      </c>
      <c r="X143" s="594"/>
    </row>
    <row r="144" spans="1:43" s="450" customFormat="1" ht="13.9" customHeight="1" x14ac:dyDescent="0.25">
      <c r="A144" s="2995"/>
      <c r="B144" s="595" t="s">
        <v>592</v>
      </c>
      <c r="C144" s="595" t="s">
        <v>15</v>
      </c>
      <c r="D144" s="467" t="s">
        <v>563</v>
      </c>
      <c r="E144" s="710">
        <v>1</v>
      </c>
      <c r="F144" s="710">
        <v>2000</v>
      </c>
      <c r="G144" s="710">
        <v>1</v>
      </c>
      <c r="H144" s="701">
        <f t="shared" si="86"/>
        <v>2000</v>
      </c>
      <c r="I144" s="675"/>
      <c r="J144" s="1773">
        <v>1</v>
      </c>
      <c r="K144" s="710"/>
      <c r="L144" s="710"/>
      <c r="M144" s="2882">
        <f>J144*K144*L144</f>
        <v>0</v>
      </c>
      <c r="N144" s="675">
        <v>0</v>
      </c>
      <c r="O144" s="2919">
        <f t="shared" si="79"/>
        <v>2000</v>
      </c>
      <c r="P144" s="675">
        <v>0</v>
      </c>
      <c r="Q144" s="592">
        <f t="shared" si="85"/>
        <v>0</v>
      </c>
      <c r="R144" s="1061"/>
      <c r="S144" s="1069">
        <f>OIM!T35</f>
        <v>804</v>
      </c>
      <c r="T144" s="591">
        <f t="shared" si="80"/>
        <v>0.40200000000000002</v>
      </c>
      <c r="U144" s="521"/>
      <c r="V144" s="591">
        <v>0</v>
      </c>
      <c r="W144" s="706">
        <f t="shared" si="81"/>
        <v>0</v>
      </c>
      <c r="X144" s="594"/>
    </row>
    <row r="145" spans="1:43" s="454" customFormat="1" ht="13.9" customHeight="1" x14ac:dyDescent="0.25">
      <c r="A145" s="2996"/>
      <c r="B145" s="711" t="s">
        <v>573</v>
      </c>
      <c r="C145" s="711"/>
      <c r="D145" s="897"/>
      <c r="E145" s="1077"/>
      <c r="F145" s="1077"/>
      <c r="G145" s="1077"/>
      <c r="H145" s="1123">
        <f>SUM(H135:H144)</f>
        <v>19150</v>
      </c>
      <c r="I145" s="1076"/>
      <c r="J145" s="1124"/>
      <c r="K145" s="1124"/>
      <c r="L145" s="1124"/>
      <c r="M145" s="2870">
        <f>SUM(M135:M144)</f>
        <v>11480</v>
      </c>
      <c r="N145" s="1108"/>
      <c r="O145" s="1672">
        <f t="shared" ref="O145:R145" si="87">SUM(O135:O144)</f>
        <v>30630</v>
      </c>
      <c r="P145" s="1672">
        <f t="shared" si="87"/>
        <v>0.6</v>
      </c>
      <c r="Q145" s="1672">
        <f t="shared" si="87"/>
        <v>4500</v>
      </c>
      <c r="R145" s="1672">
        <f t="shared" si="87"/>
        <v>0</v>
      </c>
      <c r="S145" s="1672">
        <f>SUM(S135:S144)</f>
        <v>25542.73</v>
      </c>
      <c r="T145" s="1126">
        <f>S145/O145</f>
        <v>0.83391217760365655</v>
      </c>
      <c r="U145" s="715"/>
      <c r="V145" s="600">
        <f>W145/Q145</f>
        <v>1.0727333333333333</v>
      </c>
      <c r="W145" s="1127">
        <f>SUM(W135:W144)</f>
        <v>4827.3</v>
      </c>
      <c r="X145" s="600"/>
    </row>
    <row r="146" spans="1:43" s="450" customFormat="1" ht="41.5" customHeight="1" x14ac:dyDescent="0.25">
      <c r="A146" s="2994" t="s">
        <v>593</v>
      </c>
      <c r="B146" s="541" t="s">
        <v>595</v>
      </c>
      <c r="C146" s="595" t="s">
        <v>15</v>
      </c>
      <c r="D146" s="467" t="s">
        <v>563</v>
      </c>
      <c r="E146" s="710">
        <v>0</v>
      </c>
      <c r="F146" s="710">
        <v>0</v>
      </c>
      <c r="G146" s="710">
        <v>0</v>
      </c>
      <c r="H146" s="592">
        <f>G146*F146*E146</f>
        <v>0</v>
      </c>
      <c r="I146" s="675">
        <v>0.3</v>
      </c>
      <c r="J146" s="710">
        <v>1</v>
      </c>
      <c r="K146" s="710">
        <v>6000</v>
      </c>
      <c r="L146" s="710">
        <v>1</v>
      </c>
      <c r="M146" s="2874">
        <f>L146*K146*J146</f>
        <v>6000</v>
      </c>
      <c r="N146" s="675">
        <v>0.3</v>
      </c>
      <c r="O146" s="2919">
        <f t="shared" si="79"/>
        <v>6000</v>
      </c>
      <c r="P146" s="675">
        <v>0.3</v>
      </c>
      <c r="Q146" s="1856">
        <f>O146*P146</f>
        <v>1800</v>
      </c>
      <c r="R146" s="1061"/>
      <c r="S146" s="1069">
        <f>OIM!T38</f>
        <v>5849.48</v>
      </c>
      <c r="T146" s="1071">
        <f t="shared" si="80"/>
        <v>0.9749133333333333</v>
      </c>
      <c r="U146" s="521" t="s">
        <v>589</v>
      </c>
      <c r="V146" s="1071">
        <f t="shared" si="83"/>
        <v>0.97491333333333319</v>
      </c>
      <c r="W146" s="706">
        <f t="shared" si="81"/>
        <v>1754.8439999999998</v>
      </c>
      <c r="X146" s="266" t="s">
        <v>1122</v>
      </c>
    </row>
    <row r="147" spans="1:43" s="450" customFormat="1" ht="13.9" customHeight="1" x14ac:dyDescent="0.25">
      <c r="A147" s="2995"/>
      <c r="B147" s="595" t="s">
        <v>597</v>
      </c>
      <c r="C147" s="595" t="s">
        <v>15</v>
      </c>
      <c r="D147" s="467" t="s">
        <v>563</v>
      </c>
      <c r="E147" s="710">
        <v>1</v>
      </c>
      <c r="F147" s="710">
        <v>10000</v>
      </c>
      <c r="G147" s="710">
        <v>1</v>
      </c>
      <c r="H147" s="592">
        <f>G147*F147</f>
        <v>10000</v>
      </c>
      <c r="I147" s="675"/>
      <c r="J147" s="710">
        <v>1</v>
      </c>
      <c r="K147" s="710">
        <v>0</v>
      </c>
      <c r="L147" s="710">
        <v>1</v>
      </c>
      <c r="M147" s="2874">
        <f>L147*K147</f>
        <v>0</v>
      </c>
      <c r="N147" s="675">
        <v>0.3</v>
      </c>
      <c r="O147" s="2919">
        <f>H147+M147</f>
        <v>10000</v>
      </c>
      <c r="P147" s="675">
        <v>0.3</v>
      </c>
      <c r="Q147" s="1856">
        <f>O147*P147</f>
        <v>3000</v>
      </c>
      <c r="R147" s="1061"/>
      <c r="S147" s="1069">
        <f>OIM!T41</f>
        <v>9748.7099999999991</v>
      </c>
      <c r="T147" s="1071">
        <f t="shared" si="80"/>
        <v>0.97487099999999993</v>
      </c>
      <c r="U147" s="521" t="s">
        <v>1251</v>
      </c>
      <c r="V147" s="1071">
        <f t="shared" si="83"/>
        <v>0.97487099999999993</v>
      </c>
      <c r="W147" s="706">
        <f t="shared" si="81"/>
        <v>2924.6129999999998</v>
      </c>
      <c r="X147" s="594"/>
    </row>
    <row r="148" spans="1:43" s="450" customFormat="1" ht="13.9" customHeight="1" x14ac:dyDescent="0.25">
      <c r="A148" s="2995"/>
      <c r="B148" s="595" t="s">
        <v>598</v>
      </c>
      <c r="C148" s="595" t="s">
        <v>15</v>
      </c>
      <c r="D148" s="467" t="s">
        <v>563</v>
      </c>
      <c r="E148" s="710">
        <v>0</v>
      </c>
      <c r="F148" s="710">
        <v>0</v>
      </c>
      <c r="G148" s="710">
        <v>0</v>
      </c>
      <c r="H148" s="592">
        <f>G148*F148*E148</f>
        <v>0</v>
      </c>
      <c r="I148" s="675"/>
      <c r="J148" s="710">
        <v>0</v>
      </c>
      <c r="K148" s="710">
        <v>0</v>
      </c>
      <c r="L148" s="710">
        <v>0</v>
      </c>
      <c r="M148" s="2874">
        <v>0</v>
      </c>
      <c r="N148" s="675">
        <v>0.3</v>
      </c>
      <c r="O148" s="2919">
        <f>M148+H148</f>
        <v>0</v>
      </c>
      <c r="P148" s="675">
        <v>0.3</v>
      </c>
      <c r="Q148" s="1856">
        <f>O148*P148</f>
        <v>0</v>
      </c>
      <c r="R148" s="521"/>
      <c r="S148" s="1069">
        <v>0</v>
      </c>
      <c r="T148" s="1071">
        <v>0</v>
      </c>
      <c r="U148" s="521" t="s">
        <v>1253</v>
      </c>
      <c r="V148" s="1071">
        <v>0</v>
      </c>
      <c r="W148" s="706">
        <f t="shared" si="81"/>
        <v>0</v>
      </c>
      <c r="X148" s="594"/>
    </row>
    <row r="149" spans="1:43" s="454" customFormat="1" ht="13.9" customHeight="1" x14ac:dyDescent="0.25">
      <c r="A149" s="2996"/>
      <c r="B149" s="711" t="s">
        <v>573</v>
      </c>
      <c r="C149" s="711"/>
      <c r="D149" s="897"/>
      <c r="E149" s="1077"/>
      <c r="F149" s="1077"/>
      <c r="G149" s="1077"/>
      <c r="H149" s="1123">
        <f>SUM(H146:H148)</f>
        <v>10000</v>
      </c>
      <c r="I149" s="1076"/>
      <c r="J149" s="1124"/>
      <c r="K149" s="1124"/>
      <c r="L149" s="1124"/>
      <c r="M149" s="2870">
        <f>SUM(M146:M148)</f>
        <v>6000</v>
      </c>
      <c r="N149" s="1108"/>
      <c r="O149" s="1672">
        <f t="shared" ref="O149:R149" si="88">SUM(O146:O148)</f>
        <v>16000</v>
      </c>
      <c r="P149" s="1672">
        <f t="shared" si="88"/>
        <v>0.89999999999999991</v>
      </c>
      <c r="Q149" s="1672">
        <f t="shared" si="88"/>
        <v>4800</v>
      </c>
      <c r="R149" s="1672">
        <f t="shared" si="88"/>
        <v>0</v>
      </c>
      <c r="S149" s="1672">
        <f>SUM(S146:S148)</f>
        <v>15598.189999999999</v>
      </c>
      <c r="T149" s="1126">
        <f>S149/O149</f>
        <v>0.97488687499999993</v>
      </c>
      <c r="U149" s="715"/>
      <c r="V149" s="600">
        <f>W149/Q149</f>
        <v>0.97488687499999993</v>
      </c>
      <c r="W149" s="1127">
        <f>SUM(W146:W148)</f>
        <v>4679.4569999999994</v>
      </c>
      <c r="X149" s="600"/>
    </row>
    <row r="150" spans="1:43" ht="13.9" customHeight="1" x14ac:dyDescent="0.25">
      <c r="A150" s="3000" t="s">
        <v>600</v>
      </c>
      <c r="B150" s="3001"/>
      <c r="C150" s="3001"/>
      <c r="D150" s="3001"/>
      <c r="E150" s="3001"/>
      <c r="F150" s="3001"/>
      <c r="G150" s="3001"/>
      <c r="H150" s="3001"/>
      <c r="I150" s="3001"/>
      <c r="J150" s="3001"/>
      <c r="K150" s="3001"/>
      <c r="L150" s="3001"/>
      <c r="M150" s="3001"/>
      <c r="N150" s="3001"/>
      <c r="O150" s="3001"/>
      <c r="P150" s="3001"/>
      <c r="Q150" s="3001"/>
      <c r="R150" s="3002"/>
      <c r="S150" s="1671"/>
      <c r="T150" s="1088"/>
      <c r="U150" s="893"/>
      <c r="V150" s="1103"/>
      <c r="W150" s="1104"/>
      <c r="X150" s="1105"/>
      <c r="Y150" s="448"/>
      <c r="Z150" s="448"/>
      <c r="AA150" s="448"/>
      <c r="AB150" s="448"/>
      <c r="AC150" s="448"/>
      <c r="AD150" s="448"/>
      <c r="AE150" s="448"/>
      <c r="AF150" s="448"/>
      <c r="AG150" s="448"/>
      <c r="AH150" s="448"/>
      <c r="AI150" s="448"/>
      <c r="AJ150" s="448"/>
      <c r="AK150" s="448"/>
      <c r="AL150" s="448"/>
      <c r="AM150" s="448"/>
      <c r="AN150" s="448"/>
      <c r="AO150" s="448"/>
      <c r="AP150" s="448"/>
      <c r="AQ150" s="448"/>
    </row>
    <row r="151" spans="1:43" s="450" customFormat="1" ht="13.9" customHeight="1" x14ac:dyDescent="0.25">
      <c r="A151" s="2994" t="s">
        <v>601</v>
      </c>
      <c r="B151" s="595" t="s">
        <v>603</v>
      </c>
      <c r="C151" s="595" t="s">
        <v>15</v>
      </c>
      <c r="D151" s="467" t="s">
        <v>563</v>
      </c>
      <c r="E151" s="724">
        <v>1</v>
      </c>
      <c r="F151" s="724">
        <v>300</v>
      </c>
      <c r="G151" s="724">
        <v>3</v>
      </c>
      <c r="H151" s="592">
        <f>G151*F151*E151</f>
        <v>900</v>
      </c>
      <c r="I151" s="675"/>
      <c r="J151" s="710">
        <v>1</v>
      </c>
      <c r="K151" s="710">
        <v>300</v>
      </c>
      <c r="L151" s="710">
        <v>3</v>
      </c>
      <c r="M151" s="2874">
        <f>L151*K151*J151</f>
        <v>900</v>
      </c>
      <c r="N151" s="675"/>
      <c r="O151" s="2920">
        <f>H151+M151</f>
        <v>1800</v>
      </c>
      <c r="P151" s="675"/>
      <c r="Q151" s="592"/>
      <c r="R151" s="1061"/>
      <c r="S151" s="1069">
        <f>OIM!T46</f>
        <v>1760</v>
      </c>
      <c r="T151" s="1071">
        <f>S151/O151</f>
        <v>0.97777777777777775</v>
      </c>
      <c r="U151" s="521" t="s">
        <v>589</v>
      </c>
      <c r="V151" s="591">
        <v>0</v>
      </c>
      <c r="W151" s="706">
        <v>0</v>
      </c>
      <c r="X151" s="594"/>
    </row>
    <row r="152" spans="1:43" s="450" customFormat="1" ht="13.9" customHeight="1" x14ac:dyDescent="0.25">
      <c r="A152" s="2995"/>
      <c r="B152" s="595" t="s">
        <v>605</v>
      </c>
      <c r="C152" s="595" t="s">
        <v>15</v>
      </c>
      <c r="D152" s="467" t="s">
        <v>563</v>
      </c>
      <c r="E152" s="710">
        <v>1</v>
      </c>
      <c r="F152" s="710">
        <v>1200</v>
      </c>
      <c r="G152" s="710">
        <v>1</v>
      </c>
      <c r="H152" s="592">
        <f>G152*F152*E152</f>
        <v>1200</v>
      </c>
      <c r="I152" s="675"/>
      <c r="J152" s="710">
        <v>0</v>
      </c>
      <c r="K152" s="710">
        <v>0</v>
      </c>
      <c r="L152" s="710">
        <v>0</v>
      </c>
      <c r="M152" s="1798">
        <v>0</v>
      </c>
      <c r="N152" s="675"/>
      <c r="O152" s="2920">
        <f>H152+M152</f>
        <v>1200</v>
      </c>
      <c r="P152" s="675"/>
      <c r="Q152" s="592"/>
      <c r="R152" s="1061"/>
      <c r="S152" s="1069">
        <f>OIM!T49</f>
        <v>1068.5999999999999</v>
      </c>
      <c r="T152" s="1071">
        <f t="shared" ref="T152:T156" si="89">S152/O152</f>
        <v>0.89049999999999996</v>
      </c>
      <c r="U152" s="521" t="s">
        <v>589</v>
      </c>
      <c r="V152" s="591">
        <v>0</v>
      </c>
      <c r="W152" s="706">
        <v>0</v>
      </c>
      <c r="X152" s="594"/>
    </row>
    <row r="153" spans="1:43" s="450" customFormat="1" ht="27.65" customHeight="1" x14ac:dyDescent="0.25">
      <c r="A153" s="2995"/>
      <c r="B153" s="595" t="s">
        <v>607</v>
      </c>
      <c r="C153" s="595" t="s">
        <v>15</v>
      </c>
      <c r="D153" s="467" t="s">
        <v>563</v>
      </c>
      <c r="E153" s="710">
        <v>0</v>
      </c>
      <c r="F153" s="710">
        <v>0</v>
      </c>
      <c r="G153" s="710">
        <v>0</v>
      </c>
      <c r="H153" s="592">
        <f>G153*F153*E153</f>
        <v>0</v>
      </c>
      <c r="I153" s="675"/>
      <c r="J153" s="710">
        <v>1</v>
      </c>
      <c r="K153" s="710">
        <v>500</v>
      </c>
      <c r="L153" s="710">
        <v>1</v>
      </c>
      <c r="M153" s="1798">
        <f>L153*K153*J153</f>
        <v>500</v>
      </c>
      <c r="N153" s="675"/>
      <c r="O153" s="2920">
        <f t="shared" ref="O153:O158" si="90">H153+M153</f>
        <v>500</v>
      </c>
      <c r="P153" s="675"/>
      <c r="Q153" s="592"/>
      <c r="R153" s="1061"/>
      <c r="S153" s="1069">
        <v>0</v>
      </c>
      <c r="T153" s="1071">
        <f t="shared" si="89"/>
        <v>0</v>
      </c>
      <c r="U153" s="521"/>
      <c r="V153" s="591">
        <v>0</v>
      </c>
      <c r="W153" s="706">
        <v>0</v>
      </c>
      <c r="X153" s="594"/>
    </row>
    <row r="154" spans="1:43" s="450" customFormat="1" ht="27.65" customHeight="1" x14ac:dyDescent="0.25">
      <c r="A154" s="2995"/>
      <c r="B154" s="595" t="s">
        <v>609</v>
      </c>
      <c r="C154" s="595" t="s">
        <v>15</v>
      </c>
      <c r="D154" s="467" t="s">
        <v>563</v>
      </c>
      <c r="E154" s="710">
        <v>1</v>
      </c>
      <c r="F154" s="710">
        <v>2800</v>
      </c>
      <c r="G154" s="710">
        <v>1</v>
      </c>
      <c r="H154" s="592">
        <f>G154*F154*E154</f>
        <v>2800</v>
      </c>
      <c r="I154" s="675"/>
      <c r="J154" s="710">
        <v>1</v>
      </c>
      <c r="K154" s="710">
        <v>3000</v>
      </c>
      <c r="L154" s="710">
        <v>1</v>
      </c>
      <c r="M154" s="2874">
        <f>L154*K154*J154</f>
        <v>3000</v>
      </c>
      <c r="N154" s="675"/>
      <c r="O154" s="2920">
        <f t="shared" si="90"/>
        <v>5800</v>
      </c>
      <c r="P154" s="675"/>
      <c r="Q154" s="592"/>
      <c r="R154" s="1061"/>
      <c r="S154" s="1069">
        <f>OIM!T53</f>
        <v>6394.4</v>
      </c>
      <c r="T154" s="1071">
        <f t="shared" si="89"/>
        <v>1.1024827586206896</v>
      </c>
      <c r="U154" s="521" t="s">
        <v>589</v>
      </c>
      <c r="V154" s="591">
        <v>0</v>
      </c>
      <c r="W154" s="706">
        <v>0</v>
      </c>
      <c r="X154" s="594"/>
    </row>
    <row r="155" spans="1:43" s="450" customFormat="1" ht="27.65" customHeight="1" x14ac:dyDescent="0.25">
      <c r="A155" s="2995"/>
      <c r="B155" s="595" t="s">
        <v>611</v>
      </c>
      <c r="C155" s="595" t="s">
        <v>15</v>
      </c>
      <c r="D155" s="467" t="s">
        <v>563</v>
      </c>
      <c r="E155" s="1774">
        <v>0</v>
      </c>
      <c r="F155" s="1775">
        <v>0</v>
      </c>
      <c r="G155" s="1774">
        <v>0</v>
      </c>
      <c r="H155" s="592">
        <f>G155*F155*E155</f>
        <v>0</v>
      </c>
      <c r="I155" s="675"/>
      <c r="J155" s="1769">
        <v>1</v>
      </c>
      <c r="K155" s="1776">
        <v>1200</v>
      </c>
      <c r="L155" s="1769">
        <v>1</v>
      </c>
      <c r="M155" s="2874">
        <f>L155*K155*J155</f>
        <v>1200</v>
      </c>
      <c r="N155" s="675"/>
      <c r="O155" s="2920">
        <f t="shared" si="90"/>
        <v>1200</v>
      </c>
      <c r="P155" s="675"/>
      <c r="Q155" s="592"/>
      <c r="R155" s="1061"/>
      <c r="S155" s="1069">
        <f>OIM!T56</f>
        <v>1855</v>
      </c>
      <c r="T155" s="1071">
        <f t="shared" si="89"/>
        <v>1.5458333333333334</v>
      </c>
      <c r="U155" s="521" t="s">
        <v>1254</v>
      </c>
      <c r="V155" s="591">
        <v>0</v>
      </c>
      <c r="W155" s="706">
        <v>0</v>
      </c>
      <c r="X155" s="594"/>
    </row>
    <row r="156" spans="1:43" s="450" customFormat="1" ht="13.9" customHeight="1" x14ac:dyDescent="0.25">
      <c r="A156" s="2995"/>
      <c r="B156" s="595" t="s">
        <v>612</v>
      </c>
      <c r="C156" s="595" t="s">
        <v>15</v>
      </c>
      <c r="D156" s="467" t="s">
        <v>563</v>
      </c>
      <c r="E156" s="1774"/>
      <c r="F156" s="1775"/>
      <c r="G156" s="1774"/>
      <c r="H156" s="592"/>
      <c r="I156" s="675"/>
      <c r="J156" s="1769">
        <v>1</v>
      </c>
      <c r="K156" s="1776">
        <v>16304</v>
      </c>
      <c r="L156" s="1769">
        <v>1</v>
      </c>
      <c r="M156" s="2874">
        <f>L156*K156*J156</f>
        <v>16304</v>
      </c>
      <c r="N156" s="675"/>
      <c r="O156" s="2920">
        <f t="shared" si="90"/>
        <v>16304</v>
      </c>
      <c r="P156" s="675"/>
      <c r="Q156" s="592"/>
      <c r="R156" s="1061"/>
      <c r="S156" s="1069">
        <f>OIM!T57</f>
        <v>14714.2</v>
      </c>
      <c r="T156" s="1071">
        <f t="shared" si="89"/>
        <v>0.90249018645731116</v>
      </c>
      <c r="U156" s="521" t="s">
        <v>1255</v>
      </c>
      <c r="V156" s="591">
        <v>0</v>
      </c>
      <c r="W156" s="706">
        <v>0</v>
      </c>
      <c r="X156" s="594"/>
    </row>
    <row r="157" spans="1:43" s="454" customFormat="1" ht="13.9" customHeight="1" x14ac:dyDescent="0.25">
      <c r="A157" s="2996"/>
      <c r="B157" s="711" t="s">
        <v>573</v>
      </c>
      <c r="C157" s="711"/>
      <c r="D157" s="897"/>
      <c r="E157" s="712"/>
      <c r="F157" s="712"/>
      <c r="G157" s="712"/>
      <c r="H157" s="1123">
        <f>SUM(H151:H156)</f>
        <v>4900</v>
      </c>
      <c r="I157" s="716"/>
      <c r="J157" s="1077"/>
      <c r="K157" s="1077"/>
      <c r="L157" s="1077"/>
      <c r="M157" s="2872">
        <f>SUM(M151:M156)</f>
        <v>21904</v>
      </c>
      <c r="N157" s="1076"/>
      <c r="O157" s="1673">
        <f t="shared" ref="O157:R157" si="91">SUM(O151:O156)</f>
        <v>26804</v>
      </c>
      <c r="P157" s="1673">
        <f t="shared" si="91"/>
        <v>0</v>
      </c>
      <c r="Q157" s="1673">
        <f t="shared" si="91"/>
        <v>0</v>
      </c>
      <c r="R157" s="1673">
        <f t="shared" si="91"/>
        <v>0</v>
      </c>
      <c r="S157" s="1673">
        <f>SUM(S151:S156)</f>
        <v>25792.2</v>
      </c>
      <c r="T157" s="1126">
        <f>S157/O157</f>
        <v>0.9622519027010894</v>
      </c>
      <c r="U157" s="715"/>
      <c r="V157" s="600">
        <v>0</v>
      </c>
      <c r="W157" s="1127">
        <f>SUM(W151:W156)</f>
        <v>0</v>
      </c>
      <c r="X157" s="600"/>
    </row>
    <row r="158" spans="1:43" s="450" customFormat="1" ht="69" customHeight="1" x14ac:dyDescent="0.25">
      <c r="A158" s="431" t="s">
        <v>613</v>
      </c>
      <c r="B158" s="595" t="s">
        <v>615</v>
      </c>
      <c r="C158" s="438" t="s">
        <v>15</v>
      </c>
      <c r="D158" s="467" t="s">
        <v>563</v>
      </c>
      <c r="E158" s="1770">
        <v>1</v>
      </c>
      <c r="F158" s="1776">
        <v>0</v>
      </c>
      <c r="G158" s="1770">
        <v>1</v>
      </c>
      <c r="H158" s="1777">
        <f>G158*F158*E158</f>
        <v>0</v>
      </c>
      <c r="I158" s="675"/>
      <c r="J158" s="1770">
        <v>1</v>
      </c>
      <c r="K158" s="1776">
        <v>0</v>
      </c>
      <c r="L158" s="1770">
        <v>1</v>
      </c>
      <c r="M158" s="2873">
        <v>0</v>
      </c>
      <c r="N158" s="675"/>
      <c r="O158" s="2920">
        <f t="shared" si="90"/>
        <v>0</v>
      </c>
      <c r="P158" s="675"/>
      <c r="Q158" s="592"/>
      <c r="R158" s="1061"/>
      <c r="S158" s="1069">
        <v>0</v>
      </c>
      <c r="T158" s="1071">
        <v>0</v>
      </c>
      <c r="U158" s="521" t="s">
        <v>1256</v>
      </c>
      <c r="V158" s="591">
        <v>0</v>
      </c>
      <c r="W158" s="706">
        <v>0</v>
      </c>
      <c r="X158" s="594"/>
      <c r="Y158" s="273"/>
      <c r="Z158" s="273"/>
      <c r="AA158" s="273"/>
      <c r="AB158" s="273"/>
      <c r="AC158" s="273"/>
      <c r="AD158" s="273"/>
      <c r="AE158" s="273"/>
      <c r="AF158" s="273"/>
      <c r="AG158" s="273"/>
      <c r="AH158" s="273"/>
      <c r="AI158" s="273"/>
      <c r="AJ158" s="273"/>
      <c r="AK158" s="273"/>
      <c r="AL158" s="273"/>
      <c r="AM158" s="273"/>
      <c r="AN158" s="273"/>
      <c r="AO158" s="273"/>
      <c r="AP158" s="273"/>
      <c r="AQ158" s="273"/>
    </row>
    <row r="159" spans="1:43" s="454" customFormat="1" ht="13.9" customHeight="1" x14ac:dyDescent="0.25">
      <c r="A159" s="892"/>
      <c r="B159" s="711" t="s">
        <v>573</v>
      </c>
      <c r="C159" s="711"/>
      <c r="D159" s="897"/>
      <c r="E159" s="712"/>
      <c r="F159" s="712"/>
      <c r="G159" s="712"/>
      <c r="H159" s="1123">
        <f>SUM(H158)</f>
        <v>0</v>
      </c>
      <c r="I159" s="716"/>
      <c r="J159" s="1077"/>
      <c r="K159" s="1077"/>
      <c r="L159" s="1077"/>
      <c r="M159" s="2872">
        <f>SUM(M158)</f>
        <v>0</v>
      </c>
      <c r="N159" s="1076"/>
      <c r="O159" s="713">
        <f>SUM(O158)</f>
        <v>0</v>
      </c>
      <c r="P159" s="716"/>
      <c r="Q159" s="713">
        <f>SUM(Q157:Q158)</f>
        <v>0</v>
      </c>
      <c r="R159" s="1125"/>
      <c r="S159" s="1673">
        <f>SUM(S158)</f>
        <v>0</v>
      </c>
      <c r="T159" s="1126">
        <v>0</v>
      </c>
      <c r="U159" s="715"/>
      <c r="V159" s="600">
        <v>0</v>
      </c>
      <c r="W159" s="1127">
        <f>SUM(W158)</f>
        <v>0</v>
      </c>
      <c r="X159" s="600"/>
    </row>
    <row r="160" spans="1:43" s="450" customFormat="1" ht="13.9" customHeight="1" x14ac:dyDescent="0.25">
      <c r="A160" s="3003" t="s">
        <v>616</v>
      </c>
      <c r="B160" s="595" t="s">
        <v>618</v>
      </c>
      <c r="C160" s="438" t="s">
        <v>17</v>
      </c>
      <c r="D160" s="467" t="s">
        <v>563</v>
      </c>
      <c r="E160" s="1770">
        <v>1</v>
      </c>
      <c r="F160" s="1776">
        <v>1800</v>
      </c>
      <c r="G160" s="1770">
        <v>1</v>
      </c>
      <c r="H160" s="1777">
        <f>G160*F160*E160</f>
        <v>1800</v>
      </c>
      <c r="I160" s="675"/>
      <c r="J160" s="1770"/>
      <c r="K160" s="1776"/>
      <c r="L160" s="1770">
        <v>1</v>
      </c>
      <c r="M160" s="2873">
        <f>L160*K160*J160</f>
        <v>0</v>
      </c>
      <c r="N160" s="675"/>
      <c r="O160" s="2920">
        <f t="shared" ref="O160:O165" si="92">H160+M160</f>
        <v>1800</v>
      </c>
      <c r="P160" s="675"/>
      <c r="Q160" s="592"/>
      <c r="R160" s="1061"/>
      <c r="S160" s="1069">
        <f>OIM!T63</f>
        <v>1992.81</v>
      </c>
      <c r="T160" s="1071">
        <f>S160/O160</f>
        <v>1.1071166666666665</v>
      </c>
      <c r="U160" s="521" t="s">
        <v>1257</v>
      </c>
      <c r="V160" s="591">
        <v>0</v>
      </c>
      <c r="W160" s="706">
        <v>0</v>
      </c>
      <c r="X160" s="594"/>
      <c r="Y160" s="273"/>
      <c r="Z160" s="273"/>
      <c r="AA160" s="273"/>
      <c r="AB160" s="273"/>
      <c r="AC160" s="273"/>
      <c r="AD160" s="273"/>
      <c r="AE160" s="273"/>
      <c r="AF160" s="273"/>
      <c r="AG160" s="273"/>
      <c r="AH160" s="273"/>
      <c r="AI160" s="273"/>
      <c r="AJ160" s="273"/>
      <c r="AK160" s="273"/>
      <c r="AL160" s="273"/>
      <c r="AM160" s="273"/>
      <c r="AN160" s="273"/>
      <c r="AO160" s="273"/>
      <c r="AP160" s="273"/>
      <c r="AQ160" s="273"/>
    </row>
    <row r="161" spans="1:43" s="450" customFormat="1" ht="13.9" customHeight="1" x14ac:dyDescent="0.25">
      <c r="A161" s="3004"/>
      <c r="B161" s="595" t="s">
        <v>620</v>
      </c>
      <c r="C161" s="438" t="s">
        <v>17</v>
      </c>
      <c r="D161" s="467" t="s">
        <v>563</v>
      </c>
      <c r="E161" s="1770">
        <v>1</v>
      </c>
      <c r="F161" s="1776">
        <v>2500</v>
      </c>
      <c r="G161" s="1770">
        <v>1</v>
      </c>
      <c r="H161" s="1777">
        <f>G161*F161*E161</f>
        <v>2500</v>
      </c>
      <c r="I161" s="675"/>
      <c r="J161" s="1770">
        <v>1</v>
      </c>
      <c r="K161" s="1776">
        <v>3000</v>
      </c>
      <c r="L161" s="1770">
        <v>1</v>
      </c>
      <c r="M161" s="2873">
        <f>L161*K161*J161</f>
        <v>3000</v>
      </c>
      <c r="N161" s="675"/>
      <c r="O161" s="2920">
        <f t="shared" si="92"/>
        <v>5500</v>
      </c>
      <c r="P161" s="675"/>
      <c r="Q161" s="592"/>
      <c r="R161" s="521"/>
      <c r="S161" s="1069">
        <f>OIM!T66</f>
        <v>4608.1899999999996</v>
      </c>
      <c r="T161" s="1071">
        <f t="shared" ref="T161:T166" si="93">S161/O161</f>
        <v>0.83785272727272719</v>
      </c>
      <c r="U161" s="521" t="s">
        <v>1258</v>
      </c>
      <c r="V161" s="591">
        <v>0</v>
      </c>
      <c r="W161" s="706">
        <v>0</v>
      </c>
      <c r="X161" s="594"/>
      <c r="Y161" s="273"/>
      <c r="Z161" s="273"/>
      <c r="AA161" s="273"/>
      <c r="AB161" s="273"/>
      <c r="AC161" s="273"/>
      <c r="AD161" s="273"/>
      <c r="AE161" s="273"/>
      <c r="AF161" s="273"/>
      <c r="AG161" s="273"/>
      <c r="AH161" s="273"/>
      <c r="AI161" s="273"/>
      <c r="AJ161" s="273"/>
      <c r="AK161" s="273"/>
      <c r="AL161" s="273"/>
      <c r="AM161" s="273"/>
      <c r="AN161" s="273"/>
      <c r="AO161" s="273"/>
      <c r="AP161" s="273"/>
      <c r="AQ161" s="273"/>
    </row>
    <row r="162" spans="1:43" s="450" customFormat="1" ht="13.9" customHeight="1" x14ac:dyDescent="0.25">
      <c r="A162" s="3004"/>
      <c r="B162" s="595" t="s">
        <v>621</v>
      </c>
      <c r="C162" s="1778"/>
      <c r="D162" s="467" t="s">
        <v>563</v>
      </c>
      <c r="E162" s="1721">
        <v>0</v>
      </c>
      <c r="F162" s="1721">
        <v>0</v>
      </c>
      <c r="G162" s="1721">
        <v>0</v>
      </c>
      <c r="H162" s="725">
        <v>0</v>
      </c>
      <c r="I162" s="675"/>
      <c r="J162" s="710">
        <v>0</v>
      </c>
      <c r="K162" s="710">
        <v>0</v>
      </c>
      <c r="L162" s="710">
        <v>0</v>
      </c>
      <c r="M162" s="1798">
        <v>0</v>
      </c>
      <c r="N162" s="675"/>
      <c r="O162" s="2920">
        <f t="shared" si="92"/>
        <v>0</v>
      </c>
      <c r="P162" s="675"/>
      <c r="Q162" s="592"/>
      <c r="R162" s="1061"/>
      <c r="S162" s="1069">
        <v>0</v>
      </c>
      <c r="T162" s="1071">
        <v>0</v>
      </c>
      <c r="U162" s="521"/>
      <c r="V162" s="591">
        <v>0</v>
      </c>
      <c r="W162" s="706">
        <v>0</v>
      </c>
      <c r="X162" s="594"/>
      <c r="Y162" s="273"/>
      <c r="Z162" s="273"/>
      <c r="AA162" s="273"/>
      <c r="AB162" s="273"/>
      <c r="AC162" s="273"/>
      <c r="AD162" s="273"/>
      <c r="AE162" s="273"/>
      <c r="AF162" s="273"/>
      <c r="AG162" s="273"/>
      <c r="AH162" s="273"/>
      <c r="AI162" s="273"/>
      <c r="AJ162" s="273"/>
      <c r="AK162" s="273"/>
      <c r="AL162" s="273"/>
      <c r="AM162" s="273"/>
      <c r="AN162" s="273"/>
      <c r="AO162" s="273"/>
      <c r="AP162" s="273"/>
      <c r="AQ162" s="273"/>
    </row>
    <row r="163" spans="1:43" s="450" customFormat="1" ht="27.65" customHeight="1" x14ac:dyDescent="0.25">
      <c r="A163" s="3004"/>
      <c r="B163" s="595" t="s">
        <v>623</v>
      </c>
      <c r="C163" s="595" t="s">
        <v>17</v>
      </c>
      <c r="D163" s="467" t="s">
        <v>563</v>
      </c>
      <c r="E163" s="710">
        <v>0</v>
      </c>
      <c r="F163" s="1776">
        <v>0</v>
      </c>
      <c r="G163" s="710">
        <v>0</v>
      </c>
      <c r="H163" s="1777">
        <f>G163*F163*E163</f>
        <v>0</v>
      </c>
      <c r="I163" s="1779"/>
      <c r="J163" s="710">
        <v>1</v>
      </c>
      <c r="K163" s="1776">
        <v>2000</v>
      </c>
      <c r="L163" s="710">
        <v>1</v>
      </c>
      <c r="M163" s="2873">
        <f>L163*K163*J163</f>
        <v>2000</v>
      </c>
      <c r="N163" s="1779"/>
      <c r="O163" s="2920">
        <f t="shared" si="92"/>
        <v>2000</v>
      </c>
      <c r="P163" s="675"/>
      <c r="Q163" s="1780"/>
      <c r="R163" s="1061"/>
      <c r="S163" s="1069">
        <f>OIM!T72</f>
        <v>1002</v>
      </c>
      <c r="T163" s="1071">
        <f t="shared" si="93"/>
        <v>0.501</v>
      </c>
      <c r="U163" s="521"/>
      <c r="V163" s="591">
        <v>0</v>
      </c>
      <c r="W163" s="706">
        <v>0</v>
      </c>
      <c r="X163" s="594"/>
      <c r="Y163" s="273"/>
      <c r="Z163" s="273"/>
      <c r="AA163" s="273"/>
      <c r="AB163" s="273"/>
      <c r="AC163" s="273"/>
      <c r="AD163" s="273"/>
      <c r="AE163" s="273"/>
      <c r="AF163" s="273"/>
      <c r="AG163" s="273"/>
      <c r="AH163" s="273"/>
      <c r="AI163" s="273"/>
      <c r="AJ163" s="273"/>
      <c r="AK163" s="273"/>
      <c r="AL163" s="273"/>
      <c r="AM163" s="273"/>
      <c r="AN163" s="273"/>
      <c r="AO163" s="273"/>
      <c r="AP163" s="273"/>
      <c r="AQ163" s="273"/>
    </row>
    <row r="164" spans="1:43" s="450" customFormat="1" ht="27.65" customHeight="1" x14ac:dyDescent="0.25">
      <c r="A164" s="3004"/>
      <c r="B164" s="595" t="s">
        <v>624</v>
      </c>
      <c r="C164" s="595" t="s">
        <v>47</v>
      </c>
      <c r="D164" s="467" t="s">
        <v>563</v>
      </c>
      <c r="E164" s="710">
        <v>0</v>
      </c>
      <c r="F164" s="1776">
        <v>0</v>
      </c>
      <c r="G164" s="710">
        <v>0</v>
      </c>
      <c r="H164" s="1777">
        <f t="shared" ref="H164:H165" si="94">G164*F164*E164</f>
        <v>0</v>
      </c>
      <c r="I164" s="1779"/>
      <c r="J164" s="710">
        <v>1</v>
      </c>
      <c r="K164" s="1776">
        <v>40000</v>
      </c>
      <c r="L164" s="710">
        <v>1</v>
      </c>
      <c r="M164" s="2873">
        <f>L164*K164*J164</f>
        <v>40000</v>
      </c>
      <c r="N164" s="1779"/>
      <c r="O164" s="2920">
        <f t="shared" si="92"/>
        <v>40000</v>
      </c>
      <c r="P164" s="675"/>
      <c r="Q164" s="1780"/>
      <c r="R164" s="1061"/>
      <c r="S164" s="1069">
        <f>OIM!T73</f>
        <v>40000</v>
      </c>
      <c r="T164" s="1071">
        <f t="shared" si="93"/>
        <v>1</v>
      </c>
      <c r="U164" s="521" t="s">
        <v>1259</v>
      </c>
      <c r="V164" s="591">
        <v>0</v>
      </c>
      <c r="W164" s="706">
        <v>0</v>
      </c>
      <c r="X164" s="594"/>
      <c r="Y164" s="273"/>
      <c r="Z164" s="273"/>
      <c r="AA164" s="273"/>
      <c r="AB164" s="273"/>
      <c r="AC164" s="273"/>
      <c r="AD164" s="273"/>
      <c r="AE164" s="273"/>
      <c r="AF164" s="273"/>
      <c r="AG164" s="273"/>
      <c r="AH164" s="273"/>
      <c r="AI164" s="273"/>
      <c r="AJ164" s="273"/>
      <c r="AK164" s="273"/>
      <c r="AL164" s="273"/>
      <c r="AM164" s="273"/>
      <c r="AN164" s="273"/>
      <c r="AO164" s="273"/>
      <c r="AP164" s="273"/>
      <c r="AQ164" s="273"/>
    </row>
    <row r="165" spans="1:43" s="450" customFormat="1" ht="13.9" customHeight="1" x14ac:dyDescent="0.25">
      <c r="A165" s="3004"/>
      <c r="B165" s="1781" t="s">
        <v>625</v>
      </c>
      <c r="C165" s="595" t="s">
        <v>15</v>
      </c>
      <c r="D165" s="467" t="s">
        <v>563</v>
      </c>
      <c r="E165" s="710">
        <v>0</v>
      </c>
      <c r="F165" s="1776">
        <v>0</v>
      </c>
      <c r="G165" s="710">
        <v>0</v>
      </c>
      <c r="H165" s="1777">
        <f t="shared" si="94"/>
        <v>0</v>
      </c>
      <c r="I165" s="1779"/>
      <c r="J165" s="710">
        <v>1</v>
      </c>
      <c r="K165" s="1776">
        <v>3500</v>
      </c>
      <c r="L165" s="710">
        <v>1</v>
      </c>
      <c r="M165" s="2873">
        <f>L165*K165*J165</f>
        <v>3500</v>
      </c>
      <c r="N165" s="1779"/>
      <c r="O165" s="2920">
        <f t="shared" si="92"/>
        <v>3500</v>
      </c>
      <c r="P165" s="675"/>
      <c r="Q165" s="1780"/>
      <c r="R165" s="1061"/>
      <c r="S165" s="1069">
        <f>OIM!T74</f>
        <v>2674</v>
      </c>
      <c r="T165" s="1071">
        <f t="shared" si="93"/>
        <v>0.76400000000000001</v>
      </c>
      <c r="U165" s="521"/>
      <c r="V165" s="591">
        <v>0</v>
      </c>
      <c r="W165" s="706">
        <v>0</v>
      </c>
      <c r="X165" s="594"/>
      <c r="Y165" s="273"/>
      <c r="Z165" s="273"/>
      <c r="AA165" s="273"/>
      <c r="AB165" s="273"/>
      <c r="AC165" s="273"/>
      <c r="AD165" s="273"/>
      <c r="AE165" s="273"/>
      <c r="AF165" s="273"/>
      <c r="AG165" s="273"/>
      <c r="AH165" s="273"/>
      <c r="AI165" s="273"/>
      <c r="AJ165" s="273"/>
      <c r="AK165" s="273"/>
      <c r="AL165" s="273"/>
      <c r="AM165" s="273"/>
      <c r="AN165" s="273"/>
      <c r="AO165" s="273"/>
      <c r="AP165" s="273"/>
      <c r="AQ165" s="273"/>
    </row>
    <row r="166" spans="1:43" s="450" customFormat="1" ht="13.9" customHeight="1" x14ac:dyDescent="0.25">
      <c r="A166" s="3004"/>
      <c r="B166" s="1781" t="s">
        <v>626</v>
      </c>
      <c r="C166" s="595" t="s">
        <v>47</v>
      </c>
      <c r="D166" s="467" t="s">
        <v>563</v>
      </c>
      <c r="E166" s="710"/>
      <c r="F166" s="1776"/>
      <c r="G166" s="710"/>
      <c r="H166" s="1777"/>
      <c r="I166" s="1779"/>
      <c r="J166" s="710">
        <v>1</v>
      </c>
      <c r="K166" s="1776">
        <v>19100</v>
      </c>
      <c r="L166" s="710">
        <v>1</v>
      </c>
      <c r="M166" s="2873">
        <f>L166*K166*J166</f>
        <v>19100</v>
      </c>
      <c r="N166" s="1779"/>
      <c r="O166" s="2920">
        <f>M166+H166</f>
        <v>19100</v>
      </c>
      <c r="P166" s="675"/>
      <c r="Q166" s="1780"/>
      <c r="R166" s="1061"/>
      <c r="S166" s="1069">
        <f>OIM!T75</f>
        <v>18879.37</v>
      </c>
      <c r="T166" s="1071">
        <f t="shared" si="93"/>
        <v>0.98844869109947642</v>
      </c>
      <c r="U166" s="521"/>
      <c r="V166" s="591">
        <v>0</v>
      </c>
      <c r="W166" s="706">
        <v>0</v>
      </c>
      <c r="X166" s="594"/>
      <c r="Y166" s="273"/>
      <c r="Z166" s="273"/>
      <c r="AA166" s="273"/>
      <c r="AB166" s="273"/>
      <c r="AC166" s="273"/>
      <c r="AD166" s="273"/>
      <c r="AE166" s="273"/>
      <c r="AF166" s="273"/>
      <c r="AG166" s="273"/>
      <c r="AH166" s="273"/>
      <c r="AI166" s="273"/>
      <c r="AJ166" s="273"/>
      <c r="AK166" s="273"/>
      <c r="AL166" s="273"/>
      <c r="AM166" s="273"/>
      <c r="AN166" s="273"/>
      <c r="AO166" s="273"/>
      <c r="AP166" s="273"/>
      <c r="AQ166" s="273"/>
    </row>
    <row r="167" spans="1:43" s="454" customFormat="1" ht="13.9" customHeight="1" x14ac:dyDescent="0.25">
      <c r="A167" s="3005"/>
      <c r="B167" s="711" t="s">
        <v>573</v>
      </c>
      <c r="C167" s="711"/>
      <c r="D167" s="897"/>
      <c r="E167" s="712"/>
      <c r="F167" s="712"/>
      <c r="G167" s="712"/>
      <c r="H167" s="1123">
        <f>SUM(H160:H166)</f>
        <v>4300</v>
      </c>
      <c r="I167" s="716"/>
      <c r="J167" s="1077"/>
      <c r="K167" s="1077"/>
      <c r="L167" s="1077"/>
      <c r="M167" s="2870">
        <f>SUM(M160:M166)</f>
        <v>67600</v>
      </c>
      <c r="N167" s="716"/>
      <c r="O167" s="1672">
        <f t="shared" ref="O167:R167" si="95">SUM(O160:O166)</f>
        <v>71900</v>
      </c>
      <c r="P167" s="1672">
        <f t="shared" si="95"/>
        <v>0</v>
      </c>
      <c r="Q167" s="1672">
        <f t="shared" si="95"/>
        <v>0</v>
      </c>
      <c r="R167" s="1672">
        <f t="shared" si="95"/>
        <v>0</v>
      </c>
      <c r="S167" s="1672">
        <f>SUM(S160:S166)</f>
        <v>69156.37</v>
      </c>
      <c r="T167" s="1126">
        <f>S167/O167</f>
        <v>0.96184102920723225</v>
      </c>
      <c r="U167" s="715"/>
      <c r="V167" s="600">
        <v>0</v>
      </c>
      <c r="W167" s="1127">
        <f>SUM(W160:W166)</f>
        <v>0</v>
      </c>
      <c r="X167" s="600"/>
      <c r="Y167" s="670"/>
      <c r="Z167" s="670"/>
      <c r="AA167" s="670"/>
      <c r="AB167" s="670"/>
      <c r="AC167" s="670"/>
      <c r="AD167" s="670"/>
      <c r="AE167" s="670"/>
      <c r="AF167" s="670"/>
      <c r="AG167" s="670"/>
      <c r="AH167" s="670"/>
      <c r="AI167" s="670"/>
      <c r="AJ167" s="670"/>
      <c r="AK167" s="670"/>
      <c r="AL167" s="670"/>
      <c r="AM167" s="670"/>
      <c r="AN167" s="670"/>
      <c r="AO167" s="670"/>
      <c r="AP167" s="670"/>
      <c r="AQ167" s="670"/>
    </row>
    <row r="168" spans="1:43" ht="13.9" customHeight="1" x14ac:dyDescent="0.25">
      <c r="A168" s="3000" t="s">
        <v>627</v>
      </c>
      <c r="B168" s="3001"/>
      <c r="C168" s="3001"/>
      <c r="D168" s="3001"/>
      <c r="E168" s="3001"/>
      <c r="F168" s="3001"/>
      <c r="G168" s="3001"/>
      <c r="H168" s="3001"/>
      <c r="I168" s="3001"/>
      <c r="J168" s="3001"/>
      <c r="K168" s="3001"/>
      <c r="L168" s="3001"/>
      <c r="M168" s="3001"/>
      <c r="N168" s="3001"/>
      <c r="O168" s="3001"/>
      <c r="P168" s="3001"/>
      <c r="Q168" s="3001"/>
      <c r="R168" s="3002"/>
      <c r="S168" s="1671"/>
      <c r="T168" s="1088"/>
      <c r="U168" s="893"/>
      <c r="V168" s="1103"/>
      <c r="W168" s="1104"/>
      <c r="X168" s="1105"/>
      <c r="Y168" s="448"/>
      <c r="Z168" s="448"/>
      <c r="AA168" s="448"/>
      <c r="AB168" s="448"/>
      <c r="AC168" s="448"/>
      <c r="AD168" s="448"/>
      <c r="AE168" s="448"/>
      <c r="AF168" s="448"/>
      <c r="AG168" s="448"/>
      <c r="AH168" s="448"/>
      <c r="AI168" s="448"/>
      <c r="AJ168" s="448"/>
      <c r="AK168" s="448"/>
      <c r="AL168" s="448"/>
      <c r="AM168" s="448"/>
      <c r="AN168" s="448"/>
      <c r="AO168" s="448"/>
      <c r="AP168" s="448"/>
      <c r="AQ168" s="448"/>
    </row>
    <row r="169" spans="1:43" s="450" customFormat="1" ht="24" customHeight="1" x14ac:dyDescent="0.25">
      <c r="A169" s="3055" t="s">
        <v>628</v>
      </c>
      <c r="B169" s="595" t="s">
        <v>630</v>
      </c>
      <c r="C169" s="595" t="s">
        <v>17</v>
      </c>
      <c r="D169" s="467" t="s">
        <v>563</v>
      </c>
      <c r="E169" s="710">
        <v>1</v>
      </c>
      <c r="F169" s="710">
        <v>1500</v>
      </c>
      <c r="G169" s="710">
        <v>2</v>
      </c>
      <c r="H169" s="592">
        <f>G169*F169*E169</f>
        <v>3000</v>
      </c>
      <c r="I169" s="1779"/>
      <c r="J169" s="710">
        <v>0</v>
      </c>
      <c r="K169" s="710">
        <v>0</v>
      </c>
      <c r="L169" s="710">
        <v>0</v>
      </c>
      <c r="M169" s="2874">
        <f>L169*K169*J169</f>
        <v>0</v>
      </c>
      <c r="N169" s="1779"/>
      <c r="O169" s="2920">
        <f t="shared" ref="O169:O175" si="96">H169+M169</f>
        <v>3000</v>
      </c>
      <c r="P169" s="675"/>
      <c r="Q169" s="1780"/>
      <c r="R169" s="1061"/>
      <c r="S169" s="1069">
        <f>OIM!T80</f>
        <v>2631.5</v>
      </c>
      <c r="T169" s="1071">
        <f>S169/O169</f>
        <v>0.87716666666666665</v>
      </c>
      <c r="U169" s="521" t="s">
        <v>606</v>
      </c>
      <c r="V169" s="591">
        <v>0</v>
      </c>
      <c r="W169" s="706">
        <v>0</v>
      </c>
      <c r="X169" s="594"/>
      <c r="Y169" s="273"/>
      <c r="Z169" s="273"/>
      <c r="AA169" s="273"/>
      <c r="AB169" s="273"/>
      <c r="AC169" s="273"/>
      <c r="AD169" s="273"/>
      <c r="AE169" s="273"/>
      <c r="AF169" s="273"/>
      <c r="AG169" s="273"/>
      <c r="AH169" s="273"/>
      <c r="AI169" s="273"/>
      <c r="AJ169" s="273"/>
      <c r="AK169" s="273"/>
      <c r="AL169" s="273"/>
      <c r="AM169" s="273"/>
      <c r="AN169" s="273"/>
      <c r="AO169" s="273"/>
      <c r="AP169" s="273"/>
      <c r="AQ169" s="273"/>
    </row>
    <row r="170" spans="1:43" s="450" customFormat="1" ht="27.65" customHeight="1" x14ac:dyDescent="0.25">
      <c r="A170" s="3056"/>
      <c r="B170" s="595" t="s">
        <v>633</v>
      </c>
      <c r="C170" s="595" t="s">
        <v>15</v>
      </c>
      <c r="D170" s="467" t="s">
        <v>563</v>
      </c>
      <c r="E170" s="710">
        <v>1</v>
      </c>
      <c r="F170" s="710">
        <v>8000</v>
      </c>
      <c r="G170" s="710">
        <v>1</v>
      </c>
      <c r="H170" s="592">
        <f>G170*F170*E170</f>
        <v>8000</v>
      </c>
      <c r="I170" s="1779"/>
      <c r="J170" s="710">
        <v>0</v>
      </c>
      <c r="K170" s="710">
        <v>0</v>
      </c>
      <c r="L170" s="710">
        <v>0</v>
      </c>
      <c r="M170" s="2874">
        <f>L170*K170*J170</f>
        <v>0</v>
      </c>
      <c r="N170" s="1779"/>
      <c r="O170" s="2920">
        <f t="shared" si="96"/>
        <v>8000</v>
      </c>
      <c r="P170" s="675"/>
      <c r="Q170" s="1780"/>
      <c r="R170" s="1061"/>
      <c r="S170" s="1069">
        <f>OIM!T83</f>
        <v>12731.02</v>
      </c>
      <c r="T170" s="1071">
        <f t="shared" ref="T170" si="97">S170/O170</f>
        <v>1.5913775000000001</v>
      </c>
      <c r="U170" s="521" t="s">
        <v>944</v>
      </c>
      <c r="V170" s="591">
        <v>0</v>
      </c>
      <c r="W170" s="706">
        <v>0</v>
      </c>
      <c r="X170" s="594"/>
      <c r="Y170" s="273"/>
      <c r="Z170" s="273"/>
      <c r="AA170" s="273"/>
      <c r="AB170" s="273"/>
      <c r="AC170" s="273"/>
      <c r="AD170" s="273"/>
      <c r="AE170" s="273"/>
      <c r="AF170" s="273"/>
      <c r="AG170" s="273"/>
      <c r="AH170" s="273"/>
      <c r="AI170" s="273"/>
      <c r="AJ170" s="273"/>
      <c r="AK170" s="273"/>
      <c r="AL170" s="273"/>
      <c r="AM170" s="273"/>
      <c r="AN170" s="273"/>
      <c r="AO170" s="273"/>
      <c r="AP170" s="273"/>
      <c r="AQ170" s="273"/>
    </row>
    <row r="171" spans="1:43" s="450" customFormat="1" ht="27.65" customHeight="1" x14ac:dyDescent="0.25">
      <c r="A171" s="3056"/>
      <c r="B171" s="595" t="s">
        <v>635</v>
      </c>
      <c r="C171" s="595" t="s">
        <v>577</v>
      </c>
      <c r="D171" s="467" t="s">
        <v>563</v>
      </c>
      <c r="E171" s="710">
        <v>1</v>
      </c>
      <c r="F171" s="710">
        <v>0</v>
      </c>
      <c r="G171" s="710">
        <v>1</v>
      </c>
      <c r="H171" s="592">
        <f>G171*F171*E171</f>
        <v>0</v>
      </c>
      <c r="I171" s="1779"/>
      <c r="J171" s="710"/>
      <c r="K171" s="710">
        <v>0</v>
      </c>
      <c r="L171" s="710">
        <v>0</v>
      </c>
      <c r="M171" s="2874">
        <f>L171*K171*J171</f>
        <v>0</v>
      </c>
      <c r="N171" s="1779"/>
      <c r="O171" s="2920">
        <f t="shared" si="96"/>
        <v>0</v>
      </c>
      <c r="P171" s="675"/>
      <c r="Q171" s="1780"/>
      <c r="R171" s="1061"/>
      <c r="S171" s="1069">
        <v>0</v>
      </c>
      <c r="T171" s="1071">
        <v>0</v>
      </c>
      <c r="U171" s="521" t="s">
        <v>1260</v>
      </c>
      <c r="V171" s="591">
        <v>0</v>
      </c>
      <c r="W171" s="706">
        <v>0</v>
      </c>
      <c r="X171" s="594"/>
      <c r="Y171" s="273"/>
      <c r="Z171" s="273"/>
      <c r="AA171" s="273"/>
      <c r="AB171" s="273"/>
      <c r="AC171" s="273"/>
      <c r="AD171" s="273"/>
      <c r="AE171" s="273"/>
      <c r="AF171" s="273"/>
      <c r="AG171" s="273"/>
      <c r="AH171" s="273"/>
      <c r="AI171" s="273"/>
      <c r="AJ171" s="273"/>
      <c r="AK171" s="273"/>
      <c r="AL171" s="273"/>
      <c r="AM171" s="273"/>
      <c r="AN171" s="273"/>
      <c r="AO171" s="273"/>
      <c r="AP171" s="273"/>
      <c r="AQ171" s="273"/>
    </row>
    <row r="172" spans="1:43" s="454" customFormat="1" ht="13.9" customHeight="1" x14ac:dyDescent="0.25">
      <c r="A172" s="3057"/>
      <c r="B172" s="711" t="s">
        <v>573</v>
      </c>
      <c r="C172" s="711"/>
      <c r="D172" s="897"/>
      <c r="E172" s="712"/>
      <c r="F172" s="712"/>
      <c r="G172" s="712"/>
      <c r="H172" s="1123">
        <f>SUM(H169:H171)</f>
        <v>11000</v>
      </c>
      <c r="I172" s="716"/>
      <c r="J172" s="1077"/>
      <c r="K172" s="1077"/>
      <c r="L172" s="1077"/>
      <c r="M172" s="2870">
        <f>SUM(M169:M171)</f>
        <v>0</v>
      </c>
      <c r="N172" s="716"/>
      <c r="O172" s="1123">
        <f t="shared" si="96"/>
        <v>11000</v>
      </c>
      <c r="P172" s="1076"/>
      <c r="Q172" s="713">
        <f>SUM(Q170:Q171)</f>
        <v>0</v>
      </c>
      <c r="R172" s="1125"/>
      <c r="S172" s="1672">
        <f>SUM(S169:S171)</f>
        <v>15362.52</v>
      </c>
      <c r="T172" s="1126">
        <f>S172/O172</f>
        <v>1.3965927272727272</v>
      </c>
      <c r="U172" s="715"/>
      <c r="V172" s="1128">
        <v>0</v>
      </c>
      <c r="W172" s="1127">
        <f>SUM(W169:W171)</f>
        <v>0</v>
      </c>
      <c r="X172" s="600"/>
      <c r="Y172" s="670"/>
      <c r="Z172" s="670"/>
      <c r="AA172" s="670"/>
      <c r="AB172" s="670"/>
      <c r="AC172" s="670"/>
      <c r="AD172" s="670"/>
      <c r="AE172" s="670"/>
      <c r="AF172" s="670"/>
      <c r="AG172" s="670"/>
      <c r="AH172" s="670"/>
      <c r="AI172" s="670"/>
      <c r="AJ172" s="670"/>
      <c r="AK172" s="670"/>
      <c r="AL172" s="670"/>
      <c r="AM172" s="670"/>
      <c r="AN172" s="670"/>
      <c r="AO172" s="670"/>
      <c r="AP172" s="670"/>
      <c r="AQ172" s="670"/>
    </row>
    <row r="173" spans="1:43" s="450" customFormat="1" ht="37.9" customHeight="1" x14ac:dyDescent="0.25">
      <c r="A173" s="3003" t="s">
        <v>1370</v>
      </c>
      <c r="B173" s="595" t="s">
        <v>638</v>
      </c>
      <c r="C173" s="595" t="s">
        <v>577</v>
      </c>
      <c r="D173" s="467" t="s">
        <v>563</v>
      </c>
      <c r="E173" s="724">
        <v>2</v>
      </c>
      <c r="F173" s="724">
        <v>0</v>
      </c>
      <c r="G173" s="724">
        <v>1</v>
      </c>
      <c r="H173" s="592">
        <f>G173*F173*E173</f>
        <v>0</v>
      </c>
      <c r="I173" s="1779"/>
      <c r="J173" s="710">
        <v>0</v>
      </c>
      <c r="K173" s="710">
        <v>0</v>
      </c>
      <c r="L173" s="710">
        <v>0</v>
      </c>
      <c r="M173" s="2874">
        <f>L173*K173*J173</f>
        <v>0</v>
      </c>
      <c r="N173" s="1779"/>
      <c r="O173" s="2920">
        <f t="shared" si="96"/>
        <v>0</v>
      </c>
      <c r="P173" s="675"/>
      <c r="Q173" s="1780"/>
      <c r="R173" s="521"/>
      <c r="S173" s="1069">
        <v>0</v>
      </c>
      <c r="T173" s="1071"/>
      <c r="U173" s="521" t="s">
        <v>1260</v>
      </c>
      <c r="V173" s="591"/>
      <c r="W173" s="706"/>
      <c r="X173" s="594"/>
      <c r="Y173" s="273"/>
      <c r="Z173" s="273"/>
      <c r="AA173" s="273"/>
      <c r="AB173" s="273"/>
      <c r="AC173" s="273"/>
      <c r="AD173" s="273"/>
      <c r="AE173" s="273"/>
      <c r="AF173" s="273"/>
      <c r="AG173" s="273"/>
      <c r="AH173" s="273"/>
      <c r="AI173" s="273"/>
      <c r="AJ173" s="273"/>
      <c r="AK173" s="273"/>
      <c r="AL173" s="273"/>
      <c r="AM173" s="273"/>
      <c r="AN173" s="273"/>
      <c r="AO173" s="273"/>
      <c r="AP173" s="273"/>
      <c r="AQ173" s="273"/>
    </row>
    <row r="174" spans="1:43" s="454" customFormat="1" ht="13.9" customHeight="1" x14ac:dyDescent="0.25">
      <c r="A174" s="3005"/>
      <c r="B174" s="711" t="s">
        <v>573</v>
      </c>
      <c r="C174" s="711"/>
      <c r="D174" s="897"/>
      <c r="E174" s="712"/>
      <c r="F174" s="712"/>
      <c r="G174" s="712"/>
      <c r="H174" s="1123">
        <f>SUM(H173)</f>
        <v>0</v>
      </c>
      <c r="I174" s="716"/>
      <c r="J174" s="1077"/>
      <c r="K174" s="1077"/>
      <c r="L174" s="1077"/>
      <c r="M174" s="2870">
        <f>SUM(M173)</f>
        <v>0</v>
      </c>
      <c r="N174" s="716"/>
      <c r="O174" s="1123">
        <f t="shared" si="96"/>
        <v>0</v>
      </c>
      <c r="P174" s="1076"/>
      <c r="Q174" s="713">
        <f>SUM(Q172:Q173)</f>
        <v>0</v>
      </c>
      <c r="R174" s="1125"/>
      <c r="S174" s="1672">
        <f>SUM(S173)</f>
        <v>0</v>
      </c>
      <c r="T174" s="1126"/>
      <c r="U174" s="715"/>
      <c r="V174" s="600"/>
      <c r="W174" s="1127">
        <f>SUM(W171:W173)</f>
        <v>0</v>
      </c>
      <c r="X174" s="600"/>
      <c r="Y174" s="670"/>
      <c r="Z174" s="670"/>
      <c r="AA174" s="670"/>
      <c r="AB174" s="670"/>
      <c r="AC174" s="670"/>
      <c r="AD174" s="670"/>
      <c r="AE174" s="670"/>
      <c r="AF174" s="670"/>
      <c r="AG174" s="670"/>
      <c r="AH174" s="670"/>
      <c r="AI174" s="670"/>
      <c r="AJ174" s="670"/>
      <c r="AK174" s="670"/>
      <c r="AL174" s="670"/>
      <c r="AM174" s="670"/>
      <c r="AN174" s="670"/>
      <c r="AO174" s="670"/>
      <c r="AP174" s="670"/>
      <c r="AQ174" s="670"/>
    </row>
    <row r="175" spans="1:43" s="450" customFormat="1" ht="27.75" customHeight="1" x14ac:dyDescent="0.25">
      <c r="A175" s="2994" t="s">
        <v>1371</v>
      </c>
      <c r="B175" s="595" t="s">
        <v>641</v>
      </c>
      <c r="C175" s="595" t="s">
        <v>15</v>
      </c>
      <c r="D175" s="467" t="s">
        <v>563</v>
      </c>
      <c r="E175" s="710">
        <v>2</v>
      </c>
      <c r="F175" s="710">
        <v>9000</v>
      </c>
      <c r="G175" s="710">
        <v>2</v>
      </c>
      <c r="H175" s="592">
        <f>G175*F175*E175</f>
        <v>36000</v>
      </c>
      <c r="I175" s="1779"/>
      <c r="J175" s="710">
        <v>0</v>
      </c>
      <c r="K175" s="710">
        <v>0</v>
      </c>
      <c r="L175" s="710">
        <v>0</v>
      </c>
      <c r="M175" s="2874">
        <f>L175*K175*J175</f>
        <v>0</v>
      </c>
      <c r="N175" s="1779"/>
      <c r="O175" s="2920">
        <f t="shared" si="96"/>
        <v>36000</v>
      </c>
      <c r="P175" s="675"/>
      <c r="Q175" s="1780"/>
      <c r="R175" s="1061"/>
      <c r="S175" s="1069">
        <f>OIM!T90</f>
        <v>30476.27</v>
      </c>
      <c r="T175" s="1071">
        <f>S175/O175</f>
        <v>0.84656305555555555</v>
      </c>
      <c r="U175" s="521" t="s">
        <v>944</v>
      </c>
      <c r="V175" s="591">
        <v>0</v>
      </c>
      <c r="W175" s="706">
        <f>+N175*S175</f>
        <v>0</v>
      </c>
      <c r="X175" s="594"/>
      <c r="Y175" s="273"/>
      <c r="Z175" s="273"/>
      <c r="AA175" s="273"/>
      <c r="AB175" s="273"/>
      <c r="AC175" s="273"/>
      <c r="AD175" s="273"/>
      <c r="AE175" s="273"/>
      <c r="AF175" s="273"/>
      <c r="AG175" s="273"/>
      <c r="AH175" s="273"/>
      <c r="AI175" s="273"/>
      <c r="AJ175" s="273"/>
      <c r="AK175" s="273"/>
      <c r="AL175" s="273"/>
      <c r="AM175" s="273"/>
      <c r="AN175" s="273"/>
      <c r="AO175" s="273"/>
      <c r="AP175" s="273"/>
      <c r="AQ175" s="273"/>
    </row>
    <row r="176" spans="1:43" s="450" customFormat="1" ht="27" customHeight="1" x14ac:dyDescent="0.25">
      <c r="A176" s="2995"/>
      <c r="B176" s="595" t="s">
        <v>642</v>
      </c>
      <c r="C176" s="595" t="s">
        <v>15</v>
      </c>
      <c r="D176" s="467" t="s">
        <v>563</v>
      </c>
      <c r="E176" s="710">
        <v>0</v>
      </c>
      <c r="F176" s="710">
        <v>0</v>
      </c>
      <c r="G176" s="710">
        <v>0</v>
      </c>
      <c r="H176" s="592">
        <f>G176*F176*E176</f>
        <v>0</v>
      </c>
      <c r="I176" s="1779"/>
      <c r="J176" s="710">
        <v>2</v>
      </c>
      <c r="K176" s="710">
        <v>0</v>
      </c>
      <c r="L176" s="710">
        <v>2</v>
      </c>
      <c r="M176" s="2874">
        <f>L176*K176*J176</f>
        <v>0</v>
      </c>
      <c r="N176" s="1779"/>
      <c r="O176" s="2920">
        <f>M176+H176</f>
        <v>0</v>
      </c>
      <c r="P176" s="675"/>
      <c r="Q176" s="1780"/>
      <c r="R176" s="1061"/>
      <c r="S176" s="1069">
        <v>0</v>
      </c>
      <c r="T176" s="1071"/>
      <c r="U176" s="521" t="s">
        <v>1261</v>
      </c>
      <c r="V176" s="591">
        <v>0</v>
      </c>
      <c r="W176" s="706">
        <f>+N176*S176</f>
        <v>0</v>
      </c>
      <c r="X176" s="594"/>
      <c r="Y176" s="273"/>
      <c r="Z176" s="273"/>
      <c r="AA176" s="273"/>
      <c r="AB176" s="273"/>
      <c r="AC176" s="273"/>
      <c r="AD176" s="273"/>
      <c r="AE176" s="273"/>
      <c r="AF176" s="273"/>
      <c r="AG176" s="273"/>
      <c r="AH176" s="273"/>
      <c r="AI176" s="273"/>
      <c r="AJ176" s="273"/>
      <c r="AK176" s="273"/>
      <c r="AL176" s="273"/>
      <c r="AM176" s="273"/>
      <c r="AN176" s="273"/>
      <c r="AO176" s="273"/>
      <c r="AP176" s="273"/>
      <c r="AQ176" s="273"/>
    </row>
    <row r="177" spans="1:43" s="454" customFormat="1" ht="13.9" customHeight="1" x14ac:dyDescent="0.25">
      <c r="A177" s="2996"/>
      <c r="B177" s="711" t="s">
        <v>573</v>
      </c>
      <c r="C177" s="711"/>
      <c r="D177" s="897"/>
      <c r="E177" s="712"/>
      <c r="F177" s="712"/>
      <c r="G177" s="712"/>
      <c r="H177" s="1123">
        <f>SUM(H175:H176)</f>
        <v>36000</v>
      </c>
      <c r="I177" s="716"/>
      <c r="J177" s="1077"/>
      <c r="K177" s="1077"/>
      <c r="L177" s="1077"/>
      <c r="M177" s="2870">
        <f>SUM(M175:M176)</f>
        <v>0</v>
      </c>
      <c r="N177" s="716"/>
      <c r="O177" s="1123">
        <f>SUM(O175:O176)</f>
        <v>36000</v>
      </c>
      <c r="P177" s="1076"/>
      <c r="Q177" s="713">
        <f>SUM(Q175:Q176)</f>
        <v>0</v>
      </c>
      <c r="R177" s="1125"/>
      <c r="S177" s="1672">
        <f>SUM(S175:S176)</f>
        <v>30476.27</v>
      </c>
      <c r="T177" s="1126">
        <f>S177/O177</f>
        <v>0.84656305555555555</v>
      </c>
      <c r="U177" s="715"/>
      <c r="V177" s="600"/>
      <c r="W177" s="1127">
        <f>SUM(W175:W176)</f>
        <v>0</v>
      </c>
      <c r="X177" s="600"/>
      <c r="Y177" s="670"/>
      <c r="Z177" s="670"/>
      <c r="AA177" s="670"/>
      <c r="AB177" s="670"/>
      <c r="AC177" s="670"/>
      <c r="AD177" s="670"/>
      <c r="AE177" s="670"/>
      <c r="AF177" s="670"/>
      <c r="AG177" s="670"/>
      <c r="AH177" s="670"/>
      <c r="AI177" s="670"/>
      <c r="AJ177" s="670"/>
      <c r="AK177" s="670"/>
      <c r="AL177" s="670"/>
      <c r="AM177" s="670"/>
      <c r="AN177" s="670"/>
      <c r="AO177" s="670"/>
      <c r="AP177" s="670"/>
      <c r="AQ177" s="670"/>
    </row>
    <row r="178" spans="1:43" s="461" customFormat="1" ht="13.9" customHeight="1" x14ac:dyDescent="0.25">
      <c r="A178" s="3009" t="s">
        <v>1228</v>
      </c>
      <c r="B178" s="3010"/>
      <c r="C178" s="1846"/>
      <c r="D178" s="903"/>
      <c r="E178" s="1116"/>
      <c r="F178" s="1116"/>
      <c r="G178" s="1116"/>
      <c r="H178" s="476">
        <f>H134+H145+H149+H157+H159+H167+H172+H174+H177</f>
        <v>95350</v>
      </c>
      <c r="I178" s="677"/>
      <c r="J178" s="1117"/>
      <c r="K178" s="1117"/>
      <c r="L178" s="1117"/>
      <c r="M178" s="2869">
        <f>M134+M145+M149+M157+M159+M167+M172+M174+M177</f>
        <v>117584</v>
      </c>
      <c r="N178" s="1118"/>
      <c r="O178" s="1122">
        <f t="shared" ref="O178:R178" si="98">O134+O145+O149+O157+O159+O167+O172+O174+O177</f>
        <v>212934</v>
      </c>
      <c r="P178" s="1122">
        <f t="shared" si="98"/>
        <v>2.0999999999999996</v>
      </c>
      <c r="Q178" s="1122">
        <f t="shared" si="98"/>
        <v>14940</v>
      </c>
      <c r="R178" s="1122">
        <f t="shared" si="98"/>
        <v>0</v>
      </c>
      <c r="S178" s="1122">
        <f>S134+S145+S149+S157+S159+S167+S172+S174+S177</f>
        <v>200353.77999999997</v>
      </c>
      <c r="T178" s="1120">
        <f>S178/O178</f>
        <v>0.9409196276780597</v>
      </c>
      <c r="U178" s="1121"/>
      <c r="V178" s="1120">
        <f>W178/Q178</f>
        <v>0.97820662650602408</v>
      </c>
      <c r="W178" s="1122">
        <f>W134+W145+W149+W157+W159+W167+W172+W174+W177</f>
        <v>14614.406999999999</v>
      </c>
      <c r="X178" s="1119"/>
    </row>
    <row r="179" spans="1:43" ht="13.9" customHeight="1" x14ac:dyDescent="0.25">
      <c r="A179" s="2991" t="s">
        <v>1244</v>
      </c>
      <c r="B179" s="2992"/>
      <c r="C179" s="2992"/>
      <c r="D179" s="2992"/>
      <c r="E179" s="2992"/>
      <c r="F179" s="2992"/>
      <c r="G179" s="2992"/>
      <c r="H179" s="2992"/>
      <c r="I179" s="2992"/>
      <c r="J179" s="2992"/>
      <c r="K179" s="2992"/>
      <c r="L179" s="2992"/>
      <c r="M179" s="2992"/>
      <c r="N179" s="2992"/>
      <c r="O179" s="2992"/>
      <c r="P179" s="2992"/>
      <c r="Q179" s="2992"/>
      <c r="R179" s="2992"/>
      <c r="S179" s="2992"/>
      <c r="T179" s="2992"/>
      <c r="U179" s="2992"/>
      <c r="V179" s="2992"/>
      <c r="W179" s="2992"/>
      <c r="X179" s="2993"/>
    </row>
    <row r="180" spans="1:43" ht="13.9" customHeight="1" x14ac:dyDescent="0.25">
      <c r="A180" s="3000" t="s">
        <v>1245</v>
      </c>
      <c r="B180" s="3001"/>
      <c r="C180" s="3001"/>
      <c r="D180" s="3001"/>
      <c r="E180" s="3001"/>
      <c r="F180" s="3001"/>
      <c r="G180" s="3001"/>
      <c r="H180" s="3001"/>
      <c r="I180" s="3001"/>
      <c r="J180" s="3001"/>
      <c r="K180" s="3001"/>
      <c r="L180" s="3001"/>
      <c r="M180" s="3001"/>
      <c r="N180" s="3001"/>
      <c r="O180" s="3001"/>
      <c r="P180" s="3001"/>
      <c r="Q180" s="3001"/>
      <c r="R180" s="3002"/>
      <c r="S180" s="1671"/>
      <c r="T180" s="1088"/>
      <c r="U180" s="893"/>
      <c r="V180" s="1103"/>
      <c r="W180" s="1104"/>
      <c r="X180" s="1105"/>
      <c r="Y180" s="448"/>
      <c r="Z180" s="448"/>
      <c r="AA180" s="448"/>
      <c r="AB180" s="448"/>
      <c r="AC180" s="448"/>
      <c r="AD180" s="448"/>
      <c r="AE180" s="448"/>
      <c r="AF180" s="448"/>
      <c r="AG180" s="448"/>
      <c r="AH180" s="448"/>
      <c r="AI180" s="448"/>
      <c r="AJ180" s="448"/>
      <c r="AK180" s="448"/>
      <c r="AL180" s="448"/>
      <c r="AM180" s="448"/>
      <c r="AN180" s="448"/>
      <c r="AO180" s="448"/>
      <c r="AP180" s="448"/>
      <c r="AQ180" s="448"/>
    </row>
    <row r="181" spans="1:43" s="461" customFormat="1" ht="78" x14ac:dyDescent="0.25">
      <c r="A181" s="3006" t="s">
        <v>1246</v>
      </c>
      <c r="B181" s="595" t="s">
        <v>1247</v>
      </c>
      <c r="C181" s="595" t="s">
        <v>15</v>
      </c>
      <c r="D181" s="467" t="s">
        <v>724</v>
      </c>
      <c r="E181" s="1721">
        <v>60</v>
      </c>
      <c r="F181" s="1721">
        <v>12</v>
      </c>
      <c r="G181" s="1721">
        <v>1</v>
      </c>
      <c r="H181" s="722">
        <f>CARITAS!H12</f>
        <v>720</v>
      </c>
      <c r="I181" s="714">
        <v>0.3</v>
      </c>
      <c r="J181" s="1782"/>
      <c r="K181" s="1783"/>
      <c r="L181" s="1783"/>
      <c r="M181" s="2875">
        <v>0</v>
      </c>
      <c r="N181" s="1784"/>
      <c r="O181" s="2921">
        <f>H181+M181</f>
        <v>720</v>
      </c>
      <c r="P181" s="675">
        <v>0.15</v>
      </c>
      <c r="Q181" s="709">
        <v>108</v>
      </c>
      <c r="R181" s="1781" t="s">
        <v>725</v>
      </c>
      <c r="S181" s="452">
        <f>CARITAS!S12</f>
        <v>1620</v>
      </c>
      <c r="T181" s="591">
        <f t="shared" ref="T181:T182" si="99">S181/O181</f>
        <v>2.25</v>
      </c>
      <c r="U181" s="1745" t="s">
        <v>1118</v>
      </c>
      <c r="V181" s="591">
        <v>0</v>
      </c>
      <c r="W181" s="452">
        <f>V181*S181</f>
        <v>0</v>
      </c>
      <c r="X181" s="595" t="s">
        <v>726</v>
      </c>
    </row>
    <row r="182" spans="1:43" s="461" customFormat="1" ht="27.65" customHeight="1" x14ac:dyDescent="0.25">
      <c r="A182" s="3007"/>
      <c r="B182" s="595" t="s">
        <v>1248</v>
      </c>
      <c r="C182" s="595" t="s">
        <v>15</v>
      </c>
      <c r="D182" s="467" t="s">
        <v>724</v>
      </c>
      <c r="E182" s="724">
        <v>60</v>
      </c>
      <c r="F182" s="724">
        <v>85.8</v>
      </c>
      <c r="G182" s="724">
        <v>1</v>
      </c>
      <c r="H182" s="722">
        <f>CARITAS!H13</f>
        <v>5148</v>
      </c>
      <c r="I182" s="714">
        <v>7.0000000000000007E-2</v>
      </c>
      <c r="J182" s="1783"/>
      <c r="K182" s="1783"/>
      <c r="L182" s="1783"/>
      <c r="M182" s="2875">
        <v>0</v>
      </c>
      <c r="N182" s="1784"/>
      <c r="O182" s="2921">
        <f t="shared" ref="O182:O183" si="100">H182+M182</f>
        <v>5148</v>
      </c>
      <c r="P182" s="675">
        <v>0.15</v>
      </c>
      <c r="Q182" s="709">
        <v>772.2</v>
      </c>
      <c r="R182" s="1781" t="s">
        <v>728</v>
      </c>
      <c r="S182" s="452">
        <f>CARITAS!S13</f>
        <v>5147.2</v>
      </c>
      <c r="T182" s="591">
        <f t="shared" si="99"/>
        <v>0.99984459984459984</v>
      </c>
      <c r="U182" s="595" t="s">
        <v>729</v>
      </c>
      <c r="V182" s="591">
        <v>0</v>
      </c>
      <c r="W182" s="452">
        <f>V182*S182</f>
        <v>0</v>
      </c>
      <c r="X182" s="595" t="s">
        <v>726</v>
      </c>
    </row>
    <row r="183" spans="1:43" s="461" customFormat="1" ht="27.65" customHeight="1" x14ac:dyDescent="0.25">
      <c r="A183" s="3007"/>
      <c r="B183" s="595" t="s">
        <v>1249</v>
      </c>
      <c r="C183" s="595" t="s">
        <v>36</v>
      </c>
      <c r="D183" s="467" t="s">
        <v>724</v>
      </c>
      <c r="E183" s="724">
        <v>5</v>
      </c>
      <c r="F183" s="724">
        <v>1400</v>
      </c>
      <c r="G183" s="724">
        <v>1</v>
      </c>
      <c r="H183" s="722">
        <f>CARITAS!H14</f>
        <v>7000</v>
      </c>
      <c r="I183" s="714">
        <v>0</v>
      </c>
      <c r="J183" s="1783"/>
      <c r="K183" s="1783"/>
      <c r="L183" s="1783"/>
      <c r="M183" s="2875">
        <v>0</v>
      </c>
      <c r="N183" s="1784"/>
      <c r="O183" s="2921">
        <f t="shared" si="100"/>
        <v>7000</v>
      </c>
      <c r="P183" s="675">
        <v>0.5</v>
      </c>
      <c r="Q183" s="709">
        <v>3500</v>
      </c>
      <c r="R183" s="1781" t="s">
        <v>731</v>
      </c>
      <c r="S183" s="452">
        <f>CARITAS!S14</f>
        <v>7000</v>
      </c>
      <c r="T183" s="591">
        <f>S183/O183</f>
        <v>1</v>
      </c>
      <c r="U183" s="595" t="s">
        <v>729</v>
      </c>
      <c r="V183" s="591">
        <f>W183/Q183</f>
        <v>1</v>
      </c>
      <c r="W183" s="452">
        <f>P183*S183</f>
        <v>3500</v>
      </c>
      <c r="X183" s="595" t="s">
        <v>731</v>
      </c>
    </row>
    <row r="184" spans="1:43" s="454" customFormat="1" ht="15.65" customHeight="1" x14ac:dyDescent="0.25">
      <c r="A184" s="3008"/>
      <c r="B184" s="711" t="s">
        <v>573</v>
      </c>
      <c r="C184" s="711"/>
      <c r="D184" s="897"/>
      <c r="E184" s="712"/>
      <c r="F184" s="712"/>
      <c r="G184" s="712"/>
      <c r="H184" s="1123">
        <f>SUM(H181:H183)</f>
        <v>12868</v>
      </c>
      <c r="I184" s="716"/>
      <c r="J184" s="1077"/>
      <c r="K184" s="1077"/>
      <c r="L184" s="1077"/>
      <c r="M184" s="2870">
        <f>SUM(M181:M183)</f>
        <v>0</v>
      </c>
      <c r="N184" s="716"/>
      <c r="O184" s="1672">
        <f t="shared" ref="O184:R184" si="101">SUM(O181:O183)</f>
        <v>12868</v>
      </c>
      <c r="P184" s="1672">
        <f t="shared" si="101"/>
        <v>0.8</v>
      </c>
      <c r="Q184" s="1672">
        <f t="shared" si="101"/>
        <v>4380.2</v>
      </c>
      <c r="R184" s="1672">
        <f t="shared" si="101"/>
        <v>0</v>
      </c>
      <c r="S184" s="1672">
        <f>SUM(S181:S183)</f>
        <v>13767.2</v>
      </c>
      <c r="T184" s="1126">
        <f>S184/O184</f>
        <v>1.0698787690394778</v>
      </c>
      <c r="U184" s="715"/>
      <c r="V184" s="600">
        <f>W184/Q184</f>
        <v>0.79905027167709242</v>
      </c>
      <c r="W184" s="1127">
        <f>SUM(W181:W183)</f>
        <v>3500</v>
      </c>
      <c r="X184" s="600"/>
      <c r="Y184" s="670"/>
      <c r="Z184" s="670"/>
      <c r="AA184" s="670"/>
      <c r="AB184" s="670"/>
      <c r="AC184" s="670"/>
      <c r="AD184" s="670"/>
      <c r="AE184" s="670"/>
      <c r="AF184" s="670"/>
      <c r="AG184" s="670"/>
      <c r="AH184" s="670"/>
      <c r="AI184" s="670"/>
      <c r="AJ184" s="670"/>
      <c r="AK184" s="670"/>
      <c r="AL184" s="670"/>
      <c r="AM184" s="670"/>
      <c r="AN184" s="670"/>
      <c r="AO184" s="670"/>
      <c r="AP184" s="670"/>
      <c r="AQ184" s="670"/>
    </row>
    <row r="185" spans="1:43" s="461" customFormat="1" ht="27.65" customHeight="1" x14ac:dyDescent="0.25">
      <c r="A185" s="3006" t="s">
        <v>1267</v>
      </c>
      <c r="B185" s="595" t="s">
        <v>1269</v>
      </c>
      <c r="C185" s="595" t="s">
        <v>47</v>
      </c>
      <c r="D185" s="467" t="s">
        <v>724</v>
      </c>
      <c r="E185" s="724">
        <v>1</v>
      </c>
      <c r="F185" s="724">
        <v>4500</v>
      </c>
      <c r="G185" s="724">
        <v>5</v>
      </c>
      <c r="H185" s="722">
        <f>CARITAS!H16</f>
        <v>22500</v>
      </c>
      <c r="I185" s="714">
        <v>0.3</v>
      </c>
      <c r="J185" s="1783"/>
      <c r="K185" s="1783"/>
      <c r="L185" s="1783"/>
      <c r="M185" s="2875">
        <f>CARITAS!M16</f>
        <v>0</v>
      </c>
      <c r="N185" s="1784">
        <v>0</v>
      </c>
      <c r="O185" s="2921">
        <f>H185+M185</f>
        <v>22500</v>
      </c>
      <c r="P185" s="675">
        <v>0.5</v>
      </c>
      <c r="Q185" s="709">
        <f>O185/2</f>
        <v>11250</v>
      </c>
      <c r="R185" s="1781" t="s">
        <v>734</v>
      </c>
      <c r="S185" s="452">
        <f>CARITAS!S16</f>
        <v>22500</v>
      </c>
      <c r="T185" s="591">
        <f>S185/O185</f>
        <v>1</v>
      </c>
      <c r="U185" s="595" t="s">
        <v>729</v>
      </c>
      <c r="V185" s="591">
        <f>W185/Q185</f>
        <v>1</v>
      </c>
      <c r="W185" s="452">
        <f>P185*S185</f>
        <v>11250</v>
      </c>
      <c r="X185" s="595" t="s">
        <v>735</v>
      </c>
    </row>
    <row r="186" spans="1:43" s="461" customFormat="1" ht="27.65" customHeight="1" x14ac:dyDescent="0.25">
      <c r="A186" s="3007"/>
      <c r="B186" s="595" t="s">
        <v>1268</v>
      </c>
      <c r="C186" s="595" t="s">
        <v>47</v>
      </c>
      <c r="D186" s="467" t="s">
        <v>724</v>
      </c>
      <c r="E186" s="724">
        <v>1</v>
      </c>
      <c r="F186" s="724">
        <v>2500</v>
      </c>
      <c r="G186" s="724">
        <v>5</v>
      </c>
      <c r="H186" s="722">
        <f>CARITAS!H17</f>
        <v>12500</v>
      </c>
      <c r="I186" s="714">
        <v>0.3</v>
      </c>
      <c r="J186" s="1783"/>
      <c r="K186" s="1783"/>
      <c r="L186" s="1783"/>
      <c r="M186" s="2875">
        <f>CARITAS!M17</f>
        <v>0</v>
      </c>
      <c r="N186" s="1784">
        <v>0</v>
      </c>
      <c r="O186" s="2921">
        <f t="shared" ref="O186:O189" si="102">H186+M186</f>
        <v>12500</v>
      </c>
      <c r="P186" s="675">
        <v>0.5</v>
      </c>
      <c r="Q186" s="709">
        <f>O186/2</f>
        <v>6250</v>
      </c>
      <c r="R186" s="1781" t="s">
        <v>737</v>
      </c>
      <c r="S186" s="452">
        <f>CARITAS!S17</f>
        <v>12500</v>
      </c>
      <c r="T186" s="591">
        <f t="shared" ref="T186:T189" si="103">S186/O186</f>
        <v>1</v>
      </c>
      <c r="U186" s="595" t="s">
        <v>729</v>
      </c>
      <c r="V186" s="591">
        <f t="shared" ref="V186:V189" si="104">W186/Q186</f>
        <v>1</v>
      </c>
      <c r="W186" s="452">
        <f t="shared" ref="W186:W189" si="105">P186*S186</f>
        <v>6250</v>
      </c>
      <c r="X186" s="595" t="s">
        <v>738</v>
      </c>
    </row>
    <row r="187" spans="1:43" s="461" customFormat="1" ht="27.65" customHeight="1" x14ac:dyDescent="0.25">
      <c r="A187" s="3007"/>
      <c r="B187" s="595" t="s">
        <v>1270</v>
      </c>
      <c r="C187" s="595" t="s">
        <v>47</v>
      </c>
      <c r="D187" s="467" t="s">
        <v>724</v>
      </c>
      <c r="E187" s="724">
        <v>1</v>
      </c>
      <c r="F187" s="724">
        <v>1600</v>
      </c>
      <c r="G187" s="724">
        <v>5</v>
      </c>
      <c r="H187" s="722">
        <f>CARITAS!H18</f>
        <v>8000</v>
      </c>
      <c r="I187" s="714">
        <v>0</v>
      </c>
      <c r="J187" s="1783"/>
      <c r="K187" s="1783"/>
      <c r="L187" s="1783"/>
      <c r="M187" s="2875">
        <f>CARITAS!M18</f>
        <v>0</v>
      </c>
      <c r="N187" s="1784">
        <v>0</v>
      </c>
      <c r="O187" s="2921">
        <f t="shared" si="102"/>
        <v>8000</v>
      </c>
      <c r="P187" s="675">
        <v>0.5</v>
      </c>
      <c r="Q187" s="709">
        <f>O187/2</f>
        <v>4000</v>
      </c>
      <c r="R187" s="1781" t="s">
        <v>740</v>
      </c>
      <c r="S187" s="452">
        <f>CARITAS!S18</f>
        <v>8000</v>
      </c>
      <c r="T187" s="591">
        <f t="shared" si="103"/>
        <v>1</v>
      </c>
      <c r="U187" s="595" t="s">
        <v>729</v>
      </c>
      <c r="V187" s="591">
        <f t="shared" si="104"/>
        <v>1</v>
      </c>
      <c r="W187" s="452">
        <f t="shared" si="105"/>
        <v>4000</v>
      </c>
      <c r="X187" s="595" t="s">
        <v>741</v>
      </c>
    </row>
    <row r="188" spans="1:43" s="461" customFormat="1" ht="27.65" customHeight="1" x14ac:dyDescent="0.25">
      <c r="A188" s="3007"/>
      <c r="B188" s="595" t="s">
        <v>1271</v>
      </c>
      <c r="C188" s="595" t="s">
        <v>47</v>
      </c>
      <c r="D188" s="467" t="s">
        <v>724</v>
      </c>
      <c r="E188" s="724">
        <v>1</v>
      </c>
      <c r="F188" s="724">
        <v>462.6</v>
      </c>
      <c r="G188" s="724">
        <v>5</v>
      </c>
      <c r="H188" s="722">
        <f>CARITAS!H19</f>
        <v>2313</v>
      </c>
      <c r="I188" s="714">
        <v>0.3</v>
      </c>
      <c r="J188" s="1783"/>
      <c r="K188" s="1783"/>
      <c r="L188" s="1783"/>
      <c r="M188" s="2875">
        <f>CARITAS!M19</f>
        <v>0</v>
      </c>
      <c r="N188" s="1784">
        <v>0</v>
      </c>
      <c r="O188" s="2921">
        <f t="shared" si="102"/>
        <v>2313</v>
      </c>
      <c r="P188" s="675">
        <v>0.5</v>
      </c>
      <c r="Q188" s="709">
        <f>O188/2</f>
        <v>1156.5</v>
      </c>
      <c r="R188" s="1781" t="s">
        <v>743</v>
      </c>
      <c r="S188" s="452">
        <f>CARITAS!S19</f>
        <v>2313</v>
      </c>
      <c r="T188" s="591">
        <f t="shared" si="103"/>
        <v>1</v>
      </c>
      <c r="U188" s="595" t="s">
        <v>729</v>
      </c>
      <c r="V188" s="591">
        <f t="shared" si="104"/>
        <v>1</v>
      </c>
      <c r="W188" s="452">
        <f t="shared" si="105"/>
        <v>1156.5</v>
      </c>
      <c r="X188" s="595" t="s">
        <v>744</v>
      </c>
    </row>
    <row r="189" spans="1:43" s="461" customFormat="1" ht="27.65" customHeight="1" x14ac:dyDescent="0.25">
      <c r="A189" s="3007"/>
      <c r="B189" s="595" t="s">
        <v>1272</v>
      </c>
      <c r="C189" s="595" t="s">
        <v>15</v>
      </c>
      <c r="D189" s="467" t="s">
        <v>724</v>
      </c>
      <c r="E189" s="724"/>
      <c r="F189" s="724"/>
      <c r="G189" s="724"/>
      <c r="H189" s="722">
        <f>CARITAS!H20</f>
        <v>0</v>
      </c>
      <c r="I189" s="714">
        <v>0.2</v>
      </c>
      <c r="J189" s="1783">
        <v>1</v>
      </c>
      <c r="K189" s="1783">
        <v>7800</v>
      </c>
      <c r="L189" s="1783">
        <v>1</v>
      </c>
      <c r="M189" s="2875">
        <f>CARITAS!M20</f>
        <v>7800</v>
      </c>
      <c r="N189" s="1784">
        <v>0.2</v>
      </c>
      <c r="O189" s="2921">
        <f t="shared" si="102"/>
        <v>7800</v>
      </c>
      <c r="P189" s="675">
        <v>0.5</v>
      </c>
      <c r="Q189" s="709">
        <f>O189/2</f>
        <v>3900</v>
      </c>
      <c r="R189" s="1781" t="s">
        <v>746</v>
      </c>
      <c r="S189" s="452">
        <f>CARITAS!S20</f>
        <v>7790</v>
      </c>
      <c r="T189" s="591">
        <f t="shared" si="103"/>
        <v>0.99871794871794872</v>
      </c>
      <c r="U189" s="595" t="s">
        <v>1467</v>
      </c>
      <c r="V189" s="591">
        <f t="shared" si="104"/>
        <v>0.99871794871794872</v>
      </c>
      <c r="W189" s="452">
        <f t="shared" si="105"/>
        <v>3895</v>
      </c>
      <c r="X189" s="595" t="s">
        <v>1468</v>
      </c>
    </row>
    <row r="190" spans="1:43" s="454" customFormat="1" ht="15.65" customHeight="1" x14ac:dyDescent="0.25">
      <c r="A190" s="3008"/>
      <c r="B190" s="711" t="s">
        <v>573</v>
      </c>
      <c r="C190" s="711"/>
      <c r="D190" s="897"/>
      <c r="E190" s="712"/>
      <c r="F190" s="712"/>
      <c r="G190" s="712"/>
      <c r="H190" s="1123">
        <f>SUM(H185:H189)</f>
        <v>45313</v>
      </c>
      <c r="I190" s="716"/>
      <c r="J190" s="1077"/>
      <c r="K190" s="1077"/>
      <c r="L190" s="1077"/>
      <c r="M190" s="2870">
        <f>SUM(M185:M189)</f>
        <v>7800</v>
      </c>
      <c r="N190" s="716"/>
      <c r="O190" s="1672">
        <f t="shared" ref="O190:R190" si="106">SUM(O185:O189)</f>
        <v>53113</v>
      </c>
      <c r="P190" s="1672">
        <f t="shared" si="106"/>
        <v>2.5</v>
      </c>
      <c r="Q190" s="1672">
        <f t="shared" si="106"/>
        <v>26556.5</v>
      </c>
      <c r="R190" s="1672">
        <f t="shared" si="106"/>
        <v>0</v>
      </c>
      <c r="S190" s="1672">
        <f>SUM(S185:S189)</f>
        <v>53103</v>
      </c>
      <c r="T190" s="1126">
        <f>S190/O190</f>
        <v>0.99981172217724479</v>
      </c>
      <c r="U190" s="715"/>
      <c r="V190" s="600">
        <f>W190/Q190</f>
        <v>0.99981172217724479</v>
      </c>
      <c r="W190" s="1127">
        <f>SUM(W185:W189)</f>
        <v>26551.5</v>
      </c>
      <c r="X190" s="600"/>
      <c r="Y190" s="670"/>
      <c r="Z190" s="670"/>
      <c r="AA190" s="670"/>
      <c r="AB190" s="670"/>
      <c r="AC190" s="670"/>
      <c r="AD190" s="670"/>
      <c r="AE190" s="670"/>
      <c r="AF190" s="670"/>
      <c r="AG190" s="670"/>
      <c r="AH190" s="670"/>
      <c r="AI190" s="670"/>
      <c r="AJ190" s="670"/>
      <c r="AK190" s="670"/>
      <c r="AL190" s="670"/>
      <c r="AM190" s="670"/>
      <c r="AN190" s="670"/>
      <c r="AO190" s="670"/>
      <c r="AP190" s="670"/>
      <c r="AQ190" s="670"/>
    </row>
    <row r="191" spans="1:43" s="461" customFormat="1" ht="27.65" customHeight="1" x14ac:dyDescent="0.25">
      <c r="A191" s="3006" t="s">
        <v>1273</v>
      </c>
      <c r="B191" s="595" t="s">
        <v>1274</v>
      </c>
      <c r="C191" s="595" t="s">
        <v>15</v>
      </c>
      <c r="D191" s="467" t="s">
        <v>724</v>
      </c>
      <c r="E191" s="724">
        <v>55</v>
      </c>
      <c r="F191" s="724">
        <v>25.15</v>
      </c>
      <c r="G191" s="724">
        <v>1</v>
      </c>
      <c r="H191" s="722">
        <f>CARITAS!H22</f>
        <v>1383.25</v>
      </c>
      <c r="I191" s="714">
        <v>0.3</v>
      </c>
      <c r="J191" s="1783"/>
      <c r="K191" s="1783"/>
      <c r="L191" s="1783"/>
      <c r="M191" s="2875">
        <v>0</v>
      </c>
      <c r="N191" s="1784"/>
      <c r="O191" s="2921">
        <f>H191+M191</f>
        <v>1383.25</v>
      </c>
      <c r="P191" s="675">
        <v>0.5</v>
      </c>
      <c r="Q191" s="709">
        <f>O191/2</f>
        <v>691.625</v>
      </c>
      <c r="R191" s="1781" t="s">
        <v>750</v>
      </c>
      <c r="S191" s="452">
        <f>CARITAS!S22</f>
        <v>2766.25</v>
      </c>
      <c r="T191" s="591">
        <f>S191/O191</f>
        <v>1.9998192662208567</v>
      </c>
      <c r="U191" s="595" t="s">
        <v>751</v>
      </c>
      <c r="V191" s="591">
        <f>W191/Q191</f>
        <v>1.9998192662208567</v>
      </c>
      <c r="W191" s="452">
        <f>P191*S191</f>
        <v>1383.125</v>
      </c>
      <c r="X191" s="595" t="s">
        <v>750</v>
      </c>
    </row>
    <row r="192" spans="1:43" s="461" customFormat="1" ht="41.5" customHeight="1" x14ac:dyDescent="0.25">
      <c r="A192" s="3007"/>
      <c r="B192" s="595" t="s">
        <v>1275</v>
      </c>
      <c r="C192" s="595" t="s">
        <v>15</v>
      </c>
      <c r="D192" s="467" t="s">
        <v>724</v>
      </c>
      <c r="E192" s="724">
        <v>55</v>
      </c>
      <c r="F192" s="724">
        <v>62.65</v>
      </c>
      <c r="G192" s="724">
        <v>1</v>
      </c>
      <c r="H192" s="722">
        <f>CARITAS!H23</f>
        <v>3445.75</v>
      </c>
      <c r="I192" s="714">
        <v>0.3</v>
      </c>
      <c r="J192" s="1783"/>
      <c r="K192" s="1783"/>
      <c r="L192" s="1783"/>
      <c r="M192" s="2875">
        <v>0</v>
      </c>
      <c r="N192" s="1784"/>
      <c r="O192" s="2921">
        <f t="shared" ref="O192:O196" si="107">H192+M192</f>
        <v>3445.75</v>
      </c>
      <c r="P192" s="675">
        <v>0.5</v>
      </c>
      <c r="Q192" s="709">
        <f>O192/2</f>
        <v>1722.875</v>
      </c>
      <c r="R192" s="1781" t="s">
        <v>750</v>
      </c>
      <c r="S192" s="452">
        <f>CARITAS!S23</f>
        <v>3446</v>
      </c>
      <c r="T192" s="591">
        <f t="shared" ref="T192:T196" si="108">S192/O192</f>
        <v>1.0000725531451788</v>
      </c>
      <c r="U192" s="595" t="s">
        <v>729</v>
      </c>
      <c r="V192" s="591">
        <f t="shared" ref="V192:V196" si="109">W192/Q192</f>
        <v>1.0000725531451788</v>
      </c>
      <c r="W192" s="452">
        <f t="shared" ref="W192:W195" si="110">P192*S192</f>
        <v>1723</v>
      </c>
      <c r="X192" s="595" t="s">
        <v>750</v>
      </c>
    </row>
    <row r="193" spans="1:43" s="461" customFormat="1" ht="27.65" customHeight="1" x14ac:dyDescent="0.25">
      <c r="A193" s="3007"/>
      <c r="B193" s="595" t="s">
        <v>1276</v>
      </c>
      <c r="C193" s="595" t="s">
        <v>15</v>
      </c>
      <c r="D193" s="467" t="s">
        <v>724</v>
      </c>
      <c r="E193" s="724">
        <v>55</v>
      </c>
      <c r="F193" s="724">
        <v>62.65</v>
      </c>
      <c r="G193" s="724">
        <v>1</v>
      </c>
      <c r="H193" s="722">
        <f>CARITAS!H24</f>
        <v>3445.75</v>
      </c>
      <c r="I193" s="714">
        <v>0.3</v>
      </c>
      <c r="J193" s="1783"/>
      <c r="K193" s="1783"/>
      <c r="L193" s="1783"/>
      <c r="M193" s="2875">
        <v>0</v>
      </c>
      <c r="N193" s="1784"/>
      <c r="O193" s="2921">
        <f t="shared" si="107"/>
        <v>3445.75</v>
      </c>
      <c r="P193" s="675">
        <v>0.5</v>
      </c>
      <c r="Q193" s="709">
        <f>O193/2</f>
        <v>1722.875</v>
      </c>
      <c r="R193" s="1781" t="s">
        <v>750</v>
      </c>
      <c r="S193" s="452">
        <f>CARITAS!S24</f>
        <v>2756</v>
      </c>
      <c r="T193" s="591">
        <f t="shared" si="108"/>
        <v>0.79982587245157077</v>
      </c>
      <c r="U193" s="595" t="s">
        <v>754</v>
      </c>
      <c r="V193" s="591">
        <f t="shared" si="109"/>
        <v>0.79982587245157077</v>
      </c>
      <c r="W193" s="452">
        <f t="shared" si="110"/>
        <v>1378</v>
      </c>
      <c r="X193" s="595" t="s">
        <v>750</v>
      </c>
    </row>
    <row r="194" spans="1:43" s="461" customFormat="1" ht="27.65" customHeight="1" x14ac:dyDescent="0.25">
      <c r="A194" s="3007"/>
      <c r="B194" s="595" t="s">
        <v>1277</v>
      </c>
      <c r="C194" s="595" t="s">
        <v>15</v>
      </c>
      <c r="D194" s="467" t="s">
        <v>724</v>
      </c>
      <c r="E194" s="724">
        <v>55</v>
      </c>
      <c r="F194" s="724">
        <v>62.65</v>
      </c>
      <c r="G194" s="724">
        <v>1</v>
      </c>
      <c r="H194" s="722">
        <f>CARITAS!H25</f>
        <v>3445.75</v>
      </c>
      <c r="I194" s="714">
        <v>0.3</v>
      </c>
      <c r="J194" s="1783"/>
      <c r="K194" s="1783"/>
      <c r="L194" s="1783"/>
      <c r="M194" s="2875">
        <v>0</v>
      </c>
      <c r="N194" s="1784"/>
      <c r="O194" s="2921">
        <f t="shared" si="107"/>
        <v>3445.75</v>
      </c>
      <c r="P194" s="675">
        <v>0.5</v>
      </c>
      <c r="Q194" s="709">
        <f>O194/2</f>
        <v>1722.875</v>
      </c>
      <c r="R194" s="1781" t="s">
        <v>750</v>
      </c>
      <c r="S194" s="452">
        <f>CARITAS!S25</f>
        <v>3445</v>
      </c>
      <c r="T194" s="591">
        <f t="shared" si="108"/>
        <v>0.99978234056446347</v>
      </c>
      <c r="U194" s="595" t="s">
        <v>729</v>
      </c>
      <c r="V194" s="591">
        <f t="shared" si="109"/>
        <v>0.99978234056446347</v>
      </c>
      <c r="W194" s="452">
        <f t="shared" si="110"/>
        <v>1722.5</v>
      </c>
      <c r="X194" s="595" t="s">
        <v>750</v>
      </c>
    </row>
    <row r="195" spans="1:43" s="461" customFormat="1" ht="27.65" customHeight="1" x14ac:dyDescent="0.25">
      <c r="A195" s="3007"/>
      <c r="B195" s="595" t="s">
        <v>1278</v>
      </c>
      <c r="C195" s="595" t="s">
        <v>15</v>
      </c>
      <c r="D195" s="467" t="s">
        <v>724</v>
      </c>
      <c r="E195" s="724">
        <v>35</v>
      </c>
      <c r="F195" s="724">
        <v>72.33</v>
      </c>
      <c r="G195" s="724">
        <v>1</v>
      </c>
      <c r="H195" s="722">
        <f>CARITAS!H26</f>
        <v>2531.5499999999997</v>
      </c>
      <c r="I195" s="714">
        <v>0.15</v>
      </c>
      <c r="J195" s="1783"/>
      <c r="K195" s="1783"/>
      <c r="L195" s="1783"/>
      <c r="M195" s="2875">
        <v>0</v>
      </c>
      <c r="N195" s="1784"/>
      <c r="O195" s="2921">
        <f t="shared" si="107"/>
        <v>2531.5499999999997</v>
      </c>
      <c r="P195" s="675">
        <v>0.15</v>
      </c>
      <c r="Q195" s="709">
        <v>379.73</v>
      </c>
      <c r="R195" s="1781" t="s">
        <v>728</v>
      </c>
      <c r="S195" s="452">
        <f>CARITAS!S26</f>
        <v>2531</v>
      </c>
      <c r="T195" s="591">
        <f t="shared" si="108"/>
        <v>0.99978274179850302</v>
      </c>
      <c r="U195" s="595" t="s">
        <v>729</v>
      </c>
      <c r="V195" s="591">
        <f t="shared" si="109"/>
        <v>0.99978932399336362</v>
      </c>
      <c r="W195" s="452">
        <f t="shared" si="110"/>
        <v>379.65</v>
      </c>
      <c r="X195" s="595" t="s">
        <v>728</v>
      </c>
    </row>
    <row r="196" spans="1:43" s="461" customFormat="1" ht="41.5" customHeight="1" x14ac:dyDescent="0.25">
      <c r="A196" s="3007"/>
      <c r="B196" s="595" t="s">
        <v>1279</v>
      </c>
      <c r="C196" s="595" t="s">
        <v>15</v>
      </c>
      <c r="D196" s="467" t="s">
        <v>724</v>
      </c>
      <c r="E196" s="724">
        <v>35</v>
      </c>
      <c r="F196" s="724">
        <v>72.33</v>
      </c>
      <c r="G196" s="724">
        <v>1</v>
      </c>
      <c r="H196" s="722">
        <f>CARITAS!H27</f>
        <v>2531.5499999999997</v>
      </c>
      <c r="I196" s="714">
        <v>0.15</v>
      </c>
      <c r="J196" s="1783"/>
      <c r="K196" s="1783"/>
      <c r="L196" s="1783"/>
      <c r="M196" s="2875">
        <v>0</v>
      </c>
      <c r="N196" s="1784"/>
      <c r="O196" s="2921">
        <f t="shared" si="107"/>
        <v>2531.5499999999997</v>
      </c>
      <c r="P196" s="675">
        <v>0.15</v>
      </c>
      <c r="Q196" s="709">
        <v>379.73</v>
      </c>
      <c r="R196" s="1781" t="s">
        <v>758</v>
      </c>
      <c r="S196" s="452">
        <f>CARITAS!S27</f>
        <v>2532</v>
      </c>
      <c r="T196" s="591">
        <f t="shared" si="108"/>
        <v>1.0001777567103158</v>
      </c>
      <c r="U196" s="595" t="s">
        <v>729</v>
      </c>
      <c r="V196" s="591">
        <f t="shared" si="109"/>
        <v>1.0001843415058067</v>
      </c>
      <c r="W196" s="452">
        <f>P196*S196</f>
        <v>379.8</v>
      </c>
      <c r="X196" s="595" t="s">
        <v>728</v>
      </c>
    </row>
    <row r="197" spans="1:43" s="454" customFormat="1" ht="15.65" customHeight="1" x14ac:dyDescent="0.25">
      <c r="A197" s="3008"/>
      <c r="B197" s="711" t="s">
        <v>573</v>
      </c>
      <c r="C197" s="711"/>
      <c r="D197" s="897"/>
      <c r="E197" s="712"/>
      <c r="F197" s="712"/>
      <c r="G197" s="712"/>
      <c r="H197" s="1123">
        <f>SUM(H191:H196)</f>
        <v>16783.599999999999</v>
      </c>
      <c r="I197" s="716"/>
      <c r="J197" s="1077"/>
      <c r="K197" s="1077"/>
      <c r="L197" s="1077"/>
      <c r="M197" s="2870">
        <f>SUM(M191:M196)</f>
        <v>0</v>
      </c>
      <c r="N197" s="716"/>
      <c r="O197" s="1672">
        <f t="shared" ref="O197:R197" si="111">SUM(O191:O196)</f>
        <v>16783.599999999999</v>
      </c>
      <c r="P197" s="1672">
        <f t="shared" si="111"/>
        <v>2.2999999999999998</v>
      </c>
      <c r="Q197" s="1672">
        <f t="shared" si="111"/>
        <v>6619.7099999999991</v>
      </c>
      <c r="R197" s="1672">
        <f t="shared" si="111"/>
        <v>0</v>
      </c>
      <c r="S197" s="1672">
        <f>SUM(S191:S196)</f>
        <v>17476.25</v>
      </c>
      <c r="T197" s="1126">
        <f>S197/O197</f>
        <v>1.0412694535141449</v>
      </c>
      <c r="U197" s="715"/>
      <c r="V197" s="600">
        <f>W197/Q197</f>
        <v>1.052323289086682</v>
      </c>
      <c r="W197" s="1127">
        <f>SUM(W191:W196)</f>
        <v>6966.0749999999998</v>
      </c>
      <c r="X197" s="600"/>
      <c r="Y197" s="670"/>
      <c r="Z197" s="670"/>
      <c r="AA197" s="670"/>
      <c r="AB197" s="670"/>
      <c r="AC197" s="670"/>
      <c r="AD197" s="670"/>
      <c r="AE197" s="670"/>
      <c r="AF197" s="670"/>
      <c r="AG197" s="670"/>
      <c r="AH197" s="670"/>
      <c r="AI197" s="670"/>
      <c r="AJ197" s="670"/>
      <c r="AK197" s="670"/>
      <c r="AL197" s="670"/>
      <c r="AM197" s="670"/>
      <c r="AN197" s="670"/>
      <c r="AO197" s="670"/>
      <c r="AP197" s="670"/>
      <c r="AQ197" s="670"/>
    </row>
    <row r="198" spans="1:43" s="461" customFormat="1" ht="41.5" customHeight="1" x14ac:dyDescent="0.25">
      <c r="A198" s="3006" t="s">
        <v>1280</v>
      </c>
      <c r="B198" s="595" t="s">
        <v>1281</v>
      </c>
      <c r="C198" s="595" t="s">
        <v>15</v>
      </c>
      <c r="D198" s="467" t="s">
        <v>724</v>
      </c>
      <c r="E198" s="724">
        <v>520</v>
      </c>
      <c r="F198" s="724">
        <v>5</v>
      </c>
      <c r="G198" s="724">
        <v>1</v>
      </c>
      <c r="H198" s="722">
        <f>CARITAS!H29</f>
        <v>2600</v>
      </c>
      <c r="I198" s="714">
        <v>0.4</v>
      </c>
      <c r="J198" s="1783"/>
      <c r="K198" s="1783"/>
      <c r="L198" s="1783"/>
      <c r="M198" s="2875">
        <v>0</v>
      </c>
      <c r="N198" s="1784">
        <v>0</v>
      </c>
      <c r="O198" s="2921">
        <f>H198+M198</f>
        <v>2600</v>
      </c>
      <c r="P198" s="675">
        <v>0.5</v>
      </c>
      <c r="Q198" s="709">
        <f>O198/2</f>
        <v>1300</v>
      </c>
      <c r="R198" s="1781" t="s">
        <v>750</v>
      </c>
      <c r="S198" s="452">
        <f>CARITAS!S29</f>
        <v>2600</v>
      </c>
      <c r="T198" s="591">
        <f>S198/O198</f>
        <v>1</v>
      </c>
      <c r="U198" s="595" t="s">
        <v>729</v>
      </c>
      <c r="V198" s="591">
        <f>W198/Q198</f>
        <v>1</v>
      </c>
      <c r="W198" s="452">
        <f>P198*S198</f>
        <v>1300</v>
      </c>
      <c r="X198" s="595" t="s">
        <v>761</v>
      </c>
    </row>
    <row r="199" spans="1:43" s="461" customFormat="1" ht="27.65" customHeight="1" x14ac:dyDescent="0.25">
      <c r="A199" s="3007"/>
      <c r="B199" s="595" t="s">
        <v>1282</v>
      </c>
      <c r="C199" s="595" t="s">
        <v>15</v>
      </c>
      <c r="D199" s="467" t="s">
        <v>724</v>
      </c>
      <c r="E199" s="724">
        <v>100</v>
      </c>
      <c r="F199" s="724">
        <v>23</v>
      </c>
      <c r="G199" s="724">
        <v>4</v>
      </c>
      <c r="H199" s="722">
        <f>CARITAS!H30</f>
        <v>9200</v>
      </c>
      <c r="I199" s="714">
        <v>0.25</v>
      </c>
      <c r="J199" s="1783">
        <v>100</v>
      </c>
      <c r="K199" s="1783">
        <v>23</v>
      </c>
      <c r="L199" s="1783">
        <v>4</v>
      </c>
      <c r="M199" s="2875">
        <v>9200</v>
      </c>
      <c r="N199" s="1784">
        <v>0.25</v>
      </c>
      <c r="O199" s="2921">
        <f t="shared" ref="O199:O202" si="112">H199+M199</f>
        <v>18400</v>
      </c>
      <c r="P199" s="675">
        <v>0.3</v>
      </c>
      <c r="Q199" s="709">
        <v>5520</v>
      </c>
      <c r="R199" s="1781" t="s">
        <v>763</v>
      </c>
      <c r="S199" s="452">
        <f>CARITAS!S30</f>
        <v>18388</v>
      </c>
      <c r="T199" s="591">
        <f t="shared" ref="T199:T202" si="113">S199/O199</f>
        <v>0.99934782608695649</v>
      </c>
      <c r="U199" s="595" t="s">
        <v>764</v>
      </c>
      <c r="V199" s="591">
        <f t="shared" ref="V199:V202" si="114">W199/Q199</f>
        <v>0.99934782608695649</v>
      </c>
      <c r="W199" s="452">
        <f t="shared" ref="W199:W202" si="115">P199*S199</f>
        <v>5516.4</v>
      </c>
      <c r="X199" s="595" t="s">
        <v>765</v>
      </c>
    </row>
    <row r="200" spans="1:43" s="461" customFormat="1" ht="41.5" customHeight="1" x14ac:dyDescent="0.25">
      <c r="A200" s="3007"/>
      <c r="B200" s="595" t="s">
        <v>1283</v>
      </c>
      <c r="C200" s="595" t="s">
        <v>15</v>
      </c>
      <c r="D200" s="467" t="s">
        <v>724</v>
      </c>
      <c r="E200" s="724">
        <v>30</v>
      </c>
      <c r="F200" s="724">
        <v>28.8</v>
      </c>
      <c r="G200" s="724">
        <v>1</v>
      </c>
      <c r="H200" s="722">
        <f>CARITAS!H31</f>
        <v>864</v>
      </c>
      <c r="I200" s="714">
        <v>0.16</v>
      </c>
      <c r="J200" s="1783">
        <v>25</v>
      </c>
      <c r="K200" s="1783">
        <v>28.8</v>
      </c>
      <c r="L200" s="1783">
        <v>1</v>
      </c>
      <c r="M200" s="2875">
        <v>720</v>
      </c>
      <c r="N200" s="1784">
        <v>0.16</v>
      </c>
      <c r="O200" s="2921">
        <f t="shared" si="112"/>
        <v>1584</v>
      </c>
      <c r="P200" s="675">
        <v>0.3</v>
      </c>
      <c r="Q200" s="709">
        <v>475.2</v>
      </c>
      <c r="R200" s="1781" t="s">
        <v>763</v>
      </c>
      <c r="S200" s="452">
        <f>CARITAS!S31</f>
        <v>1584</v>
      </c>
      <c r="T200" s="591">
        <f t="shared" si="113"/>
        <v>1</v>
      </c>
      <c r="U200" s="595" t="s">
        <v>767</v>
      </c>
      <c r="V200" s="591">
        <f t="shared" si="114"/>
        <v>1</v>
      </c>
      <c r="W200" s="452">
        <f t="shared" si="115"/>
        <v>475.2</v>
      </c>
      <c r="X200" s="595" t="s">
        <v>1469</v>
      </c>
    </row>
    <row r="201" spans="1:43" s="461" customFormat="1" ht="41.5" customHeight="1" x14ac:dyDescent="0.25">
      <c r="A201" s="3007"/>
      <c r="B201" s="595" t="s">
        <v>1284</v>
      </c>
      <c r="C201" s="595" t="s">
        <v>15</v>
      </c>
      <c r="D201" s="467" t="s">
        <v>724</v>
      </c>
      <c r="E201" s="724">
        <v>60</v>
      </c>
      <c r="F201" s="724">
        <v>61</v>
      </c>
      <c r="G201" s="724">
        <v>1</v>
      </c>
      <c r="H201" s="722">
        <f>CARITAS!H32</f>
        <v>3660</v>
      </c>
      <c r="I201" s="714">
        <f>457.5/H201</f>
        <v>0.125</v>
      </c>
      <c r="J201" s="1783">
        <v>50</v>
      </c>
      <c r="K201" s="1783">
        <v>61</v>
      </c>
      <c r="L201" s="1783">
        <v>1</v>
      </c>
      <c r="M201" s="2875">
        <f>CARITAS!M32</f>
        <v>3050</v>
      </c>
      <c r="N201" s="1784">
        <v>0.13</v>
      </c>
      <c r="O201" s="2921">
        <f t="shared" si="112"/>
        <v>6710</v>
      </c>
      <c r="P201" s="675">
        <v>0.3</v>
      </c>
      <c r="Q201" s="709">
        <v>2013</v>
      </c>
      <c r="R201" s="1781" t="s">
        <v>763</v>
      </c>
      <c r="S201" s="452">
        <f>CARITAS!S32</f>
        <v>6710</v>
      </c>
      <c r="T201" s="591">
        <f t="shared" si="113"/>
        <v>1</v>
      </c>
      <c r="U201" s="595" t="s">
        <v>769</v>
      </c>
      <c r="V201" s="591">
        <f t="shared" si="114"/>
        <v>1</v>
      </c>
      <c r="W201" s="452">
        <f t="shared" si="115"/>
        <v>2013</v>
      </c>
      <c r="X201" s="595" t="s">
        <v>1469</v>
      </c>
    </row>
    <row r="202" spans="1:43" s="461" customFormat="1" ht="41.5" customHeight="1" x14ac:dyDescent="0.25">
      <c r="A202" s="3007"/>
      <c r="B202" s="595" t="s">
        <v>1285</v>
      </c>
      <c r="C202" s="595" t="s">
        <v>15</v>
      </c>
      <c r="D202" s="467" t="s">
        <v>724</v>
      </c>
      <c r="E202" s="724">
        <v>0</v>
      </c>
      <c r="F202" s="724">
        <v>0</v>
      </c>
      <c r="G202" s="724">
        <v>0</v>
      </c>
      <c r="H202" s="722">
        <f>CARITAS!H33</f>
        <v>0</v>
      </c>
      <c r="I202" s="714">
        <v>0</v>
      </c>
      <c r="J202" s="1783">
        <v>50</v>
      </c>
      <c r="K202" s="1783">
        <v>61</v>
      </c>
      <c r="L202" s="1783">
        <v>1</v>
      </c>
      <c r="M202" s="2875">
        <f>CARITAS!O33</f>
        <v>3050</v>
      </c>
      <c r="N202" s="1784">
        <f>457.5/M202</f>
        <v>0.15</v>
      </c>
      <c r="O202" s="2921">
        <f t="shared" si="112"/>
        <v>3050</v>
      </c>
      <c r="P202" s="675">
        <f>Q202/O202</f>
        <v>0.15</v>
      </c>
      <c r="Q202" s="709">
        <v>457.5</v>
      </c>
      <c r="R202" s="1781" t="s">
        <v>763</v>
      </c>
      <c r="S202" s="452">
        <f>CARITAS!S33</f>
        <v>3050</v>
      </c>
      <c r="T202" s="591">
        <f t="shared" si="113"/>
        <v>1</v>
      </c>
      <c r="U202" s="595" t="s">
        <v>747</v>
      </c>
      <c r="V202" s="591">
        <f t="shared" si="114"/>
        <v>1</v>
      </c>
      <c r="W202" s="452">
        <f t="shared" si="115"/>
        <v>457.5</v>
      </c>
      <c r="X202" s="595" t="s">
        <v>1470</v>
      </c>
    </row>
    <row r="203" spans="1:43" s="454" customFormat="1" ht="15.65" customHeight="1" x14ac:dyDescent="0.25">
      <c r="A203" s="3008"/>
      <c r="B203" s="711" t="s">
        <v>573</v>
      </c>
      <c r="C203" s="711"/>
      <c r="D203" s="897"/>
      <c r="E203" s="712"/>
      <c r="F203" s="712"/>
      <c r="G203" s="712"/>
      <c r="H203" s="1123">
        <f>SUM(H198:H202)</f>
        <v>16324</v>
      </c>
      <c r="I203" s="716"/>
      <c r="J203" s="1077"/>
      <c r="K203" s="1077"/>
      <c r="L203" s="1077"/>
      <c r="M203" s="2870">
        <f>SUM(M198:M202)</f>
        <v>16020</v>
      </c>
      <c r="N203" s="716"/>
      <c r="O203" s="1672">
        <f t="shared" ref="O203:R203" si="116">SUM(O198:O202)</f>
        <v>32344</v>
      </c>
      <c r="P203" s="1672">
        <f t="shared" si="116"/>
        <v>1.55</v>
      </c>
      <c r="Q203" s="1672">
        <f t="shared" si="116"/>
        <v>9765.7000000000007</v>
      </c>
      <c r="R203" s="1672">
        <f t="shared" si="116"/>
        <v>0</v>
      </c>
      <c r="S203" s="1672">
        <f>SUM(S198:S202)</f>
        <v>32332</v>
      </c>
      <c r="T203" s="1126">
        <f>S203/O203</f>
        <v>0.99962898837496905</v>
      </c>
      <c r="U203" s="715"/>
      <c r="V203" s="600">
        <f>W203/Q203</f>
        <v>0.99963136283113319</v>
      </c>
      <c r="W203" s="1127">
        <f>SUM(W198:W202)</f>
        <v>9762.0999999999985</v>
      </c>
      <c r="X203" s="600"/>
      <c r="Y203" s="670"/>
      <c r="Z203" s="670"/>
      <c r="AA203" s="670"/>
      <c r="AB203" s="670"/>
      <c r="AC203" s="670"/>
      <c r="AD203" s="670"/>
      <c r="AE203" s="670"/>
      <c r="AF203" s="670"/>
      <c r="AG203" s="670"/>
      <c r="AH203" s="670"/>
      <c r="AI203" s="670"/>
      <c r="AJ203" s="670"/>
      <c r="AK203" s="670"/>
      <c r="AL203" s="670"/>
      <c r="AM203" s="670"/>
      <c r="AN203" s="670"/>
      <c r="AO203" s="670"/>
      <c r="AP203" s="670"/>
      <c r="AQ203" s="670"/>
    </row>
    <row r="204" spans="1:43" s="461" customFormat="1" ht="27.65" customHeight="1" x14ac:dyDescent="0.25">
      <c r="A204" s="3006" t="s">
        <v>1286</v>
      </c>
      <c r="B204" s="595" t="s">
        <v>1287</v>
      </c>
      <c r="C204" s="595"/>
      <c r="D204" s="467" t="s">
        <v>724</v>
      </c>
      <c r="E204" s="724">
        <v>0</v>
      </c>
      <c r="F204" s="724">
        <v>53</v>
      </c>
      <c r="G204" s="724">
        <v>12</v>
      </c>
      <c r="H204" s="722">
        <f>CARITAS!H35</f>
        <v>0</v>
      </c>
      <c r="I204" s="714">
        <v>0</v>
      </c>
      <c r="J204" s="1783">
        <v>0</v>
      </c>
      <c r="K204" s="1783">
        <v>53</v>
      </c>
      <c r="L204" s="1783">
        <v>12</v>
      </c>
      <c r="M204" s="2875">
        <f>CARITAS!M35</f>
        <v>0</v>
      </c>
      <c r="N204" s="1784"/>
      <c r="O204" s="2921">
        <f>H204+M204</f>
        <v>0</v>
      </c>
      <c r="P204" s="675">
        <v>0</v>
      </c>
      <c r="Q204" s="709">
        <v>0</v>
      </c>
      <c r="R204" s="1781" t="s">
        <v>774</v>
      </c>
      <c r="S204" s="452">
        <f>CARITAS!S35</f>
        <v>0</v>
      </c>
      <c r="T204" s="591">
        <v>0</v>
      </c>
      <c r="U204" s="595" t="s">
        <v>774</v>
      </c>
      <c r="V204" s="591">
        <v>0</v>
      </c>
      <c r="W204" s="452">
        <v>0</v>
      </c>
      <c r="X204" s="541" t="s">
        <v>775</v>
      </c>
    </row>
    <row r="205" spans="1:43" s="461" customFormat="1" ht="13.9" customHeight="1" x14ac:dyDescent="0.25">
      <c r="A205" s="3007"/>
      <c r="B205" s="595" t="s">
        <v>1288</v>
      </c>
      <c r="C205" s="595" t="s">
        <v>15</v>
      </c>
      <c r="D205" s="467" t="s">
        <v>724</v>
      </c>
      <c r="E205" s="724">
        <v>375</v>
      </c>
      <c r="F205" s="724">
        <v>2</v>
      </c>
      <c r="G205" s="724">
        <v>1</v>
      </c>
      <c r="H205" s="722">
        <f>CARITAS!H36</f>
        <v>750</v>
      </c>
      <c r="I205" s="714">
        <v>0</v>
      </c>
      <c r="J205" s="1783"/>
      <c r="K205" s="1783"/>
      <c r="L205" s="1783"/>
      <c r="M205" s="2875">
        <f>CARITAS!M36</f>
        <v>0</v>
      </c>
      <c r="N205" s="1784"/>
      <c r="O205" s="2921">
        <f t="shared" ref="O205:O206" si="117">H205+M205</f>
        <v>750</v>
      </c>
      <c r="P205" s="675">
        <v>0.5</v>
      </c>
      <c r="Q205" s="709">
        <v>375</v>
      </c>
      <c r="R205" s="1781"/>
      <c r="S205" s="452">
        <f>CARITAS!S36</f>
        <v>750</v>
      </c>
      <c r="T205" s="591">
        <f>S205/O205</f>
        <v>1</v>
      </c>
      <c r="U205" s="595" t="s">
        <v>729</v>
      </c>
      <c r="V205" s="591">
        <f>W205/Q205</f>
        <v>1</v>
      </c>
      <c r="W205" s="452">
        <f>P205*S205</f>
        <v>375</v>
      </c>
      <c r="X205" s="595" t="s">
        <v>777</v>
      </c>
    </row>
    <row r="206" spans="1:43" s="461" customFormat="1" ht="13.9" customHeight="1" x14ac:dyDescent="0.25">
      <c r="A206" s="3007"/>
      <c r="B206" s="595" t="s">
        <v>1289</v>
      </c>
      <c r="C206" s="595" t="s">
        <v>15</v>
      </c>
      <c r="D206" s="467" t="s">
        <v>724</v>
      </c>
      <c r="E206" s="724">
        <v>150</v>
      </c>
      <c r="F206" s="724">
        <v>10</v>
      </c>
      <c r="G206" s="724">
        <v>1</v>
      </c>
      <c r="H206" s="722">
        <f>CARITAS!H37</f>
        <v>1500</v>
      </c>
      <c r="I206" s="714">
        <v>0</v>
      </c>
      <c r="J206" s="1783"/>
      <c r="K206" s="1783"/>
      <c r="L206" s="1783"/>
      <c r="M206" s="2875">
        <f>CARITAS!M37</f>
        <v>0</v>
      </c>
      <c r="N206" s="1784"/>
      <c r="O206" s="2921">
        <f t="shared" si="117"/>
        <v>1500</v>
      </c>
      <c r="P206" s="675">
        <v>0.5</v>
      </c>
      <c r="Q206" s="709">
        <v>750</v>
      </c>
      <c r="R206" s="1781" t="s">
        <v>779</v>
      </c>
      <c r="S206" s="452">
        <f>CARITAS!S37</f>
        <v>1445</v>
      </c>
      <c r="T206" s="591">
        <f>S206/O206</f>
        <v>0.96333333333333337</v>
      </c>
      <c r="U206" s="595" t="s">
        <v>780</v>
      </c>
      <c r="V206" s="591">
        <f>W206/Q206</f>
        <v>0.96333333333333337</v>
      </c>
      <c r="W206" s="452">
        <f>P206*S206</f>
        <v>722.5</v>
      </c>
      <c r="X206" s="595" t="s">
        <v>781</v>
      </c>
    </row>
    <row r="207" spans="1:43" s="454" customFormat="1" ht="15.65" customHeight="1" x14ac:dyDescent="0.25">
      <c r="A207" s="3008"/>
      <c r="B207" s="711" t="s">
        <v>573</v>
      </c>
      <c r="C207" s="711"/>
      <c r="D207" s="897"/>
      <c r="E207" s="712"/>
      <c r="F207" s="712"/>
      <c r="G207" s="712"/>
      <c r="H207" s="1123">
        <f>SUM(H204:H206)</f>
        <v>2250</v>
      </c>
      <c r="I207" s="716"/>
      <c r="J207" s="1077"/>
      <c r="K207" s="1077"/>
      <c r="L207" s="1077"/>
      <c r="M207" s="2870">
        <f>SUM(M204:M206)</f>
        <v>0</v>
      </c>
      <c r="N207" s="716"/>
      <c r="O207" s="1672">
        <f t="shared" ref="O207:R207" si="118">SUM(O204:O206)</f>
        <v>2250</v>
      </c>
      <c r="P207" s="1672">
        <f t="shared" si="118"/>
        <v>1</v>
      </c>
      <c r="Q207" s="1672">
        <f t="shared" si="118"/>
        <v>1125</v>
      </c>
      <c r="R207" s="1672">
        <f t="shared" si="118"/>
        <v>0</v>
      </c>
      <c r="S207" s="1672">
        <f>SUM(S204:S206)</f>
        <v>2195</v>
      </c>
      <c r="T207" s="1126">
        <f>S207/O207</f>
        <v>0.97555555555555551</v>
      </c>
      <c r="U207" s="715"/>
      <c r="V207" s="600">
        <f>W207/Q207</f>
        <v>0.97555555555555551</v>
      </c>
      <c r="W207" s="1127">
        <f>SUM(W204:W206)</f>
        <v>1097.5</v>
      </c>
      <c r="X207" s="600"/>
      <c r="Y207" s="670"/>
      <c r="Z207" s="670"/>
      <c r="AA207" s="670"/>
      <c r="AB207" s="670"/>
      <c r="AC207" s="670"/>
      <c r="AD207" s="670"/>
      <c r="AE207" s="670"/>
      <c r="AF207" s="670"/>
      <c r="AG207" s="670"/>
      <c r="AH207" s="670"/>
      <c r="AI207" s="670"/>
      <c r="AJ207" s="670"/>
      <c r="AK207" s="670"/>
      <c r="AL207" s="670"/>
      <c r="AM207" s="670"/>
      <c r="AN207" s="670"/>
      <c r="AO207" s="670"/>
      <c r="AP207" s="670"/>
      <c r="AQ207" s="670"/>
    </row>
    <row r="208" spans="1:43" s="461" customFormat="1" ht="13.9" customHeight="1" x14ac:dyDescent="0.25">
      <c r="A208" s="3009" t="s">
        <v>1292</v>
      </c>
      <c r="B208" s="3010"/>
      <c r="C208" s="1846"/>
      <c r="D208" s="903"/>
      <c r="E208" s="1116"/>
      <c r="F208" s="1116"/>
      <c r="G208" s="1116"/>
      <c r="H208" s="476">
        <f>H184+H190+H197+H203+H207</f>
        <v>93538.6</v>
      </c>
      <c r="I208" s="677"/>
      <c r="J208" s="1117"/>
      <c r="K208" s="1117"/>
      <c r="L208" s="1117"/>
      <c r="M208" s="2869">
        <f>M184+M190+M197+M203+M207</f>
        <v>23820</v>
      </c>
      <c r="N208" s="1118"/>
      <c r="O208" s="1122">
        <f t="shared" ref="O208:R208" si="119">O184+O190+O197+O203+O207</f>
        <v>117358.6</v>
      </c>
      <c r="P208" s="1122">
        <f t="shared" si="119"/>
        <v>8.1499999999999986</v>
      </c>
      <c r="Q208" s="1122">
        <f t="shared" si="119"/>
        <v>48447.11</v>
      </c>
      <c r="R208" s="1122">
        <f t="shared" si="119"/>
        <v>0</v>
      </c>
      <c r="S208" s="1122">
        <f>S184+S190+S197+S203+S207</f>
        <v>118873.45</v>
      </c>
      <c r="T208" s="1120">
        <f>S208/O208</f>
        <v>1.0129078738158088</v>
      </c>
      <c r="U208" s="1121"/>
      <c r="V208" s="1120">
        <f>W208/Q208</f>
        <v>0.98823593399069609</v>
      </c>
      <c r="W208" s="1122">
        <f>W184+W190+W197+W203+W207</f>
        <v>47877.174999999996</v>
      </c>
      <c r="X208" s="1119"/>
    </row>
    <row r="209" spans="1:43" ht="13.9" customHeight="1" x14ac:dyDescent="0.25">
      <c r="A209" s="3031" t="s">
        <v>400</v>
      </c>
      <c r="B209" s="3032"/>
      <c r="C209" s="3032"/>
      <c r="D209" s="3032"/>
      <c r="E209" s="3032"/>
      <c r="F209" s="3032"/>
      <c r="G209" s="3032"/>
      <c r="H209" s="3032"/>
      <c r="I209" s="3032"/>
      <c r="J209" s="3032"/>
      <c r="K209" s="3032"/>
      <c r="L209" s="3032"/>
      <c r="M209" s="3032"/>
      <c r="N209" s="3032"/>
      <c r="O209" s="3032"/>
      <c r="P209" s="3032"/>
      <c r="Q209" s="3032"/>
      <c r="R209" s="3032"/>
      <c r="S209" s="3032"/>
      <c r="T209" s="3032"/>
      <c r="U209" s="3032"/>
      <c r="V209" s="3032"/>
      <c r="W209" s="3032"/>
      <c r="X209" s="3032"/>
    </row>
    <row r="210" spans="1:43" s="495" customFormat="1" ht="41.5" customHeight="1" x14ac:dyDescent="0.25">
      <c r="A210" s="2994" t="s">
        <v>401</v>
      </c>
      <c r="B210" s="595" t="s">
        <v>402</v>
      </c>
      <c r="C210" s="1720" t="s">
        <v>47</v>
      </c>
      <c r="D210" s="467" t="s">
        <v>398</v>
      </c>
      <c r="E210" s="1068">
        <v>1</v>
      </c>
      <c r="F210" s="468">
        <v>205</v>
      </c>
      <c r="G210" s="468">
        <v>13</v>
      </c>
      <c r="H210" s="451">
        <f>SFCG!H12</f>
        <v>2665</v>
      </c>
      <c r="I210" s="675">
        <v>0.3</v>
      </c>
      <c r="J210" s="1078">
        <v>1</v>
      </c>
      <c r="K210" s="710">
        <v>205</v>
      </c>
      <c r="L210" s="710">
        <v>13</v>
      </c>
      <c r="M210" s="1834">
        <f>SFCG!M12+3600</f>
        <v>6265</v>
      </c>
      <c r="N210" s="675">
        <v>0.3</v>
      </c>
      <c r="O210" s="696">
        <f>+H210+M210</f>
        <v>8930</v>
      </c>
      <c r="P210" s="675">
        <v>0.3</v>
      </c>
      <c r="Q210" s="709">
        <f>O210*P210</f>
        <v>2679</v>
      </c>
      <c r="R210" s="1785" t="s">
        <v>1161</v>
      </c>
      <c r="S210" s="706">
        <f>SFCG!T12</f>
        <v>5247.08</v>
      </c>
      <c r="T210" s="591">
        <f t="shared" ref="T210:T222" si="120">S210/O210</f>
        <v>0.58757894736842109</v>
      </c>
      <c r="U210" s="595" t="s">
        <v>403</v>
      </c>
      <c r="V210" s="591">
        <f>W210/Q210</f>
        <v>0.58757894736842109</v>
      </c>
      <c r="W210" s="706">
        <f>P210*S210</f>
        <v>1574.124</v>
      </c>
      <c r="X210" s="595" t="s">
        <v>1162</v>
      </c>
      <c r="Y210" s="796"/>
    </row>
    <row r="211" spans="1:43" s="450" customFormat="1" ht="70.150000000000006" customHeight="1" x14ac:dyDescent="0.25">
      <c r="A211" s="2995"/>
      <c r="B211" s="595" t="s">
        <v>404</v>
      </c>
      <c r="C211" s="595" t="s">
        <v>47</v>
      </c>
      <c r="D211" s="467" t="s">
        <v>398</v>
      </c>
      <c r="E211" s="1068">
        <v>6539</v>
      </c>
      <c r="F211" s="468">
        <v>1</v>
      </c>
      <c r="G211" s="468">
        <v>1</v>
      </c>
      <c r="H211" s="451">
        <f>SFCG!H13</f>
        <v>6539</v>
      </c>
      <c r="I211" s="675">
        <v>0.3</v>
      </c>
      <c r="J211" s="1078">
        <v>6540</v>
      </c>
      <c r="K211" s="710">
        <f>F211</f>
        <v>1</v>
      </c>
      <c r="L211" s="710">
        <v>1</v>
      </c>
      <c r="M211" s="1834">
        <f>SFCG!M13</f>
        <v>6540</v>
      </c>
      <c r="N211" s="675">
        <v>0.3</v>
      </c>
      <c r="O211" s="696">
        <f>+H211+M211</f>
        <v>13079</v>
      </c>
      <c r="P211" s="675">
        <v>0.3</v>
      </c>
      <c r="Q211" s="709">
        <f>O211*P211</f>
        <v>3923.7</v>
      </c>
      <c r="R211" s="1857" t="s">
        <v>1163</v>
      </c>
      <c r="S211" s="706">
        <f>SFCG!T13</f>
        <v>11691</v>
      </c>
      <c r="T211" s="591">
        <f t="shared" si="120"/>
        <v>0.89387567856869787</v>
      </c>
      <c r="U211" s="595" t="s">
        <v>1109</v>
      </c>
      <c r="V211" s="591">
        <f>W211/Q211</f>
        <v>0.89387567856869787</v>
      </c>
      <c r="W211" s="706">
        <f t="shared" ref="W211:W212" si="121">P211*S211</f>
        <v>3507.2999999999997</v>
      </c>
      <c r="X211" s="266" t="s">
        <v>1164</v>
      </c>
      <c r="Y211" s="1786"/>
    </row>
    <row r="212" spans="1:43" s="450" customFormat="1" ht="41.5" customHeight="1" x14ac:dyDescent="0.25">
      <c r="A212" s="2995"/>
      <c r="B212" s="595" t="s">
        <v>405</v>
      </c>
      <c r="C212" s="595" t="s">
        <v>47</v>
      </c>
      <c r="D212" s="467" t="s">
        <v>398</v>
      </c>
      <c r="E212" s="1068">
        <v>1</v>
      </c>
      <c r="F212" s="468">
        <v>1500</v>
      </c>
      <c r="G212" s="468">
        <v>1</v>
      </c>
      <c r="H212" s="451">
        <f>SFCG!H14</f>
        <v>1500</v>
      </c>
      <c r="I212" s="675">
        <v>0.3</v>
      </c>
      <c r="J212" s="1078">
        <v>1</v>
      </c>
      <c r="K212" s="710">
        <v>1500</v>
      </c>
      <c r="L212" s="710">
        <v>1</v>
      </c>
      <c r="M212" s="1834">
        <f>SFCG!M14</f>
        <v>1500</v>
      </c>
      <c r="N212" s="675">
        <v>0.3</v>
      </c>
      <c r="O212" s="696">
        <f>+H212+M212</f>
        <v>3000</v>
      </c>
      <c r="P212" s="675">
        <v>0.3</v>
      </c>
      <c r="Q212" s="709">
        <f>O212*P212</f>
        <v>900</v>
      </c>
      <c r="R212" s="1785" t="s">
        <v>1165</v>
      </c>
      <c r="S212" s="706">
        <f>SFCG!T14</f>
        <v>2550</v>
      </c>
      <c r="T212" s="591">
        <f t="shared" si="120"/>
        <v>0.85</v>
      </c>
      <c r="U212" s="595" t="s">
        <v>1110</v>
      </c>
      <c r="V212" s="591">
        <f>W212/Q212</f>
        <v>0.85</v>
      </c>
      <c r="W212" s="706">
        <f t="shared" si="121"/>
        <v>765</v>
      </c>
      <c r="X212" s="266" t="s">
        <v>1166</v>
      </c>
    </row>
    <row r="213" spans="1:43" s="454" customFormat="1" ht="15.65" customHeight="1" x14ac:dyDescent="0.25">
      <c r="A213" s="2996"/>
      <c r="B213" s="711" t="s">
        <v>573</v>
      </c>
      <c r="C213" s="711"/>
      <c r="D213" s="897"/>
      <c r="E213" s="712"/>
      <c r="F213" s="712"/>
      <c r="G213" s="712"/>
      <c r="H213" s="1123">
        <f>SUM(H210:H212)</f>
        <v>10704</v>
      </c>
      <c r="I213" s="716"/>
      <c r="J213" s="1077"/>
      <c r="K213" s="1077"/>
      <c r="L213" s="1077"/>
      <c r="M213" s="2870">
        <f>SUM(M210:M212)</f>
        <v>14305</v>
      </c>
      <c r="N213" s="716"/>
      <c r="O213" s="1672">
        <f t="shared" ref="O213:R213" si="122">SUM(O210:O212)</f>
        <v>25009</v>
      </c>
      <c r="P213" s="1672">
        <f t="shared" si="122"/>
        <v>0.89999999999999991</v>
      </c>
      <c r="Q213" s="1672">
        <f t="shared" si="122"/>
        <v>7502.7</v>
      </c>
      <c r="R213" s="1672">
        <f t="shared" si="122"/>
        <v>0</v>
      </c>
      <c r="S213" s="1672">
        <f>SUM(S210:S212)</f>
        <v>19488.080000000002</v>
      </c>
      <c r="T213" s="1126">
        <f t="shared" si="120"/>
        <v>0.77924267263785041</v>
      </c>
      <c r="U213" s="715"/>
      <c r="V213" s="600">
        <f>W213/Q213</f>
        <v>0.77924267263785041</v>
      </c>
      <c r="W213" s="1127">
        <f>SUM(W210:W212)</f>
        <v>5846.424</v>
      </c>
      <c r="X213" s="600"/>
      <c r="Y213" s="670"/>
      <c r="Z213" s="670"/>
      <c r="AA213" s="670"/>
      <c r="AB213" s="670"/>
      <c r="AC213" s="670"/>
      <c r="AD213" s="670"/>
      <c r="AE213" s="670"/>
      <c r="AF213" s="670"/>
      <c r="AG213" s="670"/>
      <c r="AH213" s="670"/>
      <c r="AI213" s="670"/>
      <c r="AJ213" s="670"/>
      <c r="AK213" s="670"/>
      <c r="AL213" s="670"/>
      <c r="AM213" s="670"/>
      <c r="AN213" s="670"/>
      <c r="AO213" s="670"/>
      <c r="AP213" s="670"/>
      <c r="AQ213" s="670"/>
    </row>
    <row r="214" spans="1:43" s="450" customFormat="1" ht="41.5" customHeight="1" x14ac:dyDescent="0.25">
      <c r="A214" s="2994" t="s">
        <v>406</v>
      </c>
      <c r="B214" s="595" t="s">
        <v>407</v>
      </c>
      <c r="C214" s="595" t="s">
        <v>48</v>
      </c>
      <c r="D214" s="467" t="s">
        <v>398</v>
      </c>
      <c r="E214" s="1787">
        <v>1</v>
      </c>
      <c r="F214" s="724">
        <v>450</v>
      </c>
      <c r="G214" s="724">
        <v>19</v>
      </c>
      <c r="H214" s="451">
        <f>SFCG!H16</f>
        <v>8550</v>
      </c>
      <c r="I214" s="675">
        <v>0.3</v>
      </c>
      <c r="J214" s="1078">
        <v>1</v>
      </c>
      <c r="K214" s="710">
        <f>F214</f>
        <v>450</v>
      </c>
      <c r="L214" s="710">
        <v>19</v>
      </c>
      <c r="M214" s="1834">
        <f>SFCG!M16+SFCG!N16</f>
        <v>12150</v>
      </c>
      <c r="N214" s="675">
        <v>0.3</v>
      </c>
      <c r="O214" s="696">
        <f>+H214+M214</f>
        <v>20700</v>
      </c>
      <c r="P214" s="675">
        <v>0.3</v>
      </c>
      <c r="Q214" s="709">
        <f>O214*P214</f>
        <v>6210</v>
      </c>
      <c r="R214" s="1785" t="s">
        <v>1167</v>
      </c>
      <c r="S214" s="706">
        <f>SFCG!T16</f>
        <v>18580.95</v>
      </c>
      <c r="T214" s="591">
        <f t="shared" si="120"/>
        <v>0.89763043478260873</v>
      </c>
      <c r="U214" s="595" t="s">
        <v>1111</v>
      </c>
      <c r="V214" s="591">
        <f>W214/Q214</f>
        <v>0.89763043478260862</v>
      </c>
      <c r="W214" s="706">
        <f>P214*S214</f>
        <v>5574.2849999999999</v>
      </c>
      <c r="X214" s="266" t="s">
        <v>1168</v>
      </c>
    </row>
    <row r="215" spans="1:43" s="450" customFormat="1" ht="55.15" customHeight="1" x14ac:dyDescent="0.25">
      <c r="A215" s="2995"/>
      <c r="B215" s="595" t="s">
        <v>408</v>
      </c>
      <c r="C215" s="595" t="s">
        <v>47</v>
      </c>
      <c r="D215" s="467" t="s">
        <v>398</v>
      </c>
      <c r="E215" s="1787">
        <v>1</v>
      </c>
      <c r="F215" s="724">
        <v>3000</v>
      </c>
      <c r="G215" s="724">
        <v>1</v>
      </c>
      <c r="H215" s="451">
        <f>SFCG!H17</f>
        <v>3000</v>
      </c>
      <c r="I215" s="675">
        <v>0.3</v>
      </c>
      <c r="J215" s="1078">
        <v>1</v>
      </c>
      <c r="K215" s="710">
        <f>F215</f>
        <v>3000</v>
      </c>
      <c r="L215" s="710">
        <v>1</v>
      </c>
      <c r="M215" s="1834">
        <f>SFCG!M17+SFCG!N17</f>
        <v>3000</v>
      </c>
      <c r="N215" s="675">
        <v>0.3</v>
      </c>
      <c r="O215" s="696">
        <f>+H215+M215</f>
        <v>6000</v>
      </c>
      <c r="P215" s="675">
        <v>0.3</v>
      </c>
      <c r="Q215" s="709">
        <f>O215*P215</f>
        <v>1800</v>
      </c>
      <c r="R215" s="1785" t="s">
        <v>1169</v>
      </c>
      <c r="S215" s="706">
        <f>SFCG!T17</f>
        <v>6245</v>
      </c>
      <c r="T215" s="591">
        <f t="shared" si="120"/>
        <v>1.0408333333333333</v>
      </c>
      <c r="U215" s="595" t="s">
        <v>409</v>
      </c>
      <c r="V215" s="591">
        <f t="shared" ref="V215:V218" si="123">W215/Q215</f>
        <v>1.0408333333333333</v>
      </c>
      <c r="W215" s="706">
        <f>P215*S215</f>
        <v>1873.5</v>
      </c>
      <c r="X215" s="266" t="s">
        <v>1170</v>
      </c>
    </row>
    <row r="216" spans="1:43" s="450" customFormat="1" ht="27.65" customHeight="1" x14ac:dyDescent="0.25">
      <c r="A216" s="2995"/>
      <c r="B216" s="595" t="s">
        <v>410</v>
      </c>
      <c r="C216" s="595" t="s">
        <v>48</v>
      </c>
      <c r="D216" s="467" t="s">
        <v>398</v>
      </c>
      <c r="E216" s="1787">
        <v>3</v>
      </c>
      <c r="F216" s="724">
        <v>2000</v>
      </c>
      <c r="G216" s="724">
        <v>1</v>
      </c>
      <c r="H216" s="451">
        <f>SFCG!H18</f>
        <v>6000</v>
      </c>
      <c r="I216" s="675">
        <v>0.3</v>
      </c>
      <c r="J216" s="1078">
        <v>3</v>
      </c>
      <c r="K216" s="710">
        <f>F216</f>
        <v>2000</v>
      </c>
      <c r="L216" s="710">
        <v>1</v>
      </c>
      <c r="M216" s="1834">
        <f>SFCG!M18+SFCG!N18</f>
        <v>6000</v>
      </c>
      <c r="N216" s="675">
        <v>0.3</v>
      </c>
      <c r="O216" s="696">
        <f>+H216+M216</f>
        <v>12000</v>
      </c>
      <c r="P216" s="675">
        <v>0.3</v>
      </c>
      <c r="Q216" s="709">
        <f>O216*P216</f>
        <v>3600</v>
      </c>
      <c r="R216" s="1129" t="s">
        <v>1171</v>
      </c>
      <c r="S216" s="706">
        <f>SFCG!T18</f>
        <v>18682</v>
      </c>
      <c r="T216" s="591">
        <f t="shared" si="120"/>
        <v>1.5568333333333333</v>
      </c>
      <c r="U216" s="595" t="s">
        <v>411</v>
      </c>
      <c r="V216" s="591">
        <f t="shared" si="123"/>
        <v>1.5568333333333333</v>
      </c>
      <c r="W216" s="706">
        <f>P216*S216</f>
        <v>5604.5999999999995</v>
      </c>
      <c r="X216" s="266" t="s">
        <v>1172</v>
      </c>
    </row>
    <row r="217" spans="1:43" s="450" customFormat="1" ht="27.65" customHeight="1" x14ac:dyDescent="0.25">
      <c r="A217" s="2995"/>
      <c r="B217" s="595" t="s">
        <v>412</v>
      </c>
      <c r="C217" s="595" t="s">
        <v>48</v>
      </c>
      <c r="D217" s="467" t="s">
        <v>398</v>
      </c>
      <c r="E217" s="1787">
        <v>3</v>
      </c>
      <c r="F217" s="724">
        <v>75</v>
      </c>
      <c r="G217" s="724">
        <v>9</v>
      </c>
      <c r="H217" s="451">
        <f>SFCG!H19</f>
        <v>2025</v>
      </c>
      <c r="I217" s="675">
        <v>0.3</v>
      </c>
      <c r="J217" s="1078">
        <v>3</v>
      </c>
      <c r="K217" s="710">
        <f>F217</f>
        <v>75</v>
      </c>
      <c r="L217" s="710">
        <v>12</v>
      </c>
      <c r="M217" s="1834">
        <f>SFCG!M19+SFCG!N19</f>
        <v>2700</v>
      </c>
      <c r="N217" s="675">
        <v>0.3</v>
      </c>
      <c r="O217" s="696">
        <f>+H217+M217</f>
        <v>4725</v>
      </c>
      <c r="P217" s="675">
        <v>0.3</v>
      </c>
      <c r="Q217" s="709">
        <f>O217*P217</f>
        <v>1417.5</v>
      </c>
      <c r="R217" s="1785" t="s">
        <v>1173</v>
      </c>
      <c r="S217" s="706">
        <f>SFCG!T19</f>
        <v>2166</v>
      </c>
      <c r="T217" s="591">
        <f t="shared" si="120"/>
        <v>0.45841269841269844</v>
      </c>
      <c r="U217" s="595" t="s">
        <v>413</v>
      </c>
      <c r="V217" s="591">
        <f t="shared" si="123"/>
        <v>0.45841269841269838</v>
      </c>
      <c r="W217" s="706">
        <f>P217*S217</f>
        <v>649.79999999999995</v>
      </c>
      <c r="X217" s="266" t="s">
        <v>1174</v>
      </c>
    </row>
    <row r="218" spans="1:43" s="450" customFormat="1" ht="27.65" customHeight="1" x14ac:dyDescent="0.25">
      <c r="A218" s="2995"/>
      <c r="B218" s="595" t="s">
        <v>414</v>
      </c>
      <c r="C218" s="595" t="s">
        <v>17</v>
      </c>
      <c r="D218" s="467" t="s">
        <v>398</v>
      </c>
      <c r="E218" s="1787">
        <v>2</v>
      </c>
      <c r="F218" s="724">
        <v>55</v>
      </c>
      <c r="G218" s="724">
        <v>18</v>
      </c>
      <c r="H218" s="451">
        <f>SFCG!H20</f>
        <v>1980</v>
      </c>
      <c r="I218" s="675">
        <v>0.3</v>
      </c>
      <c r="J218" s="1078">
        <v>2</v>
      </c>
      <c r="K218" s="710">
        <f>F218</f>
        <v>55</v>
      </c>
      <c r="L218" s="710">
        <v>18</v>
      </c>
      <c r="M218" s="1834">
        <f>SFCG!M20+SFCG!N20</f>
        <v>4680</v>
      </c>
      <c r="N218" s="675">
        <v>0.3</v>
      </c>
      <c r="O218" s="696">
        <f>+H218+M218</f>
        <v>6660</v>
      </c>
      <c r="P218" s="675">
        <v>0.3</v>
      </c>
      <c r="Q218" s="709">
        <f>O218*P218</f>
        <v>1998</v>
      </c>
      <c r="R218" s="1129" t="s">
        <v>1175</v>
      </c>
      <c r="S218" s="706">
        <f>SFCG!T20</f>
        <v>4880.49</v>
      </c>
      <c r="T218" s="591">
        <f t="shared" si="120"/>
        <v>0.73280630630630628</v>
      </c>
      <c r="U218" s="595" t="s">
        <v>415</v>
      </c>
      <c r="V218" s="591">
        <f t="shared" si="123"/>
        <v>0.73280630630630628</v>
      </c>
      <c r="W218" s="706">
        <f>P218*S218</f>
        <v>1464.1469999999999</v>
      </c>
      <c r="X218" s="266" t="s">
        <v>1176</v>
      </c>
    </row>
    <row r="219" spans="1:43" s="454" customFormat="1" ht="15.65" customHeight="1" x14ac:dyDescent="0.25">
      <c r="A219" s="2996"/>
      <c r="B219" s="711" t="s">
        <v>573</v>
      </c>
      <c r="C219" s="711"/>
      <c r="D219" s="897"/>
      <c r="E219" s="712"/>
      <c r="F219" s="712"/>
      <c r="G219" s="712"/>
      <c r="H219" s="1123">
        <f>SUM(H214:H218)</f>
        <v>21555</v>
      </c>
      <c r="I219" s="716"/>
      <c r="J219" s="1077"/>
      <c r="K219" s="1077"/>
      <c r="L219" s="1077"/>
      <c r="M219" s="2870">
        <f>SUM(M214:M218)</f>
        <v>28530</v>
      </c>
      <c r="N219" s="716"/>
      <c r="O219" s="1123">
        <f>SUM(O214:O218)</f>
        <v>50085</v>
      </c>
      <c r="P219" s="1076"/>
      <c r="Q219" s="713">
        <f>SUM(Q214:Q218)</f>
        <v>15025.5</v>
      </c>
      <c r="R219" s="1125"/>
      <c r="S219" s="1672">
        <f>SUM(S214:S218)</f>
        <v>50554.439999999995</v>
      </c>
      <c r="T219" s="1126">
        <f t="shared" si="120"/>
        <v>1.0093728661275829</v>
      </c>
      <c r="U219" s="715"/>
      <c r="V219" s="600">
        <f>W219/Q219</f>
        <v>1.0093728661275829</v>
      </c>
      <c r="W219" s="1127">
        <f>SUM(W214:W218)</f>
        <v>15166.331999999999</v>
      </c>
      <c r="X219" s="600"/>
      <c r="Y219" s="670"/>
      <c r="Z219" s="670"/>
      <c r="AA219" s="670"/>
      <c r="AB219" s="670"/>
      <c r="AC219" s="670"/>
      <c r="AD219" s="670"/>
      <c r="AE219" s="670"/>
      <c r="AF219" s="670"/>
      <c r="AG219" s="670"/>
      <c r="AH219" s="670"/>
      <c r="AI219" s="670"/>
      <c r="AJ219" s="670"/>
      <c r="AK219" s="670"/>
      <c r="AL219" s="670"/>
      <c r="AM219" s="670"/>
      <c r="AN219" s="670"/>
      <c r="AO219" s="670"/>
      <c r="AP219" s="670"/>
      <c r="AQ219" s="670"/>
    </row>
    <row r="220" spans="1:43" s="450" customFormat="1" ht="26" x14ac:dyDescent="0.25">
      <c r="A220" s="3006" t="s">
        <v>416</v>
      </c>
      <c r="B220" s="595" t="s">
        <v>417</v>
      </c>
      <c r="C220" s="1724" t="s">
        <v>14</v>
      </c>
      <c r="D220" s="467" t="s">
        <v>398</v>
      </c>
      <c r="E220" s="1078">
        <v>1</v>
      </c>
      <c r="F220" s="710">
        <v>800</v>
      </c>
      <c r="G220" s="710">
        <v>12</v>
      </c>
      <c r="H220" s="451">
        <f>SFCG!H22</f>
        <v>9600</v>
      </c>
      <c r="I220" s="675">
        <v>0.3</v>
      </c>
      <c r="J220" s="1078">
        <v>1</v>
      </c>
      <c r="K220" s="710">
        <f>F220</f>
        <v>800</v>
      </c>
      <c r="L220" s="710">
        <v>12</v>
      </c>
      <c r="M220" s="1834">
        <f>SFCG!M22+SFCG!N22</f>
        <v>15408</v>
      </c>
      <c r="N220" s="675">
        <v>0.3</v>
      </c>
      <c r="O220" s="696">
        <f>+H220+M220</f>
        <v>25008</v>
      </c>
      <c r="P220" s="675">
        <v>0.3</v>
      </c>
      <c r="Q220" s="709">
        <f>O220*P220</f>
        <v>7502.4</v>
      </c>
      <c r="R220" s="1129" t="s">
        <v>1177</v>
      </c>
      <c r="S220" s="706">
        <f>SFCG!T22</f>
        <v>20139.770000000004</v>
      </c>
      <c r="T220" s="591">
        <f t="shared" si="120"/>
        <v>0.80533309341010895</v>
      </c>
      <c r="U220" s="595" t="s">
        <v>418</v>
      </c>
      <c r="V220" s="591">
        <f>W220/Q220</f>
        <v>0.80533309341010895</v>
      </c>
      <c r="W220" s="706">
        <f>P220*S220</f>
        <v>6041.9310000000014</v>
      </c>
      <c r="X220" s="266" t="s">
        <v>1178</v>
      </c>
    </row>
    <row r="221" spans="1:43" s="450" customFormat="1" ht="26" x14ac:dyDescent="0.25">
      <c r="A221" s="3008"/>
      <c r="B221" s="595" t="s">
        <v>419</v>
      </c>
      <c r="C221" s="595" t="s">
        <v>14</v>
      </c>
      <c r="D221" s="731" t="s">
        <v>398</v>
      </c>
      <c r="E221" s="1078">
        <v>0.14754999999999999</v>
      </c>
      <c r="F221" s="1078">
        <v>3500</v>
      </c>
      <c r="G221" s="710">
        <v>12</v>
      </c>
      <c r="H221" s="451">
        <f>SFCG!H23</f>
        <v>6197.0999999999995</v>
      </c>
      <c r="I221" s="675">
        <v>0.3</v>
      </c>
      <c r="J221" s="1078">
        <v>0.14799999999999999</v>
      </c>
      <c r="K221" s="710">
        <f>F221</f>
        <v>3500</v>
      </c>
      <c r="L221" s="710">
        <v>12</v>
      </c>
      <c r="M221" s="1834">
        <f>SFCG!M23+SFCG!N23</f>
        <v>6216</v>
      </c>
      <c r="N221" s="675">
        <v>0.3</v>
      </c>
      <c r="O221" s="696">
        <f>+H221+M221</f>
        <v>12413.099999999999</v>
      </c>
      <c r="P221" s="675">
        <v>0.3</v>
      </c>
      <c r="Q221" s="709">
        <f>O221*P221</f>
        <v>3723.9299999999994</v>
      </c>
      <c r="R221" s="1129" t="s">
        <v>1179</v>
      </c>
      <c r="S221" s="706">
        <f>SFCG!T23</f>
        <v>13667.269999999997</v>
      </c>
      <c r="T221" s="591">
        <f t="shared" si="120"/>
        <v>1.1010360022879053</v>
      </c>
      <c r="U221" s="595" t="s">
        <v>418</v>
      </c>
      <c r="V221" s="591">
        <f>W221/Q221</f>
        <v>1.1010360022879053</v>
      </c>
      <c r="W221" s="706">
        <f>P221*S221</f>
        <v>4100.1809999999987</v>
      </c>
      <c r="X221" s="266" t="s">
        <v>421</v>
      </c>
    </row>
    <row r="222" spans="1:43" s="454" customFormat="1" ht="15.65" customHeight="1" x14ac:dyDescent="0.25">
      <c r="A222" s="717"/>
      <c r="B222" s="711" t="s">
        <v>573</v>
      </c>
      <c r="C222" s="711"/>
      <c r="D222" s="897"/>
      <c r="E222" s="712"/>
      <c r="F222" s="712"/>
      <c r="G222" s="712"/>
      <c r="H222" s="1123">
        <f>SUM(H220:H221)</f>
        <v>15797.099999999999</v>
      </c>
      <c r="I222" s="716"/>
      <c r="J222" s="1077"/>
      <c r="K222" s="1077"/>
      <c r="L222" s="1077"/>
      <c r="M222" s="2870">
        <f>SUM(M220:M221)</f>
        <v>21624</v>
      </c>
      <c r="N222" s="716"/>
      <c r="O222" s="1123">
        <f>SUM(O220:O221)</f>
        <v>37421.1</v>
      </c>
      <c r="P222" s="1076"/>
      <c r="Q222" s="713">
        <f>SUM(Q220:Q221)</f>
        <v>11226.329999999998</v>
      </c>
      <c r="R222" s="1125"/>
      <c r="S222" s="1672">
        <f>SUM(S220:S221)</f>
        <v>33807.040000000001</v>
      </c>
      <c r="T222" s="1126">
        <f t="shared" si="120"/>
        <v>0.90342186627330578</v>
      </c>
      <c r="U222" s="715"/>
      <c r="V222" s="600">
        <f>W222/Q222</f>
        <v>0.9034218662733059</v>
      </c>
      <c r="W222" s="1127">
        <f>SUM(W220:W221)</f>
        <v>10142.112000000001</v>
      </c>
      <c r="X222" s="600"/>
      <c r="Y222" s="670"/>
      <c r="Z222" s="670"/>
      <c r="AA222" s="670"/>
      <c r="AB222" s="670"/>
      <c r="AC222" s="670"/>
      <c r="AD222" s="670"/>
      <c r="AE222" s="670"/>
      <c r="AF222" s="670"/>
      <c r="AG222" s="670"/>
      <c r="AH222" s="670"/>
      <c r="AI222" s="670"/>
      <c r="AJ222" s="670"/>
      <c r="AK222" s="670"/>
      <c r="AL222" s="670"/>
      <c r="AM222" s="670"/>
      <c r="AN222" s="670"/>
      <c r="AO222" s="670"/>
      <c r="AP222" s="670"/>
      <c r="AQ222" s="670"/>
    </row>
    <row r="223" spans="1:43" ht="13.9" customHeight="1" x14ac:dyDescent="0.25">
      <c r="A223" s="2991" t="s">
        <v>1290</v>
      </c>
      <c r="B223" s="2992"/>
      <c r="C223" s="2992"/>
      <c r="D223" s="2992"/>
      <c r="E223" s="2992"/>
      <c r="F223" s="2992"/>
      <c r="G223" s="2992"/>
      <c r="H223" s="2992"/>
      <c r="I223" s="2992"/>
      <c r="J223" s="2992"/>
      <c r="K223" s="2992"/>
      <c r="L223" s="2992"/>
      <c r="M223" s="2992"/>
      <c r="N223" s="2992"/>
      <c r="O223" s="2992"/>
      <c r="P223" s="2992"/>
      <c r="Q223" s="2992"/>
      <c r="R223" s="2992"/>
      <c r="S223" s="2992"/>
      <c r="T223" s="2992"/>
      <c r="U223" s="2992"/>
      <c r="V223" s="2992"/>
      <c r="W223" s="2992"/>
      <c r="X223" s="2993"/>
    </row>
    <row r="224" spans="1:43" ht="13.9" customHeight="1" x14ac:dyDescent="0.25">
      <c r="A224" s="3028" t="s">
        <v>1291</v>
      </c>
      <c r="B224" s="3029"/>
      <c r="C224" s="3029"/>
      <c r="D224" s="3029"/>
      <c r="E224" s="3029"/>
      <c r="F224" s="3029"/>
      <c r="G224" s="3029"/>
      <c r="H224" s="3029"/>
      <c r="I224" s="3029"/>
      <c r="J224" s="3029"/>
      <c r="K224" s="3029"/>
      <c r="L224" s="3029"/>
      <c r="M224" s="3029"/>
      <c r="N224" s="3029"/>
      <c r="O224" s="3029"/>
      <c r="P224" s="3029"/>
      <c r="Q224" s="3029"/>
      <c r="R224" s="3030"/>
      <c r="S224" s="1671"/>
      <c r="T224" s="1088"/>
      <c r="U224" s="893"/>
      <c r="V224" s="1103"/>
      <c r="W224" s="1104"/>
      <c r="X224" s="1105"/>
      <c r="Y224" s="448"/>
      <c r="Z224" s="448"/>
      <c r="AA224" s="448"/>
      <c r="AB224" s="448"/>
      <c r="AC224" s="448"/>
      <c r="AD224" s="448"/>
      <c r="AE224" s="448"/>
      <c r="AF224" s="448"/>
      <c r="AG224" s="448"/>
      <c r="AH224" s="448"/>
      <c r="AI224" s="448"/>
      <c r="AJ224" s="448"/>
      <c r="AK224" s="448"/>
      <c r="AL224" s="448"/>
      <c r="AM224" s="448"/>
      <c r="AN224" s="448"/>
      <c r="AO224" s="448"/>
      <c r="AP224" s="448"/>
      <c r="AQ224" s="448"/>
    </row>
    <row r="225" spans="1:43" s="461" customFormat="1" ht="55.15" customHeight="1" x14ac:dyDescent="0.25">
      <c r="A225" s="3006" t="s">
        <v>1294</v>
      </c>
      <c r="B225" s="595" t="s">
        <v>423</v>
      </c>
      <c r="C225" s="595" t="s">
        <v>15</v>
      </c>
      <c r="D225" s="467" t="s">
        <v>398</v>
      </c>
      <c r="E225" s="1068">
        <v>4</v>
      </c>
      <c r="F225" s="468">
        <v>900</v>
      </c>
      <c r="G225" s="468">
        <v>3</v>
      </c>
      <c r="H225" s="451">
        <f>SFCG!H28</f>
        <v>10800</v>
      </c>
      <c r="I225" s="675">
        <v>0.3</v>
      </c>
      <c r="J225" s="1078">
        <v>4</v>
      </c>
      <c r="K225" s="710">
        <v>900</v>
      </c>
      <c r="L225" s="710">
        <v>4</v>
      </c>
      <c r="M225" s="1834">
        <f>SFCG!M28+SFCG!N28</f>
        <v>29400</v>
      </c>
      <c r="N225" s="675">
        <v>0.3</v>
      </c>
      <c r="O225" s="696">
        <f>+H225+M225</f>
        <v>40200</v>
      </c>
      <c r="P225" s="675">
        <v>0.3</v>
      </c>
      <c r="Q225" s="709">
        <f>O225*P225</f>
        <v>12060</v>
      </c>
      <c r="R225" s="1129" t="s">
        <v>1180</v>
      </c>
      <c r="S225" s="706">
        <f>SFCG!T28</f>
        <v>0</v>
      </c>
      <c r="T225" s="591">
        <f>S225/O225</f>
        <v>0</v>
      </c>
      <c r="U225" s="595" t="s">
        <v>424</v>
      </c>
      <c r="V225" s="591">
        <f>W225/Q225</f>
        <v>0</v>
      </c>
      <c r="W225" s="706">
        <f>P225*S225</f>
        <v>0</v>
      </c>
      <c r="X225" s="266" t="s">
        <v>1181</v>
      </c>
    </row>
    <row r="226" spans="1:43" s="461" customFormat="1" ht="55.15" customHeight="1" x14ac:dyDescent="0.25">
      <c r="A226" s="3007"/>
      <c r="B226" s="595" t="s">
        <v>425</v>
      </c>
      <c r="C226" s="595" t="s">
        <v>48</v>
      </c>
      <c r="D226" s="467" t="s">
        <v>398</v>
      </c>
      <c r="E226" s="1068">
        <v>4</v>
      </c>
      <c r="F226" s="468">
        <v>350</v>
      </c>
      <c r="G226" s="468">
        <v>4</v>
      </c>
      <c r="H226" s="451">
        <f>SFCG!H29</f>
        <v>5600</v>
      </c>
      <c r="I226" s="675">
        <v>0.3</v>
      </c>
      <c r="J226" s="1078">
        <v>4</v>
      </c>
      <c r="K226" s="710">
        <v>350</v>
      </c>
      <c r="L226" s="710">
        <v>4</v>
      </c>
      <c r="M226" s="1834">
        <f>SFCG!M29+SFCG!N29</f>
        <v>11600</v>
      </c>
      <c r="N226" s="675">
        <v>0.3</v>
      </c>
      <c r="O226" s="696">
        <f>+H226+M226</f>
        <v>17200</v>
      </c>
      <c r="P226" s="675">
        <v>0.3</v>
      </c>
      <c r="Q226" s="709">
        <f>O226*P226</f>
        <v>5160</v>
      </c>
      <c r="R226" s="1129" t="s">
        <v>1180</v>
      </c>
      <c r="S226" s="706">
        <f>SFCG!T29</f>
        <v>8502</v>
      </c>
      <c r="T226" s="591">
        <f t="shared" ref="T226:T227" si="124">S226/O226</f>
        <v>0.49430232558139536</v>
      </c>
      <c r="U226" s="595" t="s">
        <v>424</v>
      </c>
      <c r="V226" s="591">
        <f>W226/Q226</f>
        <v>0.49430232558139531</v>
      </c>
      <c r="W226" s="706">
        <f t="shared" ref="W226:W227" si="125">P226*S226</f>
        <v>2550.6</v>
      </c>
      <c r="X226" s="266" t="s">
        <v>1182</v>
      </c>
    </row>
    <row r="227" spans="1:43" s="461" customFormat="1" ht="13.9" customHeight="1" x14ac:dyDescent="0.25">
      <c r="A227" s="3007"/>
      <c r="B227" s="595" t="s">
        <v>426</v>
      </c>
      <c r="C227" s="595" t="s">
        <v>15</v>
      </c>
      <c r="D227" s="467" t="s">
        <v>398</v>
      </c>
      <c r="E227" s="1068">
        <v>1</v>
      </c>
      <c r="F227" s="468">
        <v>3000</v>
      </c>
      <c r="G227" s="468">
        <v>1</v>
      </c>
      <c r="H227" s="451">
        <f>SFCG!H30</f>
        <v>3000</v>
      </c>
      <c r="I227" s="675">
        <v>0.3</v>
      </c>
      <c r="J227" s="1078">
        <v>1</v>
      </c>
      <c r="K227" s="710">
        <v>3000</v>
      </c>
      <c r="L227" s="710">
        <v>0</v>
      </c>
      <c r="M227" s="1834">
        <f>SFCG!M30+SFCG!N30</f>
        <v>0</v>
      </c>
      <c r="N227" s="675">
        <v>0.3</v>
      </c>
      <c r="O227" s="696">
        <f>+H227+M227</f>
        <v>3000</v>
      </c>
      <c r="P227" s="675">
        <v>0.3</v>
      </c>
      <c r="Q227" s="709">
        <f>O227*P227</f>
        <v>900</v>
      </c>
      <c r="R227" s="1129" t="s">
        <v>1180</v>
      </c>
      <c r="S227" s="706">
        <f>SFCG!T30</f>
        <v>3000</v>
      </c>
      <c r="T227" s="591">
        <f t="shared" si="124"/>
        <v>1</v>
      </c>
      <c r="U227" s="595"/>
      <c r="V227" s="591">
        <f>W227/Q227</f>
        <v>1</v>
      </c>
      <c r="W227" s="706">
        <f t="shared" si="125"/>
        <v>900</v>
      </c>
      <c r="X227" s="266" t="s">
        <v>427</v>
      </c>
    </row>
    <row r="228" spans="1:43" s="454" customFormat="1" ht="15.65" customHeight="1" x14ac:dyDescent="0.25">
      <c r="A228" s="3008"/>
      <c r="B228" s="711" t="s">
        <v>573</v>
      </c>
      <c r="C228" s="711"/>
      <c r="D228" s="897"/>
      <c r="E228" s="712"/>
      <c r="F228" s="712"/>
      <c r="G228" s="712"/>
      <c r="H228" s="1123">
        <f>SUM(H225:H227)</f>
        <v>19400</v>
      </c>
      <c r="I228" s="716"/>
      <c r="J228" s="1077"/>
      <c r="K228" s="1077"/>
      <c r="L228" s="1077"/>
      <c r="M228" s="2870">
        <f>SUM(M225:M227)</f>
        <v>41000</v>
      </c>
      <c r="N228" s="716"/>
      <c r="O228" s="1672">
        <f t="shared" ref="O228:R228" si="126">SUM(O225:O227)</f>
        <v>60400</v>
      </c>
      <c r="P228" s="1672">
        <f t="shared" si="126"/>
        <v>0.89999999999999991</v>
      </c>
      <c r="Q228" s="1672">
        <f t="shared" si="126"/>
        <v>18120</v>
      </c>
      <c r="R228" s="1672">
        <f t="shared" si="126"/>
        <v>0</v>
      </c>
      <c r="S228" s="1672">
        <f>SUM(S225:S227)</f>
        <v>11502</v>
      </c>
      <c r="T228" s="1126">
        <f>S228/O228</f>
        <v>0.19043046357615895</v>
      </c>
      <c r="U228" s="715"/>
      <c r="V228" s="600">
        <f>W228/Q228</f>
        <v>0.19043046357615895</v>
      </c>
      <c r="W228" s="1127">
        <f>SUM(W225:W227)</f>
        <v>3450.6</v>
      </c>
      <c r="X228" s="600"/>
      <c r="Y228" s="670"/>
      <c r="Z228" s="670"/>
      <c r="AA228" s="670"/>
      <c r="AB228" s="670"/>
      <c r="AC228" s="670"/>
      <c r="AD228" s="670"/>
      <c r="AE228" s="670"/>
      <c r="AF228" s="670"/>
      <c r="AG228" s="670"/>
      <c r="AH228" s="670"/>
      <c r="AI228" s="670"/>
      <c r="AJ228" s="670"/>
      <c r="AK228" s="670"/>
      <c r="AL228" s="670"/>
      <c r="AM228" s="670"/>
      <c r="AN228" s="670"/>
      <c r="AO228" s="670"/>
      <c r="AP228" s="670"/>
      <c r="AQ228" s="670"/>
    </row>
    <row r="229" spans="1:43" s="461" customFormat="1" ht="41.5" customHeight="1" x14ac:dyDescent="0.25">
      <c r="A229" s="3006" t="s">
        <v>1293</v>
      </c>
      <c r="B229" s="595" t="s">
        <v>428</v>
      </c>
      <c r="C229" s="595" t="s">
        <v>15</v>
      </c>
      <c r="D229" s="467" t="s">
        <v>398</v>
      </c>
      <c r="E229" s="468">
        <v>3</v>
      </c>
      <c r="F229" s="468">
        <v>1700</v>
      </c>
      <c r="G229" s="468">
        <v>1</v>
      </c>
      <c r="H229" s="451">
        <f>SFCG!H32</f>
        <v>5100</v>
      </c>
      <c r="I229" s="675">
        <v>0.3</v>
      </c>
      <c r="J229" s="710">
        <v>1</v>
      </c>
      <c r="K229" s="710">
        <f>F229</f>
        <v>1700</v>
      </c>
      <c r="L229" s="710">
        <v>1</v>
      </c>
      <c r="M229" s="1834">
        <f>SFCG!M32+SFCG!N32</f>
        <v>3700</v>
      </c>
      <c r="N229" s="675">
        <v>0.3</v>
      </c>
      <c r="O229" s="696">
        <f>+H229+M229</f>
        <v>8800</v>
      </c>
      <c r="P229" s="675">
        <v>0.3</v>
      </c>
      <c r="Q229" s="709">
        <f>O229*P229</f>
        <v>2640</v>
      </c>
      <c r="R229" s="1129" t="s">
        <v>1183</v>
      </c>
      <c r="S229" s="706">
        <f>SFCG!T32</f>
        <v>9102</v>
      </c>
      <c r="T229" s="591">
        <f>S229/O229</f>
        <v>1.0343181818181819</v>
      </c>
      <c r="U229" s="595"/>
      <c r="V229" s="591">
        <f t="shared" ref="V229:V231" si="127">W229/Q229</f>
        <v>1.0343181818181817</v>
      </c>
      <c r="W229" s="706">
        <f>P229*S229</f>
        <v>2730.6</v>
      </c>
      <c r="X229" s="266" t="s">
        <v>1184</v>
      </c>
    </row>
    <row r="230" spans="1:43" s="461" customFormat="1" ht="27.65" customHeight="1" x14ac:dyDescent="0.25">
      <c r="A230" s="3007"/>
      <c r="B230" s="595" t="s">
        <v>429</v>
      </c>
      <c r="C230" s="595" t="s">
        <v>47</v>
      </c>
      <c r="D230" s="467" t="s">
        <v>398</v>
      </c>
      <c r="E230" s="468">
        <v>3</v>
      </c>
      <c r="F230" s="468">
        <v>2000</v>
      </c>
      <c r="G230" s="468">
        <v>1</v>
      </c>
      <c r="H230" s="451">
        <f>SFCG!H33</f>
        <v>6000</v>
      </c>
      <c r="I230" s="675">
        <v>0.3</v>
      </c>
      <c r="J230" s="710">
        <v>1</v>
      </c>
      <c r="K230" s="710">
        <f>F230</f>
        <v>2000</v>
      </c>
      <c r="L230" s="710">
        <v>1</v>
      </c>
      <c r="M230" s="1834">
        <f>SFCG!M33+SFCG!N33</f>
        <v>8000</v>
      </c>
      <c r="N230" s="675">
        <v>0.3</v>
      </c>
      <c r="O230" s="696">
        <f>+H230+M230</f>
        <v>14000</v>
      </c>
      <c r="P230" s="675">
        <v>0.3</v>
      </c>
      <c r="Q230" s="709">
        <f>O230*P230</f>
        <v>4200</v>
      </c>
      <c r="R230" s="1129" t="s">
        <v>1185</v>
      </c>
      <c r="S230" s="706">
        <f>SFCG!T33</f>
        <v>11262.5</v>
      </c>
      <c r="T230" s="591">
        <f t="shared" ref="T230:T231" si="128">S230/O230</f>
        <v>0.80446428571428574</v>
      </c>
      <c r="U230" s="595" t="s">
        <v>430</v>
      </c>
      <c r="V230" s="591">
        <f t="shared" si="127"/>
        <v>0.80446428571428574</v>
      </c>
      <c r="W230" s="706">
        <f t="shared" ref="W230:W231" si="129">P230*S230</f>
        <v>3378.75</v>
      </c>
      <c r="X230" s="266" t="s">
        <v>1186</v>
      </c>
    </row>
    <row r="231" spans="1:43" s="461" customFormat="1" ht="41.5" customHeight="1" x14ac:dyDescent="0.25">
      <c r="A231" s="3007"/>
      <c r="B231" s="595" t="s">
        <v>431</v>
      </c>
      <c r="C231" s="595" t="s">
        <v>48</v>
      </c>
      <c r="D231" s="467" t="s">
        <v>398</v>
      </c>
      <c r="E231" s="468">
        <v>3</v>
      </c>
      <c r="F231" s="468">
        <v>50</v>
      </c>
      <c r="G231" s="468">
        <v>9</v>
      </c>
      <c r="H231" s="451">
        <f>SFCG!H34</f>
        <v>1350</v>
      </c>
      <c r="I231" s="675">
        <v>0.3</v>
      </c>
      <c r="J231" s="710">
        <v>4</v>
      </c>
      <c r="K231" s="710">
        <f>F231</f>
        <v>50</v>
      </c>
      <c r="L231" s="710">
        <v>9</v>
      </c>
      <c r="M231" s="1834">
        <f>SFCG!M34+SFCG!N34</f>
        <v>1800</v>
      </c>
      <c r="N231" s="675">
        <v>0.3</v>
      </c>
      <c r="O231" s="696">
        <f>+H231+M231</f>
        <v>3150</v>
      </c>
      <c r="P231" s="675">
        <v>0.3</v>
      </c>
      <c r="Q231" s="709">
        <f>O231*P231</f>
        <v>945</v>
      </c>
      <c r="R231" s="1129" t="s">
        <v>1187</v>
      </c>
      <c r="S231" s="706">
        <f>SFCG!T34</f>
        <v>2858</v>
      </c>
      <c r="T231" s="591">
        <f t="shared" si="128"/>
        <v>0.90730158730158728</v>
      </c>
      <c r="U231" s="595" t="s">
        <v>432</v>
      </c>
      <c r="V231" s="591">
        <f t="shared" si="127"/>
        <v>0.90730158730158728</v>
      </c>
      <c r="W231" s="706">
        <f t="shared" si="129"/>
        <v>857.4</v>
      </c>
      <c r="X231" s="266" t="s">
        <v>1188</v>
      </c>
    </row>
    <row r="232" spans="1:43" s="454" customFormat="1" ht="15.65" customHeight="1" x14ac:dyDescent="0.25">
      <c r="A232" s="3008"/>
      <c r="B232" s="711" t="s">
        <v>573</v>
      </c>
      <c r="C232" s="711"/>
      <c r="D232" s="897"/>
      <c r="E232" s="712"/>
      <c r="F232" s="712"/>
      <c r="G232" s="712"/>
      <c r="H232" s="1123">
        <f>SUM(H229:H231)</f>
        <v>12450</v>
      </c>
      <c r="I232" s="716"/>
      <c r="J232" s="1077"/>
      <c r="K232" s="1077"/>
      <c r="L232" s="1077"/>
      <c r="M232" s="2870">
        <f>SUM(M229:M231)</f>
        <v>13500</v>
      </c>
      <c r="N232" s="716"/>
      <c r="O232" s="1672">
        <f t="shared" ref="O232:R232" si="130">SUM(O229:O231)</f>
        <v>25950</v>
      </c>
      <c r="P232" s="1672">
        <f t="shared" si="130"/>
        <v>0.89999999999999991</v>
      </c>
      <c r="Q232" s="1672">
        <f t="shared" si="130"/>
        <v>7785</v>
      </c>
      <c r="R232" s="1672">
        <f t="shared" si="130"/>
        <v>0</v>
      </c>
      <c r="S232" s="1672">
        <f>SUM(S229:S231)</f>
        <v>23222.5</v>
      </c>
      <c r="T232" s="1126">
        <f>S232/O232</f>
        <v>0.8948940269749518</v>
      </c>
      <c r="U232" s="715"/>
      <c r="V232" s="600">
        <f>W232/Q232</f>
        <v>0.8948940269749518</v>
      </c>
      <c r="W232" s="1127">
        <f>SUM(W229:W231)</f>
        <v>6966.75</v>
      </c>
      <c r="X232" s="600"/>
      <c r="Y232" s="670"/>
      <c r="Z232" s="670"/>
      <c r="AA232" s="670"/>
      <c r="AB232" s="670"/>
      <c r="AC232" s="670"/>
      <c r="AD232" s="670"/>
      <c r="AE232" s="670"/>
      <c r="AF232" s="670"/>
      <c r="AG232" s="670"/>
      <c r="AH232" s="670"/>
      <c r="AI232" s="670"/>
      <c r="AJ232" s="670"/>
      <c r="AK232" s="670"/>
      <c r="AL232" s="670"/>
      <c r="AM232" s="670"/>
      <c r="AN232" s="670"/>
      <c r="AO232" s="670"/>
      <c r="AP232" s="670"/>
      <c r="AQ232" s="670"/>
    </row>
    <row r="233" spans="1:43" ht="13.9" customHeight="1" x14ac:dyDescent="0.25">
      <c r="A233" s="3000" t="s">
        <v>1229</v>
      </c>
      <c r="B233" s="3001"/>
      <c r="C233" s="3001"/>
      <c r="D233" s="3001"/>
      <c r="E233" s="3001"/>
      <c r="F233" s="3001"/>
      <c r="G233" s="3001"/>
      <c r="H233" s="3001"/>
      <c r="I233" s="3001"/>
      <c r="J233" s="3001"/>
      <c r="K233" s="3001"/>
      <c r="L233" s="3001"/>
      <c r="M233" s="3001"/>
      <c r="N233" s="3001"/>
      <c r="O233" s="3001"/>
      <c r="P233" s="3001"/>
      <c r="Q233" s="3001"/>
      <c r="R233" s="3002"/>
      <c r="S233" s="1671"/>
      <c r="T233" s="1088"/>
      <c r="U233" s="893"/>
      <c r="V233" s="1103"/>
      <c r="W233" s="1104"/>
      <c r="X233" s="1105"/>
      <c r="Y233" s="448"/>
      <c r="Z233" s="448"/>
      <c r="AA233" s="448"/>
      <c r="AB233" s="448"/>
      <c r="AC233" s="448"/>
      <c r="AD233" s="448"/>
      <c r="AE233" s="448"/>
      <c r="AF233" s="448"/>
      <c r="AG233" s="448"/>
      <c r="AH233" s="448"/>
      <c r="AI233" s="448"/>
      <c r="AJ233" s="448"/>
      <c r="AK233" s="448"/>
      <c r="AL233" s="448"/>
      <c r="AM233" s="448"/>
      <c r="AN233" s="448"/>
      <c r="AO233" s="448"/>
      <c r="AP233" s="448"/>
      <c r="AQ233" s="448"/>
    </row>
    <row r="234" spans="1:43" s="450" customFormat="1" x14ac:dyDescent="0.25">
      <c r="A234" s="1022"/>
      <c r="B234" s="595"/>
      <c r="C234" s="595"/>
      <c r="D234" s="467"/>
      <c r="E234" s="1066"/>
      <c r="F234" s="1066"/>
      <c r="G234" s="1066"/>
      <c r="H234" s="592"/>
      <c r="I234" s="714"/>
      <c r="J234" s="710"/>
      <c r="K234" s="710"/>
      <c r="L234" s="710"/>
      <c r="M234" s="1798"/>
      <c r="N234" s="697"/>
      <c r="O234" s="1780"/>
      <c r="P234" s="714"/>
      <c r="Q234" s="1067"/>
      <c r="R234" s="1130"/>
      <c r="S234" s="1674"/>
      <c r="T234" s="1071"/>
      <c r="U234" s="521"/>
      <c r="V234" s="591"/>
      <c r="W234" s="1072"/>
      <c r="X234" s="591"/>
    </row>
    <row r="235" spans="1:43" s="450" customFormat="1" ht="52" x14ac:dyDescent="0.25">
      <c r="A235" s="3006" t="s">
        <v>1296</v>
      </c>
      <c r="B235" s="1788" t="s">
        <v>646</v>
      </c>
      <c r="C235" s="595" t="s">
        <v>47</v>
      </c>
      <c r="D235" s="467" t="s">
        <v>563</v>
      </c>
      <c r="E235" s="1721"/>
      <c r="F235" s="1789"/>
      <c r="G235" s="1721"/>
      <c r="H235" s="592">
        <f t="shared" ref="H235:H242" si="131">E235*F235*G235</f>
        <v>0</v>
      </c>
      <c r="I235" s="675">
        <v>0.3</v>
      </c>
      <c r="J235" s="2738">
        <v>1</v>
      </c>
      <c r="K235" s="2738">
        <v>115000</v>
      </c>
      <c r="L235" s="2738">
        <v>1</v>
      </c>
      <c r="M235" s="2874">
        <f t="shared" ref="M235:M242" si="132">J235*K235*L235</f>
        <v>115000</v>
      </c>
      <c r="N235" s="675">
        <v>0.3</v>
      </c>
      <c r="O235" s="2919">
        <f t="shared" ref="O235:O267" si="133">H235+M235</f>
        <v>115000</v>
      </c>
      <c r="P235" s="675">
        <v>0.3</v>
      </c>
      <c r="Q235" s="592">
        <f t="shared" ref="Q235:Q267" si="134">O235*P235</f>
        <v>34500</v>
      </c>
      <c r="R235" s="1061"/>
      <c r="S235" s="1069">
        <f>OIM!T96</f>
        <v>114518.46</v>
      </c>
      <c r="T235" s="1071">
        <f>S235/O235</f>
        <v>0.99581269565217401</v>
      </c>
      <c r="U235" s="521" t="s">
        <v>1262</v>
      </c>
      <c r="V235" s="591">
        <f>W235/Q235</f>
        <v>0.9958126956521739</v>
      </c>
      <c r="W235" s="452">
        <f>P235*S235</f>
        <v>34355.538</v>
      </c>
      <c r="X235" s="266" t="s">
        <v>1123</v>
      </c>
    </row>
    <row r="236" spans="1:43" s="450" customFormat="1" ht="26" x14ac:dyDescent="0.25">
      <c r="A236" s="3007"/>
      <c r="B236" s="1788" t="s">
        <v>648</v>
      </c>
      <c r="C236" s="595" t="s">
        <v>15</v>
      </c>
      <c r="D236" s="467" t="s">
        <v>563</v>
      </c>
      <c r="E236" s="1721">
        <v>1</v>
      </c>
      <c r="F236" s="1789">
        <v>1450</v>
      </c>
      <c r="G236" s="1721">
        <v>6</v>
      </c>
      <c r="H236" s="592">
        <f t="shared" si="131"/>
        <v>8700</v>
      </c>
      <c r="I236" s="675">
        <v>0</v>
      </c>
      <c r="J236" s="2738">
        <v>1</v>
      </c>
      <c r="K236" s="2738">
        <v>1450</v>
      </c>
      <c r="L236" s="2738">
        <v>6</v>
      </c>
      <c r="M236" s="2874">
        <f t="shared" si="132"/>
        <v>8700</v>
      </c>
      <c r="N236" s="675">
        <v>0</v>
      </c>
      <c r="O236" s="2919">
        <f t="shared" si="133"/>
        <v>17400</v>
      </c>
      <c r="P236" s="675">
        <v>0</v>
      </c>
      <c r="Q236" s="592">
        <f t="shared" si="134"/>
        <v>0</v>
      </c>
      <c r="R236" s="521"/>
      <c r="S236" s="1069">
        <f>OIM!T97</f>
        <v>20181.62</v>
      </c>
      <c r="T236" s="1071">
        <f t="shared" ref="T236:T267" si="135">S236/O236</f>
        <v>1.1598632183908046</v>
      </c>
      <c r="U236" s="521" t="s">
        <v>1262</v>
      </c>
      <c r="V236" s="591">
        <v>0</v>
      </c>
      <c r="W236" s="452">
        <f t="shared" ref="W236:W267" si="136">P236*S236</f>
        <v>0</v>
      </c>
      <c r="X236" s="594"/>
    </row>
    <row r="237" spans="1:43" s="450" customFormat="1" x14ac:dyDescent="0.25">
      <c r="A237" s="3007"/>
      <c r="B237" s="1788" t="s">
        <v>650</v>
      </c>
      <c r="C237" s="595" t="s">
        <v>15</v>
      </c>
      <c r="D237" s="467" t="s">
        <v>563</v>
      </c>
      <c r="E237" s="1721"/>
      <c r="F237" s="1789"/>
      <c r="G237" s="1721"/>
      <c r="H237" s="592">
        <f t="shared" si="131"/>
        <v>0</v>
      </c>
      <c r="I237" s="675">
        <v>0</v>
      </c>
      <c r="J237" s="2738">
        <v>1</v>
      </c>
      <c r="K237" s="2738">
        <v>1000</v>
      </c>
      <c r="L237" s="2738">
        <v>1</v>
      </c>
      <c r="M237" s="2874">
        <f t="shared" si="132"/>
        <v>1000</v>
      </c>
      <c r="N237" s="675">
        <v>0</v>
      </c>
      <c r="O237" s="2919">
        <f t="shared" si="133"/>
        <v>1000</v>
      </c>
      <c r="P237" s="675">
        <v>0</v>
      </c>
      <c r="Q237" s="592">
        <f t="shared" si="134"/>
        <v>0</v>
      </c>
      <c r="R237" s="1061"/>
      <c r="S237" s="1069">
        <f>OIM!T98</f>
        <v>1220</v>
      </c>
      <c r="T237" s="1071">
        <f t="shared" si="135"/>
        <v>1.22</v>
      </c>
      <c r="U237" s="1061"/>
      <c r="V237" s="591">
        <v>0</v>
      </c>
      <c r="W237" s="452">
        <f t="shared" si="136"/>
        <v>0</v>
      </c>
      <c r="X237" s="594"/>
    </row>
    <row r="238" spans="1:43" s="450" customFormat="1" x14ac:dyDescent="0.25">
      <c r="A238" s="3007"/>
      <c r="B238" s="1788" t="s">
        <v>651</v>
      </c>
      <c r="C238" s="595" t="s">
        <v>17</v>
      </c>
      <c r="D238" s="467" t="s">
        <v>563</v>
      </c>
      <c r="E238" s="1721">
        <v>1</v>
      </c>
      <c r="F238" s="1789">
        <v>1500</v>
      </c>
      <c r="G238" s="1721">
        <v>3</v>
      </c>
      <c r="H238" s="592">
        <f t="shared" si="131"/>
        <v>4500</v>
      </c>
      <c r="I238" s="675">
        <v>0</v>
      </c>
      <c r="J238" s="2738">
        <v>1</v>
      </c>
      <c r="K238" s="2738">
        <v>1500</v>
      </c>
      <c r="L238" s="2738">
        <v>4</v>
      </c>
      <c r="M238" s="2874">
        <f t="shared" si="132"/>
        <v>6000</v>
      </c>
      <c r="N238" s="675">
        <v>0</v>
      </c>
      <c r="O238" s="2919">
        <f t="shared" si="133"/>
        <v>10500</v>
      </c>
      <c r="P238" s="675">
        <v>0</v>
      </c>
      <c r="Q238" s="592">
        <f t="shared" si="134"/>
        <v>0</v>
      </c>
      <c r="R238" s="521"/>
      <c r="S238" s="1069">
        <f>OIM!T99</f>
        <v>10231.450000000001</v>
      </c>
      <c r="T238" s="1071">
        <f t="shared" si="135"/>
        <v>0.97442380952380958</v>
      </c>
      <c r="U238" s="521" t="s">
        <v>1263</v>
      </c>
      <c r="V238" s="591">
        <v>0</v>
      </c>
      <c r="W238" s="452">
        <f t="shared" si="136"/>
        <v>0</v>
      </c>
      <c r="X238" s="594"/>
    </row>
    <row r="239" spans="1:43" s="450" customFormat="1" x14ac:dyDescent="0.25">
      <c r="A239" s="3007"/>
      <c r="B239" s="1788" t="s">
        <v>652</v>
      </c>
      <c r="C239" s="595" t="s">
        <v>15</v>
      </c>
      <c r="D239" s="467" t="s">
        <v>563</v>
      </c>
      <c r="E239" s="1721"/>
      <c r="F239" s="1789"/>
      <c r="G239" s="1721"/>
      <c r="H239" s="592">
        <f t="shared" si="131"/>
        <v>0</v>
      </c>
      <c r="I239" s="675">
        <v>0</v>
      </c>
      <c r="J239" s="2738">
        <v>1</v>
      </c>
      <c r="K239" s="2738">
        <v>0</v>
      </c>
      <c r="L239" s="2738">
        <v>1</v>
      </c>
      <c r="M239" s="2874">
        <f t="shared" si="132"/>
        <v>0</v>
      </c>
      <c r="N239" s="675">
        <v>0</v>
      </c>
      <c r="O239" s="2919">
        <f t="shared" si="133"/>
        <v>0</v>
      </c>
      <c r="P239" s="675">
        <v>0</v>
      </c>
      <c r="Q239" s="592">
        <f t="shared" si="134"/>
        <v>0</v>
      </c>
      <c r="R239" s="1061"/>
      <c r="S239" s="1069">
        <v>0</v>
      </c>
      <c r="T239" s="1071" t="e">
        <f t="shared" si="135"/>
        <v>#DIV/0!</v>
      </c>
      <c r="U239" s="1061" t="s">
        <v>1264</v>
      </c>
      <c r="V239" s="591">
        <v>0</v>
      </c>
      <c r="W239" s="452">
        <f t="shared" si="136"/>
        <v>0</v>
      </c>
      <c r="X239" s="594"/>
      <c r="Y239" s="273"/>
      <c r="Z239" s="273"/>
      <c r="AA239" s="273"/>
      <c r="AB239" s="273"/>
      <c r="AC239" s="273"/>
      <c r="AD239" s="273"/>
      <c r="AE239" s="273"/>
      <c r="AF239" s="273"/>
      <c r="AG239" s="273"/>
      <c r="AH239" s="273"/>
      <c r="AI239" s="273"/>
      <c r="AJ239" s="273"/>
      <c r="AK239" s="273"/>
      <c r="AL239" s="273"/>
      <c r="AM239" s="273"/>
      <c r="AN239" s="273"/>
      <c r="AO239" s="273"/>
      <c r="AP239" s="273"/>
      <c r="AQ239" s="273"/>
    </row>
    <row r="240" spans="1:43" s="450" customFormat="1" x14ac:dyDescent="0.25">
      <c r="A240" s="3007"/>
      <c r="B240" s="541" t="s">
        <v>654</v>
      </c>
      <c r="C240" s="595" t="s">
        <v>15</v>
      </c>
      <c r="D240" s="467" t="s">
        <v>563</v>
      </c>
      <c r="E240" s="724"/>
      <c r="F240" s="1790"/>
      <c r="G240" s="724"/>
      <c r="H240" s="592">
        <f t="shared" si="131"/>
        <v>0</v>
      </c>
      <c r="I240" s="675">
        <v>0.3</v>
      </c>
      <c r="J240" s="2739">
        <v>20</v>
      </c>
      <c r="K240" s="2739">
        <v>50</v>
      </c>
      <c r="L240" s="2738">
        <v>1</v>
      </c>
      <c r="M240" s="2874">
        <f t="shared" si="132"/>
        <v>1000</v>
      </c>
      <c r="N240" s="675">
        <v>0.3</v>
      </c>
      <c r="O240" s="2919">
        <f t="shared" si="133"/>
        <v>1000</v>
      </c>
      <c r="P240" s="675">
        <v>0.3</v>
      </c>
      <c r="Q240" s="592">
        <f t="shared" si="134"/>
        <v>300</v>
      </c>
      <c r="R240" s="1061"/>
      <c r="S240" s="1069">
        <f>OIM!T102</f>
        <v>928.08</v>
      </c>
      <c r="T240" s="1071">
        <f t="shared" si="135"/>
        <v>0.92808000000000002</v>
      </c>
      <c r="U240" s="1061" t="s">
        <v>606</v>
      </c>
      <c r="V240" s="591">
        <f t="shared" ref="V240:V267" si="137">W240/Q240</f>
        <v>0.92807999999999991</v>
      </c>
      <c r="W240" s="452">
        <f t="shared" si="136"/>
        <v>278.42399999999998</v>
      </c>
      <c r="X240" s="594"/>
    </row>
    <row r="241" spans="1:24" s="450" customFormat="1" ht="52" x14ac:dyDescent="0.25">
      <c r="A241" s="3007"/>
      <c r="B241" s="541" t="s">
        <v>655</v>
      </c>
      <c r="C241" s="595" t="s">
        <v>15</v>
      </c>
      <c r="D241" s="467" t="s">
        <v>563</v>
      </c>
      <c r="E241" s="724"/>
      <c r="F241" s="1790"/>
      <c r="G241" s="724"/>
      <c r="H241" s="592">
        <f t="shared" si="131"/>
        <v>0</v>
      </c>
      <c r="I241" s="675">
        <v>0.3</v>
      </c>
      <c r="J241" s="2739">
        <v>1</v>
      </c>
      <c r="K241" s="2739">
        <v>40000</v>
      </c>
      <c r="L241" s="2738">
        <v>1</v>
      </c>
      <c r="M241" s="2874">
        <f t="shared" si="132"/>
        <v>40000</v>
      </c>
      <c r="N241" s="675">
        <v>0.3</v>
      </c>
      <c r="O241" s="2919">
        <f t="shared" si="133"/>
        <v>40000</v>
      </c>
      <c r="P241" s="675">
        <v>0.3</v>
      </c>
      <c r="Q241" s="592">
        <f t="shared" si="134"/>
        <v>12000</v>
      </c>
      <c r="R241" s="1061"/>
      <c r="S241" s="1069">
        <f>OIM!T103</f>
        <v>40000</v>
      </c>
      <c r="T241" s="1071">
        <f t="shared" si="135"/>
        <v>1</v>
      </c>
      <c r="U241" s="1061" t="s">
        <v>606</v>
      </c>
      <c r="V241" s="591">
        <f t="shared" si="137"/>
        <v>1</v>
      </c>
      <c r="W241" s="452">
        <f t="shared" si="136"/>
        <v>12000</v>
      </c>
      <c r="X241" s="266" t="s">
        <v>1124</v>
      </c>
    </row>
    <row r="242" spans="1:24" s="450" customFormat="1" ht="39" x14ac:dyDescent="0.25">
      <c r="A242" s="3007"/>
      <c r="B242" s="595" t="s">
        <v>656</v>
      </c>
      <c r="C242" s="595" t="s">
        <v>15</v>
      </c>
      <c r="D242" s="467" t="s">
        <v>563</v>
      </c>
      <c r="E242" s="724"/>
      <c r="F242" s="1790"/>
      <c r="G242" s="724"/>
      <c r="H242" s="592">
        <f t="shared" si="131"/>
        <v>0</v>
      </c>
      <c r="I242" s="675">
        <v>0.3</v>
      </c>
      <c r="J242" s="2739">
        <v>3</v>
      </c>
      <c r="K242" s="2739">
        <v>2500</v>
      </c>
      <c r="L242" s="2738">
        <v>1</v>
      </c>
      <c r="M242" s="2874">
        <f t="shared" si="132"/>
        <v>7500</v>
      </c>
      <c r="N242" s="675">
        <v>0.3</v>
      </c>
      <c r="O242" s="2919">
        <f t="shared" si="133"/>
        <v>7500</v>
      </c>
      <c r="P242" s="675">
        <v>0.3</v>
      </c>
      <c r="Q242" s="592">
        <f t="shared" si="134"/>
        <v>2250</v>
      </c>
      <c r="R242" s="1061"/>
      <c r="S242" s="1069">
        <f>OIM!T104</f>
        <v>7464</v>
      </c>
      <c r="T242" s="1071">
        <f t="shared" si="135"/>
        <v>0.99519999999999997</v>
      </c>
      <c r="U242" s="1061" t="s">
        <v>606</v>
      </c>
      <c r="V242" s="591">
        <f t="shared" si="137"/>
        <v>0.99519999999999997</v>
      </c>
      <c r="W242" s="452">
        <f t="shared" si="136"/>
        <v>2239.1999999999998</v>
      </c>
      <c r="X242" s="266" t="s">
        <v>1125</v>
      </c>
    </row>
    <row r="243" spans="1:24" s="450" customFormat="1" x14ac:dyDescent="0.25">
      <c r="A243" s="3007"/>
      <c r="B243" s="1791" t="s">
        <v>658</v>
      </c>
      <c r="C243" s="595" t="s">
        <v>15</v>
      </c>
      <c r="D243" s="467" t="s">
        <v>563</v>
      </c>
      <c r="E243" s="724"/>
      <c r="F243" s="1790"/>
      <c r="G243" s="724"/>
      <c r="H243" s="592">
        <f t="shared" ref="H243:H251" si="138">E243*F243*G243</f>
        <v>0</v>
      </c>
      <c r="I243" s="675">
        <v>0.3</v>
      </c>
      <c r="J243" s="2736">
        <v>10</v>
      </c>
      <c r="K243" s="2740">
        <v>42</v>
      </c>
      <c r="L243" s="2736">
        <v>1</v>
      </c>
      <c r="M243" s="2874">
        <f t="shared" ref="M243:M251" si="139">J243*K243*L243</f>
        <v>420</v>
      </c>
      <c r="N243" s="675">
        <v>0.3</v>
      </c>
      <c r="O243" s="2919">
        <f t="shared" si="133"/>
        <v>420</v>
      </c>
      <c r="P243" s="675">
        <v>0.3</v>
      </c>
      <c r="Q243" s="592">
        <f t="shared" si="134"/>
        <v>126</v>
      </c>
      <c r="R243" s="1061"/>
      <c r="S243" s="1069">
        <f>OIM!T106</f>
        <v>419</v>
      </c>
      <c r="T243" s="1071">
        <f t="shared" si="135"/>
        <v>0.99761904761904763</v>
      </c>
      <c r="U243" s="1061"/>
      <c r="V243" s="591">
        <f t="shared" si="137"/>
        <v>0.99761904761904752</v>
      </c>
      <c r="W243" s="452">
        <f t="shared" si="136"/>
        <v>125.69999999999999</v>
      </c>
      <c r="X243" s="594"/>
    </row>
    <row r="244" spans="1:24" s="450" customFormat="1" x14ac:dyDescent="0.25">
      <c r="A244" s="3007"/>
      <c r="B244" s="1791" t="s">
        <v>659</v>
      </c>
      <c r="C244" s="595" t="s">
        <v>15</v>
      </c>
      <c r="D244" s="467" t="s">
        <v>563</v>
      </c>
      <c r="E244" s="724"/>
      <c r="F244" s="1790"/>
      <c r="G244" s="724"/>
      <c r="H244" s="592">
        <f t="shared" si="138"/>
        <v>0</v>
      </c>
      <c r="I244" s="675">
        <v>0.3</v>
      </c>
      <c r="J244" s="2736">
        <v>10</v>
      </c>
      <c r="K244" s="2740">
        <v>20</v>
      </c>
      <c r="L244" s="2736">
        <v>1</v>
      </c>
      <c r="M244" s="2874">
        <f t="shared" si="139"/>
        <v>200</v>
      </c>
      <c r="N244" s="675">
        <v>0.3</v>
      </c>
      <c r="O244" s="2919">
        <f t="shared" si="133"/>
        <v>200</v>
      </c>
      <c r="P244" s="675">
        <v>0.3</v>
      </c>
      <c r="Q244" s="592">
        <f t="shared" si="134"/>
        <v>60</v>
      </c>
      <c r="R244" s="1061"/>
      <c r="S244" s="1069">
        <f>OIM!T107</f>
        <v>198</v>
      </c>
      <c r="T244" s="1071">
        <f t="shared" si="135"/>
        <v>0.99</v>
      </c>
      <c r="U244" s="1061" t="s">
        <v>606</v>
      </c>
      <c r="V244" s="591">
        <f t="shared" si="137"/>
        <v>0.99</v>
      </c>
      <c r="W244" s="452">
        <f t="shared" si="136"/>
        <v>59.4</v>
      </c>
      <c r="X244" s="594"/>
    </row>
    <row r="245" spans="1:24" s="450" customFormat="1" x14ac:dyDescent="0.25">
      <c r="A245" s="3007"/>
      <c r="B245" s="1792" t="s">
        <v>660</v>
      </c>
      <c r="C245" s="595" t="s">
        <v>15</v>
      </c>
      <c r="D245" s="467" t="s">
        <v>563</v>
      </c>
      <c r="E245" s="724"/>
      <c r="F245" s="1790"/>
      <c r="G245" s="724"/>
      <c r="H245" s="592">
        <f t="shared" si="138"/>
        <v>0</v>
      </c>
      <c r="I245" s="675">
        <v>0.3</v>
      </c>
      <c r="J245" s="2736">
        <v>10</v>
      </c>
      <c r="K245" s="2740">
        <v>42</v>
      </c>
      <c r="L245" s="2736">
        <v>1</v>
      </c>
      <c r="M245" s="2874">
        <f t="shared" si="139"/>
        <v>420</v>
      </c>
      <c r="N245" s="675">
        <v>0.3</v>
      </c>
      <c r="O245" s="2919">
        <f t="shared" si="133"/>
        <v>420</v>
      </c>
      <c r="P245" s="675">
        <v>0.3</v>
      </c>
      <c r="Q245" s="592">
        <f t="shared" si="134"/>
        <v>126</v>
      </c>
      <c r="R245" s="1061"/>
      <c r="S245" s="1069">
        <f>OIM!T108</f>
        <v>405</v>
      </c>
      <c r="T245" s="1071">
        <f t="shared" si="135"/>
        <v>0.9642857142857143</v>
      </c>
      <c r="U245" s="1061" t="s">
        <v>606</v>
      </c>
      <c r="V245" s="591">
        <f t="shared" si="137"/>
        <v>0.9642857142857143</v>
      </c>
      <c r="W245" s="452">
        <f t="shared" si="136"/>
        <v>121.5</v>
      </c>
      <c r="X245" s="594"/>
    </row>
    <row r="246" spans="1:24" s="450" customFormat="1" x14ac:dyDescent="0.25">
      <c r="A246" s="3007"/>
      <c r="B246" s="1792" t="s">
        <v>661</v>
      </c>
      <c r="C246" s="595" t="s">
        <v>15</v>
      </c>
      <c r="D246" s="467" t="s">
        <v>563</v>
      </c>
      <c r="E246" s="724"/>
      <c r="F246" s="1790"/>
      <c r="G246" s="724"/>
      <c r="H246" s="592">
        <f t="shared" si="138"/>
        <v>0</v>
      </c>
      <c r="I246" s="675">
        <v>0.3</v>
      </c>
      <c r="J246" s="2736">
        <v>10</v>
      </c>
      <c r="K246" s="2740">
        <v>200</v>
      </c>
      <c r="L246" s="2736">
        <v>1</v>
      </c>
      <c r="M246" s="2874">
        <f t="shared" si="139"/>
        <v>2000</v>
      </c>
      <c r="N246" s="675">
        <v>0.3</v>
      </c>
      <c r="O246" s="2919">
        <f t="shared" si="133"/>
        <v>2000</v>
      </c>
      <c r="P246" s="675">
        <v>0.3</v>
      </c>
      <c r="Q246" s="592">
        <f t="shared" si="134"/>
        <v>600</v>
      </c>
      <c r="R246" s="1061"/>
      <c r="S246" s="1069">
        <f>OIM!T109</f>
        <v>2025</v>
      </c>
      <c r="T246" s="1071">
        <f t="shared" si="135"/>
        <v>1.0125</v>
      </c>
      <c r="U246" s="1061" t="s">
        <v>606</v>
      </c>
      <c r="V246" s="591">
        <f t="shared" si="137"/>
        <v>1.0125</v>
      </c>
      <c r="W246" s="452">
        <f t="shared" si="136"/>
        <v>607.5</v>
      </c>
      <c r="X246" s="594"/>
    </row>
    <row r="247" spans="1:24" s="450" customFormat="1" x14ac:dyDescent="0.25">
      <c r="A247" s="3007"/>
      <c r="B247" s="1792" t="s">
        <v>662</v>
      </c>
      <c r="C247" s="595" t="s">
        <v>15</v>
      </c>
      <c r="D247" s="467" t="s">
        <v>563</v>
      </c>
      <c r="E247" s="724"/>
      <c r="F247" s="1790"/>
      <c r="G247" s="724"/>
      <c r="H247" s="592">
        <f t="shared" si="138"/>
        <v>0</v>
      </c>
      <c r="I247" s="675">
        <v>0.3</v>
      </c>
      <c r="J247" s="2736">
        <v>10</v>
      </c>
      <c r="K247" s="2740">
        <v>120</v>
      </c>
      <c r="L247" s="2736">
        <v>1</v>
      </c>
      <c r="M247" s="2874">
        <f t="shared" si="139"/>
        <v>1200</v>
      </c>
      <c r="N247" s="675">
        <v>0.3</v>
      </c>
      <c r="O247" s="2919">
        <f t="shared" si="133"/>
        <v>1200</v>
      </c>
      <c r="P247" s="675">
        <v>0.3</v>
      </c>
      <c r="Q247" s="592">
        <f t="shared" si="134"/>
        <v>360</v>
      </c>
      <c r="R247" s="1061"/>
      <c r="S247" s="1069">
        <f>OIM!T110</f>
        <v>1598</v>
      </c>
      <c r="T247" s="1071">
        <f t="shared" si="135"/>
        <v>1.3316666666666668</v>
      </c>
      <c r="U247" s="1061" t="s">
        <v>606</v>
      </c>
      <c r="V247" s="591">
        <f t="shared" si="137"/>
        <v>1.3316666666666666</v>
      </c>
      <c r="W247" s="452">
        <f t="shared" si="136"/>
        <v>479.4</v>
      </c>
      <c r="X247" s="594"/>
    </row>
    <row r="248" spans="1:24" s="450" customFormat="1" x14ac:dyDescent="0.25">
      <c r="A248" s="3007"/>
      <c r="B248" s="1792" t="s">
        <v>663</v>
      </c>
      <c r="C248" s="595" t="s">
        <v>15</v>
      </c>
      <c r="D248" s="467" t="s">
        <v>563</v>
      </c>
      <c r="E248" s="1774"/>
      <c r="F248" s="1774"/>
      <c r="G248" s="724"/>
      <c r="H248" s="592">
        <f t="shared" si="138"/>
        <v>0</v>
      </c>
      <c r="I248" s="675">
        <v>0.3</v>
      </c>
      <c r="J248" s="2738">
        <v>10</v>
      </c>
      <c r="K248" s="2738">
        <v>180</v>
      </c>
      <c r="L248" s="2736">
        <v>1</v>
      </c>
      <c r="M248" s="2874">
        <f t="shared" si="139"/>
        <v>1800</v>
      </c>
      <c r="N248" s="675">
        <v>0.3</v>
      </c>
      <c r="O248" s="2919">
        <f t="shared" si="133"/>
        <v>1800</v>
      </c>
      <c r="P248" s="675">
        <v>0.3</v>
      </c>
      <c r="Q248" s="592">
        <f t="shared" si="134"/>
        <v>540</v>
      </c>
      <c r="R248" s="1061"/>
      <c r="S248" s="1069">
        <f>OIM!T111</f>
        <v>1026.92</v>
      </c>
      <c r="T248" s="1071">
        <f t="shared" si="135"/>
        <v>0.57051111111111119</v>
      </c>
      <c r="U248" s="1061" t="s">
        <v>606</v>
      </c>
      <c r="V248" s="591">
        <f t="shared" si="137"/>
        <v>0.57051111111111119</v>
      </c>
      <c r="W248" s="452">
        <f t="shared" si="136"/>
        <v>308.07600000000002</v>
      </c>
      <c r="X248" s="594"/>
    </row>
    <row r="249" spans="1:24" s="450" customFormat="1" x14ac:dyDescent="0.25">
      <c r="A249" s="3007"/>
      <c r="B249" s="1792" t="s">
        <v>664</v>
      </c>
      <c r="C249" s="595" t="s">
        <v>15</v>
      </c>
      <c r="D249" s="467" t="s">
        <v>563</v>
      </c>
      <c r="E249" s="1774"/>
      <c r="F249" s="1774"/>
      <c r="G249" s="724"/>
      <c r="H249" s="592">
        <f t="shared" si="138"/>
        <v>0</v>
      </c>
      <c r="I249" s="675">
        <v>0.3</v>
      </c>
      <c r="J249" s="2738">
        <v>40</v>
      </c>
      <c r="K249" s="2738">
        <v>30</v>
      </c>
      <c r="L249" s="2736">
        <v>1</v>
      </c>
      <c r="M249" s="2874">
        <f t="shared" si="139"/>
        <v>1200</v>
      </c>
      <c r="N249" s="675">
        <v>0.3</v>
      </c>
      <c r="O249" s="2919">
        <f t="shared" si="133"/>
        <v>1200</v>
      </c>
      <c r="P249" s="675">
        <v>0.3</v>
      </c>
      <c r="Q249" s="592">
        <f t="shared" si="134"/>
        <v>360</v>
      </c>
      <c r="R249" s="1061"/>
      <c r="S249" s="1069">
        <f>OIM!T112</f>
        <v>655</v>
      </c>
      <c r="T249" s="1071">
        <f t="shared" si="135"/>
        <v>0.54583333333333328</v>
      </c>
      <c r="U249" s="1061" t="s">
        <v>606</v>
      </c>
      <c r="V249" s="591">
        <f t="shared" si="137"/>
        <v>0.54583333333333328</v>
      </c>
      <c r="W249" s="452">
        <f t="shared" si="136"/>
        <v>196.5</v>
      </c>
      <c r="X249" s="594"/>
    </row>
    <row r="250" spans="1:24" s="450" customFormat="1" x14ac:dyDescent="0.25">
      <c r="A250" s="3007"/>
      <c r="B250" s="1792" t="s">
        <v>665</v>
      </c>
      <c r="C250" s="595" t="s">
        <v>15</v>
      </c>
      <c r="D250" s="467" t="s">
        <v>563</v>
      </c>
      <c r="E250" s="1774"/>
      <c r="F250" s="1774"/>
      <c r="G250" s="724"/>
      <c r="H250" s="592">
        <f t="shared" si="138"/>
        <v>0</v>
      </c>
      <c r="I250" s="675">
        <v>0.3</v>
      </c>
      <c r="J250" s="2738">
        <v>4</v>
      </c>
      <c r="K250" s="2738">
        <v>70</v>
      </c>
      <c r="L250" s="2736">
        <v>1</v>
      </c>
      <c r="M250" s="2874">
        <f t="shared" si="139"/>
        <v>280</v>
      </c>
      <c r="N250" s="675">
        <v>0.3</v>
      </c>
      <c r="O250" s="2919">
        <f t="shared" si="133"/>
        <v>280</v>
      </c>
      <c r="P250" s="675">
        <v>0.3</v>
      </c>
      <c r="Q250" s="592">
        <f t="shared" si="134"/>
        <v>84</v>
      </c>
      <c r="R250" s="1061"/>
      <c r="S250" s="1069">
        <f>OIM!T113</f>
        <v>266</v>
      </c>
      <c r="T250" s="1071">
        <f t="shared" si="135"/>
        <v>0.95</v>
      </c>
      <c r="U250" s="1061" t="s">
        <v>606</v>
      </c>
      <c r="V250" s="591">
        <f t="shared" si="137"/>
        <v>0.95</v>
      </c>
      <c r="W250" s="452">
        <f t="shared" si="136"/>
        <v>79.8</v>
      </c>
      <c r="X250" s="594"/>
    </row>
    <row r="251" spans="1:24" s="450" customFormat="1" x14ac:dyDescent="0.25">
      <c r="A251" s="3007"/>
      <c r="B251" s="1791" t="s">
        <v>666</v>
      </c>
      <c r="C251" s="595" t="s">
        <v>15</v>
      </c>
      <c r="D251" s="467" t="s">
        <v>563</v>
      </c>
      <c r="E251" s="1774"/>
      <c r="F251" s="1774"/>
      <c r="G251" s="724"/>
      <c r="H251" s="592">
        <f t="shared" si="138"/>
        <v>0</v>
      </c>
      <c r="I251" s="675">
        <v>0.3</v>
      </c>
      <c r="J251" s="2738">
        <v>1</v>
      </c>
      <c r="K251" s="2738">
        <v>3500</v>
      </c>
      <c r="L251" s="2736">
        <v>1</v>
      </c>
      <c r="M251" s="2874">
        <f t="shared" si="139"/>
        <v>3500</v>
      </c>
      <c r="N251" s="675">
        <v>0.3</v>
      </c>
      <c r="O251" s="2919">
        <f t="shared" si="133"/>
        <v>3500</v>
      </c>
      <c r="P251" s="675">
        <v>0.3</v>
      </c>
      <c r="Q251" s="592">
        <f t="shared" si="134"/>
        <v>1050</v>
      </c>
      <c r="R251" s="1061"/>
      <c r="S251" s="1069">
        <f>OIM!T114</f>
        <v>2806</v>
      </c>
      <c r="T251" s="1071">
        <f t="shared" si="135"/>
        <v>0.80171428571428571</v>
      </c>
      <c r="U251" s="1061" t="s">
        <v>606</v>
      </c>
      <c r="V251" s="591">
        <f t="shared" si="137"/>
        <v>0.80171428571428571</v>
      </c>
      <c r="W251" s="452">
        <f t="shared" si="136"/>
        <v>841.8</v>
      </c>
      <c r="X251" s="594"/>
    </row>
    <row r="252" spans="1:24" s="450" customFormat="1" x14ac:dyDescent="0.25">
      <c r="A252" s="3007"/>
      <c r="B252" s="1791" t="s">
        <v>668</v>
      </c>
      <c r="C252" s="595" t="s">
        <v>15</v>
      </c>
      <c r="D252" s="467" t="s">
        <v>563</v>
      </c>
      <c r="E252" s="1787"/>
      <c r="F252" s="1790"/>
      <c r="G252" s="724"/>
      <c r="H252" s="592">
        <f t="shared" ref="H252:H260" si="140">E252*F252*G252</f>
        <v>0</v>
      </c>
      <c r="I252" s="675">
        <v>0.3</v>
      </c>
      <c r="J252" s="2739">
        <v>2</v>
      </c>
      <c r="K252" s="2738">
        <v>875</v>
      </c>
      <c r="L252" s="2738">
        <v>1</v>
      </c>
      <c r="M252" s="2874">
        <f t="shared" ref="M252:M260" si="141">J252*K252*L252</f>
        <v>1750</v>
      </c>
      <c r="N252" s="675">
        <v>0.3</v>
      </c>
      <c r="O252" s="2919">
        <f t="shared" si="133"/>
        <v>1750</v>
      </c>
      <c r="P252" s="675">
        <v>0.3</v>
      </c>
      <c r="Q252" s="592">
        <f t="shared" si="134"/>
        <v>525</v>
      </c>
      <c r="R252" s="1061"/>
      <c r="S252" s="1069">
        <f>OIM!T116</f>
        <v>1720</v>
      </c>
      <c r="T252" s="1071">
        <f t="shared" si="135"/>
        <v>0.98285714285714287</v>
      </c>
      <c r="U252" s="1061" t="s">
        <v>606</v>
      </c>
      <c r="V252" s="591">
        <f t="shared" si="137"/>
        <v>0.98285714285714287</v>
      </c>
      <c r="W252" s="452">
        <f t="shared" si="136"/>
        <v>516</v>
      </c>
      <c r="X252" s="594"/>
    </row>
    <row r="253" spans="1:24" s="450" customFormat="1" x14ac:dyDescent="0.25">
      <c r="A253" s="3007"/>
      <c r="B253" s="1791" t="s">
        <v>669</v>
      </c>
      <c r="C253" s="595" t="s">
        <v>15</v>
      </c>
      <c r="D253" s="467" t="s">
        <v>563</v>
      </c>
      <c r="E253" s="1787"/>
      <c r="F253" s="1790"/>
      <c r="G253" s="724"/>
      <c r="H253" s="592">
        <f t="shared" si="140"/>
        <v>0</v>
      </c>
      <c r="I253" s="675">
        <v>0.3</v>
      </c>
      <c r="J253" s="2739">
        <v>1</v>
      </c>
      <c r="K253" s="2738">
        <v>120</v>
      </c>
      <c r="L253" s="2738">
        <v>1</v>
      </c>
      <c r="M253" s="2874">
        <f t="shared" si="141"/>
        <v>120</v>
      </c>
      <c r="N253" s="675">
        <v>0.3</v>
      </c>
      <c r="O253" s="2919">
        <f t="shared" si="133"/>
        <v>120</v>
      </c>
      <c r="P253" s="675">
        <v>0.3</v>
      </c>
      <c r="Q253" s="592">
        <f t="shared" si="134"/>
        <v>36</v>
      </c>
      <c r="R253" s="1061"/>
      <c r="S253" s="1069">
        <f>OIM!T117</f>
        <v>0</v>
      </c>
      <c r="T253" s="1071">
        <f t="shared" si="135"/>
        <v>0</v>
      </c>
      <c r="U253" s="1061" t="s">
        <v>1265</v>
      </c>
      <c r="V253" s="591">
        <f t="shared" si="137"/>
        <v>0</v>
      </c>
      <c r="W253" s="452">
        <f t="shared" si="136"/>
        <v>0</v>
      </c>
      <c r="X253" s="594"/>
    </row>
    <row r="254" spans="1:24" s="450" customFormat="1" x14ac:dyDescent="0.25">
      <c r="A254" s="3007"/>
      <c r="B254" s="1791" t="s">
        <v>670</v>
      </c>
      <c r="C254" s="595" t="s">
        <v>15</v>
      </c>
      <c r="D254" s="467" t="s">
        <v>563</v>
      </c>
      <c r="E254" s="1787"/>
      <c r="F254" s="1790"/>
      <c r="G254" s="724"/>
      <c r="H254" s="592">
        <f t="shared" si="140"/>
        <v>0</v>
      </c>
      <c r="I254" s="675">
        <v>0.3</v>
      </c>
      <c r="J254" s="2739">
        <v>2</v>
      </c>
      <c r="K254" s="2738">
        <v>350</v>
      </c>
      <c r="L254" s="2738">
        <v>1</v>
      </c>
      <c r="M254" s="2874">
        <f t="shared" si="141"/>
        <v>700</v>
      </c>
      <c r="N254" s="675">
        <v>0.3</v>
      </c>
      <c r="O254" s="2919">
        <f t="shared" si="133"/>
        <v>700</v>
      </c>
      <c r="P254" s="675">
        <v>0.3</v>
      </c>
      <c r="Q254" s="592">
        <f t="shared" si="134"/>
        <v>210</v>
      </c>
      <c r="R254" s="1061"/>
      <c r="S254" s="1069">
        <f>OIM!T118</f>
        <v>650</v>
      </c>
      <c r="T254" s="1071">
        <f t="shared" si="135"/>
        <v>0.9285714285714286</v>
      </c>
      <c r="U254" s="1061" t="s">
        <v>606</v>
      </c>
      <c r="V254" s="591">
        <f t="shared" si="137"/>
        <v>0.9285714285714286</v>
      </c>
      <c r="W254" s="452">
        <f t="shared" si="136"/>
        <v>195</v>
      </c>
      <c r="X254" s="594"/>
    </row>
    <row r="255" spans="1:24" s="450" customFormat="1" x14ac:dyDescent="0.25">
      <c r="A255" s="3007"/>
      <c r="B255" s="1791" t="s">
        <v>671</v>
      </c>
      <c r="C255" s="595" t="s">
        <v>15</v>
      </c>
      <c r="D255" s="467" t="s">
        <v>563</v>
      </c>
      <c r="E255" s="1787"/>
      <c r="F255" s="1790"/>
      <c r="G255" s="724"/>
      <c r="H255" s="592">
        <f t="shared" si="140"/>
        <v>0</v>
      </c>
      <c r="I255" s="675">
        <v>0.3</v>
      </c>
      <c r="J255" s="2739">
        <v>1</v>
      </c>
      <c r="K255" s="2738">
        <v>120</v>
      </c>
      <c r="L255" s="2738">
        <v>1</v>
      </c>
      <c r="M255" s="2874">
        <f t="shared" si="141"/>
        <v>120</v>
      </c>
      <c r="N255" s="675">
        <v>0.3</v>
      </c>
      <c r="O255" s="2919">
        <f t="shared" si="133"/>
        <v>120</v>
      </c>
      <c r="P255" s="675">
        <v>0.3</v>
      </c>
      <c r="Q255" s="592">
        <f t="shared" si="134"/>
        <v>36</v>
      </c>
      <c r="R255" s="1061"/>
      <c r="S255" s="1069">
        <f>OIM!T119</f>
        <v>120</v>
      </c>
      <c r="T255" s="1071">
        <f t="shared" si="135"/>
        <v>1</v>
      </c>
      <c r="U255" s="1061" t="s">
        <v>606</v>
      </c>
      <c r="V255" s="591">
        <f t="shared" si="137"/>
        <v>1</v>
      </c>
      <c r="W255" s="452">
        <f t="shared" si="136"/>
        <v>36</v>
      </c>
      <c r="X255" s="594"/>
    </row>
    <row r="256" spans="1:24" s="450" customFormat="1" x14ac:dyDescent="0.25">
      <c r="A256" s="3007"/>
      <c r="B256" s="1791" t="s">
        <v>672</v>
      </c>
      <c r="C256" s="595" t="s">
        <v>15</v>
      </c>
      <c r="D256" s="467" t="s">
        <v>563</v>
      </c>
      <c r="E256" s="1787"/>
      <c r="F256" s="1790"/>
      <c r="G256" s="724"/>
      <c r="H256" s="592">
        <f t="shared" si="140"/>
        <v>0</v>
      </c>
      <c r="I256" s="675">
        <v>0.3</v>
      </c>
      <c r="J256" s="2739">
        <v>2</v>
      </c>
      <c r="K256" s="2738">
        <v>100</v>
      </c>
      <c r="L256" s="2738">
        <v>1</v>
      </c>
      <c r="M256" s="2874">
        <f t="shared" si="141"/>
        <v>200</v>
      </c>
      <c r="N256" s="675">
        <v>0.3</v>
      </c>
      <c r="O256" s="2919">
        <f t="shared" si="133"/>
        <v>200</v>
      </c>
      <c r="P256" s="675">
        <v>0.3</v>
      </c>
      <c r="Q256" s="592">
        <f t="shared" si="134"/>
        <v>60</v>
      </c>
      <c r="R256" s="1061"/>
      <c r="S256" s="1069">
        <f>OIM!T120</f>
        <v>190</v>
      </c>
      <c r="T256" s="1071">
        <f t="shared" si="135"/>
        <v>0.95</v>
      </c>
      <c r="U256" s="1061" t="s">
        <v>606</v>
      </c>
      <c r="V256" s="591">
        <f t="shared" si="137"/>
        <v>0.95</v>
      </c>
      <c r="W256" s="452">
        <f t="shared" si="136"/>
        <v>57</v>
      </c>
      <c r="X256" s="594"/>
    </row>
    <row r="257" spans="1:43" s="450" customFormat="1" x14ac:dyDescent="0.25">
      <c r="A257" s="3007"/>
      <c r="B257" s="1791" t="s">
        <v>673</v>
      </c>
      <c r="C257" s="595" t="s">
        <v>15</v>
      </c>
      <c r="D257" s="467" t="s">
        <v>563</v>
      </c>
      <c r="E257" s="1787"/>
      <c r="F257" s="1790"/>
      <c r="G257" s="724"/>
      <c r="H257" s="592">
        <f t="shared" si="140"/>
        <v>0</v>
      </c>
      <c r="I257" s="675">
        <v>0.3</v>
      </c>
      <c r="J257" s="2739">
        <v>2</v>
      </c>
      <c r="K257" s="2738">
        <v>400</v>
      </c>
      <c r="L257" s="2738">
        <v>1</v>
      </c>
      <c r="M257" s="2874">
        <f t="shared" si="141"/>
        <v>800</v>
      </c>
      <c r="N257" s="675">
        <v>0.3</v>
      </c>
      <c r="O257" s="2919">
        <f t="shared" si="133"/>
        <v>800</v>
      </c>
      <c r="P257" s="675">
        <v>0.3</v>
      </c>
      <c r="Q257" s="592">
        <f t="shared" si="134"/>
        <v>240</v>
      </c>
      <c r="R257" s="1061"/>
      <c r="S257" s="1069">
        <f>OIM!T121</f>
        <v>660</v>
      </c>
      <c r="T257" s="1071">
        <f t="shared" si="135"/>
        <v>0.82499999999999996</v>
      </c>
      <c r="U257" s="1061" t="s">
        <v>606</v>
      </c>
      <c r="V257" s="591">
        <f t="shared" si="137"/>
        <v>0.82499999999999996</v>
      </c>
      <c r="W257" s="452">
        <f t="shared" si="136"/>
        <v>198</v>
      </c>
      <c r="X257" s="594"/>
    </row>
    <row r="258" spans="1:43" s="450" customFormat="1" x14ac:dyDescent="0.25">
      <c r="A258" s="3007"/>
      <c r="B258" s="1791" t="s">
        <v>674</v>
      </c>
      <c r="C258" s="595" t="s">
        <v>15</v>
      </c>
      <c r="D258" s="467" t="s">
        <v>563</v>
      </c>
      <c r="E258" s="1787"/>
      <c r="F258" s="1790"/>
      <c r="G258" s="724"/>
      <c r="H258" s="592">
        <f t="shared" si="140"/>
        <v>0</v>
      </c>
      <c r="I258" s="675">
        <v>0.3</v>
      </c>
      <c r="J258" s="2739">
        <v>5</v>
      </c>
      <c r="K258" s="2738">
        <v>17.5</v>
      </c>
      <c r="L258" s="2738">
        <v>1</v>
      </c>
      <c r="M258" s="2874">
        <f t="shared" si="141"/>
        <v>87.5</v>
      </c>
      <c r="N258" s="675">
        <v>0.3</v>
      </c>
      <c r="O258" s="2919">
        <f t="shared" si="133"/>
        <v>87.5</v>
      </c>
      <c r="P258" s="675">
        <v>0.3</v>
      </c>
      <c r="Q258" s="592">
        <f t="shared" si="134"/>
        <v>26.25</v>
      </c>
      <c r="R258" s="1061"/>
      <c r="S258" s="1069">
        <f>OIM!T122</f>
        <v>80</v>
      </c>
      <c r="T258" s="1071">
        <f t="shared" si="135"/>
        <v>0.91428571428571426</v>
      </c>
      <c r="U258" s="1061" t="s">
        <v>606</v>
      </c>
      <c r="V258" s="591">
        <f t="shared" si="137"/>
        <v>0.91428571428571426</v>
      </c>
      <c r="W258" s="452">
        <f t="shared" si="136"/>
        <v>24</v>
      </c>
      <c r="X258" s="594"/>
    </row>
    <row r="259" spans="1:43" s="450" customFormat="1" x14ac:dyDescent="0.25">
      <c r="A259" s="3007"/>
      <c r="B259" s="1791" t="s">
        <v>675</v>
      </c>
      <c r="C259" s="595" t="s">
        <v>15</v>
      </c>
      <c r="D259" s="467" t="s">
        <v>563</v>
      </c>
      <c r="E259" s="1787"/>
      <c r="F259" s="1790"/>
      <c r="G259" s="724"/>
      <c r="H259" s="592">
        <f t="shared" si="140"/>
        <v>0</v>
      </c>
      <c r="I259" s="675">
        <v>0.3</v>
      </c>
      <c r="J259" s="2739">
        <v>1</v>
      </c>
      <c r="K259" s="2738">
        <v>1500</v>
      </c>
      <c r="L259" s="2738">
        <v>1</v>
      </c>
      <c r="M259" s="2874">
        <f t="shared" si="141"/>
        <v>1500</v>
      </c>
      <c r="N259" s="675">
        <v>0.3</v>
      </c>
      <c r="O259" s="2919">
        <f t="shared" si="133"/>
        <v>1500</v>
      </c>
      <c r="P259" s="675">
        <v>0.3</v>
      </c>
      <c r="Q259" s="592">
        <f t="shared" si="134"/>
        <v>450</v>
      </c>
      <c r="R259" s="1061"/>
      <c r="S259" s="1069">
        <f>OIM!T123</f>
        <v>1717</v>
      </c>
      <c r="T259" s="1071">
        <f t="shared" si="135"/>
        <v>1.1446666666666667</v>
      </c>
      <c r="U259" s="1061" t="s">
        <v>606</v>
      </c>
      <c r="V259" s="591">
        <f t="shared" si="137"/>
        <v>1.1446666666666667</v>
      </c>
      <c r="W259" s="452">
        <f t="shared" si="136"/>
        <v>515.1</v>
      </c>
      <c r="X259" s="594"/>
    </row>
    <row r="260" spans="1:43" s="450" customFormat="1" x14ac:dyDescent="0.25">
      <c r="A260" s="3007"/>
      <c r="B260" s="1791" t="s">
        <v>676</v>
      </c>
      <c r="C260" s="595" t="s">
        <v>15</v>
      </c>
      <c r="D260" s="467" t="s">
        <v>563</v>
      </c>
      <c r="E260" s="724"/>
      <c r="F260" s="1790"/>
      <c r="G260" s="724"/>
      <c r="H260" s="592">
        <f t="shared" si="140"/>
        <v>0</v>
      </c>
      <c r="I260" s="675">
        <v>0</v>
      </c>
      <c r="J260" s="2736">
        <v>0</v>
      </c>
      <c r="K260" s="2738">
        <v>0</v>
      </c>
      <c r="L260" s="2738">
        <v>1</v>
      </c>
      <c r="M260" s="2874">
        <f t="shared" si="141"/>
        <v>0</v>
      </c>
      <c r="N260" s="675">
        <v>0</v>
      </c>
      <c r="O260" s="2919">
        <f t="shared" si="133"/>
        <v>0</v>
      </c>
      <c r="P260" s="675">
        <v>0</v>
      </c>
      <c r="Q260" s="592">
        <f t="shared" si="134"/>
        <v>0</v>
      </c>
      <c r="R260" s="1061"/>
      <c r="S260" s="1069">
        <v>0</v>
      </c>
      <c r="T260" s="1071">
        <v>0</v>
      </c>
      <c r="U260" s="1061"/>
      <c r="V260" s="591">
        <v>0</v>
      </c>
      <c r="W260" s="452">
        <f t="shared" si="136"/>
        <v>0</v>
      </c>
      <c r="X260" s="594"/>
    </row>
    <row r="261" spans="1:43" s="450" customFormat="1" ht="26" x14ac:dyDescent="0.25">
      <c r="A261" s="3007"/>
      <c r="B261" s="1792" t="s">
        <v>678</v>
      </c>
      <c r="C261" s="595" t="s">
        <v>15</v>
      </c>
      <c r="D261" s="467" t="s">
        <v>563</v>
      </c>
      <c r="E261" s="724">
        <v>1</v>
      </c>
      <c r="F261" s="1790">
        <v>13300</v>
      </c>
      <c r="G261" s="724">
        <v>1</v>
      </c>
      <c r="H261" s="592">
        <f t="shared" ref="H261:H267" si="142">E261*F261*G261</f>
        <v>13300</v>
      </c>
      <c r="I261" s="675">
        <v>0.3</v>
      </c>
      <c r="J261" s="2739"/>
      <c r="K261" s="2738"/>
      <c r="L261" s="2738"/>
      <c r="M261" s="2874">
        <f t="shared" ref="M261:M267" si="143">J261*K261*L261</f>
        <v>0</v>
      </c>
      <c r="N261" s="675">
        <v>0.3</v>
      </c>
      <c r="O261" s="2919">
        <f t="shared" si="133"/>
        <v>13300</v>
      </c>
      <c r="P261" s="675">
        <v>0.3</v>
      </c>
      <c r="Q261" s="592">
        <f t="shared" si="134"/>
        <v>3990</v>
      </c>
      <c r="R261" s="521"/>
      <c r="S261" s="1069">
        <f>OIM!T126</f>
        <v>13345.4</v>
      </c>
      <c r="T261" s="1071">
        <f t="shared" si="135"/>
        <v>1.0034135338345864</v>
      </c>
      <c r="U261" s="1061" t="s">
        <v>606</v>
      </c>
      <c r="V261" s="591">
        <f t="shared" si="137"/>
        <v>1.0034135338345864</v>
      </c>
      <c r="W261" s="452">
        <f t="shared" si="136"/>
        <v>4003.62</v>
      </c>
      <c r="X261" s="266" t="s">
        <v>1126</v>
      </c>
    </row>
    <row r="262" spans="1:43" s="450" customFormat="1" x14ac:dyDescent="0.25">
      <c r="A262" s="3007"/>
      <c r="B262" s="1792" t="s">
        <v>679</v>
      </c>
      <c r="C262" s="595" t="s">
        <v>15</v>
      </c>
      <c r="D262" s="467" t="s">
        <v>563</v>
      </c>
      <c r="E262" s="724">
        <v>1</v>
      </c>
      <c r="F262" s="1790">
        <v>2000</v>
      </c>
      <c r="G262" s="724">
        <v>1</v>
      </c>
      <c r="H262" s="592">
        <f t="shared" si="142"/>
        <v>2000</v>
      </c>
      <c r="I262" s="675">
        <v>0.3</v>
      </c>
      <c r="J262" s="2739"/>
      <c r="K262" s="2738"/>
      <c r="L262" s="2738"/>
      <c r="M262" s="2874">
        <f t="shared" si="143"/>
        <v>0</v>
      </c>
      <c r="N262" s="675">
        <v>0.3</v>
      </c>
      <c r="O262" s="2919">
        <f t="shared" si="133"/>
        <v>2000</v>
      </c>
      <c r="P262" s="675">
        <v>0.3</v>
      </c>
      <c r="Q262" s="592">
        <f t="shared" si="134"/>
        <v>600</v>
      </c>
      <c r="R262" s="1061"/>
      <c r="S262" s="1069">
        <f>OIM!T127</f>
        <v>2002</v>
      </c>
      <c r="T262" s="1071">
        <f t="shared" si="135"/>
        <v>1.0009999999999999</v>
      </c>
      <c r="U262" s="1061" t="s">
        <v>606</v>
      </c>
      <c r="V262" s="591">
        <f t="shared" si="137"/>
        <v>1.0010000000000001</v>
      </c>
      <c r="W262" s="452">
        <f t="shared" si="136"/>
        <v>600.6</v>
      </c>
      <c r="X262" s="594"/>
    </row>
    <row r="263" spans="1:43" s="450" customFormat="1" x14ac:dyDescent="0.25">
      <c r="A263" s="3007"/>
      <c r="B263" s="1792" t="s">
        <v>680</v>
      </c>
      <c r="C263" s="595" t="s">
        <v>15</v>
      </c>
      <c r="D263" s="467" t="s">
        <v>563</v>
      </c>
      <c r="E263" s="724">
        <v>1</v>
      </c>
      <c r="F263" s="1790">
        <v>2000</v>
      </c>
      <c r="G263" s="724">
        <v>3</v>
      </c>
      <c r="H263" s="592">
        <f t="shared" si="142"/>
        <v>6000</v>
      </c>
      <c r="I263" s="675">
        <v>0.3</v>
      </c>
      <c r="J263" s="2739"/>
      <c r="K263" s="2738"/>
      <c r="L263" s="2738"/>
      <c r="M263" s="2874">
        <f t="shared" si="143"/>
        <v>0</v>
      </c>
      <c r="N263" s="675">
        <v>0.3</v>
      </c>
      <c r="O263" s="2919">
        <f t="shared" si="133"/>
        <v>6000</v>
      </c>
      <c r="P263" s="675">
        <v>0.3</v>
      </c>
      <c r="Q263" s="592">
        <f t="shared" si="134"/>
        <v>1800</v>
      </c>
      <c r="R263" s="1061"/>
      <c r="S263" s="1069">
        <f>OIM!T128</f>
        <v>5012.7</v>
      </c>
      <c r="T263" s="1071">
        <f t="shared" si="135"/>
        <v>0.83544999999999991</v>
      </c>
      <c r="U263" s="1061" t="s">
        <v>606</v>
      </c>
      <c r="V263" s="591">
        <f t="shared" si="137"/>
        <v>0.83544999999999991</v>
      </c>
      <c r="W263" s="452">
        <f t="shared" si="136"/>
        <v>1503.81</v>
      </c>
      <c r="X263" s="594"/>
    </row>
    <row r="264" spans="1:43" s="450" customFormat="1" x14ac:dyDescent="0.25">
      <c r="A264" s="3007"/>
      <c r="B264" s="1792" t="s">
        <v>681</v>
      </c>
      <c r="C264" s="595" t="s">
        <v>15</v>
      </c>
      <c r="D264" s="467" t="s">
        <v>563</v>
      </c>
      <c r="E264" s="724">
        <v>1</v>
      </c>
      <c r="F264" s="1790">
        <v>500</v>
      </c>
      <c r="G264" s="724">
        <v>1</v>
      </c>
      <c r="H264" s="592">
        <f t="shared" si="142"/>
        <v>500</v>
      </c>
      <c r="I264" s="675">
        <v>0.3</v>
      </c>
      <c r="J264" s="2739"/>
      <c r="K264" s="2738"/>
      <c r="L264" s="2738"/>
      <c r="M264" s="2874">
        <f t="shared" si="143"/>
        <v>0</v>
      </c>
      <c r="N264" s="675">
        <v>0.3</v>
      </c>
      <c r="O264" s="2919">
        <f t="shared" si="133"/>
        <v>500</v>
      </c>
      <c r="P264" s="675">
        <v>0.3</v>
      </c>
      <c r="Q264" s="592">
        <f t="shared" si="134"/>
        <v>150</v>
      </c>
      <c r="R264" s="1061"/>
      <c r="S264" s="1069">
        <f>OIM!T129</f>
        <v>0</v>
      </c>
      <c r="T264" s="1071">
        <f t="shared" si="135"/>
        <v>0</v>
      </c>
      <c r="U264" s="1061"/>
      <c r="V264" s="591">
        <f t="shared" si="137"/>
        <v>0</v>
      </c>
      <c r="W264" s="452">
        <f t="shared" si="136"/>
        <v>0</v>
      </c>
      <c r="X264" s="594"/>
    </row>
    <row r="265" spans="1:43" s="450" customFormat="1" ht="26" x14ac:dyDescent="0.25">
      <c r="A265" s="3007"/>
      <c r="B265" s="1792" t="s">
        <v>682</v>
      </c>
      <c r="C265" s="595" t="s">
        <v>15</v>
      </c>
      <c r="D265" s="467" t="s">
        <v>563</v>
      </c>
      <c r="E265" s="724"/>
      <c r="F265" s="1790"/>
      <c r="G265" s="724"/>
      <c r="H265" s="592">
        <f t="shared" si="142"/>
        <v>0</v>
      </c>
      <c r="I265" s="675">
        <v>0.3</v>
      </c>
      <c r="J265" s="2739">
        <v>5</v>
      </c>
      <c r="K265" s="2738">
        <v>200</v>
      </c>
      <c r="L265" s="2738">
        <v>5</v>
      </c>
      <c r="M265" s="2874">
        <f t="shared" si="143"/>
        <v>5000</v>
      </c>
      <c r="N265" s="675">
        <v>0.3</v>
      </c>
      <c r="O265" s="2919">
        <f t="shared" si="133"/>
        <v>5000</v>
      </c>
      <c r="P265" s="675">
        <v>0.3</v>
      </c>
      <c r="Q265" s="592">
        <f t="shared" si="134"/>
        <v>1500</v>
      </c>
      <c r="R265" s="1061"/>
      <c r="S265" s="1069">
        <f>OIM!T130</f>
        <v>3947.5</v>
      </c>
      <c r="T265" s="1071">
        <f t="shared" si="135"/>
        <v>0.78949999999999998</v>
      </c>
      <c r="U265" s="1061"/>
      <c r="V265" s="591">
        <f t="shared" si="137"/>
        <v>0.78949999999999998</v>
      </c>
      <c r="W265" s="452">
        <f t="shared" si="136"/>
        <v>1184.25</v>
      </c>
      <c r="X265" s="594"/>
    </row>
    <row r="266" spans="1:43" s="450" customFormat="1" ht="26" x14ac:dyDescent="0.25">
      <c r="A266" s="3007"/>
      <c r="B266" s="1792" t="s">
        <v>683</v>
      </c>
      <c r="C266" s="595" t="s">
        <v>15</v>
      </c>
      <c r="D266" s="467" t="s">
        <v>563</v>
      </c>
      <c r="E266" s="724"/>
      <c r="F266" s="1790"/>
      <c r="G266" s="724"/>
      <c r="H266" s="592">
        <f t="shared" si="142"/>
        <v>0</v>
      </c>
      <c r="I266" s="675">
        <v>0.3</v>
      </c>
      <c r="J266" s="2739">
        <v>2</v>
      </c>
      <c r="K266" s="2738">
        <v>500</v>
      </c>
      <c r="L266" s="2738">
        <v>5</v>
      </c>
      <c r="M266" s="2874">
        <f t="shared" si="143"/>
        <v>5000</v>
      </c>
      <c r="N266" s="675">
        <v>0.3</v>
      </c>
      <c r="O266" s="2919">
        <f t="shared" si="133"/>
        <v>5000</v>
      </c>
      <c r="P266" s="675">
        <v>0.3</v>
      </c>
      <c r="Q266" s="592">
        <f t="shared" si="134"/>
        <v>1500</v>
      </c>
      <c r="R266" s="521"/>
      <c r="S266" s="1069">
        <f>OIM!T131</f>
        <v>4788.2</v>
      </c>
      <c r="T266" s="1071">
        <f t="shared" si="135"/>
        <v>0.95763999999999994</v>
      </c>
      <c r="U266" s="521" t="s">
        <v>944</v>
      </c>
      <c r="V266" s="591">
        <f t="shared" si="137"/>
        <v>0.95763999999999982</v>
      </c>
      <c r="W266" s="452">
        <f t="shared" si="136"/>
        <v>1436.4599999999998</v>
      </c>
      <c r="X266" s="266" t="s">
        <v>1127</v>
      </c>
    </row>
    <row r="267" spans="1:43" s="450" customFormat="1" x14ac:dyDescent="0.25">
      <c r="A267" s="3007"/>
      <c r="B267" s="1792" t="s">
        <v>684</v>
      </c>
      <c r="C267" s="595" t="s">
        <v>17</v>
      </c>
      <c r="D267" s="467" t="s">
        <v>563</v>
      </c>
      <c r="E267" s="724"/>
      <c r="F267" s="1790"/>
      <c r="G267" s="724"/>
      <c r="H267" s="592">
        <f t="shared" si="142"/>
        <v>0</v>
      </c>
      <c r="I267" s="675">
        <v>0.3</v>
      </c>
      <c r="J267" s="2739">
        <v>5</v>
      </c>
      <c r="K267" s="2738">
        <v>1800</v>
      </c>
      <c r="L267" s="2738">
        <v>1</v>
      </c>
      <c r="M267" s="2874">
        <f t="shared" si="143"/>
        <v>9000</v>
      </c>
      <c r="N267" s="675">
        <v>0.3</v>
      </c>
      <c r="O267" s="2919">
        <f t="shared" si="133"/>
        <v>9000</v>
      </c>
      <c r="P267" s="675">
        <v>0.3</v>
      </c>
      <c r="Q267" s="592">
        <f t="shared" si="134"/>
        <v>2700</v>
      </c>
      <c r="R267" s="1061"/>
      <c r="S267" s="1069">
        <f>OIM!T132</f>
        <v>7280</v>
      </c>
      <c r="T267" s="1071">
        <f t="shared" si="135"/>
        <v>0.80888888888888888</v>
      </c>
      <c r="U267" s="521" t="s">
        <v>944</v>
      </c>
      <c r="V267" s="591">
        <f t="shared" si="137"/>
        <v>0.80888888888888888</v>
      </c>
      <c r="W267" s="452">
        <f t="shared" si="136"/>
        <v>2184</v>
      </c>
      <c r="X267" s="595" t="s">
        <v>1128</v>
      </c>
    </row>
    <row r="268" spans="1:43" s="454" customFormat="1" x14ac:dyDescent="0.25">
      <c r="A268" s="3008"/>
      <c r="B268" s="711" t="s">
        <v>573</v>
      </c>
      <c r="C268" s="711"/>
      <c r="D268" s="897"/>
      <c r="E268" s="712"/>
      <c r="F268" s="712"/>
      <c r="G268" s="712"/>
      <c r="H268" s="1123">
        <f>SUM(H235:H267)</f>
        <v>35000</v>
      </c>
      <c r="I268" s="716"/>
      <c r="J268" s="1077"/>
      <c r="K268" s="1077"/>
      <c r="L268" s="1077"/>
      <c r="M268" s="2870">
        <f>SUM(M235:M267)</f>
        <v>214497.5</v>
      </c>
      <c r="N268" s="716"/>
      <c r="O268" s="1672">
        <f t="shared" ref="O268:R268" si="144">SUM(O235:O267)</f>
        <v>249497.5</v>
      </c>
      <c r="P268" s="1672">
        <f t="shared" si="144"/>
        <v>8.3999999999999986</v>
      </c>
      <c r="Q268" s="1672">
        <f t="shared" si="144"/>
        <v>66179.25</v>
      </c>
      <c r="R268" s="1672">
        <f t="shared" si="144"/>
        <v>0</v>
      </c>
      <c r="S268" s="1672">
        <f>SUM(S235:S267)</f>
        <v>245455.33000000005</v>
      </c>
      <c r="T268" s="1126">
        <f>S268/O268</f>
        <v>0.98379875549855222</v>
      </c>
      <c r="U268" s="715"/>
      <c r="V268" s="600">
        <f>W268/Q268</f>
        <v>0.96928686861818469</v>
      </c>
      <c r="W268" s="1127">
        <f>SUM(W235:W267)</f>
        <v>64146.678</v>
      </c>
      <c r="X268" s="600"/>
      <c r="Y268" s="670"/>
      <c r="Z268" s="670"/>
      <c r="AA268" s="670"/>
      <c r="AB268" s="670"/>
      <c r="AC268" s="670"/>
      <c r="AD268" s="670"/>
      <c r="AE268" s="670"/>
      <c r="AF268" s="670"/>
      <c r="AG268" s="670"/>
      <c r="AH268" s="670"/>
      <c r="AI268" s="670"/>
      <c r="AJ268" s="670"/>
      <c r="AK268" s="670"/>
      <c r="AL268" s="670"/>
      <c r="AM268" s="670"/>
      <c r="AN268" s="670"/>
      <c r="AO268" s="670"/>
      <c r="AP268" s="670"/>
      <c r="AQ268" s="670"/>
    </row>
    <row r="269" spans="1:43" s="450" customFormat="1" ht="65" x14ac:dyDescent="0.25">
      <c r="A269" s="2994" t="s">
        <v>1295</v>
      </c>
      <c r="B269" s="595" t="s">
        <v>433</v>
      </c>
      <c r="C269" s="595" t="s">
        <v>48</v>
      </c>
      <c r="D269" s="467" t="s">
        <v>398</v>
      </c>
      <c r="E269" s="468">
        <v>3</v>
      </c>
      <c r="F269" s="468">
        <v>300</v>
      </c>
      <c r="G269" s="468">
        <v>3</v>
      </c>
      <c r="H269" s="451">
        <f>SFCG!H36</f>
        <v>2700</v>
      </c>
      <c r="I269" s="675">
        <v>0.3</v>
      </c>
      <c r="J269" s="710">
        <v>4</v>
      </c>
      <c r="K269" s="710">
        <f>F269</f>
        <v>300</v>
      </c>
      <c r="L269" s="710">
        <v>3</v>
      </c>
      <c r="M269" s="1834">
        <f>SFCG!M36+SFCG!N36</f>
        <v>7800</v>
      </c>
      <c r="N269" s="675">
        <v>0.3</v>
      </c>
      <c r="O269" s="696">
        <f t="shared" ref="O269:O279" si="145">H269+M269</f>
        <v>10500</v>
      </c>
      <c r="P269" s="675">
        <v>0.3</v>
      </c>
      <c r="Q269" s="709">
        <f t="shared" ref="Q269:Q280" si="146">O269*P269</f>
        <v>3150</v>
      </c>
      <c r="R269" s="595" t="s">
        <v>1189</v>
      </c>
      <c r="S269" s="706">
        <f>SFCG!T36</f>
        <v>13316</v>
      </c>
      <c r="T269" s="591">
        <f>S269/O269</f>
        <v>1.2681904761904761</v>
      </c>
      <c r="U269" s="595" t="s">
        <v>424</v>
      </c>
      <c r="V269" s="591">
        <f>W269/Q269</f>
        <v>1.2681904761904761</v>
      </c>
      <c r="W269" s="706">
        <f>P269*S269</f>
        <v>3994.7999999999997</v>
      </c>
      <c r="X269" s="266" t="s">
        <v>1190</v>
      </c>
    </row>
    <row r="270" spans="1:43" s="450" customFormat="1" ht="65" x14ac:dyDescent="0.25">
      <c r="A270" s="2995"/>
      <c r="B270" s="595" t="s">
        <v>434</v>
      </c>
      <c r="C270" s="595" t="s">
        <v>48</v>
      </c>
      <c r="D270" s="467" t="s">
        <v>398</v>
      </c>
      <c r="E270" s="468">
        <v>3</v>
      </c>
      <c r="F270" s="468">
        <v>250</v>
      </c>
      <c r="G270" s="468">
        <v>6</v>
      </c>
      <c r="H270" s="451">
        <f>SFCG!H37</f>
        <v>4500</v>
      </c>
      <c r="I270" s="675">
        <v>0.3</v>
      </c>
      <c r="J270" s="710">
        <v>4</v>
      </c>
      <c r="K270" s="710">
        <f>F270</f>
        <v>250</v>
      </c>
      <c r="L270" s="710">
        <v>6</v>
      </c>
      <c r="M270" s="1834">
        <f>SFCG!M37+SFCG!N37</f>
        <v>13000</v>
      </c>
      <c r="N270" s="675">
        <v>0.3</v>
      </c>
      <c r="O270" s="696">
        <f t="shared" si="145"/>
        <v>17500</v>
      </c>
      <c r="P270" s="675">
        <v>0.3</v>
      </c>
      <c r="Q270" s="709">
        <f t="shared" si="146"/>
        <v>5250</v>
      </c>
      <c r="R270" s="595" t="s">
        <v>1189</v>
      </c>
      <c r="S270" s="706">
        <f>SFCG!T37</f>
        <v>14117.16</v>
      </c>
      <c r="T270" s="591">
        <f t="shared" ref="T270:T280" si="147">S270/O270</f>
        <v>0.80669485714285716</v>
      </c>
      <c r="U270" s="595" t="s">
        <v>424</v>
      </c>
      <c r="V270" s="591">
        <f t="shared" ref="V270:V280" si="148">W270/Q270</f>
        <v>0.80669485714285716</v>
      </c>
      <c r="W270" s="706">
        <f t="shared" ref="W270:W280" si="149">P270*S270</f>
        <v>4235.1480000000001</v>
      </c>
      <c r="X270" s="266" t="s">
        <v>1191</v>
      </c>
    </row>
    <row r="271" spans="1:43" s="450" customFormat="1" ht="39" x14ac:dyDescent="0.25">
      <c r="A271" s="2995"/>
      <c r="B271" s="595" t="s">
        <v>435</v>
      </c>
      <c r="C271" s="595" t="s">
        <v>48</v>
      </c>
      <c r="D271" s="467" t="s">
        <v>398</v>
      </c>
      <c r="E271" s="468">
        <v>3</v>
      </c>
      <c r="F271" s="468">
        <v>150</v>
      </c>
      <c r="G271" s="468">
        <v>3</v>
      </c>
      <c r="H271" s="451">
        <f>SFCG!H38</f>
        <v>1350</v>
      </c>
      <c r="I271" s="675">
        <v>0.3</v>
      </c>
      <c r="J271" s="710">
        <v>4</v>
      </c>
      <c r="K271" s="710">
        <f>F271</f>
        <v>150</v>
      </c>
      <c r="L271" s="710">
        <v>3</v>
      </c>
      <c r="M271" s="1834">
        <f>SFCG!M38+SFCG!N38</f>
        <v>8800</v>
      </c>
      <c r="N271" s="675">
        <v>0.3</v>
      </c>
      <c r="O271" s="696">
        <f t="shared" si="145"/>
        <v>10150</v>
      </c>
      <c r="P271" s="675">
        <v>0.3</v>
      </c>
      <c r="Q271" s="709">
        <f t="shared" si="146"/>
        <v>3045</v>
      </c>
      <c r="R271" s="595" t="s">
        <v>1192</v>
      </c>
      <c r="S271" s="706">
        <f>SFCG!T38</f>
        <v>7043</v>
      </c>
      <c r="T271" s="591">
        <f t="shared" si="147"/>
        <v>0.69389162561576356</v>
      </c>
      <c r="U271" s="595" t="s">
        <v>436</v>
      </c>
      <c r="V271" s="591">
        <f t="shared" si="148"/>
        <v>0.69389162561576356</v>
      </c>
      <c r="W271" s="706">
        <f t="shared" si="149"/>
        <v>2112.9</v>
      </c>
      <c r="X271" s="266" t="s">
        <v>1193</v>
      </c>
    </row>
    <row r="272" spans="1:43" s="450" customFormat="1" ht="39" x14ac:dyDescent="0.25">
      <c r="A272" s="2995"/>
      <c r="B272" s="595" t="s">
        <v>437</v>
      </c>
      <c r="C272" s="595" t="s">
        <v>48</v>
      </c>
      <c r="D272" s="467" t="s">
        <v>398</v>
      </c>
      <c r="E272" s="468">
        <v>3</v>
      </c>
      <c r="F272" s="468">
        <v>150</v>
      </c>
      <c r="G272" s="468">
        <v>1</v>
      </c>
      <c r="H272" s="451">
        <f>SFCG!H39</f>
        <v>450</v>
      </c>
      <c r="I272" s="675">
        <v>0.3</v>
      </c>
      <c r="J272" s="710">
        <v>4</v>
      </c>
      <c r="K272" s="710">
        <f>F272</f>
        <v>150</v>
      </c>
      <c r="L272" s="710">
        <v>1</v>
      </c>
      <c r="M272" s="1834">
        <f>SFCG!M39+SFCG!N39</f>
        <v>8600</v>
      </c>
      <c r="N272" s="675">
        <v>0.3</v>
      </c>
      <c r="O272" s="696">
        <f t="shared" si="145"/>
        <v>9050</v>
      </c>
      <c r="P272" s="675">
        <v>0.3</v>
      </c>
      <c r="Q272" s="709">
        <f t="shared" si="146"/>
        <v>2715</v>
      </c>
      <c r="R272" s="595" t="s">
        <v>1189</v>
      </c>
      <c r="S272" s="706">
        <f>SFCG!T39</f>
        <v>4065</v>
      </c>
      <c r="T272" s="591">
        <f t="shared" si="147"/>
        <v>0.44917127071823204</v>
      </c>
      <c r="U272" s="595" t="s">
        <v>438</v>
      </c>
      <c r="V272" s="591">
        <f t="shared" si="148"/>
        <v>0.44917127071823204</v>
      </c>
      <c r="W272" s="706">
        <f t="shared" si="149"/>
        <v>1219.5</v>
      </c>
      <c r="X272" s="266" t="s">
        <v>1194</v>
      </c>
    </row>
    <row r="273" spans="1:43" s="450" customFormat="1" ht="26" x14ac:dyDescent="0.25">
      <c r="A273" s="2995"/>
      <c r="B273" s="595" t="s">
        <v>440</v>
      </c>
      <c r="C273" s="595" t="s">
        <v>48</v>
      </c>
      <c r="D273" s="467" t="s">
        <v>398</v>
      </c>
      <c r="E273" s="468">
        <v>3</v>
      </c>
      <c r="F273" s="468">
        <v>2900</v>
      </c>
      <c r="G273" s="468">
        <v>1</v>
      </c>
      <c r="H273" s="451">
        <f>SFCG!H41</f>
        <v>8700</v>
      </c>
      <c r="I273" s="675">
        <v>0.3</v>
      </c>
      <c r="J273" s="710">
        <v>4</v>
      </c>
      <c r="K273" s="710">
        <v>3000</v>
      </c>
      <c r="L273" s="710">
        <v>1</v>
      </c>
      <c r="M273" s="1834">
        <f>SFCG!M41+SFCG!N41</f>
        <v>32000</v>
      </c>
      <c r="N273" s="675">
        <v>0.3</v>
      </c>
      <c r="O273" s="696">
        <f t="shared" si="145"/>
        <v>40700</v>
      </c>
      <c r="P273" s="675">
        <v>0.3</v>
      </c>
      <c r="Q273" s="709">
        <f t="shared" si="146"/>
        <v>12210</v>
      </c>
      <c r="R273" s="595" t="s">
        <v>1195</v>
      </c>
      <c r="S273" s="706">
        <f>SFCG!T41</f>
        <v>35160</v>
      </c>
      <c r="T273" s="591">
        <f t="shared" si="147"/>
        <v>0.8638820638820639</v>
      </c>
      <c r="U273" s="595" t="s">
        <v>441</v>
      </c>
      <c r="V273" s="591">
        <f t="shared" si="148"/>
        <v>0.8638820638820639</v>
      </c>
      <c r="W273" s="706">
        <f t="shared" si="149"/>
        <v>10548</v>
      </c>
      <c r="X273" s="266" t="s">
        <v>1186</v>
      </c>
    </row>
    <row r="274" spans="1:43" s="450" customFormat="1" ht="26" x14ac:dyDescent="0.25">
      <c r="A274" s="2995"/>
      <c r="B274" s="595" t="s">
        <v>442</v>
      </c>
      <c r="C274" s="595" t="s">
        <v>15</v>
      </c>
      <c r="D274" s="467" t="s">
        <v>398</v>
      </c>
      <c r="E274" s="468">
        <v>4</v>
      </c>
      <c r="F274" s="468">
        <v>1400</v>
      </c>
      <c r="G274" s="468">
        <v>1</v>
      </c>
      <c r="H274" s="451">
        <f>SFCG!H42</f>
        <v>5600</v>
      </c>
      <c r="I274" s="675">
        <v>0.3</v>
      </c>
      <c r="J274" s="710">
        <v>4</v>
      </c>
      <c r="K274" s="710">
        <v>1400</v>
      </c>
      <c r="L274" s="710">
        <v>0</v>
      </c>
      <c r="M274" s="1834">
        <f>SFCG!M42+SFCG!N42</f>
        <v>0</v>
      </c>
      <c r="N274" s="675">
        <v>0.3</v>
      </c>
      <c r="O274" s="696">
        <f t="shared" si="145"/>
        <v>5600</v>
      </c>
      <c r="P274" s="675">
        <v>0.3</v>
      </c>
      <c r="Q274" s="709">
        <f t="shared" si="146"/>
        <v>1680</v>
      </c>
      <c r="R274" s="1129" t="s">
        <v>1195</v>
      </c>
      <c r="S274" s="706">
        <f>SFCG!T42</f>
        <v>3127</v>
      </c>
      <c r="T274" s="591">
        <f t="shared" si="147"/>
        <v>0.55839285714285714</v>
      </c>
      <c r="U274" s="595" t="s">
        <v>443</v>
      </c>
      <c r="V274" s="591">
        <f t="shared" si="148"/>
        <v>0.55839285714285714</v>
      </c>
      <c r="W274" s="706">
        <f t="shared" si="149"/>
        <v>938.09999999999991</v>
      </c>
      <c r="X274" s="266" t="s">
        <v>1196</v>
      </c>
    </row>
    <row r="275" spans="1:43" s="450" customFormat="1" ht="39" x14ac:dyDescent="0.25">
      <c r="A275" s="2995"/>
      <c r="B275" s="595" t="s">
        <v>444</v>
      </c>
      <c r="C275" s="595" t="s">
        <v>47</v>
      </c>
      <c r="D275" s="467" t="s">
        <v>398</v>
      </c>
      <c r="E275" s="468">
        <v>4</v>
      </c>
      <c r="F275" s="468">
        <v>2000</v>
      </c>
      <c r="G275" s="468">
        <v>1</v>
      </c>
      <c r="H275" s="451">
        <f>SFCG!H43</f>
        <v>8000</v>
      </c>
      <c r="I275" s="675">
        <v>0.3</v>
      </c>
      <c r="J275" s="710">
        <v>4</v>
      </c>
      <c r="K275" s="710">
        <v>2000</v>
      </c>
      <c r="L275" s="710">
        <v>0</v>
      </c>
      <c r="M275" s="1834">
        <f>SFCG!M43+SFCG!N43</f>
        <v>5000</v>
      </c>
      <c r="N275" s="675">
        <v>0.3</v>
      </c>
      <c r="O275" s="696">
        <f t="shared" si="145"/>
        <v>13000</v>
      </c>
      <c r="P275" s="675">
        <v>0.3</v>
      </c>
      <c r="Q275" s="709">
        <f t="shared" si="146"/>
        <v>3900</v>
      </c>
      <c r="R275" s="1129" t="s">
        <v>1197</v>
      </c>
      <c r="S275" s="706">
        <f>SFCG!T43</f>
        <v>21810.510000000002</v>
      </c>
      <c r="T275" s="591">
        <f t="shared" si="147"/>
        <v>1.6777315384615386</v>
      </c>
      <c r="U275" s="595" t="s">
        <v>445</v>
      </c>
      <c r="V275" s="591">
        <f t="shared" si="148"/>
        <v>1.6777315384615386</v>
      </c>
      <c r="W275" s="706">
        <f t="shared" si="149"/>
        <v>6543.1530000000002</v>
      </c>
      <c r="X275" s="266" t="s">
        <v>1186</v>
      </c>
    </row>
    <row r="276" spans="1:43" s="450" customFormat="1" ht="39" x14ac:dyDescent="0.25">
      <c r="A276" s="2995"/>
      <c r="B276" s="595" t="s">
        <v>446</v>
      </c>
      <c r="C276" s="595" t="s">
        <v>48</v>
      </c>
      <c r="D276" s="467" t="s">
        <v>398</v>
      </c>
      <c r="E276" s="468">
        <v>4</v>
      </c>
      <c r="F276" s="468">
        <v>50</v>
      </c>
      <c r="G276" s="468">
        <v>9</v>
      </c>
      <c r="H276" s="451">
        <f>SFCG!H44</f>
        <v>1800</v>
      </c>
      <c r="I276" s="675">
        <v>0.3</v>
      </c>
      <c r="J276" s="710">
        <v>4</v>
      </c>
      <c r="K276" s="710">
        <v>110</v>
      </c>
      <c r="L276" s="710">
        <v>12</v>
      </c>
      <c r="M276" s="1834">
        <f>SFCG!M44+SFCG!N44</f>
        <v>5280</v>
      </c>
      <c r="N276" s="675">
        <v>0.3</v>
      </c>
      <c r="O276" s="696">
        <f t="shared" si="145"/>
        <v>7080</v>
      </c>
      <c r="P276" s="675">
        <v>0.3</v>
      </c>
      <c r="Q276" s="709">
        <f t="shared" si="146"/>
        <v>2124</v>
      </c>
      <c r="R276" s="1129" t="s">
        <v>1198</v>
      </c>
      <c r="S276" s="706">
        <f>SFCG!T44</f>
        <v>3640</v>
      </c>
      <c r="T276" s="591">
        <f t="shared" si="147"/>
        <v>0.51412429378531077</v>
      </c>
      <c r="U276" s="595" t="s">
        <v>447</v>
      </c>
      <c r="V276" s="591">
        <f t="shared" si="148"/>
        <v>0.51412429378531077</v>
      </c>
      <c r="W276" s="706">
        <f t="shared" si="149"/>
        <v>1092</v>
      </c>
      <c r="X276" s="266" t="s">
        <v>1199</v>
      </c>
    </row>
    <row r="277" spans="1:43" s="450" customFormat="1" ht="39" x14ac:dyDescent="0.25">
      <c r="A277" s="2995"/>
      <c r="B277" s="541" t="s">
        <v>448</v>
      </c>
      <c r="C277" s="595" t="s">
        <v>48</v>
      </c>
      <c r="D277" s="467" t="s">
        <v>398</v>
      </c>
      <c r="E277" s="468">
        <v>4</v>
      </c>
      <c r="F277" s="468">
        <v>50</v>
      </c>
      <c r="G277" s="468">
        <v>18</v>
      </c>
      <c r="H277" s="451">
        <f>SFCG!H45</f>
        <v>3600</v>
      </c>
      <c r="I277" s="675">
        <v>0.3</v>
      </c>
      <c r="J277" s="710">
        <v>4</v>
      </c>
      <c r="K277" s="710">
        <v>50</v>
      </c>
      <c r="L277" s="710">
        <v>18</v>
      </c>
      <c r="M277" s="1834">
        <f>SFCG!M45+SFCG!N45</f>
        <v>3600</v>
      </c>
      <c r="N277" s="675">
        <v>0.3</v>
      </c>
      <c r="O277" s="696">
        <f t="shared" si="145"/>
        <v>7200</v>
      </c>
      <c r="P277" s="675">
        <v>0.3</v>
      </c>
      <c r="Q277" s="709">
        <f t="shared" si="146"/>
        <v>2160</v>
      </c>
      <c r="R277" s="1129" t="s">
        <v>1200</v>
      </c>
      <c r="S277" s="706">
        <f>SFCG!T45</f>
        <v>4470</v>
      </c>
      <c r="T277" s="591">
        <f t="shared" si="147"/>
        <v>0.62083333333333335</v>
      </c>
      <c r="U277" s="595" t="s">
        <v>447</v>
      </c>
      <c r="V277" s="591">
        <f t="shared" si="148"/>
        <v>0.62083333333333335</v>
      </c>
      <c r="W277" s="706">
        <f t="shared" si="149"/>
        <v>1341</v>
      </c>
      <c r="X277" s="266" t="s">
        <v>1201</v>
      </c>
    </row>
    <row r="278" spans="1:43" s="450" customFormat="1" ht="52" x14ac:dyDescent="0.25">
      <c r="A278" s="2995"/>
      <c r="B278" s="719" t="s">
        <v>450</v>
      </c>
      <c r="C278" s="595" t="s">
        <v>14</v>
      </c>
      <c r="D278" s="467" t="s">
        <v>398</v>
      </c>
      <c r="E278" s="468">
        <v>0.5</v>
      </c>
      <c r="F278" s="720">
        <v>1300</v>
      </c>
      <c r="G278" s="1068">
        <v>12</v>
      </c>
      <c r="H278" s="451">
        <f>SFCG!H48</f>
        <v>7800</v>
      </c>
      <c r="I278" s="675">
        <v>0.1</v>
      </c>
      <c r="J278" s="1079">
        <v>1</v>
      </c>
      <c r="K278" s="710">
        <f>F278</f>
        <v>1300</v>
      </c>
      <c r="L278" s="1078">
        <v>12</v>
      </c>
      <c r="M278" s="1834">
        <f>SFCG!M48+SFCG!N48</f>
        <v>26424</v>
      </c>
      <c r="N278" s="675">
        <v>0.1</v>
      </c>
      <c r="O278" s="696">
        <f t="shared" si="145"/>
        <v>34224</v>
      </c>
      <c r="P278" s="675">
        <v>0.1</v>
      </c>
      <c r="Q278" s="709">
        <f t="shared" si="146"/>
        <v>3422.4</v>
      </c>
      <c r="R278" s="1129" t="s">
        <v>1202</v>
      </c>
      <c r="S278" s="706">
        <f>SFCG!T48</f>
        <v>36168.089999999997</v>
      </c>
      <c r="T278" s="591">
        <f t="shared" si="147"/>
        <v>1.0568048737727909</v>
      </c>
      <c r="U278" s="595" t="s">
        <v>451</v>
      </c>
      <c r="V278" s="591">
        <f t="shared" si="148"/>
        <v>1.0568048737727909</v>
      </c>
      <c r="W278" s="706">
        <f t="shared" si="149"/>
        <v>3616.8089999999997</v>
      </c>
      <c r="X278" s="266" t="s">
        <v>1113</v>
      </c>
    </row>
    <row r="279" spans="1:43" s="450" customFormat="1" ht="26" x14ac:dyDescent="0.25">
      <c r="A279" s="2995"/>
      <c r="B279" s="719" t="s">
        <v>453</v>
      </c>
      <c r="C279" s="595" t="s">
        <v>14</v>
      </c>
      <c r="D279" s="467" t="s">
        <v>398</v>
      </c>
      <c r="E279" s="726">
        <v>1</v>
      </c>
      <c r="F279" s="721">
        <v>850</v>
      </c>
      <c r="G279" s="1068">
        <v>12</v>
      </c>
      <c r="H279" s="451">
        <f>SFCG!H49</f>
        <v>10200</v>
      </c>
      <c r="I279" s="675">
        <v>0.1</v>
      </c>
      <c r="J279" s="1079">
        <v>1</v>
      </c>
      <c r="K279" s="710">
        <f>F279</f>
        <v>850</v>
      </c>
      <c r="L279" s="1078">
        <v>12</v>
      </c>
      <c r="M279" s="1834">
        <f>SFCG!M49+SFCG!N49</f>
        <v>15294</v>
      </c>
      <c r="N279" s="675">
        <v>0.1</v>
      </c>
      <c r="O279" s="696">
        <f t="shared" si="145"/>
        <v>25494</v>
      </c>
      <c r="P279" s="675">
        <v>0.1</v>
      </c>
      <c r="Q279" s="709">
        <f t="shared" si="146"/>
        <v>2549.4</v>
      </c>
      <c r="R279" s="1129" t="s">
        <v>1203</v>
      </c>
      <c r="S279" s="706">
        <f>SFCG!T49</f>
        <v>18149.72</v>
      </c>
      <c r="T279" s="591">
        <f t="shared" si="147"/>
        <v>0.7119212363693419</v>
      </c>
      <c r="U279" s="595" t="s">
        <v>451</v>
      </c>
      <c r="V279" s="591">
        <f t="shared" si="148"/>
        <v>0.7119212363693419</v>
      </c>
      <c r="W279" s="706">
        <f t="shared" si="149"/>
        <v>1814.9720000000002</v>
      </c>
      <c r="X279" s="266" t="s">
        <v>452</v>
      </c>
    </row>
    <row r="280" spans="1:43" s="450" customFormat="1" x14ac:dyDescent="0.25">
      <c r="A280" s="2995"/>
      <c r="B280" s="719" t="s">
        <v>454</v>
      </c>
      <c r="C280" s="595" t="s">
        <v>48</v>
      </c>
      <c r="D280" s="467" t="s">
        <v>398</v>
      </c>
      <c r="E280" s="726">
        <v>1</v>
      </c>
      <c r="F280" s="721">
        <v>4100</v>
      </c>
      <c r="G280" s="1068">
        <v>12</v>
      </c>
      <c r="H280" s="451">
        <f>SFCG!H50</f>
        <v>49200</v>
      </c>
      <c r="I280" s="675">
        <v>0.1</v>
      </c>
      <c r="J280" s="1079">
        <v>1</v>
      </c>
      <c r="K280" s="710">
        <f>F280</f>
        <v>4100</v>
      </c>
      <c r="L280" s="1078">
        <v>12</v>
      </c>
      <c r="M280" s="1834">
        <f>SFCG!M50+SFCG!N50</f>
        <v>49200</v>
      </c>
      <c r="N280" s="675">
        <v>0.1</v>
      </c>
      <c r="O280" s="696">
        <f>H280+M280</f>
        <v>98400</v>
      </c>
      <c r="P280" s="675">
        <v>0.1</v>
      </c>
      <c r="Q280" s="709">
        <f t="shared" si="146"/>
        <v>9840</v>
      </c>
      <c r="R280" s="539"/>
      <c r="S280" s="706">
        <f>SFCG!T50</f>
        <v>96290.609999999986</v>
      </c>
      <c r="T280" s="591">
        <f t="shared" si="147"/>
        <v>0.97856310975609739</v>
      </c>
      <c r="U280" s="595" t="s">
        <v>455</v>
      </c>
      <c r="V280" s="591">
        <f t="shared" si="148"/>
        <v>0.9785631097560975</v>
      </c>
      <c r="W280" s="706">
        <f t="shared" si="149"/>
        <v>9629.0609999999997</v>
      </c>
      <c r="X280" s="266" t="s">
        <v>1113</v>
      </c>
    </row>
    <row r="281" spans="1:43" s="454" customFormat="1" x14ac:dyDescent="0.25">
      <c r="A281" s="2996"/>
      <c r="B281" s="711" t="s">
        <v>573</v>
      </c>
      <c r="C281" s="711"/>
      <c r="D281" s="897"/>
      <c r="E281" s="712"/>
      <c r="F281" s="712"/>
      <c r="G281" s="712"/>
      <c r="H281" s="1123">
        <f>SUM(H269:H280)</f>
        <v>103900</v>
      </c>
      <c r="I281" s="716"/>
      <c r="J281" s="1077"/>
      <c r="K281" s="1077"/>
      <c r="L281" s="1077"/>
      <c r="M281" s="2870">
        <f>SUM(M269:M280)</f>
        <v>174998</v>
      </c>
      <c r="N281" s="716"/>
      <c r="O281" s="1672">
        <f t="shared" ref="O281:R281" si="150">SUM(O269:O280)</f>
        <v>278898</v>
      </c>
      <c r="P281" s="1672">
        <f t="shared" si="150"/>
        <v>3</v>
      </c>
      <c r="Q281" s="1672">
        <f t="shared" si="150"/>
        <v>52045.8</v>
      </c>
      <c r="R281" s="1672">
        <f t="shared" si="150"/>
        <v>0</v>
      </c>
      <c r="S281" s="1672">
        <f>SUM(S269:S280)</f>
        <v>257357.09</v>
      </c>
      <c r="T281" s="1126">
        <f>S281/O281</f>
        <v>0.92276420053209418</v>
      </c>
      <c r="U281" s="715"/>
      <c r="V281" s="600">
        <f>W281/Q281</f>
        <v>0.90469246317666352</v>
      </c>
      <c r="W281" s="1127">
        <f>SUM(W269:W280)</f>
        <v>47085.442999999999</v>
      </c>
      <c r="X281" s="600"/>
      <c r="Y281" s="670"/>
      <c r="Z281" s="670"/>
      <c r="AA281" s="670"/>
      <c r="AB281" s="670"/>
      <c r="AC281" s="670"/>
      <c r="AD281" s="670"/>
      <c r="AE281" s="670"/>
      <c r="AF281" s="670"/>
      <c r="AG281" s="670"/>
      <c r="AH281" s="670"/>
      <c r="AI281" s="670"/>
      <c r="AJ281" s="670"/>
      <c r="AK281" s="670"/>
      <c r="AL281" s="670"/>
      <c r="AM281" s="670"/>
      <c r="AN281" s="670"/>
      <c r="AO281" s="670"/>
      <c r="AP281" s="670"/>
      <c r="AQ281" s="670"/>
    </row>
    <row r="282" spans="1:43" s="1132" customFormat="1" x14ac:dyDescent="0.25">
      <c r="A282" s="3009" t="s">
        <v>685</v>
      </c>
      <c r="B282" s="3010"/>
      <c r="C282" s="1846"/>
      <c r="D282" s="903"/>
      <c r="E282" s="1131"/>
      <c r="F282" s="1131"/>
      <c r="G282" s="1131"/>
      <c r="H282" s="476">
        <f>H213+H219+H222+H228+H232+H268+H281</f>
        <v>218806.1</v>
      </c>
      <c r="I282" s="677"/>
      <c r="J282" s="1117"/>
      <c r="K282" s="1117"/>
      <c r="L282" s="1117"/>
      <c r="M282" s="2869">
        <f>M213+M219+M222+M228+M232+M268+M281</f>
        <v>508454.5</v>
      </c>
      <c r="N282" s="1118"/>
      <c r="O282" s="1122">
        <f t="shared" ref="O282:R282" si="151">O213+O219+O222+O228+O232+O268+O281</f>
        <v>727260.6</v>
      </c>
      <c r="P282" s="1122">
        <f t="shared" si="151"/>
        <v>14.099999999999998</v>
      </c>
      <c r="Q282" s="1122">
        <f t="shared" si="151"/>
        <v>177884.58000000002</v>
      </c>
      <c r="R282" s="1122">
        <f t="shared" si="151"/>
        <v>0</v>
      </c>
      <c r="S282" s="1122">
        <f>S213+S219+S222+S228+S232+S268+S281</f>
        <v>641386.48</v>
      </c>
      <c r="T282" s="1120">
        <f>S282/O282</f>
        <v>0.88192111603460988</v>
      </c>
      <c r="U282" s="1121"/>
      <c r="V282" s="1120">
        <f>W282/Q282</f>
        <v>0.85900834687301164</v>
      </c>
      <c r="W282" s="1122">
        <f>W213+W219+W222+W228+W232+W268+W281</f>
        <v>152804.33900000001</v>
      </c>
      <c r="X282" s="1074"/>
    </row>
    <row r="283" spans="1:43" x14ac:dyDescent="0.25">
      <c r="A283" s="2991" t="s">
        <v>202</v>
      </c>
      <c r="B283" s="2992"/>
      <c r="C283" s="2992"/>
      <c r="D283" s="2992"/>
      <c r="E283" s="2992"/>
      <c r="F283" s="2992"/>
      <c r="G283" s="2992"/>
      <c r="H283" s="2992"/>
      <c r="I283" s="2992"/>
      <c r="J283" s="2992"/>
      <c r="K283" s="2992"/>
      <c r="L283" s="2992"/>
      <c r="M283" s="2992"/>
      <c r="N283" s="2992"/>
      <c r="O283" s="2992"/>
      <c r="P283" s="2992"/>
      <c r="Q283" s="2992"/>
      <c r="R283" s="2992"/>
      <c r="S283" s="2992"/>
      <c r="T283" s="2992"/>
      <c r="U283" s="2992"/>
      <c r="V283" s="2992"/>
      <c r="W283" s="2992"/>
      <c r="X283" s="2993"/>
    </row>
    <row r="284" spans="1:43" x14ac:dyDescent="0.25">
      <c r="A284" s="3000" t="s">
        <v>1298</v>
      </c>
      <c r="B284" s="3001"/>
      <c r="C284" s="3001"/>
      <c r="D284" s="3001"/>
      <c r="E284" s="3001"/>
      <c r="F284" s="3001"/>
      <c r="G284" s="3001"/>
      <c r="H284" s="3001"/>
      <c r="I284" s="3001"/>
      <c r="J284" s="3001"/>
      <c r="K284" s="3001"/>
      <c r="L284" s="3001"/>
      <c r="M284" s="3001"/>
      <c r="N284" s="3001"/>
      <c r="O284" s="3001"/>
      <c r="P284" s="3001"/>
      <c r="Q284" s="3001"/>
      <c r="R284" s="3002"/>
      <c r="S284" s="1671"/>
      <c r="T284" s="1088"/>
      <c r="U284" s="893"/>
      <c r="V284" s="1103"/>
      <c r="W284" s="1104"/>
      <c r="X284" s="1105"/>
      <c r="Y284" s="448"/>
      <c r="Z284" s="448"/>
      <c r="AA284" s="448"/>
      <c r="AB284" s="448"/>
      <c r="AC284" s="448"/>
      <c r="AD284" s="448"/>
      <c r="AE284" s="448"/>
      <c r="AF284" s="448"/>
      <c r="AG284" s="448"/>
      <c r="AH284" s="448"/>
      <c r="AI284" s="448"/>
      <c r="AJ284" s="448"/>
      <c r="AK284" s="448"/>
      <c r="AL284" s="448"/>
      <c r="AM284" s="448"/>
      <c r="AN284" s="448"/>
      <c r="AO284" s="448"/>
      <c r="AP284" s="448"/>
      <c r="AQ284" s="448"/>
    </row>
    <row r="285" spans="1:43" s="450" customFormat="1" ht="39" x14ac:dyDescent="0.25">
      <c r="A285" s="2994" t="s">
        <v>1297</v>
      </c>
      <c r="B285" s="595" t="s">
        <v>205</v>
      </c>
      <c r="C285" s="595" t="s">
        <v>15</v>
      </c>
      <c r="D285" s="1761" t="s">
        <v>1372</v>
      </c>
      <c r="E285" s="1793">
        <v>1</v>
      </c>
      <c r="F285" s="1775">
        <v>40000</v>
      </c>
      <c r="G285" s="1793">
        <v>1</v>
      </c>
      <c r="H285" s="1777">
        <v>40000</v>
      </c>
      <c r="I285" s="675">
        <v>0.5</v>
      </c>
      <c r="J285" s="1776"/>
      <c r="K285" s="1722"/>
      <c r="L285" s="1776"/>
      <c r="M285" s="1834">
        <v>0</v>
      </c>
      <c r="N285" s="675">
        <v>0.5</v>
      </c>
      <c r="O285" s="2918">
        <v>40000</v>
      </c>
      <c r="P285" s="675">
        <v>0.5</v>
      </c>
      <c r="Q285" s="1777">
        <f t="shared" ref="Q285:Q293" si="152">O285*P285</f>
        <v>20000</v>
      </c>
      <c r="R285" s="595" t="s">
        <v>208</v>
      </c>
      <c r="S285" s="1858">
        <f>'MERCY COPRS'!H13</f>
        <v>34374</v>
      </c>
      <c r="T285" s="1763">
        <f>S285/O285</f>
        <v>0.85934999999999995</v>
      </c>
      <c r="U285" s="541"/>
      <c r="V285" s="591">
        <f>W285/Q285</f>
        <v>0.85934999999999995</v>
      </c>
      <c r="W285" s="706">
        <f>P285*S285</f>
        <v>17187</v>
      </c>
      <c r="X285" s="92" t="s">
        <v>207</v>
      </c>
    </row>
    <row r="286" spans="1:43" s="450" customFormat="1" ht="65.5" customHeight="1" x14ac:dyDescent="0.25">
      <c r="A286" s="2995"/>
      <c r="B286" s="284" t="s">
        <v>209</v>
      </c>
      <c r="C286" s="1720" t="s">
        <v>17</v>
      </c>
      <c r="D286" s="1761" t="s">
        <v>1372</v>
      </c>
      <c r="E286" s="724">
        <v>1</v>
      </c>
      <c r="F286" s="1794">
        <v>80</v>
      </c>
      <c r="G286" s="724">
        <v>12</v>
      </c>
      <c r="H286" s="1777">
        <f>O286/2</f>
        <v>2520</v>
      </c>
      <c r="I286" s="675">
        <v>0.5</v>
      </c>
      <c r="J286" s="1776">
        <v>1</v>
      </c>
      <c r="K286" s="710">
        <v>80</v>
      </c>
      <c r="L286" s="1795">
        <v>12</v>
      </c>
      <c r="M286" s="1798">
        <f>H286</f>
        <v>2520</v>
      </c>
      <c r="N286" s="675">
        <v>0.5</v>
      </c>
      <c r="O286" s="2918">
        <v>5040</v>
      </c>
      <c r="P286" s="675">
        <v>0.5</v>
      </c>
      <c r="Q286" s="1777">
        <f t="shared" si="152"/>
        <v>2520</v>
      </c>
      <c r="R286" s="522" t="s">
        <v>211</v>
      </c>
      <c r="S286" s="1858">
        <f>'MERCY COPRS'!H14</f>
        <v>5252.4140000000007</v>
      </c>
      <c r="T286" s="1763">
        <f t="shared" ref="T286:T293" si="153">S286/O286</f>
        <v>1.0421456349206351</v>
      </c>
      <c r="U286" s="541"/>
      <c r="V286" s="591">
        <f t="shared" ref="V286:V293" si="154">W286/Q286</f>
        <v>1.0421456349206351</v>
      </c>
      <c r="W286" s="706">
        <f t="shared" ref="W286:W293" si="155">P286*S286</f>
        <v>2626.2070000000003</v>
      </c>
      <c r="X286" s="92" t="s">
        <v>210</v>
      </c>
    </row>
    <row r="287" spans="1:43" s="450" customFormat="1" ht="53.5" customHeight="1" x14ac:dyDescent="0.25">
      <c r="A287" s="2995"/>
      <c r="B287" s="284" t="s">
        <v>212</v>
      </c>
      <c r="C287" s="1720" t="s">
        <v>15</v>
      </c>
      <c r="D287" s="1761" t="s">
        <v>1372</v>
      </c>
      <c r="E287" s="724">
        <v>1</v>
      </c>
      <c r="F287" s="1794">
        <v>1063.9218000000001</v>
      </c>
      <c r="G287" s="724">
        <v>1</v>
      </c>
      <c r="H287" s="1777">
        <f t="shared" ref="H287:H339" si="156">O287/2</f>
        <v>797.94</v>
      </c>
      <c r="I287" s="675">
        <v>0.5</v>
      </c>
      <c r="J287" s="1776">
        <v>1</v>
      </c>
      <c r="K287" s="710">
        <v>1063.9218000000001</v>
      </c>
      <c r="L287" s="1795">
        <v>1</v>
      </c>
      <c r="M287" s="1798">
        <f t="shared" ref="M287:M339" si="157">H287</f>
        <v>797.94</v>
      </c>
      <c r="N287" s="675">
        <v>0.5</v>
      </c>
      <c r="O287" s="2918">
        <v>1595.88</v>
      </c>
      <c r="P287" s="675">
        <v>0.5</v>
      </c>
      <c r="Q287" s="1777">
        <f t="shared" si="152"/>
        <v>797.94</v>
      </c>
      <c r="R287" s="522" t="s">
        <v>213</v>
      </c>
      <c r="S287" s="1858">
        <f>'MERCY COPRS'!H15</f>
        <v>1341</v>
      </c>
      <c r="T287" s="1763">
        <f t="shared" si="153"/>
        <v>0.84028874351454996</v>
      </c>
      <c r="U287" s="541"/>
      <c r="V287" s="591">
        <f t="shared" si="154"/>
        <v>0.84028874351454996</v>
      </c>
      <c r="W287" s="706">
        <f t="shared" si="155"/>
        <v>670.5</v>
      </c>
      <c r="X287" s="92" t="s">
        <v>210</v>
      </c>
    </row>
    <row r="288" spans="1:43" s="450" customFormat="1" ht="53.25" customHeight="1" x14ac:dyDescent="0.25">
      <c r="A288" s="2995"/>
      <c r="B288" s="284" t="s">
        <v>214</v>
      </c>
      <c r="C288" s="1720" t="s">
        <v>15</v>
      </c>
      <c r="D288" s="1761" t="s">
        <v>1372</v>
      </c>
      <c r="E288" s="724">
        <v>1</v>
      </c>
      <c r="F288" s="1794">
        <v>150</v>
      </c>
      <c r="G288" s="724">
        <v>1</v>
      </c>
      <c r="H288" s="1777">
        <f t="shared" si="156"/>
        <v>150</v>
      </c>
      <c r="I288" s="675">
        <v>0.5</v>
      </c>
      <c r="J288" s="1776">
        <v>1</v>
      </c>
      <c r="K288" s="710">
        <v>150</v>
      </c>
      <c r="L288" s="1795">
        <v>1</v>
      </c>
      <c r="M288" s="1798">
        <f t="shared" si="157"/>
        <v>150</v>
      </c>
      <c r="N288" s="675">
        <v>0.5</v>
      </c>
      <c r="O288" s="2918">
        <v>300</v>
      </c>
      <c r="P288" s="675">
        <v>0.5</v>
      </c>
      <c r="Q288" s="1777">
        <f t="shared" si="152"/>
        <v>150</v>
      </c>
      <c r="R288" s="522" t="s">
        <v>216</v>
      </c>
      <c r="S288" s="1858">
        <f>'MERCY COPRS'!H16</f>
        <v>241</v>
      </c>
      <c r="T288" s="1763">
        <f t="shared" si="153"/>
        <v>0.80333333333333334</v>
      </c>
      <c r="U288" s="541"/>
      <c r="V288" s="591">
        <f t="shared" si="154"/>
        <v>0.80333333333333334</v>
      </c>
      <c r="W288" s="706">
        <f t="shared" si="155"/>
        <v>120.5</v>
      </c>
      <c r="X288" s="92" t="s">
        <v>215</v>
      </c>
    </row>
    <row r="289" spans="1:43" s="450" customFormat="1" ht="52" x14ac:dyDescent="0.25">
      <c r="A289" s="2995"/>
      <c r="B289" s="284" t="s">
        <v>217</v>
      </c>
      <c r="C289" s="1720" t="s">
        <v>14</v>
      </c>
      <c r="D289" s="1761" t="s">
        <v>1372</v>
      </c>
      <c r="E289" s="724">
        <v>1</v>
      </c>
      <c r="F289" s="1794">
        <v>204</v>
      </c>
      <c r="G289" s="724">
        <v>12</v>
      </c>
      <c r="H289" s="1777">
        <f t="shared" si="156"/>
        <v>2530</v>
      </c>
      <c r="I289" s="675"/>
      <c r="J289" s="1776">
        <v>1</v>
      </c>
      <c r="K289" s="710">
        <v>204</v>
      </c>
      <c r="L289" s="1795">
        <v>12</v>
      </c>
      <c r="M289" s="1798">
        <f t="shared" si="157"/>
        <v>2530</v>
      </c>
      <c r="N289" s="675">
        <v>0</v>
      </c>
      <c r="O289" s="2918">
        <v>5060</v>
      </c>
      <c r="P289" s="675">
        <v>0</v>
      </c>
      <c r="Q289" s="1777">
        <f t="shared" si="152"/>
        <v>0</v>
      </c>
      <c r="R289" s="522" t="s">
        <v>218</v>
      </c>
      <c r="S289" s="1858">
        <f>'MERCY COPRS'!H17</f>
        <v>4933.7219999999998</v>
      </c>
      <c r="T289" s="1763">
        <f t="shared" si="153"/>
        <v>0.97504387351778654</v>
      </c>
      <c r="U289" s="541"/>
      <c r="V289" s="591">
        <v>0</v>
      </c>
      <c r="W289" s="706">
        <f t="shared" si="155"/>
        <v>0</v>
      </c>
      <c r="X289" s="92"/>
    </row>
    <row r="290" spans="1:43" s="450" customFormat="1" ht="78" x14ac:dyDescent="0.25">
      <c r="A290" s="2995"/>
      <c r="B290" s="595" t="s">
        <v>219</v>
      </c>
      <c r="C290" s="595" t="s">
        <v>14</v>
      </c>
      <c r="D290" s="1761" t="s">
        <v>1372</v>
      </c>
      <c r="E290" s="1793">
        <v>1</v>
      </c>
      <c r="F290" s="1775">
        <v>1182.4000000000001</v>
      </c>
      <c r="G290" s="1793">
        <v>12</v>
      </c>
      <c r="H290" s="1777">
        <f t="shared" si="156"/>
        <v>13524.48</v>
      </c>
      <c r="I290" s="675">
        <v>0.25</v>
      </c>
      <c r="J290" s="1776">
        <v>1</v>
      </c>
      <c r="K290" s="1722">
        <v>1182.4000000000001</v>
      </c>
      <c r="L290" s="1776">
        <v>12</v>
      </c>
      <c r="M290" s="1798">
        <f>H290</f>
        <v>13524.48</v>
      </c>
      <c r="N290" s="675">
        <v>0.25</v>
      </c>
      <c r="O290" s="2918">
        <v>27048.959999999999</v>
      </c>
      <c r="P290" s="675">
        <v>0.25</v>
      </c>
      <c r="Q290" s="1777">
        <f t="shared" si="152"/>
        <v>6762.24</v>
      </c>
      <c r="R290" s="595" t="s">
        <v>221</v>
      </c>
      <c r="S290" s="1858">
        <f>'MERCY COPRS'!H18</f>
        <v>22199.702400000009</v>
      </c>
      <c r="T290" s="1763">
        <f t="shared" si="153"/>
        <v>0.82072295570698506</v>
      </c>
      <c r="U290" s="541"/>
      <c r="V290" s="591">
        <f t="shared" si="154"/>
        <v>0.82072295570698506</v>
      </c>
      <c r="W290" s="706">
        <f t="shared" si="155"/>
        <v>5549.9256000000023</v>
      </c>
      <c r="X290" s="92" t="s">
        <v>220</v>
      </c>
    </row>
    <row r="291" spans="1:43" s="450" customFormat="1" ht="39" x14ac:dyDescent="0.25">
      <c r="A291" s="2995"/>
      <c r="B291" s="595" t="s">
        <v>222</v>
      </c>
      <c r="C291" s="595" t="s">
        <v>14</v>
      </c>
      <c r="D291" s="1761" t="s">
        <v>1372</v>
      </c>
      <c r="E291" s="1793">
        <v>2</v>
      </c>
      <c r="F291" s="1775">
        <v>265</v>
      </c>
      <c r="G291" s="1793">
        <v>12</v>
      </c>
      <c r="H291" s="1777">
        <f t="shared" si="156"/>
        <v>4813.18</v>
      </c>
      <c r="I291" s="675">
        <v>0.25</v>
      </c>
      <c r="J291" s="1776">
        <v>2</v>
      </c>
      <c r="K291" s="1722">
        <v>272.95</v>
      </c>
      <c r="L291" s="1776">
        <v>12</v>
      </c>
      <c r="M291" s="1798">
        <f t="shared" si="157"/>
        <v>4813.18</v>
      </c>
      <c r="N291" s="675">
        <v>0.25</v>
      </c>
      <c r="O291" s="2918">
        <v>9626.36</v>
      </c>
      <c r="P291" s="675">
        <v>0.25</v>
      </c>
      <c r="Q291" s="1777">
        <f t="shared" si="152"/>
        <v>2406.59</v>
      </c>
      <c r="R291" s="595" t="s">
        <v>223</v>
      </c>
      <c r="S291" s="1858">
        <f>'MERCY COPRS'!H19</f>
        <v>9007.0300000000061</v>
      </c>
      <c r="T291" s="1763">
        <f t="shared" si="153"/>
        <v>0.93566311669208357</v>
      </c>
      <c r="U291" s="541"/>
      <c r="V291" s="591">
        <f t="shared" si="154"/>
        <v>0.93566311669208357</v>
      </c>
      <c r="W291" s="706">
        <f t="shared" si="155"/>
        <v>2251.7575000000015</v>
      </c>
      <c r="X291" s="92" t="s">
        <v>220</v>
      </c>
    </row>
    <row r="292" spans="1:43" s="450" customFormat="1" ht="39" x14ac:dyDescent="0.25">
      <c r="A292" s="2995"/>
      <c r="B292" s="595" t="s">
        <v>224</v>
      </c>
      <c r="C292" s="595" t="s">
        <v>14</v>
      </c>
      <c r="D292" s="1761" t="s">
        <v>1372</v>
      </c>
      <c r="E292" s="1793">
        <v>2</v>
      </c>
      <c r="F292" s="1775">
        <v>146</v>
      </c>
      <c r="G292" s="1793">
        <v>12</v>
      </c>
      <c r="H292" s="1777">
        <f t="shared" si="156"/>
        <v>3264.56</v>
      </c>
      <c r="I292" s="675">
        <v>0.25</v>
      </c>
      <c r="J292" s="1776">
        <v>2</v>
      </c>
      <c r="K292" s="1722">
        <v>150.38</v>
      </c>
      <c r="L292" s="1776">
        <v>12</v>
      </c>
      <c r="M292" s="1798">
        <f t="shared" si="157"/>
        <v>3264.56</v>
      </c>
      <c r="N292" s="675">
        <v>0.25</v>
      </c>
      <c r="O292" s="2918">
        <v>6529.12</v>
      </c>
      <c r="P292" s="675">
        <v>0.25</v>
      </c>
      <c r="Q292" s="1777">
        <f t="shared" si="152"/>
        <v>1632.28</v>
      </c>
      <c r="R292" s="595" t="s">
        <v>225</v>
      </c>
      <c r="S292" s="1858">
        <f>'MERCY COPRS'!H20</f>
        <v>6872.720000000003</v>
      </c>
      <c r="T292" s="1763">
        <f t="shared" si="153"/>
        <v>1.0526257749895855</v>
      </c>
      <c r="U292" s="541"/>
      <c r="V292" s="591">
        <f t="shared" si="154"/>
        <v>1.0526257749895855</v>
      </c>
      <c r="W292" s="706">
        <f t="shared" si="155"/>
        <v>1718.1800000000007</v>
      </c>
      <c r="X292" s="92" t="s">
        <v>220</v>
      </c>
    </row>
    <row r="293" spans="1:43" s="450" customFormat="1" ht="64.5" customHeight="1" x14ac:dyDescent="0.25">
      <c r="A293" s="2995"/>
      <c r="B293" s="595" t="s">
        <v>226</v>
      </c>
      <c r="C293" s="595" t="s">
        <v>14</v>
      </c>
      <c r="D293" s="1761" t="s">
        <v>1372</v>
      </c>
      <c r="E293" s="1793">
        <v>1</v>
      </c>
      <c r="F293" s="1775">
        <v>200</v>
      </c>
      <c r="G293" s="1793">
        <v>12</v>
      </c>
      <c r="H293" s="1777">
        <f t="shared" si="156"/>
        <v>2200</v>
      </c>
      <c r="I293" s="675">
        <v>0.25</v>
      </c>
      <c r="J293" s="1776">
        <v>1</v>
      </c>
      <c r="K293" s="1722">
        <v>200</v>
      </c>
      <c r="L293" s="1776">
        <v>12</v>
      </c>
      <c r="M293" s="1798">
        <f t="shared" si="157"/>
        <v>2200</v>
      </c>
      <c r="N293" s="675">
        <v>0.25</v>
      </c>
      <c r="O293" s="2918">
        <v>4400</v>
      </c>
      <c r="P293" s="675">
        <v>0.25</v>
      </c>
      <c r="Q293" s="1777">
        <f t="shared" si="152"/>
        <v>1100</v>
      </c>
      <c r="R293" s="595" t="s">
        <v>227</v>
      </c>
      <c r="S293" s="1858">
        <f>'MERCY COPRS'!H21</f>
        <v>2672.26</v>
      </c>
      <c r="T293" s="1763">
        <f t="shared" si="153"/>
        <v>0.60733181818181825</v>
      </c>
      <c r="U293" s="541"/>
      <c r="V293" s="591">
        <f t="shared" si="154"/>
        <v>0.60733181818181825</v>
      </c>
      <c r="W293" s="706">
        <f t="shared" si="155"/>
        <v>668.06500000000005</v>
      </c>
      <c r="X293" s="92" t="s">
        <v>220</v>
      </c>
    </row>
    <row r="294" spans="1:43" s="454" customFormat="1" x14ac:dyDescent="0.25">
      <c r="A294" s="2996"/>
      <c r="B294" s="711" t="s">
        <v>573</v>
      </c>
      <c r="C294" s="711"/>
      <c r="D294" s="897"/>
      <c r="E294" s="712"/>
      <c r="F294" s="712"/>
      <c r="G294" s="712"/>
      <c r="H294" s="1123">
        <f>SUM(H285:H293)</f>
        <v>69800.160000000003</v>
      </c>
      <c r="I294" s="716"/>
      <c r="J294" s="1077"/>
      <c r="K294" s="1077"/>
      <c r="L294" s="1077"/>
      <c r="M294" s="2870">
        <f>SUM(M285:M293)</f>
        <v>29800.16</v>
      </c>
      <c r="N294" s="716"/>
      <c r="O294" s="1123">
        <f>SUM(O285:O293)</f>
        <v>99600.319999999992</v>
      </c>
      <c r="P294" s="1076"/>
      <c r="Q294" s="713">
        <f>SUM(Q285:Q293)</f>
        <v>35369.050000000003</v>
      </c>
      <c r="R294" s="1125"/>
      <c r="S294" s="1672">
        <f>SUM(S285:S293)</f>
        <v>86893.848400000003</v>
      </c>
      <c r="T294" s="1126">
        <f>S294/O294</f>
        <v>0.87242539381399586</v>
      </c>
      <c r="U294" s="715"/>
      <c r="V294" s="600">
        <f>W294/Q294</f>
        <v>0.8705954810773826</v>
      </c>
      <c r="W294" s="1127">
        <f>SUM(W285:W293)</f>
        <v>30792.135100000003</v>
      </c>
      <c r="X294" s="102"/>
      <c r="Y294" s="670"/>
      <c r="Z294" s="670"/>
      <c r="AA294" s="670"/>
      <c r="AB294" s="670"/>
      <c r="AC294" s="670"/>
      <c r="AD294" s="670"/>
      <c r="AE294" s="670"/>
      <c r="AF294" s="670"/>
      <c r="AG294" s="670"/>
      <c r="AH294" s="670"/>
      <c r="AI294" s="670"/>
      <c r="AJ294" s="670"/>
      <c r="AK294" s="670"/>
      <c r="AL294" s="670"/>
      <c r="AM294" s="670"/>
      <c r="AN294" s="670"/>
      <c r="AO294" s="670"/>
      <c r="AP294" s="670"/>
      <c r="AQ294" s="670"/>
    </row>
    <row r="295" spans="1:43" s="450" customFormat="1" ht="42" customHeight="1" x14ac:dyDescent="0.25">
      <c r="A295" s="2994" t="s">
        <v>1299</v>
      </c>
      <c r="B295" s="595" t="s">
        <v>229</v>
      </c>
      <c r="C295" s="595" t="s">
        <v>15</v>
      </c>
      <c r="D295" s="1761" t="s">
        <v>1372</v>
      </c>
      <c r="E295" s="1793">
        <v>1</v>
      </c>
      <c r="F295" s="1775">
        <v>8000</v>
      </c>
      <c r="G295" s="1793">
        <v>1</v>
      </c>
      <c r="H295" s="1777">
        <f t="shared" si="156"/>
        <v>4000</v>
      </c>
      <c r="I295" s="675">
        <v>0.25</v>
      </c>
      <c r="J295" s="1776"/>
      <c r="K295" s="1722"/>
      <c r="L295" s="1776"/>
      <c r="M295" s="1834">
        <f t="shared" si="157"/>
        <v>4000</v>
      </c>
      <c r="N295" s="675">
        <v>0.25</v>
      </c>
      <c r="O295" s="2918">
        <v>8000</v>
      </c>
      <c r="P295" s="675">
        <v>0.25</v>
      </c>
      <c r="Q295" s="1777">
        <f t="shared" ref="Q295:Q303" si="158">O295*P295</f>
        <v>2000</v>
      </c>
      <c r="R295" s="595" t="s">
        <v>231</v>
      </c>
      <c r="S295" s="1858">
        <f>'MERCY COPRS'!H23</f>
        <v>5289.9</v>
      </c>
      <c r="T295" s="1763">
        <f>S295/O295</f>
        <v>0.66123749999999992</v>
      </c>
      <c r="U295" s="541"/>
      <c r="V295" s="591">
        <f>W295/Q295</f>
        <v>0.66123749999999992</v>
      </c>
      <c r="W295" s="706">
        <f>P295*S295</f>
        <v>1322.4749999999999</v>
      </c>
      <c r="X295" s="92" t="s">
        <v>230</v>
      </c>
    </row>
    <row r="296" spans="1:43" s="450" customFormat="1" ht="52" x14ac:dyDescent="0.25">
      <c r="A296" s="2995"/>
      <c r="B296" s="284" t="s">
        <v>209</v>
      </c>
      <c r="C296" s="1720" t="s">
        <v>17</v>
      </c>
      <c r="D296" s="1761" t="s">
        <v>1372</v>
      </c>
      <c r="E296" s="724">
        <v>1</v>
      </c>
      <c r="F296" s="1794">
        <v>80</v>
      </c>
      <c r="G296" s="724">
        <v>12</v>
      </c>
      <c r="H296" s="1777">
        <f t="shared" si="156"/>
        <v>2520</v>
      </c>
      <c r="I296" s="675">
        <v>0.25</v>
      </c>
      <c r="J296" s="1776">
        <v>1</v>
      </c>
      <c r="K296" s="710">
        <v>80</v>
      </c>
      <c r="L296" s="1795">
        <v>12</v>
      </c>
      <c r="M296" s="1798">
        <f t="shared" si="157"/>
        <v>2520</v>
      </c>
      <c r="N296" s="675">
        <v>0.25</v>
      </c>
      <c r="O296" s="2918">
        <v>5040</v>
      </c>
      <c r="P296" s="675">
        <v>0.25</v>
      </c>
      <c r="Q296" s="1777">
        <f t="shared" si="158"/>
        <v>1260</v>
      </c>
      <c r="R296" s="522" t="s">
        <v>211</v>
      </c>
      <c r="S296" s="1858">
        <f>'MERCY COPRS'!H24</f>
        <v>5252.4140000000007</v>
      </c>
      <c r="T296" s="1763">
        <f t="shared" ref="T296:T303" si="159">S296/O296</f>
        <v>1.0421456349206351</v>
      </c>
      <c r="U296" s="541"/>
      <c r="V296" s="591">
        <f t="shared" ref="V296:V303" si="160">W296/Q296</f>
        <v>1.0421456349206351</v>
      </c>
      <c r="W296" s="706">
        <f t="shared" ref="W296:W303" si="161">P296*S296</f>
        <v>1313.1035000000002</v>
      </c>
      <c r="X296" s="92" t="s">
        <v>232</v>
      </c>
    </row>
    <row r="297" spans="1:43" s="450" customFormat="1" ht="42.75" customHeight="1" x14ac:dyDescent="0.25">
      <c r="A297" s="2995"/>
      <c r="B297" s="284" t="s">
        <v>212</v>
      </c>
      <c r="C297" s="1720" t="s">
        <v>15</v>
      </c>
      <c r="D297" s="1761" t="s">
        <v>1372</v>
      </c>
      <c r="E297" s="724">
        <v>1</v>
      </c>
      <c r="F297" s="1794">
        <v>1063.9218000000001</v>
      </c>
      <c r="G297" s="724">
        <v>1</v>
      </c>
      <c r="H297" s="1777">
        <f t="shared" si="156"/>
        <v>797.94</v>
      </c>
      <c r="I297" s="675">
        <v>0.25</v>
      </c>
      <c r="J297" s="1776">
        <v>1</v>
      </c>
      <c r="K297" s="710">
        <v>1063.9218000000001</v>
      </c>
      <c r="L297" s="1795">
        <v>1</v>
      </c>
      <c r="M297" s="1798">
        <f t="shared" si="157"/>
        <v>797.94</v>
      </c>
      <c r="N297" s="675">
        <v>0.25</v>
      </c>
      <c r="O297" s="2918">
        <v>1595.88</v>
      </c>
      <c r="P297" s="675">
        <v>0.25</v>
      </c>
      <c r="Q297" s="1777">
        <f t="shared" si="158"/>
        <v>398.97</v>
      </c>
      <c r="R297" s="522" t="s">
        <v>213</v>
      </c>
      <c r="S297" s="1858">
        <f>'MERCY COPRS'!H25</f>
        <v>1341</v>
      </c>
      <c r="T297" s="1763">
        <f t="shared" si="159"/>
        <v>0.84028874351454996</v>
      </c>
      <c r="U297" s="541"/>
      <c r="V297" s="591">
        <f t="shared" si="160"/>
        <v>0.84028874351454996</v>
      </c>
      <c r="W297" s="706">
        <f t="shared" si="161"/>
        <v>335.25</v>
      </c>
      <c r="X297" s="92" t="s">
        <v>210</v>
      </c>
    </row>
    <row r="298" spans="1:43" s="450" customFormat="1" ht="53.25" customHeight="1" x14ac:dyDescent="0.25">
      <c r="A298" s="2995"/>
      <c r="B298" s="284" t="s">
        <v>214</v>
      </c>
      <c r="C298" s="1720" t="s">
        <v>15</v>
      </c>
      <c r="D298" s="1761" t="s">
        <v>1372</v>
      </c>
      <c r="E298" s="724">
        <v>1</v>
      </c>
      <c r="F298" s="1794">
        <v>150</v>
      </c>
      <c r="G298" s="724">
        <v>1</v>
      </c>
      <c r="H298" s="1777">
        <f t="shared" si="156"/>
        <v>150</v>
      </c>
      <c r="I298" s="675">
        <v>0.25</v>
      </c>
      <c r="J298" s="1776">
        <v>1</v>
      </c>
      <c r="K298" s="710">
        <v>150</v>
      </c>
      <c r="L298" s="1795">
        <v>1</v>
      </c>
      <c r="M298" s="1798">
        <f t="shared" si="157"/>
        <v>150</v>
      </c>
      <c r="N298" s="675">
        <v>0.25</v>
      </c>
      <c r="O298" s="2918">
        <v>300</v>
      </c>
      <c r="P298" s="675">
        <v>0.25</v>
      </c>
      <c r="Q298" s="1777">
        <f t="shared" si="158"/>
        <v>75</v>
      </c>
      <c r="R298" s="522" t="s">
        <v>216</v>
      </c>
      <c r="S298" s="1858">
        <f>'MERCY COPRS'!H26</f>
        <v>241</v>
      </c>
      <c r="T298" s="1763">
        <f t="shared" si="159"/>
        <v>0.80333333333333334</v>
      </c>
      <c r="U298" s="541"/>
      <c r="V298" s="591">
        <f t="shared" si="160"/>
        <v>0.80333333333333334</v>
      </c>
      <c r="W298" s="706">
        <f t="shared" si="161"/>
        <v>60.25</v>
      </c>
      <c r="X298" s="92" t="s">
        <v>215</v>
      </c>
    </row>
    <row r="299" spans="1:43" s="450" customFormat="1" ht="52" x14ac:dyDescent="0.25">
      <c r="A299" s="2995"/>
      <c r="B299" s="284" t="s">
        <v>217</v>
      </c>
      <c r="C299" s="1720" t="s">
        <v>14</v>
      </c>
      <c r="D299" s="1761" t="s">
        <v>1372</v>
      </c>
      <c r="E299" s="724">
        <v>1</v>
      </c>
      <c r="F299" s="1794">
        <v>204</v>
      </c>
      <c r="G299" s="724">
        <v>12</v>
      </c>
      <c r="H299" s="1777">
        <f t="shared" si="156"/>
        <v>2530</v>
      </c>
      <c r="I299" s="675"/>
      <c r="J299" s="1776">
        <v>1</v>
      </c>
      <c r="K299" s="710">
        <v>204</v>
      </c>
      <c r="L299" s="1795">
        <v>12</v>
      </c>
      <c r="M299" s="1798">
        <f t="shared" si="157"/>
        <v>2530</v>
      </c>
      <c r="N299" s="675">
        <v>0</v>
      </c>
      <c r="O299" s="2918">
        <v>5060</v>
      </c>
      <c r="P299" s="675">
        <v>0</v>
      </c>
      <c r="Q299" s="1777">
        <f t="shared" si="158"/>
        <v>0</v>
      </c>
      <c r="R299" s="522" t="s">
        <v>218</v>
      </c>
      <c r="S299" s="1858">
        <f>'MERCY COPRS'!H27</f>
        <v>4933.7219999999998</v>
      </c>
      <c r="T299" s="1763">
        <f t="shared" si="159"/>
        <v>0.97504387351778654</v>
      </c>
      <c r="U299" s="541"/>
      <c r="V299" s="591" t="e">
        <f t="shared" si="160"/>
        <v>#DIV/0!</v>
      </c>
      <c r="W299" s="706">
        <f t="shared" si="161"/>
        <v>0</v>
      </c>
      <c r="X299" s="92"/>
    </row>
    <row r="300" spans="1:43" s="450" customFormat="1" ht="78" x14ac:dyDescent="0.25">
      <c r="A300" s="2995"/>
      <c r="B300" s="595" t="s">
        <v>219</v>
      </c>
      <c r="C300" s="595" t="s">
        <v>14</v>
      </c>
      <c r="D300" s="1761" t="s">
        <v>1372</v>
      </c>
      <c r="E300" s="1793">
        <v>1</v>
      </c>
      <c r="F300" s="1775">
        <v>1182.4000000000001</v>
      </c>
      <c r="G300" s="1793">
        <v>12</v>
      </c>
      <c r="H300" s="1777">
        <f t="shared" si="156"/>
        <v>13524.48</v>
      </c>
      <c r="I300" s="675">
        <v>0.25</v>
      </c>
      <c r="J300" s="1776">
        <v>1</v>
      </c>
      <c r="K300" s="1722">
        <v>1182.4000000000001</v>
      </c>
      <c r="L300" s="1776">
        <v>12</v>
      </c>
      <c r="M300" s="1834">
        <f t="shared" si="157"/>
        <v>13524.48</v>
      </c>
      <c r="N300" s="675">
        <v>0.25</v>
      </c>
      <c r="O300" s="2918">
        <v>27048.959999999999</v>
      </c>
      <c r="P300" s="675">
        <v>0.25</v>
      </c>
      <c r="Q300" s="1777">
        <f t="shared" si="158"/>
        <v>6762.24</v>
      </c>
      <c r="R300" s="595" t="s">
        <v>221</v>
      </c>
      <c r="S300" s="1858">
        <f>'MERCY COPRS'!H28</f>
        <v>22199.702400000009</v>
      </c>
      <c r="T300" s="1763">
        <f t="shared" si="159"/>
        <v>0.82072295570698506</v>
      </c>
      <c r="U300" s="541"/>
      <c r="V300" s="591">
        <f t="shared" si="160"/>
        <v>0.82072295570698506</v>
      </c>
      <c r="W300" s="706">
        <f t="shared" si="161"/>
        <v>5549.9256000000023</v>
      </c>
      <c r="X300" s="92" t="s">
        <v>220</v>
      </c>
    </row>
    <row r="301" spans="1:43" s="450" customFormat="1" ht="39" x14ac:dyDescent="0.25">
      <c r="A301" s="2995"/>
      <c r="B301" s="595" t="s">
        <v>222</v>
      </c>
      <c r="C301" s="595" t="s">
        <v>14</v>
      </c>
      <c r="D301" s="1761" t="s">
        <v>1372</v>
      </c>
      <c r="E301" s="1793">
        <v>2</v>
      </c>
      <c r="F301" s="1775">
        <v>265</v>
      </c>
      <c r="G301" s="1793">
        <v>12</v>
      </c>
      <c r="H301" s="1777">
        <f t="shared" si="156"/>
        <v>4813.18</v>
      </c>
      <c r="I301" s="675">
        <v>0.25</v>
      </c>
      <c r="J301" s="1776">
        <v>2</v>
      </c>
      <c r="K301" s="1722">
        <v>272.95</v>
      </c>
      <c r="L301" s="1776">
        <v>12</v>
      </c>
      <c r="M301" s="1834">
        <f t="shared" si="157"/>
        <v>4813.18</v>
      </c>
      <c r="N301" s="675">
        <v>0.25</v>
      </c>
      <c r="O301" s="2918">
        <v>9626.36</v>
      </c>
      <c r="P301" s="675">
        <v>0.25</v>
      </c>
      <c r="Q301" s="1777">
        <f t="shared" si="158"/>
        <v>2406.59</v>
      </c>
      <c r="R301" s="595" t="s">
        <v>223</v>
      </c>
      <c r="S301" s="1858">
        <f>'MERCY COPRS'!H29</f>
        <v>9007.0300000000061</v>
      </c>
      <c r="T301" s="1763">
        <f t="shared" si="159"/>
        <v>0.93566311669208357</v>
      </c>
      <c r="U301" s="541"/>
      <c r="V301" s="591">
        <f t="shared" si="160"/>
        <v>0.93566311669208357</v>
      </c>
      <c r="W301" s="706">
        <f t="shared" si="161"/>
        <v>2251.7575000000015</v>
      </c>
      <c r="X301" s="92" t="s">
        <v>220</v>
      </c>
    </row>
    <row r="302" spans="1:43" s="450" customFormat="1" ht="39" x14ac:dyDescent="0.25">
      <c r="A302" s="2995"/>
      <c r="B302" s="595" t="s">
        <v>224</v>
      </c>
      <c r="C302" s="595" t="s">
        <v>14</v>
      </c>
      <c r="D302" s="1761" t="s">
        <v>1372</v>
      </c>
      <c r="E302" s="1793">
        <v>2</v>
      </c>
      <c r="F302" s="1775">
        <v>146</v>
      </c>
      <c r="G302" s="1793">
        <v>12</v>
      </c>
      <c r="H302" s="1777">
        <f t="shared" si="156"/>
        <v>3264.56</v>
      </c>
      <c r="I302" s="675">
        <v>0.25</v>
      </c>
      <c r="J302" s="1776">
        <v>2</v>
      </c>
      <c r="K302" s="1722">
        <v>150.38</v>
      </c>
      <c r="L302" s="1776">
        <v>12</v>
      </c>
      <c r="M302" s="1834">
        <f t="shared" si="157"/>
        <v>3264.56</v>
      </c>
      <c r="N302" s="675">
        <v>0.25</v>
      </c>
      <c r="O302" s="2918">
        <v>6529.12</v>
      </c>
      <c r="P302" s="675">
        <v>0.25</v>
      </c>
      <c r="Q302" s="1777">
        <f t="shared" si="158"/>
        <v>1632.28</v>
      </c>
      <c r="R302" s="595" t="s">
        <v>225</v>
      </c>
      <c r="S302" s="1858">
        <f>'MERCY COPRS'!H30</f>
        <v>6872.720000000003</v>
      </c>
      <c r="T302" s="1763">
        <f t="shared" si="159"/>
        <v>1.0526257749895855</v>
      </c>
      <c r="U302" s="541"/>
      <c r="V302" s="591">
        <f t="shared" si="160"/>
        <v>1.0526257749895855</v>
      </c>
      <c r="W302" s="706">
        <f t="shared" si="161"/>
        <v>1718.1800000000007</v>
      </c>
      <c r="X302" s="92" t="s">
        <v>220</v>
      </c>
    </row>
    <row r="303" spans="1:43" s="450" customFormat="1" ht="39" customHeight="1" x14ac:dyDescent="0.25">
      <c r="A303" s="2995"/>
      <c r="B303" s="595" t="s">
        <v>226</v>
      </c>
      <c r="C303" s="595" t="s">
        <v>14</v>
      </c>
      <c r="D303" s="1761" t="s">
        <v>1372</v>
      </c>
      <c r="E303" s="1793">
        <v>1</v>
      </c>
      <c r="F303" s="1775">
        <v>200</v>
      </c>
      <c r="G303" s="1793">
        <v>12</v>
      </c>
      <c r="H303" s="1777">
        <f t="shared" si="156"/>
        <v>2200</v>
      </c>
      <c r="I303" s="675">
        <v>0.25</v>
      </c>
      <c r="J303" s="1776">
        <v>1</v>
      </c>
      <c r="K303" s="1722">
        <v>200</v>
      </c>
      <c r="L303" s="1776">
        <v>12</v>
      </c>
      <c r="M303" s="1834">
        <f t="shared" si="157"/>
        <v>2200</v>
      </c>
      <c r="N303" s="675">
        <v>0.25</v>
      </c>
      <c r="O303" s="2918">
        <v>4400</v>
      </c>
      <c r="P303" s="675">
        <v>0.25</v>
      </c>
      <c r="Q303" s="1777">
        <f t="shared" si="158"/>
        <v>1100</v>
      </c>
      <c r="R303" s="595" t="s">
        <v>227</v>
      </c>
      <c r="S303" s="1858">
        <f>'MERCY COPRS'!H31</f>
        <v>2672.26</v>
      </c>
      <c r="T303" s="1763">
        <f t="shared" si="159"/>
        <v>0.60733181818181825</v>
      </c>
      <c r="U303" s="541"/>
      <c r="V303" s="591">
        <f t="shared" si="160"/>
        <v>0.60733181818181825</v>
      </c>
      <c r="W303" s="706">
        <f t="shared" si="161"/>
        <v>668.06500000000005</v>
      </c>
      <c r="X303" s="92" t="s">
        <v>220</v>
      </c>
    </row>
    <row r="304" spans="1:43" s="454" customFormat="1" x14ac:dyDescent="0.25">
      <c r="A304" s="2996"/>
      <c r="B304" s="711" t="s">
        <v>573</v>
      </c>
      <c r="C304" s="711"/>
      <c r="D304" s="897"/>
      <c r="E304" s="712"/>
      <c r="F304" s="712"/>
      <c r="G304" s="712"/>
      <c r="H304" s="1123">
        <f>SUM(H295:H303)</f>
        <v>33800.160000000003</v>
      </c>
      <c r="I304" s="716"/>
      <c r="J304" s="1077"/>
      <c r="K304" s="1077"/>
      <c r="L304" s="1077"/>
      <c r="M304" s="2870">
        <f>SUM(M295:M303)</f>
        <v>33800.160000000003</v>
      </c>
      <c r="N304" s="716"/>
      <c r="O304" s="1123">
        <f>SUM(O295:O303)</f>
        <v>67600.320000000007</v>
      </c>
      <c r="P304" s="1076"/>
      <c r="Q304" s="713">
        <f>SUM(Q295:Q303)</f>
        <v>15635.08</v>
      </c>
      <c r="R304" s="1125"/>
      <c r="S304" s="1672">
        <f>SUM(S295:S303)</f>
        <v>57809.748400000019</v>
      </c>
      <c r="T304" s="1126">
        <f>S304/O304</f>
        <v>0.85516974475860486</v>
      </c>
      <c r="U304" s="715"/>
      <c r="V304" s="600">
        <f>W304/Q304</f>
        <v>0.84547099215354216</v>
      </c>
      <c r="W304" s="1127">
        <f>SUM(W295:W303)</f>
        <v>13219.006600000004</v>
      </c>
      <c r="X304" s="102"/>
      <c r="Y304" s="670"/>
      <c r="Z304" s="670"/>
      <c r="AA304" s="670"/>
      <c r="AB304" s="670"/>
      <c r="AC304" s="670"/>
      <c r="AD304" s="670"/>
      <c r="AE304" s="670"/>
      <c r="AF304" s="670"/>
      <c r="AG304" s="670"/>
      <c r="AH304" s="670"/>
      <c r="AI304" s="670"/>
      <c r="AJ304" s="670"/>
      <c r="AK304" s="670"/>
      <c r="AL304" s="670"/>
      <c r="AM304" s="670"/>
      <c r="AN304" s="670"/>
      <c r="AO304" s="670"/>
      <c r="AP304" s="670"/>
      <c r="AQ304" s="670"/>
    </row>
    <row r="305" spans="1:43" s="450" customFormat="1" ht="33.75" customHeight="1" x14ac:dyDescent="0.25">
      <c r="A305" s="2994" t="s">
        <v>1300</v>
      </c>
      <c r="B305" s="595" t="s">
        <v>234</v>
      </c>
      <c r="C305" s="595" t="s">
        <v>47</v>
      </c>
      <c r="D305" s="1761" t="s">
        <v>1372</v>
      </c>
      <c r="E305" s="1793">
        <v>1</v>
      </c>
      <c r="F305" s="1775">
        <v>64984</v>
      </c>
      <c r="G305" s="1793">
        <v>1</v>
      </c>
      <c r="H305" s="1777">
        <f t="shared" si="156"/>
        <v>64984</v>
      </c>
      <c r="I305" s="675">
        <v>0.5</v>
      </c>
      <c r="J305" s="1776">
        <v>1</v>
      </c>
      <c r="K305" s="1722">
        <v>64984</v>
      </c>
      <c r="L305" s="1776">
        <v>1</v>
      </c>
      <c r="M305" s="1834">
        <f t="shared" si="157"/>
        <v>64984</v>
      </c>
      <c r="N305" s="675">
        <v>0.5</v>
      </c>
      <c r="O305" s="2918">
        <v>129968</v>
      </c>
      <c r="P305" s="675">
        <v>0.5</v>
      </c>
      <c r="Q305" s="1777">
        <f t="shared" ref="Q305:Q318" si="162">O305*P305</f>
        <v>64984</v>
      </c>
      <c r="R305" s="595" t="s">
        <v>236</v>
      </c>
      <c r="S305" s="1858">
        <f>'MERCY COPRS'!H33</f>
        <v>60431.369999999995</v>
      </c>
      <c r="T305" s="1763">
        <f>S305/O305</f>
        <v>0.46497114674381385</v>
      </c>
      <c r="U305" s="541"/>
      <c r="V305" s="591">
        <f>W305/Q305</f>
        <v>0.46497114674381385</v>
      </c>
      <c r="W305" s="706">
        <f>P305*S305</f>
        <v>30215.684999999998</v>
      </c>
      <c r="X305" s="92" t="s">
        <v>235</v>
      </c>
    </row>
    <row r="306" spans="1:43" s="450" customFormat="1" ht="27.75" customHeight="1" x14ac:dyDescent="0.25">
      <c r="A306" s="2995"/>
      <c r="B306" s="595" t="s">
        <v>237</v>
      </c>
      <c r="C306" s="595" t="s">
        <v>15</v>
      </c>
      <c r="D306" s="1761" t="s">
        <v>1372</v>
      </c>
      <c r="E306" s="1793">
        <v>20</v>
      </c>
      <c r="F306" s="1775">
        <v>250</v>
      </c>
      <c r="G306" s="1793">
        <v>5</v>
      </c>
      <c r="H306" s="1777">
        <f t="shared" si="156"/>
        <v>25000</v>
      </c>
      <c r="I306" s="675">
        <v>0.5</v>
      </c>
      <c r="J306" s="1776">
        <v>20</v>
      </c>
      <c r="K306" s="1722">
        <v>250</v>
      </c>
      <c r="L306" s="1776">
        <v>5</v>
      </c>
      <c r="M306" s="1834">
        <f t="shared" si="157"/>
        <v>25000</v>
      </c>
      <c r="N306" s="675">
        <v>0.5</v>
      </c>
      <c r="O306" s="2918">
        <v>50000</v>
      </c>
      <c r="P306" s="675">
        <v>0.5</v>
      </c>
      <c r="Q306" s="1777">
        <f t="shared" si="162"/>
        <v>25000</v>
      </c>
      <c r="R306" s="595" t="s">
        <v>239</v>
      </c>
      <c r="S306" s="1858">
        <f>'MERCY COPRS'!H34</f>
        <v>74842.5</v>
      </c>
      <c r="T306" s="1763">
        <f t="shared" ref="T306:T318" si="163">S306/O306</f>
        <v>1.49685</v>
      </c>
      <c r="U306" s="541"/>
      <c r="V306" s="591">
        <f t="shared" ref="V306:V318" si="164">W306/Q306</f>
        <v>1.49685</v>
      </c>
      <c r="W306" s="706">
        <f t="shared" ref="W306:W318" si="165">P306*S306</f>
        <v>37421.25</v>
      </c>
      <c r="X306" s="92" t="s">
        <v>238</v>
      </c>
    </row>
    <row r="307" spans="1:43" s="450" customFormat="1" ht="26" x14ac:dyDescent="0.25">
      <c r="A307" s="2995"/>
      <c r="B307" s="595" t="s">
        <v>240</v>
      </c>
      <c r="C307" s="595" t="s">
        <v>15</v>
      </c>
      <c r="D307" s="1761" t="s">
        <v>1372</v>
      </c>
      <c r="E307" s="1793">
        <v>20</v>
      </c>
      <c r="F307" s="1775">
        <v>250</v>
      </c>
      <c r="G307" s="1793">
        <v>5</v>
      </c>
      <c r="H307" s="1777">
        <f t="shared" si="156"/>
        <v>25000</v>
      </c>
      <c r="I307" s="675">
        <v>0.5</v>
      </c>
      <c r="J307" s="1776">
        <v>20</v>
      </c>
      <c r="K307" s="1722">
        <v>250</v>
      </c>
      <c r="L307" s="1776">
        <v>5</v>
      </c>
      <c r="M307" s="1834">
        <f t="shared" si="157"/>
        <v>25000</v>
      </c>
      <c r="N307" s="675">
        <v>0.5</v>
      </c>
      <c r="O307" s="2918">
        <v>50000</v>
      </c>
      <c r="P307" s="675">
        <v>0.5</v>
      </c>
      <c r="Q307" s="1777">
        <f t="shared" si="162"/>
        <v>25000</v>
      </c>
      <c r="R307" s="595" t="s">
        <v>242</v>
      </c>
      <c r="S307" s="1858">
        <f>'MERCY COPRS'!H35</f>
        <v>54537.37000000001</v>
      </c>
      <c r="T307" s="1763">
        <f t="shared" si="163"/>
        <v>1.0907474000000001</v>
      </c>
      <c r="U307" s="541"/>
      <c r="V307" s="591">
        <f t="shared" si="164"/>
        <v>1.0907474000000001</v>
      </c>
      <c r="W307" s="706">
        <f t="shared" si="165"/>
        <v>27268.685000000005</v>
      </c>
      <c r="X307" s="92" t="s">
        <v>241</v>
      </c>
    </row>
    <row r="308" spans="1:43" s="450" customFormat="1" ht="22.5" customHeight="1" x14ac:dyDescent="0.25">
      <c r="A308" s="2995"/>
      <c r="B308" s="595" t="s">
        <v>243</v>
      </c>
      <c r="C308" s="595" t="s">
        <v>15</v>
      </c>
      <c r="D308" s="1761" t="s">
        <v>1372</v>
      </c>
      <c r="E308" s="1793">
        <v>1</v>
      </c>
      <c r="F308" s="1775">
        <v>11000</v>
      </c>
      <c r="G308" s="1793">
        <v>1</v>
      </c>
      <c r="H308" s="1777">
        <f t="shared" si="156"/>
        <v>11000</v>
      </c>
      <c r="I308" s="675">
        <v>0.5</v>
      </c>
      <c r="J308" s="1776">
        <v>1</v>
      </c>
      <c r="K308" s="1722">
        <v>11000</v>
      </c>
      <c r="L308" s="1776">
        <v>1</v>
      </c>
      <c r="M308" s="1834">
        <f t="shared" si="157"/>
        <v>11000</v>
      </c>
      <c r="N308" s="675">
        <v>0.5</v>
      </c>
      <c r="O308" s="2918">
        <v>22000</v>
      </c>
      <c r="P308" s="675">
        <v>0.5</v>
      </c>
      <c r="Q308" s="1777">
        <f t="shared" si="162"/>
        <v>11000</v>
      </c>
      <c r="R308" s="595" t="s">
        <v>244</v>
      </c>
      <c r="S308" s="1858">
        <f>'MERCY COPRS'!H36</f>
        <v>0</v>
      </c>
      <c r="T308" s="1763">
        <f t="shared" si="163"/>
        <v>0</v>
      </c>
      <c r="U308" s="541"/>
      <c r="V308" s="591">
        <f t="shared" si="164"/>
        <v>0</v>
      </c>
      <c r="W308" s="706">
        <f t="shared" si="165"/>
        <v>0</v>
      </c>
      <c r="X308" s="92"/>
    </row>
    <row r="309" spans="1:43" s="450" customFormat="1" ht="26" x14ac:dyDescent="0.25">
      <c r="A309" s="2995"/>
      <c r="B309" s="595" t="s">
        <v>245</v>
      </c>
      <c r="C309" s="595" t="s">
        <v>15</v>
      </c>
      <c r="D309" s="1761" t="s">
        <v>1372</v>
      </c>
      <c r="E309" s="1793">
        <v>1</v>
      </c>
      <c r="F309" s="1775">
        <v>940</v>
      </c>
      <c r="G309" s="1793">
        <v>3</v>
      </c>
      <c r="H309" s="1777">
        <f t="shared" si="156"/>
        <v>2820</v>
      </c>
      <c r="I309" s="675">
        <v>0.5</v>
      </c>
      <c r="J309" s="1776">
        <v>1</v>
      </c>
      <c r="K309" s="1722">
        <v>940</v>
      </c>
      <c r="L309" s="1776">
        <v>3</v>
      </c>
      <c r="M309" s="1834">
        <f t="shared" si="157"/>
        <v>2820</v>
      </c>
      <c r="N309" s="675">
        <v>0.5</v>
      </c>
      <c r="O309" s="2918">
        <v>5640</v>
      </c>
      <c r="P309" s="675">
        <v>0.5</v>
      </c>
      <c r="Q309" s="1777">
        <f t="shared" si="162"/>
        <v>2820</v>
      </c>
      <c r="R309" s="595" t="s">
        <v>246</v>
      </c>
      <c r="S309" s="1858">
        <f>'MERCY COPRS'!H37</f>
        <v>0</v>
      </c>
      <c r="T309" s="1763">
        <f t="shared" si="163"/>
        <v>0</v>
      </c>
      <c r="U309" s="541"/>
      <c r="V309" s="591">
        <f t="shared" si="164"/>
        <v>0</v>
      </c>
      <c r="W309" s="706">
        <f t="shared" si="165"/>
        <v>0</v>
      </c>
      <c r="X309" s="92"/>
    </row>
    <row r="310" spans="1:43" s="450" customFormat="1" ht="39" x14ac:dyDescent="0.25">
      <c r="A310" s="2995"/>
      <c r="B310" s="595" t="s">
        <v>247</v>
      </c>
      <c r="C310" s="595" t="s">
        <v>15</v>
      </c>
      <c r="D310" s="1761" t="s">
        <v>1372</v>
      </c>
      <c r="E310" s="1793">
        <v>40</v>
      </c>
      <c r="F310" s="1775">
        <v>950</v>
      </c>
      <c r="G310" s="1793">
        <v>1</v>
      </c>
      <c r="H310" s="1777">
        <f t="shared" si="156"/>
        <v>19000</v>
      </c>
      <c r="I310" s="675">
        <v>0.5</v>
      </c>
      <c r="J310" s="1776"/>
      <c r="K310" s="1722"/>
      <c r="L310" s="1776"/>
      <c r="M310" s="1834">
        <f t="shared" si="157"/>
        <v>19000</v>
      </c>
      <c r="N310" s="675">
        <v>0.5</v>
      </c>
      <c r="O310" s="2918">
        <v>38000</v>
      </c>
      <c r="P310" s="675">
        <v>0.5</v>
      </c>
      <c r="Q310" s="1777">
        <f t="shared" si="162"/>
        <v>19000</v>
      </c>
      <c r="R310" s="595" t="s">
        <v>248</v>
      </c>
      <c r="S310" s="1858">
        <f>'MERCY COPRS'!H38</f>
        <v>10238.25</v>
      </c>
      <c r="T310" s="1763">
        <f t="shared" si="163"/>
        <v>0.26942763157894739</v>
      </c>
      <c r="U310" s="541"/>
      <c r="V310" s="591">
        <f t="shared" si="164"/>
        <v>0.26942763157894739</v>
      </c>
      <c r="W310" s="706">
        <f t="shared" si="165"/>
        <v>5119.125</v>
      </c>
      <c r="X310" s="92" t="s">
        <v>235</v>
      </c>
    </row>
    <row r="311" spans="1:43" s="450" customFormat="1" ht="52" x14ac:dyDescent="0.25">
      <c r="A311" s="2995"/>
      <c r="B311" s="284" t="s">
        <v>209</v>
      </c>
      <c r="C311" s="1720" t="s">
        <v>17</v>
      </c>
      <c r="D311" s="1761" t="s">
        <v>1372</v>
      </c>
      <c r="E311" s="724">
        <v>1</v>
      </c>
      <c r="F311" s="1794">
        <v>80</v>
      </c>
      <c r="G311" s="724">
        <v>12</v>
      </c>
      <c r="H311" s="1777">
        <f t="shared" si="156"/>
        <v>2520</v>
      </c>
      <c r="I311" s="675">
        <v>0.5</v>
      </c>
      <c r="J311" s="1776">
        <v>1</v>
      </c>
      <c r="K311" s="710">
        <v>80</v>
      </c>
      <c r="L311" s="1795">
        <v>12</v>
      </c>
      <c r="M311" s="1798">
        <f t="shared" si="157"/>
        <v>2520</v>
      </c>
      <c r="N311" s="675">
        <v>0.5</v>
      </c>
      <c r="O311" s="2918">
        <v>5040</v>
      </c>
      <c r="P311" s="675">
        <v>0.5</v>
      </c>
      <c r="Q311" s="1777">
        <f t="shared" si="162"/>
        <v>2520</v>
      </c>
      <c r="R311" s="522" t="s">
        <v>211</v>
      </c>
      <c r="S311" s="1858">
        <f>'MERCY COPRS'!H39</f>
        <v>5252.4140000000007</v>
      </c>
      <c r="T311" s="1763">
        <f t="shared" si="163"/>
        <v>1.0421456349206351</v>
      </c>
      <c r="U311" s="541"/>
      <c r="V311" s="591">
        <f t="shared" si="164"/>
        <v>1.0421456349206351</v>
      </c>
      <c r="W311" s="706">
        <f t="shared" si="165"/>
        <v>2626.2070000000003</v>
      </c>
      <c r="X311" s="92" t="s">
        <v>210</v>
      </c>
    </row>
    <row r="312" spans="1:43" s="450" customFormat="1" ht="42.75" customHeight="1" x14ac:dyDescent="0.25">
      <c r="A312" s="2995"/>
      <c r="B312" s="595" t="s">
        <v>212</v>
      </c>
      <c r="C312" s="1720" t="s">
        <v>15</v>
      </c>
      <c r="D312" s="1761" t="s">
        <v>1372</v>
      </c>
      <c r="E312" s="724">
        <v>1</v>
      </c>
      <c r="F312" s="1794">
        <v>1063.9218000000001</v>
      </c>
      <c r="G312" s="724">
        <v>1</v>
      </c>
      <c r="H312" s="1777">
        <f t="shared" si="156"/>
        <v>797.94</v>
      </c>
      <c r="I312" s="675">
        <v>0.5</v>
      </c>
      <c r="J312" s="1776">
        <v>1</v>
      </c>
      <c r="K312" s="710">
        <v>1063.9218000000001</v>
      </c>
      <c r="L312" s="1795">
        <v>1</v>
      </c>
      <c r="M312" s="1798">
        <f t="shared" si="157"/>
        <v>797.94</v>
      </c>
      <c r="N312" s="675">
        <v>0.5</v>
      </c>
      <c r="O312" s="2918">
        <v>1595.88</v>
      </c>
      <c r="P312" s="675">
        <v>0.5</v>
      </c>
      <c r="Q312" s="1777">
        <f t="shared" si="162"/>
        <v>797.94</v>
      </c>
      <c r="R312" s="522" t="s">
        <v>213</v>
      </c>
      <c r="S312" s="1858">
        <f>'MERCY COPRS'!H40</f>
        <v>1341</v>
      </c>
      <c r="T312" s="1763">
        <f t="shared" si="163"/>
        <v>0.84028874351454996</v>
      </c>
      <c r="U312" s="541"/>
      <c r="V312" s="591">
        <f t="shared" si="164"/>
        <v>0.84028874351454996</v>
      </c>
      <c r="W312" s="706">
        <f t="shared" si="165"/>
        <v>670.5</v>
      </c>
      <c r="X312" s="92" t="s">
        <v>210</v>
      </c>
    </row>
    <row r="313" spans="1:43" s="450" customFormat="1" ht="53.25" customHeight="1" x14ac:dyDescent="0.25">
      <c r="A313" s="2995"/>
      <c r="B313" s="595" t="s">
        <v>214</v>
      </c>
      <c r="C313" s="1720" t="s">
        <v>15</v>
      </c>
      <c r="D313" s="1761" t="s">
        <v>1372</v>
      </c>
      <c r="E313" s="724">
        <v>1</v>
      </c>
      <c r="F313" s="1794">
        <v>150</v>
      </c>
      <c r="G313" s="724">
        <v>1</v>
      </c>
      <c r="H313" s="1777">
        <f t="shared" si="156"/>
        <v>150</v>
      </c>
      <c r="I313" s="675">
        <v>0.5</v>
      </c>
      <c r="J313" s="1776">
        <v>1</v>
      </c>
      <c r="K313" s="710">
        <v>150</v>
      </c>
      <c r="L313" s="1795">
        <v>1</v>
      </c>
      <c r="M313" s="1798">
        <f t="shared" si="157"/>
        <v>150</v>
      </c>
      <c r="N313" s="675">
        <v>0.5</v>
      </c>
      <c r="O313" s="2918">
        <v>300</v>
      </c>
      <c r="P313" s="675">
        <v>0.5</v>
      </c>
      <c r="Q313" s="1777">
        <f t="shared" si="162"/>
        <v>150</v>
      </c>
      <c r="R313" s="522" t="s">
        <v>216</v>
      </c>
      <c r="S313" s="1858">
        <f>'MERCY COPRS'!H41</f>
        <v>241</v>
      </c>
      <c r="T313" s="1763">
        <f t="shared" si="163"/>
        <v>0.80333333333333334</v>
      </c>
      <c r="U313" s="541"/>
      <c r="V313" s="591">
        <f t="shared" si="164"/>
        <v>0.80333333333333334</v>
      </c>
      <c r="W313" s="706">
        <f t="shared" si="165"/>
        <v>120.5</v>
      </c>
      <c r="X313" s="92" t="s">
        <v>215</v>
      </c>
    </row>
    <row r="314" spans="1:43" s="450" customFormat="1" ht="52" x14ac:dyDescent="0.25">
      <c r="A314" s="2995"/>
      <c r="B314" s="284" t="s">
        <v>217</v>
      </c>
      <c r="C314" s="1720" t="s">
        <v>14</v>
      </c>
      <c r="D314" s="1761" t="s">
        <v>1372</v>
      </c>
      <c r="E314" s="724">
        <v>1</v>
      </c>
      <c r="F314" s="1794">
        <v>204</v>
      </c>
      <c r="G314" s="724">
        <v>12</v>
      </c>
      <c r="H314" s="1777">
        <f t="shared" si="156"/>
        <v>2530</v>
      </c>
      <c r="I314" s="675"/>
      <c r="J314" s="1776">
        <v>1</v>
      </c>
      <c r="K314" s="710">
        <v>204</v>
      </c>
      <c r="L314" s="1795">
        <v>12</v>
      </c>
      <c r="M314" s="1798">
        <f t="shared" si="157"/>
        <v>2530</v>
      </c>
      <c r="N314" s="675">
        <v>0</v>
      </c>
      <c r="O314" s="2918">
        <v>5060</v>
      </c>
      <c r="P314" s="675">
        <v>0</v>
      </c>
      <c r="Q314" s="1777">
        <f t="shared" si="162"/>
        <v>0</v>
      </c>
      <c r="R314" s="522" t="s">
        <v>218</v>
      </c>
      <c r="S314" s="1858">
        <f>'MERCY COPRS'!H42</f>
        <v>4933.7219999999998</v>
      </c>
      <c r="T314" s="1763">
        <f t="shared" si="163"/>
        <v>0.97504387351778654</v>
      </c>
      <c r="U314" s="541"/>
      <c r="V314" s="591">
        <v>0</v>
      </c>
      <c r="W314" s="706">
        <f t="shared" si="165"/>
        <v>0</v>
      </c>
      <c r="X314" s="92"/>
    </row>
    <row r="315" spans="1:43" s="450" customFormat="1" ht="78" x14ac:dyDescent="0.25">
      <c r="A315" s="2995"/>
      <c r="B315" s="595" t="s">
        <v>219</v>
      </c>
      <c r="C315" s="595" t="s">
        <v>14</v>
      </c>
      <c r="D315" s="1761" t="s">
        <v>1372</v>
      </c>
      <c r="E315" s="1793">
        <v>1</v>
      </c>
      <c r="F315" s="1775">
        <v>1182.4000000000001</v>
      </c>
      <c r="G315" s="1793">
        <v>12</v>
      </c>
      <c r="H315" s="1777">
        <f t="shared" si="156"/>
        <v>13524.48</v>
      </c>
      <c r="I315" s="675">
        <v>0.25</v>
      </c>
      <c r="J315" s="1776">
        <v>1</v>
      </c>
      <c r="K315" s="1722">
        <v>1182.4000000000001</v>
      </c>
      <c r="L315" s="1776">
        <v>12</v>
      </c>
      <c r="M315" s="1834">
        <f t="shared" si="157"/>
        <v>13524.48</v>
      </c>
      <c r="N315" s="675">
        <v>0.25</v>
      </c>
      <c r="O315" s="2918">
        <v>27048.959999999999</v>
      </c>
      <c r="P315" s="675">
        <v>0.25</v>
      </c>
      <c r="Q315" s="1777">
        <f t="shared" si="162"/>
        <v>6762.24</v>
      </c>
      <c r="R315" s="595" t="s">
        <v>221</v>
      </c>
      <c r="S315" s="1858">
        <f>'MERCY COPRS'!H43</f>
        <v>22199.702400000009</v>
      </c>
      <c r="T315" s="1763">
        <f t="shared" si="163"/>
        <v>0.82072295570698506</v>
      </c>
      <c r="U315" s="541"/>
      <c r="V315" s="591">
        <f t="shared" si="164"/>
        <v>0.82072295570698506</v>
      </c>
      <c r="W315" s="706">
        <f t="shared" si="165"/>
        <v>5549.9256000000023</v>
      </c>
      <c r="X315" s="92" t="s">
        <v>220</v>
      </c>
    </row>
    <row r="316" spans="1:43" s="450" customFormat="1" ht="39" x14ac:dyDescent="0.25">
      <c r="A316" s="2995"/>
      <c r="B316" s="595" t="s">
        <v>222</v>
      </c>
      <c r="C316" s="595" t="s">
        <v>14</v>
      </c>
      <c r="D316" s="1761" t="s">
        <v>1372</v>
      </c>
      <c r="E316" s="1793">
        <v>2</v>
      </c>
      <c r="F316" s="1775">
        <v>265</v>
      </c>
      <c r="G316" s="1793">
        <v>12</v>
      </c>
      <c r="H316" s="1777">
        <f t="shared" si="156"/>
        <v>4813.18</v>
      </c>
      <c r="I316" s="675">
        <v>0.25</v>
      </c>
      <c r="J316" s="1776">
        <v>2</v>
      </c>
      <c r="K316" s="1722">
        <v>272.95</v>
      </c>
      <c r="L316" s="1776">
        <v>12</v>
      </c>
      <c r="M316" s="1834">
        <f t="shared" si="157"/>
        <v>4813.18</v>
      </c>
      <c r="N316" s="675">
        <v>0.25</v>
      </c>
      <c r="O316" s="2918">
        <v>9626.36</v>
      </c>
      <c r="P316" s="675">
        <v>0.25</v>
      </c>
      <c r="Q316" s="1777">
        <f t="shared" si="162"/>
        <v>2406.59</v>
      </c>
      <c r="R316" s="595" t="s">
        <v>223</v>
      </c>
      <c r="S316" s="1858">
        <f>'MERCY COPRS'!H44</f>
        <v>9007.0300000000061</v>
      </c>
      <c r="T316" s="1763">
        <f t="shared" si="163"/>
        <v>0.93566311669208357</v>
      </c>
      <c r="U316" s="541"/>
      <c r="V316" s="591">
        <f t="shared" si="164"/>
        <v>0.93566311669208357</v>
      </c>
      <c r="W316" s="706">
        <f t="shared" si="165"/>
        <v>2251.7575000000015</v>
      </c>
      <c r="X316" s="92" t="s">
        <v>220</v>
      </c>
    </row>
    <row r="317" spans="1:43" s="450" customFormat="1" ht="39" x14ac:dyDescent="0.25">
      <c r="A317" s="2995"/>
      <c r="B317" s="595" t="s">
        <v>224</v>
      </c>
      <c r="C317" s="595" t="s">
        <v>14</v>
      </c>
      <c r="D317" s="1761" t="s">
        <v>1372</v>
      </c>
      <c r="E317" s="1793">
        <v>2</v>
      </c>
      <c r="F317" s="1775">
        <v>146</v>
      </c>
      <c r="G317" s="1793">
        <v>12</v>
      </c>
      <c r="H317" s="1777">
        <f t="shared" si="156"/>
        <v>3264.56</v>
      </c>
      <c r="I317" s="675">
        <v>0.25</v>
      </c>
      <c r="J317" s="1776">
        <v>2</v>
      </c>
      <c r="K317" s="1722">
        <v>150.38</v>
      </c>
      <c r="L317" s="1776">
        <v>12</v>
      </c>
      <c r="M317" s="1834">
        <f t="shared" si="157"/>
        <v>3264.56</v>
      </c>
      <c r="N317" s="675">
        <v>0.25</v>
      </c>
      <c r="O317" s="2918">
        <v>6529.12</v>
      </c>
      <c r="P317" s="675">
        <v>0.25</v>
      </c>
      <c r="Q317" s="1777">
        <f t="shared" si="162"/>
        <v>1632.28</v>
      </c>
      <c r="R317" s="595" t="s">
        <v>225</v>
      </c>
      <c r="S317" s="1858">
        <f>'MERCY COPRS'!H45</f>
        <v>6872.720000000003</v>
      </c>
      <c r="T317" s="1763">
        <f t="shared" si="163"/>
        <v>1.0526257749895855</v>
      </c>
      <c r="U317" s="541"/>
      <c r="V317" s="591">
        <f t="shared" si="164"/>
        <v>1.0526257749895855</v>
      </c>
      <c r="W317" s="706">
        <f t="shared" si="165"/>
        <v>1718.1800000000007</v>
      </c>
      <c r="X317" s="92" t="s">
        <v>220</v>
      </c>
    </row>
    <row r="318" spans="1:43" s="450" customFormat="1" ht="65" x14ac:dyDescent="0.25">
      <c r="A318" s="2995"/>
      <c r="B318" s="595" t="s">
        <v>226</v>
      </c>
      <c r="C318" s="595" t="s">
        <v>14</v>
      </c>
      <c r="D318" s="1761" t="s">
        <v>1372</v>
      </c>
      <c r="E318" s="1793">
        <v>1</v>
      </c>
      <c r="F318" s="1775">
        <v>200</v>
      </c>
      <c r="G318" s="1793">
        <v>12</v>
      </c>
      <c r="H318" s="1777">
        <f t="shared" si="156"/>
        <v>2200</v>
      </c>
      <c r="I318" s="675">
        <v>0.25</v>
      </c>
      <c r="J318" s="1776">
        <v>1</v>
      </c>
      <c r="K318" s="1722">
        <v>200</v>
      </c>
      <c r="L318" s="1776">
        <v>12</v>
      </c>
      <c r="M318" s="1834">
        <f t="shared" si="157"/>
        <v>2200</v>
      </c>
      <c r="N318" s="675">
        <v>0.25</v>
      </c>
      <c r="O318" s="2918">
        <v>4400</v>
      </c>
      <c r="P318" s="675">
        <v>0.25</v>
      </c>
      <c r="Q318" s="1777">
        <f t="shared" si="162"/>
        <v>1100</v>
      </c>
      <c r="R318" s="595" t="s">
        <v>227</v>
      </c>
      <c r="S318" s="1858">
        <f>'MERCY COPRS'!H46</f>
        <v>2672.26</v>
      </c>
      <c r="T318" s="1763">
        <f t="shared" si="163"/>
        <v>0.60733181818181825</v>
      </c>
      <c r="U318" s="541"/>
      <c r="V318" s="591">
        <f t="shared" si="164"/>
        <v>0.60733181818181825</v>
      </c>
      <c r="W318" s="706">
        <f t="shared" si="165"/>
        <v>668.06500000000005</v>
      </c>
      <c r="X318" s="92" t="s">
        <v>220</v>
      </c>
    </row>
    <row r="319" spans="1:43" s="454" customFormat="1" x14ac:dyDescent="0.25">
      <c r="A319" s="2996"/>
      <c r="B319" s="711" t="s">
        <v>573</v>
      </c>
      <c r="C319" s="711"/>
      <c r="D319" s="897"/>
      <c r="E319" s="712"/>
      <c r="F319" s="712"/>
      <c r="G319" s="712"/>
      <c r="H319" s="1123">
        <f>SUM(H305:H318)</f>
        <v>177604.16</v>
      </c>
      <c r="I319" s="716"/>
      <c r="J319" s="1077"/>
      <c r="K319" s="1077"/>
      <c r="L319" s="1077"/>
      <c r="M319" s="2870">
        <f>SUM(M305:M318)</f>
        <v>177604.16</v>
      </c>
      <c r="N319" s="716"/>
      <c r="O319" s="1123">
        <f>SUM(O305:O318)</f>
        <v>355208.32</v>
      </c>
      <c r="P319" s="1076"/>
      <c r="Q319" s="713">
        <f>SUM(Q305:Q318)</f>
        <v>163173.04999999999</v>
      </c>
      <c r="R319" s="1125"/>
      <c r="S319" s="1672">
        <f>SUM(S305:S318)</f>
        <v>252569.33840000001</v>
      </c>
      <c r="T319" s="1126">
        <f>S319/O319</f>
        <v>0.71104567145274078</v>
      </c>
      <c r="U319" s="715"/>
      <c r="V319" s="600">
        <f>W319/Q319</f>
        <v>0.69637651622004992</v>
      </c>
      <c r="W319" s="1127">
        <f>SUM(W305:W318)</f>
        <v>113629.88010000001</v>
      </c>
      <c r="X319" s="102"/>
      <c r="Y319" s="670"/>
      <c r="Z319" s="670"/>
      <c r="AA319" s="670"/>
      <c r="AB319" s="670"/>
      <c r="AC319" s="670"/>
      <c r="AD319" s="670"/>
      <c r="AE319" s="670"/>
      <c r="AF319" s="670"/>
      <c r="AG319" s="670"/>
      <c r="AH319" s="670"/>
      <c r="AI319" s="670"/>
      <c r="AJ319" s="670"/>
      <c r="AK319" s="670"/>
      <c r="AL319" s="670"/>
      <c r="AM319" s="670"/>
      <c r="AN319" s="670"/>
      <c r="AO319" s="670"/>
      <c r="AP319" s="670"/>
      <c r="AQ319" s="670"/>
    </row>
    <row r="320" spans="1:43" s="450" customFormat="1" ht="39" x14ac:dyDescent="0.25">
      <c r="A320" s="2994" t="s">
        <v>1301</v>
      </c>
      <c r="B320" s="595" t="s">
        <v>250</v>
      </c>
      <c r="C320" s="595" t="s">
        <v>15</v>
      </c>
      <c r="D320" s="1761" t="s">
        <v>1372</v>
      </c>
      <c r="E320" s="1793">
        <v>20</v>
      </c>
      <c r="F320" s="1775">
        <v>1500</v>
      </c>
      <c r="G320" s="1793">
        <v>1</v>
      </c>
      <c r="H320" s="1777">
        <f t="shared" si="156"/>
        <v>30000</v>
      </c>
      <c r="I320" s="675">
        <v>0.5</v>
      </c>
      <c r="J320" s="1776">
        <v>20</v>
      </c>
      <c r="K320" s="1722">
        <v>1500</v>
      </c>
      <c r="L320" s="1776">
        <v>1</v>
      </c>
      <c r="M320" s="1834">
        <f t="shared" si="157"/>
        <v>30000</v>
      </c>
      <c r="N320" s="675">
        <v>0.5</v>
      </c>
      <c r="O320" s="2918">
        <v>60000</v>
      </c>
      <c r="P320" s="675">
        <v>0.5</v>
      </c>
      <c r="Q320" s="1777">
        <f t="shared" ref="Q320:Q328" si="166">O320*P320</f>
        <v>30000</v>
      </c>
      <c r="R320" s="595" t="s">
        <v>252</v>
      </c>
      <c r="S320" s="1858">
        <f>'MERCY COPRS'!H48</f>
        <v>21178.62</v>
      </c>
      <c r="T320" s="1763">
        <f t="shared" ref="T320:T339" si="167">S320/O320</f>
        <v>0.35297699999999999</v>
      </c>
      <c r="U320" s="541"/>
      <c r="V320" s="591">
        <f>W320/Q320</f>
        <v>0.35297699999999999</v>
      </c>
      <c r="W320" s="706">
        <f>P320*S320</f>
        <v>10589.31</v>
      </c>
      <c r="X320" s="92" t="s">
        <v>251</v>
      </c>
    </row>
    <row r="321" spans="1:43" s="450" customFormat="1" ht="52" x14ac:dyDescent="0.25">
      <c r="A321" s="2995"/>
      <c r="B321" s="284" t="s">
        <v>209</v>
      </c>
      <c r="C321" s="1720" t="s">
        <v>17</v>
      </c>
      <c r="D321" s="1761" t="s">
        <v>1372</v>
      </c>
      <c r="E321" s="724">
        <v>1</v>
      </c>
      <c r="F321" s="1794">
        <v>80</v>
      </c>
      <c r="G321" s="724">
        <v>12</v>
      </c>
      <c r="H321" s="1777">
        <f t="shared" si="156"/>
        <v>2520</v>
      </c>
      <c r="I321" s="675">
        <v>0.5</v>
      </c>
      <c r="J321" s="1776">
        <v>1</v>
      </c>
      <c r="K321" s="710">
        <v>80</v>
      </c>
      <c r="L321" s="1795">
        <v>12</v>
      </c>
      <c r="M321" s="1834">
        <f t="shared" si="157"/>
        <v>2520</v>
      </c>
      <c r="N321" s="675">
        <v>0.5</v>
      </c>
      <c r="O321" s="2918">
        <v>5040</v>
      </c>
      <c r="P321" s="675">
        <v>0.5</v>
      </c>
      <c r="Q321" s="1777">
        <f t="shared" si="166"/>
        <v>2520</v>
      </c>
      <c r="R321" s="522" t="s">
        <v>211</v>
      </c>
      <c r="S321" s="1858">
        <f>'MERCY COPRS'!H49</f>
        <v>5252.4140000000007</v>
      </c>
      <c r="T321" s="1763">
        <f t="shared" si="167"/>
        <v>1.0421456349206351</v>
      </c>
      <c r="U321" s="541"/>
      <c r="V321" s="591">
        <f t="shared" ref="V321:V328" si="168">W321/Q321</f>
        <v>1.0421456349206351</v>
      </c>
      <c r="W321" s="706">
        <f t="shared" ref="W321:W328" si="169">P321*S321</f>
        <v>2626.2070000000003</v>
      </c>
      <c r="X321" s="92" t="s">
        <v>210</v>
      </c>
    </row>
    <row r="322" spans="1:43" s="450" customFormat="1" ht="42.75" customHeight="1" x14ac:dyDescent="0.25">
      <c r="A322" s="2995"/>
      <c r="B322" s="284" t="s">
        <v>212</v>
      </c>
      <c r="C322" s="1720" t="s">
        <v>15</v>
      </c>
      <c r="D322" s="1761" t="s">
        <v>1372</v>
      </c>
      <c r="E322" s="724">
        <v>1</v>
      </c>
      <c r="F322" s="1794">
        <v>1063.9218000000001</v>
      </c>
      <c r="G322" s="724">
        <v>1</v>
      </c>
      <c r="H322" s="1777">
        <f t="shared" si="156"/>
        <v>797.94</v>
      </c>
      <c r="I322" s="675">
        <v>0.5</v>
      </c>
      <c r="J322" s="1776">
        <v>1</v>
      </c>
      <c r="K322" s="710">
        <v>1063.9218000000001</v>
      </c>
      <c r="L322" s="1795">
        <v>1</v>
      </c>
      <c r="M322" s="1834">
        <f t="shared" si="157"/>
        <v>797.94</v>
      </c>
      <c r="N322" s="675">
        <v>0.5</v>
      </c>
      <c r="O322" s="2918">
        <v>1595.88</v>
      </c>
      <c r="P322" s="675">
        <v>0.5</v>
      </c>
      <c r="Q322" s="1777">
        <f t="shared" si="166"/>
        <v>797.94</v>
      </c>
      <c r="R322" s="522" t="s">
        <v>213</v>
      </c>
      <c r="S322" s="1858">
        <f>'MERCY COPRS'!H50</f>
        <v>1341</v>
      </c>
      <c r="T322" s="1763">
        <f t="shared" si="167"/>
        <v>0.84028874351454996</v>
      </c>
      <c r="U322" s="541"/>
      <c r="V322" s="591">
        <f t="shared" si="168"/>
        <v>0.84028874351454996</v>
      </c>
      <c r="W322" s="706">
        <f t="shared" si="169"/>
        <v>670.5</v>
      </c>
      <c r="X322" s="92" t="s">
        <v>210</v>
      </c>
    </row>
    <row r="323" spans="1:43" s="450" customFormat="1" ht="53.25" customHeight="1" x14ac:dyDescent="0.25">
      <c r="A323" s="2995"/>
      <c r="B323" s="284" t="s">
        <v>214</v>
      </c>
      <c r="C323" s="1720" t="s">
        <v>15</v>
      </c>
      <c r="D323" s="1761" t="s">
        <v>1372</v>
      </c>
      <c r="E323" s="724">
        <v>1</v>
      </c>
      <c r="F323" s="1794">
        <v>150</v>
      </c>
      <c r="G323" s="724">
        <v>1</v>
      </c>
      <c r="H323" s="1777">
        <f t="shared" si="156"/>
        <v>150</v>
      </c>
      <c r="I323" s="675">
        <v>0.5</v>
      </c>
      <c r="J323" s="1776">
        <v>1</v>
      </c>
      <c r="K323" s="710">
        <v>150</v>
      </c>
      <c r="L323" s="1795">
        <v>1</v>
      </c>
      <c r="M323" s="1834">
        <f t="shared" si="157"/>
        <v>150</v>
      </c>
      <c r="N323" s="675">
        <v>0.5</v>
      </c>
      <c r="O323" s="2918">
        <v>300</v>
      </c>
      <c r="P323" s="675">
        <v>0.5</v>
      </c>
      <c r="Q323" s="1777">
        <f t="shared" si="166"/>
        <v>150</v>
      </c>
      <c r="R323" s="522" t="s">
        <v>216</v>
      </c>
      <c r="S323" s="1858">
        <f>'MERCY COPRS'!H51</f>
        <v>241</v>
      </c>
      <c r="T323" s="1763">
        <f t="shared" si="167"/>
        <v>0.80333333333333334</v>
      </c>
      <c r="U323" s="541"/>
      <c r="V323" s="591">
        <f t="shared" si="168"/>
        <v>0.80333333333333334</v>
      </c>
      <c r="W323" s="706">
        <f t="shared" si="169"/>
        <v>120.5</v>
      </c>
      <c r="X323" s="92" t="s">
        <v>215</v>
      </c>
    </row>
    <row r="324" spans="1:43" s="450" customFormat="1" ht="52" x14ac:dyDescent="0.25">
      <c r="A324" s="2995"/>
      <c r="B324" s="284" t="s">
        <v>217</v>
      </c>
      <c r="C324" s="1720" t="s">
        <v>14</v>
      </c>
      <c r="D324" s="1761" t="s">
        <v>1372</v>
      </c>
      <c r="E324" s="724">
        <v>1</v>
      </c>
      <c r="F324" s="1794">
        <v>204</v>
      </c>
      <c r="G324" s="724">
        <v>12</v>
      </c>
      <c r="H324" s="1777">
        <f t="shared" si="156"/>
        <v>2530</v>
      </c>
      <c r="I324" s="675"/>
      <c r="J324" s="1776">
        <v>1</v>
      </c>
      <c r="K324" s="710">
        <v>204</v>
      </c>
      <c r="L324" s="1795">
        <v>12</v>
      </c>
      <c r="M324" s="1834">
        <f t="shared" si="157"/>
        <v>2530</v>
      </c>
      <c r="N324" s="675">
        <v>0</v>
      </c>
      <c r="O324" s="2918">
        <v>5060</v>
      </c>
      <c r="P324" s="675">
        <v>0</v>
      </c>
      <c r="Q324" s="1777">
        <f t="shared" si="166"/>
        <v>0</v>
      </c>
      <c r="R324" s="522" t="s">
        <v>218</v>
      </c>
      <c r="S324" s="1858">
        <f>'MERCY COPRS'!H52</f>
        <v>4933.7219999999998</v>
      </c>
      <c r="T324" s="1763">
        <f t="shared" si="167"/>
        <v>0.97504387351778654</v>
      </c>
      <c r="U324" s="541"/>
      <c r="V324" s="591">
        <v>0</v>
      </c>
      <c r="W324" s="706">
        <f t="shared" si="169"/>
        <v>0</v>
      </c>
      <c r="X324" s="92"/>
    </row>
    <row r="325" spans="1:43" s="450" customFormat="1" ht="78" x14ac:dyDescent="0.25">
      <c r="A325" s="2995"/>
      <c r="B325" s="595" t="s">
        <v>219</v>
      </c>
      <c r="C325" s="595" t="s">
        <v>14</v>
      </c>
      <c r="D325" s="1761" t="s">
        <v>1372</v>
      </c>
      <c r="E325" s="1793">
        <v>1</v>
      </c>
      <c r="F325" s="1775">
        <v>1182.4000000000001</v>
      </c>
      <c r="G325" s="1793">
        <v>12</v>
      </c>
      <c r="H325" s="1777">
        <f t="shared" si="156"/>
        <v>13524.48</v>
      </c>
      <c r="I325" s="675">
        <v>0.25</v>
      </c>
      <c r="J325" s="1776">
        <v>1</v>
      </c>
      <c r="K325" s="1722">
        <v>1182.4000000000001</v>
      </c>
      <c r="L325" s="1776">
        <v>12</v>
      </c>
      <c r="M325" s="1834">
        <f t="shared" si="157"/>
        <v>13524.48</v>
      </c>
      <c r="N325" s="675">
        <v>0.25</v>
      </c>
      <c r="O325" s="2918">
        <v>27048.959999999999</v>
      </c>
      <c r="P325" s="675">
        <v>0.25</v>
      </c>
      <c r="Q325" s="1777">
        <f t="shared" si="166"/>
        <v>6762.24</v>
      </c>
      <c r="R325" s="595" t="s">
        <v>221</v>
      </c>
      <c r="S325" s="1858">
        <f>'MERCY COPRS'!H53</f>
        <v>22199.702400000009</v>
      </c>
      <c r="T325" s="1763">
        <f t="shared" si="167"/>
        <v>0.82072295570698506</v>
      </c>
      <c r="U325" s="541"/>
      <c r="V325" s="591">
        <f t="shared" si="168"/>
        <v>0.82072295570698506</v>
      </c>
      <c r="W325" s="706">
        <f t="shared" si="169"/>
        <v>5549.9256000000023</v>
      </c>
      <c r="X325" s="92" t="s">
        <v>220</v>
      </c>
    </row>
    <row r="326" spans="1:43" s="450" customFormat="1" ht="39" x14ac:dyDescent="0.25">
      <c r="A326" s="2995"/>
      <c r="B326" s="595" t="s">
        <v>222</v>
      </c>
      <c r="C326" s="595" t="s">
        <v>14</v>
      </c>
      <c r="D326" s="1761" t="s">
        <v>1372</v>
      </c>
      <c r="E326" s="1793">
        <v>2</v>
      </c>
      <c r="F326" s="1775">
        <v>265</v>
      </c>
      <c r="G326" s="1793">
        <v>12</v>
      </c>
      <c r="H326" s="1777">
        <f t="shared" si="156"/>
        <v>4813.18</v>
      </c>
      <c r="I326" s="675">
        <v>0.25</v>
      </c>
      <c r="J326" s="1776">
        <v>2</v>
      </c>
      <c r="K326" s="1722">
        <v>272.95</v>
      </c>
      <c r="L326" s="1776">
        <v>12</v>
      </c>
      <c r="M326" s="1834">
        <f t="shared" si="157"/>
        <v>4813.18</v>
      </c>
      <c r="N326" s="675">
        <v>0.25</v>
      </c>
      <c r="O326" s="2918">
        <v>9626.36</v>
      </c>
      <c r="P326" s="675">
        <v>0.25</v>
      </c>
      <c r="Q326" s="1777">
        <f t="shared" si="166"/>
        <v>2406.59</v>
      </c>
      <c r="R326" s="595" t="s">
        <v>223</v>
      </c>
      <c r="S326" s="1858">
        <f>'MERCY COPRS'!H54</f>
        <v>9007.0300000000061</v>
      </c>
      <c r="T326" s="1763">
        <f t="shared" si="167"/>
        <v>0.93566311669208357</v>
      </c>
      <c r="U326" s="541"/>
      <c r="V326" s="591">
        <f t="shared" si="168"/>
        <v>0.93566311669208357</v>
      </c>
      <c r="W326" s="706">
        <f t="shared" si="169"/>
        <v>2251.7575000000015</v>
      </c>
      <c r="X326" s="92" t="s">
        <v>220</v>
      </c>
    </row>
    <row r="327" spans="1:43" s="450" customFormat="1" ht="39" x14ac:dyDescent="0.25">
      <c r="A327" s="2995"/>
      <c r="B327" s="595" t="s">
        <v>224</v>
      </c>
      <c r="C327" s="595" t="s">
        <v>14</v>
      </c>
      <c r="D327" s="1761" t="s">
        <v>1372</v>
      </c>
      <c r="E327" s="1793">
        <v>2</v>
      </c>
      <c r="F327" s="1775">
        <v>146</v>
      </c>
      <c r="G327" s="1793">
        <v>12</v>
      </c>
      <c r="H327" s="1777">
        <f t="shared" si="156"/>
        <v>3264.56</v>
      </c>
      <c r="I327" s="675">
        <v>0.25</v>
      </c>
      <c r="J327" s="1776">
        <v>2</v>
      </c>
      <c r="K327" s="1722">
        <v>150.38</v>
      </c>
      <c r="L327" s="1776">
        <v>12</v>
      </c>
      <c r="M327" s="1834">
        <f t="shared" si="157"/>
        <v>3264.56</v>
      </c>
      <c r="N327" s="675">
        <v>0.25</v>
      </c>
      <c r="O327" s="2918">
        <v>6529.12</v>
      </c>
      <c r="P327" s="675">
        <v>0.25</v>
      </c>
      <c r="Q327" s="1777">
        <f t="shared" si="166"/>
        <v>1632.28</v>
      </c>
      <c r="R327" s="595" t="s">
        <v>225</v>
      </c>
      <c r="S327" s="1858">
        <f>'MERCY COPRS'!H55</f>
        <v>6872.720000000003</v>
      </c>
      <c r="T327" s="1763">
        <f t="shared" si="167"/>
        <v>1.0526257749895855</v>
      </c>
      <c r="U327" s="541"/>
      <c r="V327" s="591">
        <f t="shared" si="168"/>
        <v>1.0526257749895855</v>
      </c>
      <c r="W327" s="706">
        <f t="shared" si="169"/>
        <v>1718.1800000000007</v>
      </c>
      <c r="X327" s="92" t="s">
        <v>220</v>
      </c>
    </row>
    <row r="328" spans="1:43" s="450" customFormat="1" ht="65" x14ac:dyDescent="0.25">
      <c r="A328" s="2995"/>
      <c r="B328" s="595" t="s">
        <v>226</v>
      </c>
      <c r="C328" s="595" t="s">
        <v>14</v>
      </c>
      <c r="D328" s="1761" t="s">
        <v>1372</v>
      </c>
      <c r="E328" s="1793">
        <v>1</v>
      </c>
      <c r="F328" s="1775">
        <v>200</v>
      </c>
      <c r="G328" s="1793">
        <v>12</v>
      </c>
      <c r="H328" s="1777">
        <f t="shared" si="156"/>
        <v>2200</v>
      </c>
      <c r="I328" s="675">
        <v>0.25</v>
      </c>
      <c r="J328" s="1776">
        <v>1</v>
      </c>
      <c r="K328" s="1722">
        <v>200</v>
      </c>
      <c r="L328" s="1776">
        <v>12</v>
      </c>
      <c r="M328" s="1834">
        <f t="shared" si="157"/>
        <v>2200</v>
      </c>
      <c r="N328" s="675">
        <v>0.25</v>
      </c>
      <c r="O328" s="2918">
        <v>4400</v>
      </c>
      <c r="P328" s="675">
        <v>0.25</v>
      </c>
      <c r="Q328" s="1777">
        <f t="shared" si="166"/>
        <v>1100</v>
      </c>
      <c r="R328" s="595" t="s">
        <v>227</v>
      </c>
      <c r="S328" s="1858">
        <f>'MERCY COPRS'!H56</f>
        <v>2672.26</v>
      </c>
      <c r="T328" s="1763">
        <f t="shared" si="167"/>
        <v>0.60733181818181825</v>
      </c>
      <c r="U328" s="541"/>
      <c r="V328" s="591">
        <f t="shared" si="168"/>
        <v>0.60733181818181825</v>
      </c>
      <c r="W328" s="706">
        <f t="shared" si="169"/>
        <v>668.06500000000005</v>
      </c>
      <c r="X328" s="92" t="s">
        <v>220</v>
      </c>
    </row>
    <row r="329" spans="1:43" s="454" customFormat="1" x14ac:dyDescent="0.25">
      <c r="A329" s="2996"/>
      <c r="B329" s="711" t="s">
        <v>573</v>
      </c>
      <c r="C329" s="711"/>
      <c r="D329" s="897"/>
      <c r="E329" s="712"/>
      <c r="F329" s="712"/>
      <c r="G329" s="712"/>
      <c r="H329" s="1123">
        <f>SUM(H320:H328)</f>
        <v>59800.159999999996</v>
      </c>
      <c r="I329" s="716"/>
      <c r="J329" s="1077"/>
      <c r="K329" s="1077"/>
      <c r="L329" s="1077"/>
      <c r="M329" s="2870">
        <f>SUM(M320:M328)</f>
        <v>59800.159999999996</v>
      </c>
      <c r="N329" s="716"/>
      <c r="O329" s="1123">
        <f>SUM(O320:O328)</f>
        <v>119600.31999999999</v>
      </c>
      <c r="P329" s="1076"/>
      <c r="Q329" s="713">
        <f>SUM(Q320:Q328)</f>
        <v>45369.05</v>
      </c>
      <c r="R329" s="1125"/>
      <c r="S329" s="1672">
        <f>SUM(S320:S328)</f>
        <v>73698.468400000012</v>
      </c>
      <c r="T329" s="1126">
        <f>S329/O329</f>
        <v>0.61620628105342878</v>
      </c>
      <c r="U329" s="715"/>
      <c r="V329" s="600">
        <f>W329/Q329</f>
        <v>0.53328084013220467</v>
      </c>
      <c r="W329" s="1127">
        <f>SUM(W320:W328)</f>
        <v>24194.445100000001</v>
      </c>
      <c r="X329" s="102"/>
      <c r="Y329" s="670"/>
      <c r="Z329" s="670"/>
      <c r="AA329" s="670"/>
      <c r="AB329" s="670"/>
      <c r="AC329" s="670"/>
      <c r="AD329" s="670"/>
      <c r="AE329" s="670"/>
      <c r="AF329" s="670"/>
      <c r="AG329" s="670"/>
      <c r="AH329" s="670"/>
      <c r="AI329" s="670"/>
      <c r="AJ329" s="670"/>
      <c r="AK329" s="670"/>
      <c r="AL329" s="670"/>
      <c r="AM329" s="670"/>
      <c r="AN329" s="670"/>
      <c r="AO329" s="670"/>
      <c r="AP329" s="670"/>
      <c r="AQ329" s="670"/>
    </row>
    <row r="330" spans="1:43" s="450" customFormat="1" ht="39" x14ac:dyDescent="0.25">
      <c r="A330" s="2994" t="s">
        <v>1302</v>
      </c>
      <c r="B330" s="595" t="s">
        <v>254</v>
      </c>
      <c r="C330" s="595" t="s">
        <v>15</v>
      </c>
      <c r="D330" s="1761" t="s">
        <v>1372</v>
      </c>
      <c r="E330" s="1793">
        <v>86</v>
      </c>
      <c r="F330" s="1775">
        <v>100</v>
      </c>
      <c r="G330" s="1793">
        <v>1</v>
      </c>
      <c r="H330" s="1777">
        <f t="shared" si="156"/>
        <v>8600</v>
      </c>
      <c r="I330" s="675">
        <v>0.5</v>
      </c>
      <c r="J330" s="1776">
        <v>86</v>
      </c>
      <c r="K330" s="1722">
        <v>100</v>
      </c>
      <c r="L330" s="1776">
        <v>1</v>
      </c>
      <c r="M330" s="1834">
        <f t="shared" si="157"/>
        <v>8600</v>
      </c>
      <c r="N330" s="675">
        <v>0.5</v>
      </c>
      <c r="O330" s="2918">
        <v>17200</v>
      </c>
      <c r="P330" s="675">
        <v>0.5</v>
      </c>
      <c r="Q330" s="1777">
        <f t="shared" ref="Q330:Q339" si="170">O330*P330</f>
        <v>8600</v>
      </c>
      <c r="R330" s="595" t="s">
        <v>255</v>
      </c>
      <c r="S330" s="1858">
        <f>'MERCY COPRS'!H58</f>
        <v>16566.91</v>
      </c>
      <c r="T330" s="1763">
        <f t="shared" si="167"/>
        <v>0.96319244186046515</v>
      </c>
      <c r="U330" s="541"/>
      <c r="V330" s="591">
        <f>W330/Q330</f>
        <v>0.96319244186046515</v>
      </c>
      <c r="W330" s="706">
        <f>P330*S330</f>
        <v>8283.4549999999999</v>
      </c>
      <c r="X330" s="92"/>
    </row>
    <row r="331" spans="1:43" s="450" customFormat="1" ht="39" x14ac:dyDescent="0.25">
      <c r="A331" s="2995"/>
      <c r="B331" s="595" t="s">
        <v>256</v>
      </c>
      <c r="C331" s="595" t="s">
        <v>15</v>
      </c>
      <c r="D331" s="1761" t="s">
        <v>1372</v>
      </c>
      <c r="E331" s="1793">
        <v>1</v>
      </c>
      <c r="F331" s="1775">
        <v>1000</v>
      </c>
      <c r="G331" s="1793">
        <v>6</v>
      </c>
      <c r="H331" s="1777">
        <f t="shared" si="156"/>
        <v>6000</v>
      </c>
      <c r="I331" s="675">
        <v>0.5</v>
      </c>
      <c r="J331" s="1776">
        <v>1</v>
      </c>
      <c r="K331" s="1722">
        <v>1000</v>
      </c>
      <c r="L331" s="1776">
        <v>6</v>
      </c>
      <c r="M331" s="1834">
        <f t="shared" si="157"/>
        <v>6000</v>
      </c>
      <c r="N331" s="675">
        <v>0.5</v>
      </c>
      <c r="O331" s="2918">
        <v>12000</v>
      </c>
      <c r="P331" s="675">
        <v>0.5</v>
      </c>
      <c r="Q331" s="1777">
        <f t="shared" si="170"/>
        <v>6000</v>
      </c>
      <c r="R331" s="595" t="s">
        <v>258</v>
      </c>
      <c r="S331" s="1858">
        <f>'MERCY COPRS'!H59</f>
        <v>7770</v>
      </c>
      <c r="T331" s="1763">
        <f t="shared" si="167"/>
        <v>0.64749999999999996</v>
      </c>
      <c r="U331" s="541"/>
      <c r="V331" s="591">
        <f t="shared" ref="V331:V339" si="171">W331/Q331</f>
        <v>0.64749999999999996</v>
      </c>
      <c r="W331" s="706">
        <f t="shared" ref="W331:W339" si="172">P331*S331</f>
        <v>3885</v>
      </c>
      <c r="X331" s="92" t="s">
        <v>257</v>
      </c>
    </row>
    <row r="332" spans="1:43" s="450" customFormat="1" ht="52" x14ac:dyDescent="0.25">
      <c r="A332" s="2995"/>
      <c r="B332" s="284" t="s">
        <v>209</v>
      </c>
      <c r="C332" s="1720" t="s">
        <v>17</v>
      </c>
      <c r="D332" s="1761" t="s">
        <v>1372</v>
      </c>
      <c r="E332" s="724">
        <v>1</v>
      </c>
      <c r="F332" s="1794">
        <v>80</v>
      </c>
      <c r="G332" s="724">
        <v>12</v>
      </c>
      <c r="H332" s="1777">
        <f t="shared" si="156"/>
        <v>2520</v>
      </c>
      <c r="I332" s="675">
        <v>0.5</v>
      </c>
      <c r="J332" s="1776">
        <v>1</v>
      </c>
      <c r="K332" s="710">
        <v>80</v>
      </c>
      <c r="L332" s="1795">
        <v>12</v>
      </c>
      <c r="M332" s="1834">
        <f t="shared" si="157"/>
        <v>2520</v>
      </c>
      <c r="N332" s="675">
        <v>0.5</v>
      </c>
      <c r="O332" s="2918">
        <v>5040</v>
      </c>
      <c r="P332" s="675">
        <v>0.5</v>
      </c>
      <c r="Q332" s="1777">
        <f t="shared" si="170"/>
        <v>2520</v>
      </c>
      <c r="R332" s="522" t="s">
        <v>211</v>
      </c>
      <c r="S332" s="1858">
        <f>'MERCY COPRS'!H60</f>
        <v>5252.4140000000007</v>
      </c>
      <c r="T332" s="1763">
        <f>S332/O332</f>
        <v>1.0421456349206351</v>
      </c>
      <c r="U332" s="541"/>
      <c r="V332" s="591">
        <f t="shared" si="171"/>
        <v>1.0421456349206351</v>
      </c>
      <c r="W332" s="706">
        <f t="shared" si="172"/>
        <v>2626.2070000000003</v>
      </c>
      <c r="X332" s="92" t="s">
        <v>210</v>
      </c>
    </row>
    <row r="333" spans="1:43" s="450" customFormat="1" ht="42.75" customHeight="1" x14ac:dyDescent="0.25">
      <c r="A333" s="2995"/>
      <c r="B333" s="284" t="s">
        <v>212</v>
      </c>
      <c r="C333" s="1720" t="s">
        <v>15</v>
      </c>
      <c r="D333" s="1761" t="s">
        <v>1372</v>
      </c>
      <c r="E333" s="724">
        <v>1</v>
      </c>
      <c r="F333" s="1794">
        <v>1063.9218000000001</v>
      </c>
      <c r="G333" s="724">
        <v>1</v>
      </c>
      <c r="H333" s="1777">
        <f t="shared" si="156"/>
        <v>797.94</v>
      </c>
      <c r="I333" s="675">
        <v>0.5</v>
      </c>
      <c r="J333" s="1776">
        <v>1</v>
      </c>
      <c r="K333" s="710">
        <v>1063.9218000000001</v>
      </c>
      <c r="L333" s="1795">
        <v>1</v>
      </c>
      <c r="M333" s="1834">
        <f t="shared" si="157"/>
        <v>797.94</v>
      </c>
      <c r="N333" s="675">
        <v>0.5</v>
      </c>
      <c r="O333" s="2918">
        <v>1595.88</v>
      </c>
      <c r="P333" s="675">
        <v>0.5</v>
      </c>
      <c r="Q333" s="1777">
        <f t="shared" si="170"/>
        <v>797.94</v>
      </c>
      <c r="R333" s="522" t="s">
        <v>213</v>
      </c>
      <c r="S333" s="1858">
        <f>'MERCY COPRS'!H61</f>
        <v>1341</v>
      </c>
      <c r="T333" s="1763">
        <f t="shared" si="167"/>
        <v>0.84028874351454996</v>
      </c>
      <c r="U333" s="541"/>
      <c r="V333" s="591">
        <f t="shared" si="171"/>
        <v>0.84028874351454996</v>
      </c>
      <c r="W333" s="706">
        <f t="shared" si="172"/>
        <v>670.5</v>
      </c>
      <c r="X333" s="92" t="s">
        <v>210</v>
      </c>
    </row>
    <row r="334" spans="1:43" s="450" customFormat="1" ht="53.25" customHeight="1" x14ac:dyDescent="0.25">
      <c r="A334" s="2995"/>
      <c r="B334" s="284" t="s">
        <v>214</v>
      </c>
      <c r="C334" s="1720" t="s">
        <v>15</v>
      </c>
      <c r="D334" s="1761" t="s">
        <v>1372</v>
      </c>
      <c r="E334" s="724">
        <v>1</v>
      </c>
      <c r="F334" s="1794">
        <v>150</v>
      </c>
      <c r="G334" s="724">
        <v>1</v>
      </c>
      <c r="H334" s="1777">
        <f t="shared" si="156"/>
        <v>150</v>
      </c>
      <c r="I334" s="675">
        <v>0.5</v>
      </c>
      <c r="J334" s="1776">
        <v>1</v>
      </c>
      <c r="K334" s="710">
        <v>150</v>
      </c>
      <c r="L334" s="1795">
        <v>1</v>
      </c>
      <c r="M334" s="1834">
        <f t="shared" si="157"/>
        <v>150</v>
      </c>
      <c r="N334" s="675">
        <v>0.5</v>
      </c>
      <c r="O334" s="2918">
        <v>300</v>
      </c>
      <c r="P334" s="675">
        <v>0.5</v>
      </c>
      <c r="Q334" s="1777">
        <f t="shared" si="170"/>
        <v>150</v>
      </c>
      <c r="R334" s="522" t="s">
        <v>216</v>
      </c>
      <c r="S334" s="1858">
        <f>'MERCY COPRS'!H62</f>
        <v>241</v>
      </c>
      <c r="T334" s="1763">
        <f t="shared" si="167"/>
        <v>0.80333333333333334</v>
      </c>
      <c r="U334" s="541"/>
      <c r="V334" s="591">
        <f t="shared" si="171"/>
        <v>0.80333333333333334</v>
      </c>
      <c r="W334" s="706">
        <f t="shared" si="172"/>
        <v>120.5</v>
      </c>
      <c r="X334" s="92" t="s">
        <v>215</v>
      </c>
    </row>
    <row r="335" spans="1:43" s="450" customFormat="1" ht="52" x14ac:dyDescent="0.25">
      <c r="A335" s="2995"/>
      <c r="B335" s="284" t="s">
        <v>217</v>
      </c>
      <c r="C335" s="1720" t="s">
        <v>14</v>
      </c>
      <c r="D335" s="1761" t="s">
        <v>1372</v>
      </c>
      <c r="E335" s="724">
        <v>1</v>
      </c>
      <c r="F335" s="1794">
        <v>204</v>
      </c>
      <c r="G335" s="724">
        <v>12</v>
      </c>
      <c r="H335" s="1777">
        <f t="shared" si="156"/>
        <v>2530</v>
      </c>
      <c r="I335" s="675"/>
      <c r="J335" s="1776">
        <v>1</v>
      </c>
      <c r="K335" s="710">
        <v>204</v>
      </c>
      <c r="L335" s="1795">
        <v>12</v>
      </c>
      <c r="M335" s="1834">
        <f t="shared" si="157"/>
        <v>2530</v>
      </c>
      <c r="N335" s="675">
        <v>0</v>
      </c>
      <c r="O335" s="2918">
        <v>5060</v>
      </c>
      <c r="P335" s="675">
        <v>0</v>
      </c>
      <c r="Q335" s="1777">
        <f t="shared" si="170"/>
        <v>0</v>
      </c>
      <c r="R335" s="522" t="s">
        <v>218</v>
      </c>
      <c r="S335" s="1858">
        <f>'MERCY COPRS'!H63</f>
        <v>4933.7219999999998</v>
      </c>
      <c r="T335" s="1763">
        <f t="shared" si="167"/>
        <v>0.97504387351778654</v>
      </c>
      <c r="U335" s="541"/>
      <c r="V335" s="591">
        <v>0</v>
      </c>
      <c r="W335" s="706">
        <f t="shared" si="172"/>
        <v>0</v>
      </c>
      <c r="X335" s="92"/>
    </row>
    <row r="336" spans="1:43" s="450" customFormat="1" ht="78" x14ac:dyDescent="0.25">
      <c r="A336" s="2995"/>
      <c r="B336" s="284" t="s">
        <v>219</v>
      </c>
      <c r="C336" s="595" t="s">
        <v>14</v>
      </c>
      <c r="D336" s="1761" t="s">
        <v>1372</v>
      </c>
      <c r="E336" s="1793">
        <v>1</v>
      </c>
      <c r="F336" s="1775">
        <v>1182.4000000000001</v>
      </c>
      <c r="G336" s="1793">
        <v>12</v>
      </c>
      <c r="H336" s="1777">
        <f t="shared" si="156"/>
        <v>13524.48</v>
      </c>
      <c r="I336" s="675">
        <v>0.25</v>
      </c>
      <c r="J336" s="1776">
        <v>1</v>
      </c>
      <c r="K336" s="1722">
        <v>1182.4000000000001</v>
      </c>
      <c r="L336" s="1776">
        <v>12</v>
      </c>
      <c r="M336" s="1834">
        <f t="shared" si="157"/>
        <v>13524.48</v>
      </c>
      <c r="N336" s="675">
        <v>0.25</v>
      </c>
      <c r="O336" s="2918">
        <v>27048.959999999999</v>
      </c>
      <c r="P336" s="675">
        <v>0.25</v>
      </c>
      <c r="Q336" s="1777">
        <f t="shared" si="170"/>
        <v>6762.24</v>
      </c>
      <c r="R336" s="595" t="s">
        <v>221</v>
      </c>
      <c r="S336" s="1858">
        <f>'MERCY COPRS'!H64</f>
        <v>22199.702400000009</v>
      </c>
      <c r="T336" s="1763">
        <f t="shared" si="167"/>
        <v>0.82072295570698506</v>
      </c>
      <c r="U336" s="541"/>
      <c r="V336" s="591">
        <f t="shared" si="171"/>
        <v>0.82072295570698506</v>
      </c>
      <c r="W336" s="706">
        <f t="shared" si="172"/>
        <v>5549.9256000000023</v>
      </c>
      <c r="X336" s="92" t="s">
        <v>220</v>
      </c>
    </row>
    <row r="337" spans="1:43" s="450" customFormat="1" ht="39" x14ac:dyDescent="0.25">
      <c r="A337" s="2995"/>
      <c r="B337" s="595" t="s">
        <v>222</v>
      </c>
      <c r="C337" s="595" t="s">
        <v>14</v>
      </c>
      <c r="D337" s="1761" t="s">
        <v>1372</v>
      </c>
      <c r="E337" s="1793">
        <v>2</v>
      </c>
      <c r="F337" s="1775">
        <v>265</v>
      </c>
      <c r="G337" s="1793">
        <v>12</v>
      </c>
      <c r="H337" s="1777">
        <f t="shared" si="156"/>
        <v>4813.18</v>
      </c>
      <c r="I337" s="675">
        <v>0.25</v>
      </c>
      <c r="J337" s="1776">
        <v>2</v>
      </c>
      <c r="K337" s="1722">
        <v>272.95</v>
      </c>
      <c r="L337" s="1776">
        <v>12</v>
      </c>
      <c r="M337" s="1834">
        <f t="shared" si="157"/>
        <v>4813.18</v>
      </c>
      <c r="N337" s="675">
        <v>0.25</v>
      </c>
      <c r="O337" s="2918">
        <v>9626.36</v>
      </c>
      <c r="P337" s="675">
        <v>0.25</v>
      </c>
      <c r="Q337" s="1777">
        <f t="shared" si="170"/>
        <v>2406.59</v>
      </c>
      <c r="R337" s="595" t="s">
        <v>223</v>
      </c>
      <c r="S337" s="1858">
        <f>'MERCY COPRS'!H65</f>
        <v>9007.0300000000061</v>
      </c>
      <c r="T337" s="1763">
        <f t="shared" si="167"/>
        <v>0.93566311669208357</v>
      </c>
      <c r="U337" s="541"/>
      <c r="V337" s="591">
        <f t="shared" si="171"/>
        <v>0.93566311669208357</v>
      </c>
      <c r="W337" s="706">
        <f t="shared" si="172"/>
        <v>2251.7575000000015</v>
      </c>
      <c r="X337" s="92" t="s">
        <v>220</v>
      </c>
    </row>
    <row r="338" spans="1:43" s="450" customFormat="1" ht="39" x14ac:dyDescent="0.25">
      <c r="A338" s="2995"/>
      <c r="B338" s="595" t="s">
        <v>224</v>
      </c>
      <c r="C338" s="595" t="s">
        <v>14</v>
      </c>
      <c r="D338" s="1761" t="s">
        <v>1372</v>
      </c>
      <c r="E338" s="1793">
        <v>2</v>
      </c>
      <c r="F338" s="1775">
        <v>146</v>
      </c>
      <c r="G338" s="1793">
        <v>12</v>
      </c>
      <c r="H338" s="1777">
        <f t="shared" si="156"/>
        <v>3264.56</v>
      </c>
      <c r="I338" s="675">
        <v>0.25</v>
      </c>
      <c r="J338" s="1776">
        <v>2</v>
      </c>
      <c r="K338" s="1722">
        <v>150.38</v>
      </c>
      <c r="L338" s="1776">
        <v>12</v>
      </c>
      <c r="M338" s="1834">
        <f t="shared" si="157"/>
        <v>3264.56</v>
      </c>
      <c r="N338" s="675">
        <v>0.25</v>
      </c>
      <c r="O338" s="2918">
        <v>6529.12</v>
      </c>
      <c r="P338" s="675">
        <v>0.25</v>
      </c>
      <c r="Q338" s="1777">
        <f t="shared" si="170"/>
        <v>1632.28</v>
      </c>
      <c r="R338" s="595" t="s">
        <v>225</v>
      </c>
      <c r="S338" s="1858">
        <f>'MERCY COPRS'!H66</f>
        <v>6872.720000000003</v>
      </c>
      <c r="T338" s="1763">
        <f t="shared" si="167"/>
        <v>1.0526257749895855</v>
      </c>
      <c r="U338" s="541"/>
      <c r="V338" s="591">
        <f t="shared" si="171"/>
        <v>1.0526257749895855</v>
      </c>
      <c r="W338" s="706">
        <f t="shared" si="172"/>
        <v>1718.1800000000007</v>
      </c>
      <c r="X338" s="92" t="s">
        <v>220</v>
      </c>
    </row>
    <row r="339" spans="1:43" s="450" customFormat="1" ht="65" x14ac:dyDescent="0.25">
      <c r="A339" s="2995"/>
      <c r="B339" s="595" t="s">
        <v>226</v>
      </c>
      <c r="C339" s="595" t="s">
        <v>14</v>
      </c>
      <c r="D339" s="1761" t="s">
        <v>1372</v>
      </c>
      <c r="E339" s="1793">
        <v>1</v>
      </c>
      <c r="F339" s="1775">
        <v>200</v>
      </c>
      <c r="G339" s="1793">
        <v>12</v>
      </c>
      <c r="H339" s="1777">
        <f t="shared" si="156"/>
        <v>2200</v>
      </c>
      <c r="I339" s="675">
        <v>0.25</v>
      </c>
      <c r="J339" s="1776">
        <v>1</v>
      </c>
      <c r="K339" s="1722">
        <v>200</v>
      </c>
      <c r="L339" s="1776">
        <v>12</v>
      </c>
      <c r="M339" s="1834">
        <f t="shared" si="157"/>
        <v>2200</v>
      </c>
      <c r="N339" s="675">
        <v>0.25</v>
      </c>
      <c r="O339" s="2918">
        <v>4400</v>
      </c>
      <c r="P339" s="675">
        <v>0.25</v>
      </c>
      <c r="Q339" s="1777">
        <f t="shared" si="170"/>
        <v>1100</v>
      </c>
      <c r="R339" s="595" t="s">
        <v>227</v>
      </c>
      <c r="S339" s="1858">
        <f>'MERCY COPRS'!H67</f>
        <v>2672.26</v>
      </c>
      <c r="T339" s="1763">
        <f t="shared" si="167"/>
        <v>0.60733181818181825</v>
      </c>
      <c r="U339" s="541"/>
      <c r="V339" s="591">
        <f t="shared" si="171"/>
        <v>0.60733181818181825</v>
      </c>
      <c r="W339" s="706">
        <f t="shared" si="172"/>
        <v>668.06500000000005</v>
      </c>
      <c r="X339" s="92" t="s">
        <v>220</v>
      </c>
    </row>
    <row r="340" spans="1:43" s="454" customFormat="1" x14ac:dyDescent="0.25">
      <c r="A340" s="2996"/>
      <c r="B340" s="711" t="s">
        <v>573</v>
      </c>
      <c r="C340" s="711"/>
      <c r="D340" s="897"/>
      <c r="E340" s="712"/>
      <c r="F340" s="712"/>
      <c r="G340" s="712"/>
      <c r="H340" s="1123">
        <f>SUM(H330:H339)</f>
        <v>44400.159999999996</v>
      </c>
      <c r="I340" s="716"/>
      <c r="J340" s="1077"/>
      <c r="K340" s="1077"/>
      <c r="L340" s="1077"/>
      <c r="M340" s="2870">
        <f>SUM(M330:M339)</f>
        <v>44400.159999999996</v>
      </c>
      <c r="N340" s="716"/>
      <c r="O340" s="1123">
        <f>SUM(O330:O339)</f>
        <v>88800.319999999992</v>
      </c>
      <c r="P340" s="1076"/>
      <c r="Q340" s="713">
        <f>SUM(Q330:Q339)</f>
        <v>29969.05</v>
      </c>
      <c r="R340" s="1125"/>
      <c r="S340" s="1672">
        <f>SUM(S330:S339)</f>
        <v>76856.758400000006</v>
      </c>
      <c r="T340" s="1126">
        <f>S340/O340</f>
        <v>0.86550091711381238</v>
      </c>
      <c r="U340" s="715"/>
      <c r="V340" s="600">
        <f>W340/Q340</f>
        <v>0.86000691046262745</v>
      </c>
      <c r="W340" s="1127">
        <f>SUM(W330:W339)</f>
        <v>25773.590100000005</v>
      </c>
      <c r="X340" s="600"/>
      <c r="Y340" s="670"/>
      <c r="Z340" s="670"/>
      <c r="AA340" s="670"/>
      <c r="AB340" s="670"/>
      <c r="AC340" s="670"/>
      <c r="AD340" s="670"/>
      <c r="AE340" s="670"/>
      <c r="AF340" s="670"/>
      <c r="AG340" s="670"/>
      <c r="AH340" s="670"/>
      <c r="AI340" s="670"/>
      <c r="AJ340" s="670"/>
      <c r="AK340" s="670"/>
      <c r="AL340" s="670"/>
      <c r="AM340" s="670"/>
      <c r="AN340" s="670"/>
      <c r="AO340" s="670"/>
      <c r="AP340" s="670"/>
      <c r="AQ340" s="670"/>
    </row>
    <row r="341" spans="1:43" x14ac:dyDescent="0.25">
      <c r="A341" s="3000" t="s">
        <v>1304</v>
      </c>
      <c r="B341" s="3001"/>
      <c r="C341" s="3001"/>
      <c r="D341" s="3001"/>
      <c r="E341" s="3001"/>
      <c r="F341" s="3001"/>
      <c r="G341" s="3001"/>
      <c r="H341" s="3001"/>
      <c r="I341" s="3001"/>
      <c r="J341" s="3001"/>
      <c r="K341" s="3001"/>
      <c r="L341" s="3001"/>
      <c r="M341" s="3001"/>
      <c r="N341" s="3001"/>
      <c r="O341" s="3001"/>
      <c r="P341" s="3001"/>
      <c r="Q341" s="3001"/>
      <c r="R341" s="3002"/>
      <c r="S341" s="1671"/>
      <c r="T341" s="1088"/>
      <c r="U341" s="893"/>
      <c r="V341" s="1103"/>
      <c r="W341" s="1104"/>
      <c r="X341" s="1105"/>
      <c r="Y341" s="448"/>
      <c r="Z341" s="448"/>
      <c r="AA341" s="448"/>
      <c r="AB341" s="448"/>
      <c r="AC341" s="448"/>
      <c r="AD341" s="448"/>
      <c r="AE341" s="448"/>
      <c r="AF341" s="448"/>
      <c r="AG341" s="448"/>
      <c r="AH341" s="448"/>
      <c r="AI341" s="448"/>
      <c r="AJ341" s="448"/>
      <c r="AK341" s="448"/>
      <c r="AL341" s="448"/>
      <c r="AM341" s="448"/>
      <c r="AN341" s="448"/>
      <c r="AO341" s="448"/>
      <c r="AP341" s="448"/>
      <c r="AQ341" s="448"/>
    </row>
    <row r="342" spans="1:43" s="450" customFormat="1" ht="26" x14ac:dyDescent="0.25">
      <c r="A342" s="3003" t="s">
        <v>1305</v>
      </c>
      <c r="B342" s="595" t="s">
        <v>1306</v>
      </c>
      <c r="C342" s="266" t="s">
        <v>47</v>
      </c>
      <c r="D342" s="467" t="s">
        <v>724</v>
      </c>
      <c r="E342" s="468">
        <v>1</v>
      </c>
      <c r="F342" s="467">
        <v>5000</v>
      </c>
      <c r="G342" s="467">
        <v>1</v>
      </c>
      <c r="H342" s="722">
        <f>CARITAS!H41</f>
        <v>5000</v>
      </c>
      <c r="I342" s="714">
        <v>0.5</v>
      </c>
      <c r="J342" s="1796">
        <v>0</v>
      </c>
      <c r="K342" s="1796">
        <v>0</v>
      </c>
      <c r="L342" s="1796">
        <v>0</v>
      </c>
      <c r="M342" s="2875">
        <v>0</v>
      </c>
      <c r="N342" s="1784">
        <f>M342*30%</f>
        <v>0</v>
      </c>
      <c r="O342" s="2921">
        <f>H342+M342</f>
        <v>5000</v>
      </c>
      <c r="P342" s="675">
        <v>0.5</v>
      </c>
      <c r="Q342" s="709">
        <f>O342/2</f>
        <v>2500</v>
      </c>
      <c r="R342" s="1781" t="s">
        <v>785</v>
      </c>
      <c r="S342" s="452">
        <f>CARITAS!S41</f>
        <v>5000</v>
      </c>
      <c r="T342" s="591">
        <f>S342/O342</f>
        <v>1</v>
      </c>
      <c r="U342" s="595" t="s">
        <v>729</v>
      </c>
      <c r="V342" s="591">
        <f>W342/Q342</f>
        <v>1</v>
      </c>
      <c r="W342" s="452">
        <f>P342*S342</f>
        <v>2500</v>
      </c>
      <c r="X342" s="541"/>
      <c r="Y342" s="273"/>
      <c r="Z342" s="273"/>
      <c r="AA342" s="273"/>
      <c r="AB342" s="273"/>
      <c r="AC342" s="273"/>
      <c r="AD342" s="273"/>
      <c r="AE342" s="273"/>
      <c r="AF342" s="273"/>
      <c r="AG342" s="273"/>
      <c r="AH342" s="273"/>
      <c r="AI342" s="273"/>
      <c r="AJ342" s="273"/>
      <c r="AK342" s="273"/>
      <c r="AL342" s="273"/>
      <c r="AM342" s="273"/>
      <c r="AN342" s="273"/>
      <c r="AO342" s="273"/>
      <c r="AP342" s="273"/>
      <c r="AQ342" s="273"/>
    </row>
    <row r="343" spans="1:43" s="450" customFormat="1" ht="26" x14ac:dyDescent="0.25">
      <c r="A343" s="3004"/>
      <c r="B343" s="595" t="s">
        <v>1307</v>
      </c>
      <c r="C343" s="266" t="s">
        <v>48</v>
      </c>
      <c r="D343" s="467" t="s">
        <v>724</v>
      </c>
      <c r="E343" s="468">
        <v>7</v>
      </c>
      <c r="F343" s="467">
        <v>800</v>
      </c>
      <c r="G343" s="467">
        <v>1</v>
      </c>
      <c r="H343" s="722">
        <f>CARITAS!H42</f>
        <v>5600</v>
      </c>
      <c r="I343" s="714">
        <v>0.15</v>
      </c>
      <c r="J343" s="1796">
        <v>0</v>
      </c>
      <c r="K343" s="1796">
        <v>0</v>
      </c>
      <c r="L343" s="1796">
        <v>0</v>
      </c>
      <c r="M343" s="2875">
        <v>0</v>
      </c>
      <c r="N343" s="1784">
        <f t="shared" ref="N343:N351" si="173">M343*30%</f>
        <v>0</v>
      </c>
      <c r="O343" s="2921">
        <f t="shared" ref="O343:O351" si="174">H343+M343</f>
        <v>5600</v>
      </c>
      <c r="P343" s="675">
        <v>0.5</v>
      </c>
      <c r="Q343" s="709">
        <f t="shared" ref="Q343:Q347" si="175">O343/2</f>
        <v>2800</v>
      </c>
      <c r="R343" s="1781" t="s">
        <v>787</v>
      </c>
      <c r="S343" s="452">
        <f>CARITAS!S42</f>
        <v>5600</v>
      </c>
      <c r="T343" s="591">
        <f t="shared" ref="T343:T380" si="176">S343/O343</f>
        <v>1</v>
      </c>
      <c r="U343" s="595" t="s">
        <v>729</v>
      </c>
      <c r="V343" s="591">
        <f t="shared" ref="V343:V351" si="177">W343/Q343</f>
        <v>1</v>
      </c>
      <c r="W343" s="452">
        <f t="shared" ref="W343:W351" si="178">P343*S343</f>
        <v>2800</v>
      </c>
      <c r="X343" s="541" t="s">
        <v>788</v>
      </c>
      <c r="Y343" s="273"/>
      <c r="Z343" s="273"/>
      <c r="AA343" s="273"/>
      <c r="AB343" s="273"/>
      <c r="AC343" s="273"/>
      <c r="AD343" s="273"/>
      <c r="AE343" s="273"/>
      <c r="AF343" s="273"/>
      <c r="AG343" s="273"/>
      <c r="AH343" s="273"/>
      <c r="AI343" s="273"/>
      <c r="AJ343" s="273"/>
      <c r="AK343" s="273"/>
      <c r="AL343" s="273"/>
      <c r="AM343" s="273"/>
      <c r="AN343" s="273"/>
      <c r="AO343" s="273"/>
      <c r="AP343" s="273"/>
      <c r="AQ343" s="273"/>
    </row>
    <row r="344" spans="1:43" s="450" customFormat="1" ht="26" x14ac:dyDescent="0.25">
      <c r="A344" s="3004"/>
      <c r="B344" s="595" t="s">
        <v>1308</v>
      </c>
      <c r="C344" s="266" t="s">
        <v>17</v>
      </c>
      <c r="D344" s="467" t="s">
        <v>724</v>
      </c>
      <c r="E344" s="468">
        <v>7</v>
      </c>
      <c r="F344" s="467">
        <v>400</v>
      </c>
      <c r="G344" s="467">
        <v>1</v>
      </c>
      <c r="H344" s="722">
        <f>CARITAS!H43</f>
        <v>2800</v>
      </c>
      <c r="I344" s="714">
        <v>0.5</v>
      </c>
      <c r="J344" s="1796">
        <v>0</v>
      </c>
      <c r="K344" s="1796">
        <v>0</v>
      </c>
      <c r="L344" s="1796">
        <v>0</v>
      </c>
      <c r="M344" s="2875">
        <v>0</v>
      </c>
      <c r="N344" s="1784">
        <f t="shared" si="173"/>
        <v>0</v>
      </c>
      <c r="O344" s="2921">
        <f t="shared" si="174"/>
        <v>2800</v>
      </c>
      <c r="P344" s="675">
        <v>0.5</v>
      </c>
      <c r="Q344" s="709">
        <f t="shared" si="175"/>
        <v>1400</v>
      </c>
      <c r="R344" s="1781" t="s">
        <v>787</v>
      </c>
      <c r="S344" s="452">
        <f>CARITAS!S43</f>
        <v>2800</v>
      </c>
      <c r="T344" s="591">
        <f t="shared" si="176"/>
        <v>1</v>
      </c>
      <c r="U344" s="595" t="s">
        <v>729</v>
      </c>
      <c r="V344" s="591">
        <f t="shared" si="177"/>
        <v>1</v>
      </c>
      <c r="W344" s="452">
        <f t="shared" si="178"/>
        <v>1400</v>
      </c>
      <c r="X344" s="541" t="s">
        <v>788</v>
      </c>
      <c r="Y344" s="273"/>
      <c r="Z344" s="273"/>
      <c r="AA344" s="273"/>
      <c r="AB344" s="273"/>
      <c r="AC344" s="273"/>
      <c r="AD344" s="273"/>
      <c r="AE344" s="273"/>
      <c r="AF344" s="273"/>
      <c r="AG344" s="273"/>
      <c r="AH344" s="273"/>
      <c r="AI344" s="273"/>
      <c r="AJ344" s="273"/>
      <c r="AK344" s="273"/>
      <c r="AL344" s="273"/>
      <c r="AM344" s="273"/>
      <c r="AN344" s="273"/>
      <c r="AO344" s="273"/>
      <c r="AP344" s="273"/>
      <c r="AQ344" s="273"/>
    </row>
    <row r="345" spans="1:43" s="450" customFormat="1" ht="26" x14ac:dyDescent="0.25">
      <c r="A345" s="3004"/>
      <c r="B345" s="595" t="s">
        <v>1309</v>
      </c>
      <c r="C345" s="266" t="s">
        <v>17</v>
      </c>
      <c r="D345" s="467" t="s">
        <v>724</v>
      </c>
      <c r="E345" s="468">
        <v>7</v>
      </c>
      <c r="F345" s="467">
        <v>400</v>
      </c>
      <c r="G345" s="467">
        <v>1</v>
      </c>
      <c r="H345" s="722">
        <f>CARITAS!H44</f>
        <v>2800</v>
      </c>
      <c r="I345" s="714">
        <v>0.5</v>
      </c>
      <c r="J345" s="1796">
        <v>0</v>
      </c>
      <c r="K345" s="1796">
        <v>0</v>
      </c>
      <c r="L345" s="1796">
        <v>0</v>
      </c>
      <c r="M345" s="2875">
        <v>0</v>
      </c>
      <c r="N345" s="1784">
        <f t="shared" si="173"/>
        <v>0</v>
      </c>
      <c r="O345" s="2921">
        <f t="shared" si="174"/>
        <v>2800</v>
      </c>
      <c r="P345" s="675">
        <v>0.5</v>
      </c>
      <c r="Q345" s="709">
        <f t="shared" si="175"/>
        <v>1400</v>
      </c>
      <c r="R345" s="1781" t="s">
        <v>787</v>
      </c>
      <c r="S345" s="452">
        <f>CARITAS!S44</f>
        <v>2800</v>
      </c>
      <c r="T345" s="591">
        <f t="shared" si="176"/>
        <v>1</v>
      </c>
      <c r="U345" s="595" t="s">
        <v>729</v>
      </c>
      <c r="V345" s="591">
        <f t="shared" si="177"/>
        <v>1</v>
      </c>
      <c r="W345" s="452">
        <f t="shared" si="178"/>
        <v>1400</v>
      </c>
      <c r="X345" s="595" t="s">
        <v>791</v>
      </c>
      <c r="Y345" s="273"/>
      <c r="Z345" s="273"/>
      <c r="AA345" s="273"/>
      <c r="AB345" s="273"/>
      <c r="AC345" s="273"/>
      <c r="AD345" s="273"/>
      <c r="AE345" s="273"/>
      <c r="AF345" s="273"/>
      <c r="AG345" s="273"/>
      <c r="AH345" s="273"/>
      <c r="AI345" s="273"/>
      <c r="AJ345" s="273"/>
      <c r="AK345" s="273"/>
      <c r="AL345" s="273"/>
      <c r="AM345" s="273"/>
      <c r="AN345" s="273"/>
      <c r="AO345" s="273"/>
      <c r="AP345" s="273"/>
      <c r="AQ345" s="273"/>
    </row>
    <row r="346" spans="1:43" s="450" customFormat="1" ht="26" x14ac:dyDescent="0.25">
      <c r="A346" s="3004"/>
      <c r="B346" s="595" t="s">
        <v>1310</v>
      </c>
      <c r="C346" s="266" t="s">
        <v>48</v>
      </c>
      <c r="D346" s="467" t="s">
        <v>724</v>
      </c>
      <c r="E346" s="468">
        <v>1</v>
      </c>
      <c r="F346" s="467">
        <v>32150</v>
      </c>
      <c r="G346" s="467">
        <v>1</v>
      </c>
      <c r="H346" s="722">
        <f>CARITAS!H45</f>
        <v>32150</v>
      </c>
      <c r="I346" s="714">
        <v>0</v>
      </c>
      <c r="J346" s="1796">
        <v>0</v>
      </c>
      <c r="K346" s="1796">
        <v>0</v>
      </c>
      <c r="L346" s="1796">
        <v>0</v>
      </c>
      <c r="M346" s="2875">
        <v>0</v>
      </c>
      <c r="N346" s="1784">
        <f t="shared" si="173"/>
        <v>0</v>
      </c>
      <c r="O346" s="2921">
        <f t="shared" si="174"/>
        <v>32150</v>
      </c>
      <c r="P346" s="675">
        <v>0.5</v>
      </c>
      <c r="Q346" s="709">
        <f t="shared" si="175"/>
        <v>16075</v>
      </c>
      <c r="R346" s="1781" t="s">
        <v>793</v>
      </c>
      <c r="S346" s="452">
        <f>CARITAS!S45</f>
        <v>32150</v>
      </c>
      <c r="T346" s="591">
        <f t="shared" si="176"/>
        <v>1</v>
      </c>
      <c r="U346" s="595" t="s">
        <v>729</v>
      </c>
      <c r="V346" s="591">
        <f t="shared" si="177"/>
        <v>1</v>
      </c>
      <c r="W346" s="452">
        <f t="shared" si="178"/>
        <v>16075</v>
      </c>
      <c r="X346" s="595" t="s">
        <v>794</v>
      </c>
      <c r="Y346" s="273"/>
      <c r="Z346" s="273"/>
      <c r="AA346" s="273"/>
      <c r="AB346" s="273"/>
      <c r="AC346" s="273"/>
      <c r="AD346" s="273"/>
      <c r="AE346" s="273"/>
      <c r="AF346" s="273"/>
      <c r="AG346" s="273"/>
      <c r="AH346" s="273"/>
      <c r="AI346" s="273"/>
      <c r="AJ346" s="273"/>
      <c r="AK346" s="273"/>
      <c r="AL346" s="273"/>
      <c r="AM346" s="273"/>
      <c r="AN346" s="273"/>
      <c r="AO346" s="273"/>
      <c r="AP346" s="273"/>
      <c r="AQ346" s="273"/>
    </row>
    <row r="347" spans="1:43" s="450" customFormat="1" ht="26" x14ac:dyDescent="0.25">
      <c r="A347" s="3004"/>
      <c r="B347" s="595" t="s">
        <v>1311</v>
      </c>
      <c r="C347" s="266" t="s">
        <v>48</v>
      </c>
      <c r="D347" s="467" t="s">
        <v>724</v>
      </c>
      <c r="E347" s="468">
        <v>5</v>
      </c>
      <c r="F347" s="467">
        <v>7900</v>
      </c>
      <c r="G347" s="467">
        <v>1</v>
      </c>
      <c r="H347" s="722">
        <f>CARITAS!H46</f>
        <v>39500</v>
      </c>
      <c r="I347" s="714">
        <v>0</v>
      </c>
      <c r="J347" s="1796">
        <v>0</v>
      </c>
      <c r="K347" s="1796">
        <v>0</v>
      </c>
      <c r="L347" s="1796">
        <v>0</v>
      </c>
      <c r="M347" s="2875">
        <v>0</v>
      </c>
      <c r="N347" s="1784">
        <f t="shared" si="173"/>
        <v>0</v>
      </c>
      <c r="O347" s="2921">
        <f t="shared" si="174"/>
        <v>39500</v>
      </c>
      <c r="P347" s="675">
        <v>0.5</v>
      </c>
      <c r="Q347" s="709">
        <f t="shared" si="175"/>
        <v>19750</v>
      </c>
      <c r="R347" s="1781" t="s">
        <v>796</v>
      </c>
      <c r="S347" s="452">
        <f>CARITAS!S46</f>
        <v>39500</v>
      </c>
      <c r="T347" s="591">
        <f t="shared" si="176"/>
        <v>1</v>
      </c>
      <c r="U347" s="595" t="s">
        <v>729</v>
      </c>
      <c r="V347" s="591">
        <f t="shared" si="177"/>
        <v>1</v>
      </c>
      <c r="W347" s="452">
        <f t="shared" si="178"/>
        <v>19750</v>
      </c>
      <c r="X347" s="595" t="s">
        <v>794</v>
      </c>
      <c r="Y347" s="273"/>
      <c r="Z347" s="273"/>
      <c r="AA347" s="273"/>
      <c r="AB347" s="273"/>
      <c r="AC347" s="273"/>
      <c r="AD347" s="273"/>
      <c r="AE347" s="273"/>
      <c r="AF347" s="273"/>
      <c r="AG347" s="273"/>
      <c r="AH347" s="273"/>
      <c r="AI347" s="273"/>
      <c r="AJ347" s="273"/>
      <c r="AK347" s="273"/>
      <c r="AL347" s="273"/>
      <c r="AM347" s="273"/>
      <c r="AN347" s="273"/>
      <c r="AO347" s="273"/>
      <c r="AP347" s="273"/>
      <c r="AQ347" s="273"/>
    </row>
    <row r="348" spans="1:43" s="450" customFormat="1" x14ac:dyDescent="0.25">
      <c r="A348" s="3004"/>
      <c r="B348" s="595" t="s">
        <v>1312</v>
      </c>
      <c r="C348" s="266"/>
      <c r="D348" s="467" t="s">
        <v>724</v>
      </c>
      <c r="E348" s="468"/>
      <c r="F348" s="467"/>
      <c r="G348" s="467"/>
      <c r="H348" s="722">
        <f>CARITAS!H47</f>
        <v>0</v>
      </c>
      <c r="I348" s="714"/>
      <c r="J348" s="1796"/>
      <c r="K348" s="1796"/>
      <c r="L348" s="1796"/>
      <c r="M348" s="2875"/>
      <c r="N348" s="1784"/>
      <c r="O348" s="2921">
        <f t="shared" si="174"/>
        <v>0</v>
      </c>
      <c r="P348" s="675"/>
      <c r="Q348" s="709"/>
      <c r="R348" s="1781"/>
      <c r="S348" s="452">
        <f>CARITAS!S47</f>
        <v>0</v>
      </c>
      <c r="T348" s="591"/>
      <c r="U348" s="595"/>
      <c r="V348" s="591"/>
      <c r="W348" s="452"/>
      <c r="X348" s="541"/>
      <c r="Y348" s="273"/>
      <c r="Z348" s="273"/>
      <c r="AA348" s="273"/>
      <c r="AB348" s="273"/>
      <c r="AC348" s="273"/>
      <c r="AD348" s="273"/>
      <c r="AE348" s="273"/>
      <c r="AF348" s="273"/>
      <c r="AG348" s="273"/>
      <c r="AH348" s="273"/>
      <c r="AI348" s="273"/>
      <c r="AJ348" s="273"/>
      <c r="AK348" s="273"/>
      <c r="AL348" s="273"/>
      <c r="AM348" s="273"/>
      <c r="AN348" s="273"/>
      <c r="AO348" s="273"/>
      <c r="AP348" s="273"/>
      <c r="AQ348" s="273"/>
    </row>
    <row r="349" spans="1:43" s="450" customFormat="1" ht="26" x14ac:dyDescent="0.25">
      <c r="A349" s="3004"/>
      <c r="B349" s="595" t="s">
        <v>1313</v>
      </c>
      <c r="C349" s="266" t="s">
        <v>48</v>
      </c>
      <c r="D349" s="467" t="s">
        <v>724</v>
      </c>
      <c r="E349" s="468">
        <f>3*6</f>
        <v>18</v>
      </c>
      <c r="F349" s="467">
        <v>500</v>
      </c>
      <c r="G349" s="467">
        <v>4</v>
      </c>
      <c r="H349" s="722">
        <f>CARITAS!H48</f>
        <v>36000</v>
      </c>
      <c r="I349" s="714">
        <v>0.16</v>
      </c>
      <c r="J349" s="1796">
        <v>0</v>
      </c>
      <c r="K349" s="1796">
        <v>0</v>
      </c>
      <c r="L349" s="1796">
        <v>0</v>
      </c>
      <c r="M349" s="2875">
        <v>0</v>
      </c>
      <c r="N349" s="1784">
        <f t="shared" si="173"/>
        <v>0</v>
      </c>
      <c r="O349" s="2921">
        <f t="shared" si="174"/>
        <v>36000</v>
      </c>
      <c r="P349" s="675">
        <v>0.5</v>
      </c>
      <c r="Q349" s="709">
        <f>O349/2</f>
        <v>18000</v>
      </c>
      <c r="R349" s="1781" t="s">
        <v>799</v>
      </c>
      <c r="S349" s="452">
        <f>CARITAS!S48</f>
        <v>35999</v>
      </c>
      <c r="T349" s="591">
        <f t="shared" si="176"/>
        <v>0.99997222222222226</v>
      </c>
      <c r="U349" s="595" t="s">
        <v>1471</v>
      </c>
      <c r="V349" s="591">
        <f t="shared" si="177"/>
        <v>0.99997222222222226</v>
      </c>
      <c r="W349" s="452">
        <f t="shared" si="178"/>
        <v>17999.5</v>
      </c>
      <c r="X349" s="595" t="s">
        <v>1472</v>
      </c>
      <c r="Y349" s="273"/>
      <c r="Z349" s="273"/>
      <c r="AA349" s="273"/>
      <c r="AB349" s="273"/>
      <c r="AC349" s="273"/>
      <c r="AD349" s="273"/>
      <c r="AE349" s="273"/>
      <c r="AF349" s="273"/>
      <c r="AG349" s="273"/>
      <c r="AH349" s="273"/>
      <c r="AI349" s="273"/>
      <c r="AJ349" s="273"/>
      <c r="AK349" s="273"/>
      <c r="AL349" s="273"/>
      <c r="AM349" s="273"/>
      <c r="AN349" s="273"/>
      <c r="AO349" s="273"/>
      <c r="AP349" s="273"/>
      <c r="AQ349" s="273"/>
    </row>
    <row r="350" spans="1:43" s="450" customFormat="1" x14ac:dyDescent="0.25">
      <c r="A350" s="3004"/>
      <c r="B350" s="595" t="s">
        <v>1314</v>
      </c>
      <c r="C350" s="266" t="s">
        <v>48</v>
      </c>
      <c r="D350" s="467" t="s">
        <v>724</v>
      </c>
      <c r="E350" s="468">
        <v>560</v>
      </c>
      <c r="F350" s="467">
        <v>1.5</v>
      </c>
      <c r="G350" s="467">
        <f>2*25</f>
        <v>50</v>
      </c>
      <c r="H350" s="722">
        <f>CARITAS!H49</f>
        <v>42000</v>
      </c>
      <c r="I350" s="714">
        <v>0.3</v>
      </c>
      <c r="J350" s="1796">
        <v>0</v>
      </c>
      <c r="K350" s="1796">
        <v>0</v>
      </c>
      <c r="L350" s="1796">
        <v>0</v>
      </c>
      <c r="M350" s="2875">
        <v>0</v>
      </c>
      <c r="N350" s="1784">
        <f t="shared" si="173"/>
        <v>0</v>
      </c>
      <c r="O350" s="2921">
        <f t="shared" si="174"/>
        <v>42000</v>
      </c>
      <c r="P350" s="675">
        <v>0.5</v>
      </c>
      <c r="Q350" s="709">
        <f t="shared" ref="Q350:Q351" si="179">O350/2</f>
        <v>21000</v>
      </c>
      <c r="R350" s="1781" t="s">
        <v>801</v>
      </c>
      <c r="S350" s="452">
        <f>CARITAS!S49</f>
        <v>42000</v>
      </c>
      <c r="T350" s="591">
        <f t="shared" si="176"/>
        <v>1</v>
      </c>
      <c r="U350" s="595" t="s">
        <v>1473</v>
      </c>
      <c r="V350" s="591">
        <f t="shared" si="177"/>
        <v>1</v>
      </c>
      <c r="W350" s="452">
        <f t="shared" si="178"/>
        <v>21000</v>
      </c>
      <c r="X350" s="595" t="s">
        <v>1474</v>
      </c>
      <c r="Y350" s="273"/>
      <c r="Z350" s="273"/>
      <c r="AA350" s="273"/>
      <c r="AB350" s="273"/>
      <c r="AC350" s="273"/>
      <c r="AD350" s="273"/>
      <c r="AE350" s="273"/>
      <c r="AF350" s="273"/>
      <c r="AG350" s="273"/>
      <c r="AH350" s="273"/>
      <c r="AI350" s="273"/>
      <c r="AJ350" s="273"/>
      <c r="AK350" s="273"/>
      <c r="AL350" s="273"/>
      <c r="AM350" s="273"/>
      <c r="AN350" s="273"/>
      <c r="AO350" s="273"/>
      <c r="AP350" s="273"/>
      <c r="AQ350" s="273"/>
    </row>
    <row r="351" spans="1:43" s="450" customFormat="1" ht="26" x14ac:dyDescent="0.25">
      <c r="A351" s="3004"/>
      <c r="B351" s="595" t="s">
        <v>1315</v>
      </c>
      <c r="C351" s="266" t="s">
        <v>15</v>
      </c>
      <c r="D351" s="467" t="s">
        <v>724</v>
      </c>
      <c r="E351" s="468">
        <f>6*3</f>
        <v>18</v>
      </c>
      <c r="F351" s="467">
        <v>350</v>
      </c>
      <c r="G351" s="467">
        <v>2</v>
      </c>
      <c r="H351" s="722">
        <f>CARITAS!H50</f>
        <v>12600</v>
      </c>
      <c r="I351" s="714">
        <v>0.3</v>
      </c>
      <c r="J351" s="1796">
        <v>0</v>
      </c>
      <c r="K351" s="1796">
        <v>0</v>
      </c>
      <c r="L351" s="1796">
        <v>0</v>
      </c>
      <c r="M351" s="2875">
        <v>0</v>
      </c>
      <c r="N351" s="1784">
        <f t="shared" si="173"/>
        <v>0</v>
      </c>
      <c r="O351" s="2921">
        <f t="shared" si="174"/>
        <v>12600</v>
      </c>
      <c r="P351" s="675">
        <v>0.5</v>
      </c>
      <c r="Q351" s="709">
        <f t="shared" si="179"/>
        <v>6300</v>
      </c>
      <c r="R351" s="1781" t="s">
        <v>803</v>
      </c>
      <c r="S351" s="452">
        <f>CARITAS!S50</f>
        <v>12600</v>
      </c>
      <c r="T351" s="591">
        <f t="shared" si="176"/>
        <v>1</v>
      </c>
      <c r="U351" s="595" t="s">
        <v>804</v>
      </c>
      <c r="V351" s="591">
        <f t="shared" si="177"/>
        <v>1</v>
      </c>
      <c r="W351" s="452">
        <f t="shared" si="178"/>
        <v>6300</v>
      </c>
      <c r="X351" s="595" t="s">
        <v>805</v>
      </c>
      <c r="Y351" s="273"/>
      <c r="Z351" s="273"/>
      <c r="AA351" s="273"/>
      <c r="AB351" s="273"/>
      <c r="AC351" s="273"/>
      <c r="AD351" s="273"/>
      <c r="AE351" s="273"/>
      <c r="AF351" s="273"/>
      <c r="AG351" s="273"/>
      <c r="AH351" s="273"/>
      <c r="AI351" s="273"/>
      <c r="AJ351" s="273"/>
      <c r="AK351" s="273"/>
      <c r="AL351" s="273"/>
      <c r="AM351" s="273"/>
      <c r="AN351" s="273"/>
      <c r="AO351" s="273"/>
      <c r="AP351" s="273"/>
      <c r="AQ351" s="273"/>
    </row>
    <row r="352" spans="1:43" s="454" customFormat="1" ht="15.65" customHeight="1" x14ac:dyDescent="0.25">
      <c r="A352" s="3005"/>
      <c r="B352" s="711" t="s">
        <v>573</v>
      </c>
      <c r="C352" s="711"/>
      <c r="D352" s="897"/>
      <c r="E352" s="712"/>
      <c r="F352" s="712"/>
      <c r="G352" s="712"/>
      <c r="H352" s="1123">
        <f>SUM(H342:H351)</f>
        <v>178450</v>
      </c>
      <c r="I352" s="716"/>
      <c r="J352" s="1077"/>
      <c r="K352" s="1077"/>
      <c r="L352" s="1077"/>
      <c r="M352" s="2870">
        <f>SUM(M342:M351)</f>
        <v>0</v>
      </c>
      <c r="N352" s="716"/>
      <c r="O352" s="1123">
        <f>SUM(O342:O351)</f>
        <v>178450</v>
      </c>
      <c r="P352" s="1076"/>
      <c r="Q352" s="713">
        <f>SUM(Q342:Q351)</f>
        <v>89225</v>
      </c>
      <c r="R352" s="1125"/>
      <c r="S352" s="1672">
        <f>SUM(S342:S351)</f>
        <v>178449</v>
      </c>
      <c r="T352" s="1126">
        <f>S352/O352</f>
        <v>0.99999439618940877</v>
      </c>
      <c r="U352" s="715"/>
      <c r="V352" s="600">
        <f>W352/Q352</f>
        <v>0.99999439618940877</v>
      </c>
      <c r="W352" s="1127">
        <f>SUM(W342:W351)</f>
        <v>89224.5</v>
      </c>
      <c r="X352" s="600"/>
      <c r="Y352" s="670"/>
      <c r="Z352" s="670"/>
      <c r="AA352" s="670"/>
      <c r="AB352" s="670"/>
      <c r="AC352" s="670"/>
      <c r="AD352" s="670"/>
      <c r="AE352" s="670"/>
      <c r="AF352" s="670"/>
      <c r="AG352" s="670"/>
      <c r="AH352" s="670"/>
      <c r="AI352" s="670"/>
      <c r="AJ352" s="670"/>
      <c r="AK352" s="670"/>
      <c r="AL352" s="670"/>
      <c r="AM352" s="670"/>
      <c r="AN352" s="670"/>
      <c r="AO352" s="670"/>
      <c r="AP352" s="670"/>
      <c r="AQ352" s="670"/>
    </row>
    <row r="353" spans="1:43" s="450" customFormat="1" ht="26" x14ac:dyDescent="0.25">
      <c r="A353" s="3003" t="s">
        <v>1316</v>
      </c>
      <c r="B353" s="595" t="s">
        <v>1317</v>
      </c>
      <c r="C353" s="266"/>
      <c r="D353" s="467" t="s">
        <v>724</v>
      </c>
      <c r="E353" s="468"/>
      <c r="F353" s="467"/>
      <c r="G353" s="467"/>
      <c r="H353" s="722"/>
      <c r="I353" s="714"/>
      <c r="J353" s="1796"/>
      <c r="K353" s="1796"/>
      <c r="L353" s="1796"/>
      <c r="M353" s="2875"/>
      <c r="N353" s="1784"/>
      <c r="O353" s="2921"/>
      <c r="P353" s="675"/>
      <c r="Q353" s="709"/>
      <c r="R353" s="1781"/>
      <c r="S353" s="452"/>
      <c r="T353" s="591"/>
      <c r="U353" s="595"/>
      <c r="V353" s="591"/>
      <c r="W353" s="452"/>
      <c r="X353" s="541"/>
      <c r="Y353" s="273"/>
      <c r="Z353" s="273"/>
      <c r="AA353" s="273"/>
      <c r="AB353" s="273"/>
      <c r="AC353" s="273"/>
      <c r="AD353" s="273"/>
      <c r="AE353" s="273"/>
      <c r="AF353" s="273"/>
      <c r="AG353" s="273"/>
      <c r="AH353" s="273"/>
      <c r="AI353" s="273"/>
      <c r="AJ353" s="273"/>
      <c r="AK353" s="273"/>
      <c r="AL353" s="273"/>
      <c r="AM353" s="273"/>
      <c r="AN353" s="273"/>
      <c r="AO353" s="273"/>
      <c r="AP353" s="273"/>
      <c r="AQ353" s="273"/>
    </row>
    <row r="354" spans="1:43" s="450" customFormat="1" ht="93.65" customHeight="1" x14ac:dyDescent="0.25">
      <c r="A354" s="3004"/>
      <c r="B354" s="595" t="s">
        <v>1318</v>
      </c>
      <c r="C354" s="266" t="s">
        <v>17</v>
      </c>
      <c r="D354" s="467" t="s">
        <v>724</v>
      </c>
      <c r="E354" s="468">
        <v>3</v>
      </c>
      <c r="F354" s="467">
        <v>300</v>
      </c>
      <c r="G354" s="467">
        <v>3</v>
      </c>
      <c r="H354" s="722">
        <f>CARITAS!H53</f>
        <v>2700</v>
      </c>
      <c r="I354" s="714">
        <v>0.3</v>
      </c>
      <c r="J354" s="437">
        <v>3</v>
      </c>
      <c r="K354" s="437">
        <v>300</v>
      </c>
      <c r="L354" s="437">
        <v>3</v>
      </c>
      <c r="M354" s="2875">
        <f>CARITAS!M53</f>
        <v>2700</v>
      </c>
      <c r="N354" s="1784">
        <v>0.5</v>
      </c>
      <c r="O354" s="2921">
        <f t="shared" ref="O354:O359" si="180">H354+M354</f>
        <v>5400</v>
      </c>
      <c r="P354" s="675">
        <v>0.5</v>
      </c>
      <c r="Q354" s="709">
        <f>O354/2</f>
        <v>2700</v>
      </c>
      <c r="R354" s="1781" t="s">
        <v>809</v>
      </c>
      <c r="S354" s="452">
        <f>CARITAS!S53</f>
        <v>5399.42</v>
      </c>
      <c r="T354" s="591">
        <f>S354/O354</f>
        <v>0.99989259259259256</v>
      </c>
      <c r="U354" s="595" t="s">
        <v>810</v>
      </c>
      <c r="V354" s="591">
        <f>W354/Q354</f>
        <v>0.99989259259259256</v>
      </c>
      <c r="W354" s="452">
        <f>P354*S354</f>
        <v>2699.71</v>
      </c>
      <c r="X354" s="595" t="s">
        <v>811</v>
      </c>
      <c r="Y354" s="273"/>
      <c r="Z354" s="273"/>
      <c r="AA354" s="273"/>
      <c r="AB354" s="273"/>
      <c r="AC354" s="273"/>
      <c r="AD354" s="273"/>
      <c r="AE354" s="273"/>
      <c r="AF354" s="273"/>
      <c r="AG354" s="273"/>
      <c r="AH354" s="273"/>
      <c r="AI354" s="273"/>
      <c r="AJ354" s="273"/>
      <c r="AK354" s="273"/>
      <c r="AL354" s="273"/>
      <c r="AM354" s="273"/>
      <c r="AN354" s="273"/>
      <c r="AO354" s="273"/>
      <c r="AP354" s="273"/>
      <c r="AQ354" s="273"/>
    </row>
    <row r="355" spans="1:43" s="450" customFormat="1" ht="46.9" customHeight="1" x14ac:dyDescent="0.25">
      <c r="A355" s="3004"/>
      <c r="B355" s="595" t="s">
        <v>1319</v>
      </c>
      <c r="C355" s="266" t="s">
        <v>48</v>
      </c>
      <c r="D355" s="467" t="s">
        <v>724</v>
      </c>
      <c r="E355" s="468">
        <v>3</v>
      </c>
      <c r="F355" s="467">
        <v>300</v>
      </c>
      <c r="G355" s="467">
        <v>1</v>
      </c>
      <c r="H355" s="722">
        <f>CARITAS!H54</f>
        <v>900</v>
      </c>
      <c r="I355" s="714">
        <v>0</v>
      </c>
      <c r="J355" s="437">
        <v>4</v>
      </c>
      <c r="K355" s="437">
        <v>300</v>
      </c>
      <c r="L355" s="437">
        <v>1</v>
      </c>
      <c r="M355" s="2875">
        <f>CARITAS!M54</f>
        <v>1200</v>
      </c>
      <c r="N355" s="1784">
        <v>0</v>
      </c>
      <c r="O355" s="2921">
        <f t="shared" si="180"/>
        <v>2100</v>
      </c>
      <c r="P355" s="675">
        <v>0.5</v>
      </c>
      <c r="Q355" s="709">
        <f>O355/2</f>
        <v>1050</v>
      </c>
      <c r="R355" s="1781" t="s">
        <v>813</v>
      </c>
      <c r="S355" s="452">
        <f>CARITAS!S54</f>
        <v>2100</v>
      </c>
      <c r="T355" s="591">
        <f t="shared" si="176"/>
        <v>1</v>
      </c>
      <c r="U355" s="595" t="s">
        <v>1475</v>
      </c>
      <c r="V355" s="591">
        <f t="shared" ref="V355:V359" si="181">W355/Q355</f>
        <v>1</v>
      </c>
      <c r="W355" s="452">
        <f t="shared" ref="W355:W359" si="182">P355*S355</f>
        <v>1050</v>
      </c>
      <c r="X355" s="595" t="s">
        <v>814</v>
      </c>
      <c r="Y355" s="273"/>
      <c r="Z355" s="273"/>
      <c r="AA355" s="273"/>
      <c r="AB355" s="273"/>
      <c r="AC355" s="273"/>
      <c r="AD355" s="273"/>
      <c r="AE355" s="273"/>
      <c r="AF355" s="273"/>
      <c r="AG355" s="273"/>
      <c r="AH355" s="273"/>
      <c r="AI355" s="273"/>
      <c r="AJ355" s="273"/>
      <c r="AK355" s="273"/>
      <c r="AL355" s="273"/>
      <c r="AM355" s="273"/>
      <c r="AN355" s="273"/>
      <c r="AO355" s="273"/>
      <c r="AP355" s="273"/>
      <c r="AQ355" s="273"/>
    </row>
    <row r="356" spans="1:43" s="450" customFormat="1" x14ac:dyDescent="0.25">
      <c r="A356" s="3004"/>
      <c r="B356" s="595" t="s">
        <v>1320</v>
      </c>
      <c r="C356" s="266"/>
      <c r="D356" s="467" t="s">
        <v>724</v>
      </c>
      <c r="E356" s="468"/>
      <c r="F356" s="467"/>
      <c r="G356" s="467"/>
      <c r="H356" s="722">
        <f>CARITAS!H55</f>
        <v>0</v>
      </c>
      <c r="I356" s="714"/>
      <c r="J356" s="437"/>
      <c r="K356" s="437"/>
      <c r="L356" s="437"/>
      <c r="M356" s="2875">
        <f>CARITAS!M55</f>
        <v>0</v>
      </c>
      <c r="N356" s="1784"/>
      <c r="O356" s="2921"/>
      <c r="P356" s="675"/>
      <c r="Q356" s="709"/>
      <c r="R356" s="1781"/>
      <c r="S356" s="452">
        <f>CARITAS!S55</f>
        <v>0</v>
      </c>
      <c r="T356" s="591"/>
      <c r="U356" s="595"/>
      <c r="V356" s="591"/>
      <c r="W356" s="452"/>
      <c r="X356" s="541"/>
      <c r="Y356" s="273"/>
      <c r="Z356" s="273"/>
      <c r="AA356" s="273"/>
      <c r="AB356" s="273"/>
      <c r="AC356" s="273"/>
      <c r="AD356" s="273"/>
      <c r="AE356" s="273"/>
      <c r="AF356" s="273"/>
      <c r="AG356" s="273"/>
      <c r="AH356" s="273"/>
      <c r="AI356" s="273"/>
      <c r="AJ356" s="273"/>
      <c r="AK356" s="273"/>
      <c r="AL356" s="273"/>
      <c r="AM356" s="273"/>
      <c r="AN356" s="273"/>
      <c r="AO356" s="273"/>
      <c r="AP356" s="273"/>
      <c r="AQ356" s="273"/>
    </row>
    <row r="357" spans="1:43" s="450" customFormat="1" ht="26" x14ac:dyDescent="0.25">
      <c r="A357" s="3004"/>
      <c r="B357" s="595" t="s">
        <v>1321</v>
      </c>
      <c r="C357" s="266" t="s">
        <v>15</v>
      </c>
      <c r="D357" s="467" t="s">
        <v>724</v>
      </c>
      <c r="E357" s="468">
        <v>1</v>
      </c>
      <c r="F357" s="467">
        <v>850</v>
      </c>
      <c r="G357" s="467">
        <v>3</v>
      </c>
      <c r="H357" s="722">
        <f>CARITAS!H56</f>
        <v>2550</v>
      </c>
      <c r="I357" s="714">
        <v>0.3</v>
      </c>
      <c r="J357" s="437">
        <v>1</v>
      </c>
      <c r="K357" s="437">
        <v>850</v>
      </c>
      <c r="L357" s="437">
        <v>3</v>
      </c>
      <c r="M357" s="2875">
        <f>CARITAS!M56</f>
        <v>2550</v>
      </c>
      <c r="N357" s="1784">
        <v>0.3</v>
      </c>
      <c r="O357" s="2921">
        <f t="shared" si="180"/>
        <v>5100</v>
      </c>
      <c r="P357" s="675">
        <v>0.5</v>
      </c>
      <c r="Q357" s="709">
        <f>O357/2</f>
        <v>2550</v>
      </c>
      <c r="R357" s="1781" t="s">
        <v>817</v>
      </c>
      <c r="S357" s="452">
        <f>CARITAS!S56</f>
        <v>5100</v>
      </c>
      <c r="T357" s="591">
        <f t="shared" si="176"/>
        <v>1</v>
      </c>
      <c r="U357" s="595" t="s">
        <v>1476</v>
      </c>
      <c r="V357" s="591">
        <f t="shared" si="181"/>
        <v>1</v>
      </c>
      <c r="W357" s="452">
        <f t="shared" si="182"/>
        <v>2550</v>
      </c>
      <c r="X357" s="595" t="s">
        <v>818</v>
      </c>
      <c r="Y357" s="273"/>
      <c r="Z357" s="273"/>
      <c r="AA357" s="273"/>
      <c r="AB357" s="273"/>
      <c r="AC357" s="273"/>
      <c r="AD357" s="273"/>
      <c r="AE357" s="273"/>
      <c r="AF357" s="273"/>
      <c r="AG357" s="273"/>
      <c r="AH357" s="273"/>
      <c r="AI357" s="273"/>
      <c r="AJ357" s="273"/>
      <c r="AK357" s="273"/>
      <c r="AL357" s="273"/>
      <c r="AM357" s="273"/>
      <c r="AN357" s="273"/>
      <c r="AO357" s="273"/>
      <c r="AP357" s="273"/>
      <c r="AQ357" s="273"/>
    </row>
    <row r="358" spans="1:43" s="450" customFormat="1" ht="26" x14ac:dyDescent="0.25">
      <c r="A358" s="3004"/>
      <c r="B358" s="595" t="s">
        <v>1322</v>
      </c>
      <c r="C358" s="266"/>
      <c r="D358" s="467" t="s">
        <v>724</v>
      </c>
      <c r="E358" s="468"/>
      <c r="F358" s="467"/>
      <c r="G358" s="467"/>
      <c r="H358" s="722">
        <f>CARITAS!H57</f>
        <v>0</v>
      </c>
      <c r="I358" s="714">
        <v>0</v>
      </c>
      <c r="J358" s="722"/>
      <c r="K358" s="722"/>
      <c r="L358" s="722"/>
      <c r="M358" s="2875">
        <f>CARITAS!M57</f>
        <v>0</v>
      </c>
      <c r="N358" s="1784"/>
      <c r="O358" s="2921"/>
      <c r="P358" s="675"/>
      <c r="Q358" s="709"/>
      <c r="R358" s="1781"/>
      <c r="S358" s="452">
        <f>CARITAS!S57</f>
        <v>0</v>
      </c>
      <c r="T358" s="591"/>
      <c r="U358" s="595"/>
      <c r="V358" s="591"/>
      <c r="W358" s="452">
        <f t="shared" si="182"/>
        <v>0</v>
      </c>
      <c r="X358" s="541"/>
      <c r="Y358" s="273"/>
      <c r="Z358" s="273"/>
      <c r="AA358" s="273"/>
      <c r="AB358" s="273"/>
      <c r="AC358" s="273"/>
      <c r="AD358" s="273"/>
      <c r="AE358" s="273"/>
      <c r="AF358" s="273"/>
      <c r="AG358" s="273"/>
      <c r="AH358" s="273"/>
      <c r="AI358" s="273"/>
      <c r="AJ358" s="273"/>
      <c r="AK358" s="273"/>
      <c r="AL358" s="273"/>
      <c r="AM358" s="273"/>
      <c r="AN358" s="273"/>
      <c r="AO358" s="273"/>
      <c r="AP358" s="273"/>
      <c r="AQ358" s="273"/>
    </row>
    <row r="359" spans="1:43" s="450" customFormat="1" ht="46.9" customHeight="1" x14ac:dyDescent="0.25">
      <c r="A359" s="3004"/>
      <c r="B359" s="595" t="s">
        <v>1323</v>
      </c>
      <c r="C359" s="266" t="s">
        <v>48</v>
      </c>
      <c r="D359" s="467" t="s">
        <v>724</v>
      </c>
      <c r="E359" s="468">
        <v>0</v>
      </c>
      <c r="F359" s="467">
        <v>0</v>
      </c>
      <c r="G359" s="467">
        <v>0</v>
      </c>
      <c r="H359" s="722">
        <f>CARITAS!H58</f>
        <v>0</v>
      </c>
      <c r="I359" s="714">
        <v>0</v>
      </c>
      <c r="J359" s="437">
        <v>36</v>
      </c>
      <c r="K359" s="437">
        <f>(150+50)*15</f>
        <v>3000</v>
      </c>
      <c r="L359" s="437">
        <v>1</v>
      </c>
      <c r="M359" s="2875">
        <f>CARITAS!M58</f>
        <v>108000</v>
      </c>
      <c r="N359" s="1784">
        <v>0.3</v>
      </c>
      <c r="O359" s="2921">
        <f t="shared" si="180"/>
        <v>108000</v>
      </c>
      <c r="P359" s="675">
        <v>0.5</v>
      </c>
      <c r="Q359" s="709">
        <f>O359/2</f>
        <v>54000</v>
      </c>
      <c r="R359" s="1781" t="s">
        <v>821</v>
      </c>
      <c r="S359" s="452">
        <f>CARITAS!S58</f>
        <v>108000</v>
      </c>
      <c r="T359" s="591">
        <f t="shared" si="176"/>
        <v>1</v>
      </c>
      <c r="U359" s="595" t="s">
        <v>822</v>
      </c>
      <c r="V359" s="591">
        <f t="shared" si="181"/>
        <v>1</v>
      </c>
      <c r="W359" s="452">
        <f t="shared" si="182"/>
        <v>54000</v>
      </c>
      <c r="X359" s="595" t="s">
        <v>822</v>
      </c>
      <c r="Y359" s="273"/>
      <c r="Z359" s="273"/>
      <c r="AA359" s="273"/>
      <c r="AB359" s="273"/>
      <c r="AC359" s="273"/>
      <c r="AD359" s="273"/>
      <c r="AE359" s="273"/>
      <c r="AF359" s="273"/>
      <c r="AG359" s="273"/>
      <c r="AH359" s="273"/>
      <c r="AI359" s="273"/>
      <c r="AJ359" s="273"/>
      <c r="AK359" s="273"/>
      <c r="AL359" s="273"/>
      <c r="AM359" s="273"/>
      <c r="AN359" s="273"/>
      <c r="AO359" s="273"/>
      <c r="AP359" s="273"/>
      <c r="AQ359" s="273"/>
    </row>
    <row r="360" spans="1:43" s="454" customFormat="1" ht="15.65" customHeight="1" x14ac:dyDescent="0.25">
      <c r="A360" s="3005"/>
      <c r="B360" s="711" t="s">
        <v>573</v>
      </c>
      <c r="C360" s="711"/>
      <c r="D360" s="897"/>
      <c r="E360" s="712"/>
      <c r="F360" s="712"/>
      <c r="G360" s="712"/>
      <c r="H360" s="1123">
        <f>SUM(H354:H359)</f>
        <v>6150</v>
      </c>
      <c r="I360" s="716"/>
      <c r="J360" s="1077"/>
      <c r="K360" s="1077"/>
      <c r="L360" s="1077"/>
      <c r="M360" s="2870">
        <f>SUM(M354:M359)</f>
        <v>114450</v>
      </c>
      <c r="N360" s="716"/>
      <c r="O360" s="1123">
        <f>SUM(O354:O359)</f>
        <v>120600</v>
      </c>
      <c r="P360" s="1076"/>
      <c r="Q360" s="713">
        <f>SUM(Q354:Q359)</f>
        <v>60300</v>
      </c>
      <c r="R360" s="1125"/>
      <c r="S360" s="1672">
        <f>SUM(S354:S359)</f>
        <v>120599.42</v>
      </c>
      <c r="T360" s="1126">
        <f>S360/O360</f>
        <v>0.99999519071310117</v>
      </c>
      <c r="U360" s="715"/>
      <c r="V360" s="600">
        <f>W360/Q360</f>
        <v>0.99999519071310117</v>
      </c>
      <c r="W360" s="1127">
        <f>SUM(W354:W359)</f>
        <v>60299.71</v>
      </c>
      <c r="X360" s="600"/>
      <c r="Y360" s="670"/>
      <c r="Z360" s="670"/>
      <c r="AA360" s="670"/>
      <c r="AB360" s="670"/>
      <c r="AC360" s="670"/>
      <c r="AD360" s="670"/>
      <c r="AE360" s="670"/>
      <c r="AF360" s="670"/>
      <c r="AG360" s="670"/>
      <c r="AH360" s="670"/>
      <c r="AI360" s="670"/>
      <c r="AJ360" s="670"/>
      <c r="AK360" s="670"/>
      <c r="AL360" s="670"/>
      <c r="AM360" s="670"/>
      <c r="AN360" s="670"/>
      <c r="AO360" s="670"/>
      <c r="AP360" s="670"/>
      <c r="AQ360" s="670"/>
    </row>
    <row r="361" spans="1:43" s="450" customFormat="1" ht="62.5" customHeight="1" x14ac:dyDescent="0.25">
      <c r="A361" s="2994" t="s">
        <v>1324</v>
      </c>
      <c r="B361" s="595" t="s">
        <v>1325</v>
      </c>
      <c r="C361" s="266" t="s">
        <v>17</v>
      </c>
      <c r="D361" s="467" t="s">
        <v>724</v>
      </c>
      <c r="E361" s="468">
        <v>0</v>
      </c>
      <c r="F361" s="467">
        <v>0</v>
      </c>
      <c r="G361" s="467">
        <v>0</v>
      </c>
      <c r="H361" s="722">
        <f>CARITAS!H60</f>
        <v>0</v>
      </c>
      <c r="I361" s="714"/>
      <c r="J361" s="437">
        <v>6</v>
      </c>
      <c r="K361" s="437">
        <v>300</v>
      </c>
      <c r="L361" s="437">
        <v>3</v>
      </c>
      <c r="M361" s="2875">
        <f>CARITAS!O60</f>
        <v>5400</v>
      </c>
      <c r="N361" s="1784">
        <v>0.3</v>
      </c>
      <c r="O361" s="2921">
        <f>H361+M361</f>
        <v>5400</v>
      </c>
      <c r="P361" s="675">
        <f t="shared" ref="P361:P380" si="183">Q361/O361</f>
        <v>3.0000000000000001E-3</v>
      </c>
      <c r="Q361" s="709">
        <v>16.2</v>
      </c>
      <c r="R361" s="1781" t="s">
        <v>825</v>
      </c>
      <c r="S361" s="452">
        <f>CARITAS!S60</f>
        <v>0</v>
      </c>
      <c r="T361" s="591">
        <f t="shared" si="176"/>
        <v>0</v>
      </c>
      <c r="U361" s="595" t="s">
        <v>826</v>
      </c>
      <c r="V361" s="591">
        <v>0</v>
      </c>
      <c r="W361" s="452">
        <f>V361*S361</f>
        <v>0</v>
      </c>
      <c r="X361" s="595" t="s">
        <v>826</v>
      </c>
      <c r="Y361" s="273"/>
      <c r="Z361" s="273"/>
      <c r="AA361" s="273"/>
      <c r="AB361" s="273"/>
      <c r="AC361" s="273"/>
      <c r="AD361" s="273"/>
      <c r="AE361" s="273"/>
      <c r="AF361" s="273"/>
      <c r="AG361" s="273"/>
      <c r="AH361" s="273"/>
      <c r="AI361" s="273"/>
      <c r="AJ361" s="273"/>
      <c r="AK361" s="273"/>
      <c r="AL361" s="273"/>
      <c r="AM361" s="273"/>
      <c r="AN361" s="273"/>
      <c r="AO361" s="273"/>
      <c r="AP361" s="273"/>
      <c r="AQ361" s="273"/>
    </row>
    <row r="362" spans="1:43" s="450" customFormat="1" ht="62.5" customHeight="1" x14ac:dyDescent="0.25">
      <c r="A362" s="2995"/>
      <c r="B362" s="595" t="s">
        <v>1326</v>
      </c>
      <c r="C362" s="266" t="s">
        <v>17</v>
      </c>
      <c r="D362" s="467" t="s">
        <v>724</v>
      </c>
      <c r="E362" s="468">
        <v>0</v>
      </c>
      <c r="F362" s="467">
        <v>0</v>
      </c>
      <c r="G362" s="467">
        <v>0</v>
      </c>
      <c r="H362" s="722">
        <f>CARITAS!H61</f>
        <v>0</v>
      </c>
      <c r="I362" s="714"/>
      <c r="J362" s="437">
        <v>3</v>
      </c>
      <c r="K362" s="437">
        <v>900</v>
      </c>
      <c r="L362" s="437">
        <v>2</v>
      </c>
      <c r="M362" s="2875">
        <f>CARITAS!O61</f>
        <v>5400</v>
      </c>
      <c r="N362" s="1784">
        <v>0.3</v>
      </c>
      <c r="O362" s="2921">
        <f>H362+M362</f>
        <v>5400</v>
      </c>
      <c r="P362" s="675">
        <f t="shared" si="183"/>
        <v>3.0000000000000001E-3</v>
      </c>
      <c r="Q362" s="709">
        <v>16.2</v>
      </c>
      <c r="R362" s="1781" t="s">
        <v>828</v>
      </c>
      <c r="S362" s="452">
        <f>CARITAS!S61</f>
        <v>5400</v>
      </c>
      <c r="T362" s="591">
        <f>S362/O362</f>
        <v>1</v>
      </c>
      <c r="U362" s="595" t="s">
        <v>829</v>
      </c>
      <c r="V362" s="591">
        <v>0</v>
      </c>
      <c r="W362" s="452">
        <f>V362*S362</f>
        <v>0</v>
      </c>
      <c r="X362" s="595" t="s">
        <v>829</v>
      </c>
      <c r="Y362" s="273"/>
      <c r="Z362" s="273"/>
      <c r="AA362" s="273"/>
      <c r="AB362" s="273"/>
      <c r="AC362" s="273"/>
      <c r="AD362" s="273"/>
      <c r="AE362" s="273"/>
      <c r="AF362" s="273"/>
      <c r="AG362" s="273"/>
      <c r="AH362" s="273"/>
      <c r="AI362" s="273"/>
      <c r="AJ362" s="273"/>
      <c r="AK362" s="273"/>
      <c r="AL362" s="273"/>
      <c r="AM362" s="273"/>
      <c r="AN362" s="273"/>
      <c r="AO362" s="273"/>
      <c r="AP362" s="273"/>
      <c r="AQ362" s="273"/>
    </row>
    <row r="363" spans="1:43" s="454" customFormat="1" ht="13.9" customHeight="1" x14ac:dyDescent="0.25">
      <c r="A363" s="2996"/>
      <c r="B363" s="711" t="s">
        <v>573</v>
      </c>
      <c r="C363" s="711"/>
      <c r="D363" s="897"/>
      <c r="E363" s="712"/>
      <c r="F363" s="712"/>
      <c r="G363" s="712"/>
      <c r="H363" s="1123">
        <f>SUM(H361:H362)</f>
        <v>0</v>
      </c>
      <c r="I363" s="716"/>
      <c r="J363" s="1077"/>
      <c r="K363" s="1077"/>
      <c r="L363" s="1077"/>
      <c r="M363" s="2870">
        <f>SUM(M361:M362)</f>
        <v>10800</v>
      </c>
      <c r="N363" s="716"/>
      <c r="O363" s="1123">
        <f>SUM(O361:O362)</f>
        <v>10800</v>
      </c>
      <c r="P363" s="1076"/>
      <c r="Q363" s="713">
        <f>SUM(Q361:Q362)</f>
        <v>32.4</v>
      </c>
      <c r="R363" s="1125"/>
      <c r="S363" s="1672">
        <f>SUM(S361:S362)</f>
        <v>5400</v>
      </c>
      <c r="T363" s="1126">
        <f>S363/O363</f>
        <v>0.5</v>
      </c>
      <c r="U363" s="715"/>
      <c r="V363" s="600">
        <f>W363/Q363</f>
        <v>0</v>
      </c>
      <c r="W363" s="1127">
        <f>SUM(W361:W362)</f>
        <v>0</v>
      </c>
      <c r="X363" s="600"/>
      <c r="Y363" s="670"/>
      <c r="Z363" s="670"/>
      <c r="AA363" s="670"/>
      <c r="AB363" s="670"/>
      <c r="AC363" s="670"/>
      <c r="AD363" s="670"/>
      <c r="AE363" s="670"/>
      <c r="AF363" s="670"/>
      <c r="AG363" s="670"/>
      <c r="AH363" s="670"/>
      <c r="AI363" s="670"/>
      <c r="AJ363" s="670"/>
      <c r="AK363" s="670"/>
      <c r="AL363" s="670"/>
      <c r="AM363" s="670"/>
      <c r="AN363" s="670"/>
      <c r="AO363" s="670"/>
      <c r="AP363" s="670"/>
      <c r="AQ363" s="670"/>
    </row>
    <row r="364" spans="1:43" s="450" customFormat="1" ht="27.65" customHeight="1" x14ac:dyDescent="0.25">
      <c r="A364" s="3003" t="s">
        <v>1327</v>
      </c>
      <c r="B364" s="595" t="s">
        <v>1328</v>
      </c>
      <c r="C364" s="266"/>
      <c r="D364" s="467" t="s">
        <v>724</v>
      </c>
      <c r="E364" s="468"/>
      <c r="F364" s="467"/>
      <c r="G364" s="467"/>
      <c r="H364" s="722"/>
      <c r="I364" s="714"/>
      <c r="J364" s="722"/>
      <c r="K364" s="722"/>
      <c r="L364" s="722"/>
      <c r="M364" s="2875"/>
      <c r="N364" s="1784"/>
      <c r="O364" s="2921"/>
      <c r="P364" s="675"/>
      <c r="Q364" s="709"/>
      <c r="R364" s="1781"/>
      <c r="S364" s="452"/>
      <c r="T364" s="591"/>
      <c r="U364" s="595"/>
      <c r="V364" s="591"/>
      <c r="W364" s="452"/>
      <c r="X364" s="541"/>
      <c r="Y364" s="273"/>
      <c r="Z364" s="273"/>
      <c r="AA364" s="273"/>
      <c r="AB364" s="273"/>
      <c r="AC364" s="273"/>
      <c r="AD364" s="273"/>
      <c r="AE364" s="273"/>
      <c r="AF364" s="273"/>
      <c r="AG364" s="273"/>
      <c r="AH364" s="273"/>
      <c r="AI364" s="273"/>
      <c r="AJ364" s="273"/>
      <c r="AK364" s="273"/>
      <c r="AL364" s="273"/>
      <c r="AM364" s="273"/>
      <c r="AN364" s="273"/>
      <c r="AO364" s="273"/>
      <c r="AP364" s="273"/>
      <c r="AQ364" s="273"/>
    </row>
    <row r="365" spans="1:43" s="450" customFormat="1" ht="26" x14ac:dyDescent="0.25">
      <c r="A365" s="3004"/>
      <c r="B365" s="595" t="s">
        <v>1329</v>
      </c>
      <c r="C365" s="595" t="s">
        <v>15</v>
      </c>
      <c r="D365" s="467" t="s">
        <v>724</v>
      </c>
      <c r="E365" s="468">
        <v>7</v>
      </c>
      <c r="F365" s="1797">
        <v>100</v>
      </c>
      <c r="G365" s="467">
        <v>4</v>
      </c>
      <c r="H365" s="451">
        <f>CARITAS!H64</f>
        <v>2800</v>
      </c>
      <c r="I365" s="675">
        <v>0.3</v>
      </c>
      <c r="J365" s="437">
        <v>7</v>
      </c>
      <c r="K365" s="1798">
        <v>100</v>
      </c>
      <c r="L365" s="437">
        <v>6</v>
      </c>
      <c r="M365" s="1834">
        <f>CARITAS!M64</f>
        <v>4200</v>
      </c>
      <c r="N365" s="697">
        <v>0.3</v>
      </c>
      <c r="O365" s="2921">
        <f>H365+M365</f>
        <v>7000</v>
      </c>
      <c r="P365" s="675">
        <v>0.5</v>
      </c>
      <c r="Q365" s="709">
        <f>O365/2</f>
        <v>3500</v>
      </c>
      <c r="R365" s="1781" t="s">
        <v>833</v>
      </c>
      <c r="S365" s="452">
        <f>CARITAS!S64</f>
        <v>7000</v>
      </c>
      <c r="T365" s="591">
        <f t="shared" si="176"/>
        <v>1</v>
      </c>
      <c r="U365" s="595" t="s">
        <v>1477</v>
      </c>
      <c r="V365" s="591">
        <v>0</v>
      </c>
      <c r="W365" s="452">
        <f t="shared" ref="W365:W369" si="184">V365*S365</f>
        <v>0</v>
      </c>
      <c r="X365" s="595" t="s">
        <v>834</v>
      </c>
      <c r="Y365" s="273"/>
      <c r="Z365" s="273"/>
      <c r="AA365" s="273"/>
      <c r="AB365" s="273"/>
      <c r="AC365" s="273"/>
      <c r="AD365" s="273"/>
      <c r="AE365" s="273"/>
      <c r="AF365" s="273"/>
      <c r="AG365" s="273"/>
      <c r="AH365" s="273"/>
      <c r="AI365" s="273"/>
      <c r="AJ365" s="273"/>
      <c r="AK365" s="273"/>
      <c r="AL365" s="273"/>
      <c r="AM365" s="273"/>
      <c r="AN365" s="273"/>
      <c r="AO365" s="273"/>
      <c r="AP365" s="273"/>
      <c r="AQ365" s="273"/>
    </row>
    <row r="366" spans="1:43" s="450" customFormat="1" ht="26" x14ac:dyDescent="0.25">
      <c r="A366" s="3004"/>
      <c r="B366" s="595" t="s">
        <v>1330</v>
      </c>
      <c r="C366" s="595" t="s">
        <v>15</v>
      </c>
      <c r="D366" s="467" t="s">
        <v>724</v>
      </c>
      <c r="E366" s="468">
        <v>7</v>
      </c>
      <c r="F366" s="1797">
        <v>120</v>
      </c>
      <c r="G366" s="467">
        <v>2</v>
      </c>
      <c r="H366" s="451">
        <f>CARITAS!H65</f>
        <v>1680</v>
      </c>
      <c r="I366" s="675">
        <v>0.3</v>
      </c>
      <c r="J366" s="437">
        <v>7</v>
      </c>
      <c r="K366" s="1798">
        <v>120</v>
      </c>
      <c r="L366" s="437">
        <v>2</v>
      </c>
      <c r="M366" s="1834">
        <f>CARITAS!M65</f>
        <v>1680</v>
      </c>
      <c r="N366" s="697">
        <v>0.3</v>
      </c>
      <c r="O366" s="2921">
        <f t="shared" ref="O366:O380" si="185">H366+M366</f>
        <v>3360</v>
      </c>
      <c r="P366" s="675">
        <v>0.5</v>
      </c>
      <c r="Q366" s="709">
        <f>O366/2</f>
        <v>1680</v>
      </c>
      <c r="R366" s="1781" t="s">
        <v>836</v>
      </c>
      <c r="S366" s="452">
        <f>CARITAS!S65</f>
        <v>3360</v>
      </c>
      <c r="T366" s="591">
        <f t="shared" si="176"/>
        <v>1</v>
      </c>
      <c r="U366" s="595" t="s">
        <v>1477</v>
      </c>
      <c r="V366" s="591">
        <v>0.5</v>
      </c>
      <c r="W366" s="452">
        <f t="shared" si="184"/>
        <v>1680</v>
      </c>
      <c r="X366" s="595" t="s">
        <v>834</v>
      </c>
      <c r="Y366" s="273"/>
      <c r="Z366" s="273"/>
      <c r="AA366" s="273"/>
      <c r="AB366" s="273"/>
      <c r="AC366" s="273"/>
      <c r="AD366" s="273"/>
      <c r="AE366" s="273"/>
      <c r="AF366" s="273"/>
      <c r="AG366" s="273"/>
      <c r="AH366" s="273"/>
      <c r="AI366" s="273"/>
      <c r="AJ366" s="273"/>
      <c r="AK366" s="273"/>
      <c r="AL366" s="273"/>
      <c r="AM366" s="273"/>
      <c r="AN366" s="273"/>
      <c r="AO366" s="273"/>
      <c r="AP366" s="273"/>
      <c r="AQ366" s="273"/>
    </row>
    <row r="367" spans="1:43" s="450" customFormat="1" ht="26" x14ac:dyDescent="0.25">
      <c r="A367" s="3004"/>
      <c r="B367" s="595" t="s">
        <v>1331</v>
      </c>
      <c r="C367" s="595" t="s">
        <v>48</v>
      </c>
      <c r="D367" s="467" t="s">
        <v>724</v>
      </c>
      <c r="E367" s="468">
        <v>3</v>
      </c>
      <c r="F367" s="1797">
        <v>300</v>
      </c>
      <c r="G367" s="467">
        <v>0</v>
      </c>
      <c r="H367" s="451">
        <f>CARITAS!H66</f>
        <v>0</v>
      </c>
      <c r="I367" s="714">
        <v>0</v>
      </c>
      <c r="J367" s="437">
        <v>4</v>
      </c>
      <c r="K367" s="1798">
        <v>300</v>
      </c>
      <c r="L367" s="437">
        <v>0</v>
      </c>
      <c r="M367" s="1834">
        <f>CARITAS!M66</f>
        <v>0</v>
      </c>
      <c r="N367" s="1784">
        <v>30</v>
      </c>
      <c r="O367" s="2921">
        <f t="shared" si="185"/>
        <v>0</v>
      </c>
      <c r="P367" s="675">
        <v>0</v>
      </c>
      <c r="Q367" s="709"/>
      <c r="R367" s="1781" t="s">
        <v>775</v>
      </c>
      <c r="S367" s="452">
        <f>CARITAS!S66</f>
        <v>0</v>
      </c>
      <c r="T367" s="591">
        <v>0</v>
      </c>
      <c r="U367" s="595" t="s">
        <v>838</v>
      </c>
      <c r="V367" s="591">
        <v>0</v>
      </c>
      <c r="W367" s="452">
        <f t="shared" si="184"/>
        <v>0</v>
      </c>
      <c r="X367" s="541" t="s">
        <v>775</v>
      </c>
      <c r="Y367" s="273"/>
      <c r="Z367" s="273"/>
      <c r="AA367" s="273"/>
      <c r="AB367" s="273"/>
      <c r="AC367" s="273"/>
      <c r="AD367" s="273"/>
      <c r="AE367" s="273"/>
      <c r="AF367" s="273"/>
      <c r="AG367" s="273"/>
      <c r="AH367" s="273"/>
      <c r="AI367" s="273"/>
      <c r="AJ367" s="273"/>
      <c r="AK367" s="273"/>
      <c r="AL367" s="273"/>
      <c r="AM367" s="273"/>
      <c r="AN367" s="273"/>
      <c r="AO367" s="273"/>
      <c r="AP367" s="273"/>
      <c r="AQ367" s="273"/>
    </row>
    <row r="368" spans="1:43" s="450" customFormat="1" ht="39" x14ac:dyDescent="0.25">
      <c r="A368" s="3004"/>
      <c r="B368" s="595" t="s">
        <v>1332</v>
      </c>
      <c r="C368" s="595" t="s">
        <v>15</v>
      </c>
      <c r="D368" s="467" t="s">
        <v>724</v>
      </c>
      <c r="E368" s="468">
        <v>7</v>
      </c>
      <c r="F368" s="1797">
        <v>250</v>
      </c>
      <c r="G368" s="467">
        <v>0</v>
      </c>
      <c r="H368" s="451">
        <f>CARITAS!H67</f>
        <v>0</v>
      </c>
      <c r="I368" s="714">
        <v>0</v>
      </c>
      <c r="J368" s="437">
        <v>7</v>
      </c>
      <c r="K368" s="1798">
        <v>250</v>
      </c>
      <c r="L368" s="437">
        <v>0</v>
      </c>
      <c r="M368" s="1834">
        <f>CARITAS!M67</f>
        <v>0</v>
      </c>
      <c r="N368" s="1784">
        <v>30</v>
      </c>
      <c r="O368" s="2921">
        <f t="shared" si="185"/>
        <v>0</v>
      </c>
      <c r="P368" s="675">
        <v>0</v>
      </c>
      <c r="Q368" s="709">
        <v>0</v>
      </c>
      <c r="R368" s="1781" t="s">
        <v>775</v>
      </c>
      <c r="S368" s="452">
        <f>CARITAS!S67</f>
        <v>0</v>
      </c>
      <c r="T368" s="591">
        <v>0</v>
      </c>
      <c r="U368" s="595" t="s">
        <v>838</v>
      </c>
      <c r="V368" s="591">
        <v>0</v>
      </c>
      <c r="W368" s="452">
        <f t="shared" si="184"/>
        <v>0</v>
      </c>
      <c r="X368" s="541" t="s">
        <v>775</v>
      </c>
      <c r="Y368" s="273"/>
      <c r="Z368" s="273"/>
      <c r="AA368" s="273"/>
      <c r="AB368" s="273"/>
      <c r="AC368" s="273"/>
      <c r="AD368" s="273"/>
      <c r="AE368" s="273"/>
      <c r="AF368" s="273"/>
      <c r="AG368" s="273"/>
      <c r="AH368" s="273"/>
      <c r="AI368" s="273"/>
      <c r="AJ368" s="273"/>
      <c r="AK368" s="273"/>
      <c r="AL368" s="273"/>
      <c r="AM368" s="273"/>
      <c r="AN368" s="273"/>
      <c r="AO368" s="273"/>
      <c r="AP368" s="273"/>
      <c r="AQ368" s="273"/>
    </row>
    <row r="369" spans="1:43" s="450" customFormat="1" ht="26" x14ac:dyDescent="0.25">
      <c r="A369" s="3004"/>
      <c r="B369" s="595" t="s">
        <v>1333</v>
      </c>
      <c r="C369" s="266"/>
      <c r="D369" s="467" t="s">
        <v>724</v>
      </c>
      <c r="E369" s="468"/>
      <c r="F369" s="467"/>
      <c r="G369" s="467"/>
      <c r="H369" s="451">
        <f>CARITAS!H68</f>
        <v>0</v>
      </c>
      <c r="I369" s="714"/>
      <c r="J369" s="722"/>
      <c r="K369" s="722"/>
      <c r="L369" s="722"/>
      <c r="M369" s="1834">
        <f>CARITAS!M68</f>
        <v>0</v>
      </c>
      <c r="N369" s="1784"/>
      <c r="O369" s="2921"/>
      <c r="P369" s="675"/>
      <c r="Q369" s="709"/>
      <c r="R369" s="1781"/>
      <c r="S369" s="452">
        <f>CARITAS!S68</f>
        <v>0</v>
      </c>
      <c r="T369" s="591">
        <v>0</v>
      </c>
      <c r="U369" s="595"/>
      <c r="V369" s="591">
        <v>0</v>
      </c>
      <c r="W369" s="452">
        <f t="shared" si="184"/>
        <v>0</v>
      </c>
      <c r="X369" s="541"/>
      <c r="Y369" s="273"/>
      <c r="Z369" s="273"/>
      <c r="AA369" s="273"/>
      <c r="AB369" s="273"/>
      <c r="AC369" s="273"/>
      <c r="AD369" s="273"/>
      <c r="AE369" s="273"/>
      <c r="AF369" s="273"/>
      <c r="AG369" s="273"/>
      <c r="AH369" s="273"/>
      <c r="AI369" s="273"/>
      <c r="AJ369" s="273"/>
      <c r="AK369" s="273"/>
      <c r="AL369" s="273"/>
      <c r="AM369" s="273"/>
      <c r="AN369" s="273"/>
      <c r="AO369" s="273"/>
      <c r="AP369" s="273"/>
      <c r="AQ369" s="273"/>
    </row>
    <row r="370" spans="1:43" s="450" customFormat="1" ht="62.5" customHeight="1" x14ac:dyDescent="0.25">
      <c r="A370" s="3004"/>
      <c r="B370" s="595" t="s">
        <v>1334</v>
      </c>
      <c r="C370" s="595" t="s">
        <v>15</v>
      </c>
      <c r="D370" s="467" t="s">
        <v>724</v>
      </c>
      <c r="E370" s="468">
        <v>1</v>
      </c>
      <c r="F370" s="1797">
        <v>2400</v>
      </c>
      <c r="G370" s="467">
        <v>1</v>
      </c>
      <c r="H370" s="451">
        <f>CARITAS!H69</f>
        <v>2400</v>
      </c>
      <c r="I370" s="714">
        <v>0.4</v>
      </c>
      <c r="J370" s="437">
        <v>1</v>
      </c>
      <c r="K370" s="1798">
        <v>2400</v>
      </c>
      <c r="L370" s="437">
        <v>1</v>
      </c>
      <c r="M370" s="1834">
        <f>CARITAS!M69</f>
        <v>2400</v>
      </c>
      <c r="N370" s="1784">
        <v>0.4</v>
      </c>
      <c r="O370" s="2921">
        <f t="shared" si="185"/>
        <v>4800</v>
      </c>
      <c r="P370" s="675">
        <v>0.5</v>
      </c>
      <c r="Q370" s="709">
        <f>O370/2</f>
        <v>2400</v>
      </c>
      <c r="R370" s="1781" t="s">
        <v>842</v>
      </c>
      <c r="S370" s="452">
        <f>CARITAS!S69</f>
        <v>4800</v>
      </c>
      <c r="T370" s="591">
        <f t="shared" si="176"/>
        <v>1</v>
      </c>
      <c r="U370" s="595" t="s">
        <v>1478</v>
      </c>
      <c r="V370" s="591">
        <f>W370/Q370</f>
        <v>1</v>
      </c>
      <c r="W370" s="452">
        <f>P370*S370</f>
        <v>2400</v>
      </c>
      <c r="X370" s="595" t="s">
        <v>843</v>
      </c>
      <c r="Y370" s="273"/>
      <c r="Z370" s="273"/>
      <c r="AA370" s="273"/>
      <c r="AB370" s="273"/>
      <c r="AC370" s="273"/>
      <c r="AD370" s="273"/>
      <c r="AE370" s="273"/>
      <c r="AF370" s="273"/>
      <c r="AG370" s="273"/>
      <c r="AH370" s="273"/>
      <c r="AI370" s="273"/>
      <c r="AJ370" s="273"/>
      <c r="AK370" s="273"/>
      <c r="AL370" s="273"/>
      <c r="AM370" s="273"/>
      <c r="AN370" s="273"/>
      <c r="AO370" s="273"/>
      <c r="AP370" s="273"/>
      <c r="AQ370" s="273"/>
    </row>
    <row r="371" spans="1:43" s="450" customFormat="1" ht="26" x14ac:dyDescent="0.25">
      <c r="A371" s="3004"/>
      <c r="B371" s="595" t="s">
        <v>1335</v>
      </c>
      <c r="C371" s="595" t="s">
        <v>15</v>
      </c>
      <c r="D371" s="467" t="s">
        <v>724</v>
      </c>
      <c r="E371" s="468">
        <v>2</v>
      </c>
      <c r="F371" s="1797">
        <v>950</v>
      </c>
      <c r="G371" s="467">
        <v>1</v>
      </c>
      <c r="H371" s="451">
        <f>CARITAS!H70</f>
        <v>1900</v>
      </c>
      <c r="I371" s="714">
        <v>0.15</v>
      </c>
      <c r="J371" s="437">
        <v>5</v>
      </c>
      <c r="K371" s="1798">
        <v>950</v>
      </c>
      <c r="L371" s="437">
        <v>1</v>
      </c>
      <c r="M371" s="1834">
        <f>CARITAS!M70</f>
        <v>4750</v>
      </c>
      <c r="N371" s="1784">
        <v>0.15</v>
      </c>
      <c r="O371" s="2921">
        <f t="shared" si="185"/>
        <v>6650</v>
      </c>
      <c r="P371" s="675">
        <v>0.5</v>
      </c>
      <c r="Q371" s="709">
        <f t="shared" ref="Q371:Q372" si="186">O371/2</f>
        <v>3325</v>
      </c>
      <c r="R371" s="1781" t="s">
        <v>845</v>
      </c>
      <c r="S371" s="452">
        <f>CARITAS!S70</f>
        <v>6650</v>
      </c>
      <c r="T371" s="591">
        <f t="shared" si="176"/>
        <v>1</v>
      </c>
      <c r="U371" s="595" t="s">
        <v>729</v>
      </c>
      <c r="V371" s="591">
        <f t="shared" ref="V371:V380" si="187">W371/Q371</f>
        <v>1</v>
      </c>
      <c r="W371" s="452">
        <f t="shared" ref="W371:W380" si="188">P371*S371</f>
        <v>3325</v>
      </c>
      <c r="X371" s="595" t="s">
        <v>846</v>
      </c>
      <c r="Y371" s="273"/>
      <c r="Z371" s="273"/>
      <c r="AA371" s="273"/>
      <c r="AB371" s="273"/>
      <c r="AC371" s="273"/>
      <c r="AD371" s="273"/>
      <c r="AE371" s="273"/>
      <c r="AF371" s="273"/>
      <c r="AG371" s="273"/>
      <c r="AH371" s="273"/>
      <c r="AI371" s="273"/>
      <c r="AJ371" s="273"/>
      <c r="AK371" s="273"/>
      <c r="AL371" s="273"/>
      <c r="AM371" s="273"/>
      <c r="AN371" s="273"/>
      <c r="AO371" s="273"/>
      <c r="AP371" s="273"/>
      <c r="AQ371" s="273"/>
    </row>
    <row r="372" spans="1:43" s="450" customFormat="1" ht="62.5" customHeight="1" x14ac:dyDescent="0.25">
      <c r="A372" s="3004"/>
      <c r="B372" s="595" t="s">
        <v>1336</v>
      </c>
      <c r="C372" s="595" t="s">
        <v>15</v>
      </c>
      <c r="D372" s="467" t="s">
        <v>724</v>
      </c>
      <c r="E372" s="468">
        <v>7</v>
      </c>
      <c r="F372" s="1797">
        <v>200</v>
      </c>
      <c r="G372" s="467">
        <v>1</v>
      </c>
      <c r="H372" s="451">
        <f>CARITAS!H71</f>
        <v>1400</v>
      </c>
      <c r="I372" s="714">
        <v>0.3</v>
      </c>
      <c r="J372" s="437">
        <v>7</v>
      </c>
      <c r="K372" s="1798">
        <v>200</v>
      </c>
      <c r="L372" s="437">
        <v>1</v>
      </c>
      <c r="M372" s="1834">
        <f>CARITAS!M71</f>
        <v>1400</v>
      </c>
      <c r="N372" s="1784">
        <v>0.3</v>
      </c>
      <c r="O372" s="2921">
        <f t="shared" si="185"/>
        <v>2800</v>
      </c>
      <c r="P372" s="675">
        <v>0.5</v>
      </c>
      <c r="Q372" s="709">
        <f t="shared" si="186"/>
        <v>1400</v>
      </c>
      <c r="R372" s="1781" t="s">
        <v>848</v>
      </c>
      <c r="S372" s="452">
        <f>CARITAS!S71</f>
        <v>2800</v>
      </c>
      <c r="T372" s="591">
        <f t="shared" si="176"/>
        <v>1</v>
      </c>
      <c r="U372" s="595" t="s">
        <v>1479</v>
      </c>
      <c r="V372" s="591">
        <f t="shared" si="187"/>
        <v>1</v>
      </c>
      <c r="W372" s="452">
        <f t="shared" si="188"/>
        <v>1400</v>
      </c>
      <c r="X372" s="595" t="s">
        <v>849</v>
      </c>
      <c r="Y372" s="273"/>
      <c r="Z372" s="273"/>
      <c r="AA372" s="273"/>
      <c r="AB372" s="273"/>
      <c r="AC372" s="273"/>
      <c r="AD372" s="273"/>
      <c r="AE372" s="273"/>
      <c r="AF372" s="273"/>
      <c r="AG372" s="273"/>
      <c r="AH372" s="273"/>
      <c r="AI372" s="273"/>
      <c r="AJ372" s="273"/>
      <c r="AK372" s="273"/>
      <c r="AL372" s="273"/>
      <c r="AM372" s="273"/>
      <c r="AN372" s="273"/>
      <c r="AO372" s="273"/>
      <c r="AP372" s="273"/>
      <c r="AQ372" s="273"/>
    </row>
    <row r="373" spans="1:43" s="450" customFormat="1" x14ac:dyDescent="0.25">
      <c r="A373" s="3004"/>
      <c r="B373" s="595" t="s">
        <v>1497</v>
      </c>
      <c r="C373" s="266"/>
      <c r="D373" s="467" t="s">
        <v>724</v>
      </c>
      <c r="E373" s="468"/>
      <c r="F373" s="467"/>
      <c r="G373" s="467"/>
      <c r="H373" s="451">
        <f>CARITAS!H72</f>
        <v>0</v>
      </c>
      <c r="I373" s="714"/>
      <c r="J373" s="722"/>
      <c r="K373" s="722"/>
      <c r="L373" s="722"/>
      <c r="M373" s="1834">
        <f>CARITAS!M72</f>
        <v>0</v>
      </c>
      <c r="N373" s="1784"/>
      <c r="O373" s="2921"/>
      <c r="P373" s="675"/>
      <c r="Q373" s="709"/>
      <c r="R373" s="1781"/>
      <c r="S373" s="452">
        <f>CARITAS!S72</f>
        <v>0</v>
      </c>
      <c r="T373" s="591"/>
      <c r="U373" s="595"/>
      <c r="V373" s="591"/>
      <c r="W373" s="452"/>
      <c r="X373" s="541"/>
      <c r="Y373" s="273"/>
      <c r="Z373" s="273"/>
      <c r="AA373" s="273"/>
      <c r="AB373" s="273"/>
      <c r="AC373" s="273"/>
      <c r="AD373" s="273"/>
      <c r="AE373" s="273"/>
      <c r="AF373" s="273"/>
      <c r="AG373" s="273"/>
      <c r="AH373" s="273"/>
      <c r="AI373" s="273"/>
      <c r="AJ373" s="273"/>
      <c r="AK373" s="273"/>
      <c r="AL373" s="273"/>
      <c r="AM373" s="273"/>
      <c r="AN373" s="273"/>
      <c r="AO373" s="273"/>
      <c r="AP373" s="273"/>
      <c r="AQ373" s="273"/>
    </row>
    <row r="374" spans="1:43" s="450" customFormat="1" x14ac:dyDescent="0.25">
      <c r="A374" s="3004"/>
      <c r="B374" s="595" t="s">
        <v>850</v>
      </c>
      <c r="C374" s="266" t="s">
        <v>17</v>
      </c>
      <c r="D374" s="467" t="s">
        <v>724</v>
      </c>
      <c r="E374" s="468">
        <v>7</v>
      </c>
      <c r="F374" s="1797">
        <f>50*3</f>
        <v>150</v>
      </c>
      <c r="G374" s="467">
        <v>2</v>
      </c>
      <c r="H374" s="451">
        <f>CARITAS!H73</f>
        <v>2100</v>
      </c>
      <c r="I374" s="675">
        <v>0.3</v>
      </c>
      <c r="J374" s="451">
        <v>0</v>
      </c>
      <c r="K374" s="451">
        <v>0</v>
      </c>
      <c r="L374" s="451">
        <v>0</v>
      </c>
      <c r="M374" s="1834">
        <f>CARITAS!M73</f>
        <v>0</v>
      </c>
      <c r="N374" s="697">
        <v>0.3</v>
      </c>
      <c r="O374" s="2921">
        <f t="shared" si="185"/>
        <v>2100</v>
      </c>
      <c r="P374" s="675">
        <v>0.5</v>
      </c>
      <c r="Q374" s="709">
        <f>O374/2</f>
        <v>1050</v>
      </c>
      <c r="R374" s="1781" t="s">
        <v>851</v>
      </c>
      <c r="S374" s="452">
        <f>CARITAS!S73</f>
        <v>2100</v>
      </c>
      <c r="T374" s="591">
        <f t="shared" si="176"/>
        <v>1</v>
      </c>
      <c r="U374" s="595" t="s">
        <v>852</v>
      </c>
      <c r="V374" s="591">
        <f t="shared" si="187"/>
        <v>1</v>
      </c>
      <c r="W374" s="452">
        <f t="shared" si="188"/>
        <v>1050</v>
      </c>
      <c r="X374" s="595" t="s">
        <v>853</v>
      </c>
      <c r="Y374" s="273"/>
      <c r="Z374" s="273"/>
      <c r="AA374" s="273"/>
      <c r="AB374" s="273"/>
      <c r="AC374" s="273"/>
      <c r="AD374" s="273"/>
      <c r="AE374" s="273"/>
      <c r="AF374" s="273"/>
      <c r="AG374" s="273"/>
      <c r="AH374" s="273"/>
      <c r="AI374" s="273"/>
      <c r="AJ374" s="273"/>
      <c r="AK374" s="273"/>
      <c r="AL374" s="273"/>
      <c r="AM374" s="273"/>
      <c r="AN374" s="273"/>
      <c r="AO374" s="273"/>
      <c r="AP374" s="273"/>
      <c r="AQ374" s="273"/>
    </row>
    <row r="375" spans="1:43" s="450" customFormat="1" ht="26" x14ac:dyDescent="0.25">
      <c r="A375" s="3004"/>
      <c r="B375" s="595" t="s">
        <v>1337</v>
      </c>
      <c r="C375" s="266" t="s">
        <v>15</v>
      </c>
      <c r="D375" s="467" t="s">
        <v>724</v>
      </c>
      <c r="E375" s="724">
        <v>0</v>
      </c>
      <c r="F375" s="266">
        <v>0</v>
      </c>
      <c r="G375" s="266">
        <v>0</v>
      </c>
      <c r="H375" s="451">
        <f>CARITAS!H74</f>
        <v>0</v>
      </c>
      <c r="I375" s="714">
        <v>0</v>
      </c>
      <c r="J375" s="437">
        <v>1</v>
      </c>
      <c r="K375" s="1798">
        <v>4156</v>
      </c>
      <c r="L375" s="437">
        <v>1</v>
      </c>
      <c r="M375" s="1834">
        <f>CARITAS!M74</f>
        <v>4156</v>
      </c>
      <c r="N375" s="1784">
        <v>0.5</v>
      </c>
      <c r="O375" s="2921">
        <f t="shared" si="185"/>
        <v>4156</v>
      </c>
      <c r="P375" s="675">
        <f t="shared" si="183"/>
        <v>0.5</v>
      </c>
      <c r="Q375" s="709">
        <f t="shared" ref="Q375:Q380" si="189">O375/2</f>
        <v>2078</v>
      </c>
      <c r="R375" s="1781" t="s">
        <v>851</v>
      </c>
      <c r="S375" s="452">
        <f>CARITAS!S74</f>
        <v>4156</v>
      </c>
      <c r="T375" s="591">
        <f t="shared" si="176"/>
        <v>1</v>
      </c>
      <c r="U375" s="595" t="s">
        <v>852</v>
      </c>
      <c r="V375" s="591">
        <f t="shared" si="187"/>
        <v>1</v>
      </c>
      <c r="W375" s="452">
        <f t="shared" si="188"/>
        <v>2078</v>
      </c>
      <c r="X375" s="595" t="s">
        <v>855</v>
      </c>
      <c r="Y375" s="273"/>
      <c r="Z375" s="273"/>
      <c r="AA375" s="273"/>
      <c r="AB375" s="273"/>
      <c r="AC375" s="273"/>
      <c r="AD375" s="273"/>
      <c r="AE375" s="273"/>
      <c r="AF375" s="273"/>
      <c r="AG375" s="273"/>
      <c r="AH375" s="273"/>
      <c r="AI375" s="273"/>
      <c r="AJ375" s="273"/>
      <c r="AK375" s="273"/>
      <c r="AL375" s="273"/>
      <c r="AM375" s="273"/>
      <c r="AN375" s="273"/>
      <c r="AO375" s="273"/>
      <c r="AP375" s="273"/>
      <c r="AQ375" s="273"/>
    </row>
    <row r="376" spans="1:43" s="450" customFormat="1" ht="62.5" customHeight="1" x14ac:dyDescent="0.25">
      <c r="A376" s="3004"/>
      <c r="B376" s="595" t="s">
        <v>1338</v>
      </c>
      <c r="C376" s="266" t="s">
        <v>17</v>
      </c>
      <c r="D376" s="467" t="s">
        <v>724</v>
      </c>
      <c r="E376" s="724">
        <v>0</v>
      </c>
      <c r="F376" s="266">
        <v>0</v>
      </c>
      <c r="G376" s="266">
        <v>0</v>
      </c>
      <c r="H376" s="451">
        <f>CARITAS!H75</f>
        <v>0</v>
      </c>
      <c r="I376" s="714">
        <v>0</v>
      </c>
      <c r="J376" s="437">
        <v>7</v>
      </c>
      <c r="K376" s="1798">
        <v>100</v>
      </c>
      <c r="L376" s="437">
        <v>3</v>
      </c>
      <c r="M376" s="1834">
        <f>CARITAS!M75</f>
        <v>2100</v>
      </c>
      <c r="N376" s="1784">
        <v>0.5</v>
      </c>
      <c r="O376" s="2921">
        <f t="shared" si="185"/>
        <v>2100</v>
      </c>
      <c r="P376" s="675">
        <f t="shared" si="183"/>
        <v>0.5</v>
      </c>
      <c r="Q376" s="709">
        <f t="shared" si="189"/>
        <v>1050</v>
      </c>
      <c r="R376" s="1781" t="s">
        <v>857</v>
      </c>
      <c r="S376" s="452">
        <f>CARITAS!S75</f>
        <v>2100</v>
      </c>
      <c r="T376" s="591">
        <f t="shared" si="176"/>
        <v>1</v>
      </c>
      <c r="U376" s="595" t="s">
        <v>852</v>
      </c>
      <c r="V376" s="591">
        <f t="shared" si="187"/>
        <v>1</v>
      </c>
      <c r="W376" s="452">
        <f t="shared" si="188"/>
        <v>1050</v>
      </c>
      <c r="X376" s="595" t="s">
        <v>858</v>
      </c>
      <c r="Y376" s="273"/>
      <c r="Z376" s="273"/>
      <c r="AA376" s="273"/>
      <c r="AB376" s="273"/>
      <c r="AC376" s="273"/>
      <c r="AD376" s="273"/>
      <c r="AE376" s="273"/>
      <c r="AF376" s="273"/>
      <c r="AG376" s="273"/>
      <c r="AH376" s="273"/>
      <c r="AI376" s="273"/>
      <c r="AJ376" s="273"/>
      <c r="AK376" s="273"/>
      <c r="AL376" s="273"/>
      <c r="AM376" s="273"/>
      <c r="AN376" s="273"/>
      <c r="AO376" s="273"/>
      <c r="AP376" s="273"/>
      <c r="AQ376" s="273"/>
    </row>
    <row r="377" spans="1:43" s="450" customFormat="1" ht="46.9" customHeight="1" x14ac:dyDescent="0.25">
      <c r="A377" s="3004"/>
      <c r="B377" s="595" t="s">
        <v>1339</v>
      </c>
      <c r="C377" s="266" t="s">
        <v>48</v>
      </c>
      <c r="D377" s="467" t="s">
        <v>724</v>
      </c>
      <c r="E377" s="724">
        <v>0</v>
      </c>
      <c r="F377" s="266">
        <v>0</v>
      </c>
      <c r="G377" s="266">
        <v>0</v>
      </c>
      <c r="H377" s="451">
        <f>CARITAS!H76</f>
        <v>0</v>
      </c>
      <c r="I377" s="714">
        <v>0</v>
      </c>
      <c r="J377" s="437">
        <f>2*7</f>
        <v>14</v>
      </c>
      <c r="K377" s="1798">
        <v>60</v>
      </c>
      <c r="L377" s="437">
        <v>10</v>
      </c>
      <c r="M377" s="1834">
        <f>CARITAS!M76</f>
        <v>8400</v>
      </c>
      <c r="N377" s="1784">
        <v>0.5</v>
      </c>
      <c r="O377" s="2921">
        <f t="shared" si="185"/>
        <v>8400</v>
      </c>
      <c r="P377" s="675">
        <f t="shared" si="183"/>
        <v>0.5</v>
      </c>
      <c r="Q377" s="709">
        <f t="shared" si="189"/>
        <v>4200</v>
      </c>
      <c r="R377" s="1781" t="s">
        <v>857</v>
      </c>
      <c r="S377" s="452">
        <f>CARITAS!S76</f>
        <v>8400</v>
      </c>
      <c r="T377" s="591">
        <f>S377/O377</f>
        <v>1</v>
      </c>
      <c r="U377" s="595" t="s">
        <v>1481</v>
      </c>
      <c r="V377" s="591">
        <f t="shared" si="187"/>
        <v>1</v>
      </c>
      <c r="W377" s="452">
        <f t="shared" si="188"/>
        <v>4200</v>
      </c>
      <c r="X377" s="595" t="s">
        <v>855</v>
      </c>
      <c r="Y377" s="273"/>
      <c r="Z377" s="273"/>
      <c r="AA377" s="273"/>
      <c r="AB377" s="273"/>
      <c r="AC377" s="273"/>
      <c r="AD377" s="273"/>
      <c r="AE377" s="273"/>
      <c r="AF377" s="273"/>
      <c r="AG377" s="273"/>
      <c r="AH377" s="273"/>
      <c r="AI377" s="273"/>
      <c r="AJ377" s="273"/>
      <c r="AK377" s="273"/>
      <c r="AL377" s="273"/>
      <c r="AM377" s="273"/>
      <c r="AN377" s="273"/>
      <c r="AO377" s="273"/>
      <c r="AP377" s="273"/>
      <c r="AQ377" s="273"/>
    </row>
    <row r="378" spans="1:43" s="450" customFormat="1" ht="46.9" customHeight="1" x14ac:dyDescent="0.25">
      <c r="A378" s="3004"/>
      <c r="B378" s="595" t="s">
        <v>1340</v>
      </c>
      <c r="C378" s="266" t="s">
        <v>17</v>
      </c>
      <c r="D378" s="467" t="s">
        <v>724</v>
      </c>
      <c r="E378" s="724">
        <v>0</v>
      </c>
      <c r="F378" s="266">
        <v>0</v>
      </c>
      <c r="G378" s="266">
        <v>0</v>
      </c>
      <c r="H378" s="451">
        <f>CARITAS!H77</f>
        <v>0</v>
      </c>
      <c r="I378" s="714">
        <v>0</v>
      </c>
      <c r="J378" s="437">
        <f>7*5</f>
        <v>35</v>
      </c>
      <c r="K378" s="1798">
        <v>100</v>
      </c>
      <c r="L378" s="437">
        <v>1</v>
      </c>
      <c r="M378" s="1834">
        <f>CARITAS!M77</f>
        <v>3500</v>
      </c>
      <c r="N378" s="1784">
        <v>0.5</v>
      </c>
      <c r="O378" s="2921">
        <f t="shared" si="185"/>
        <v>3500</v>
      </c>
      <c r="P378" s="675">
        <f t="shared" si="183"/>
        <v>0.5</v>
      </c>
      <c r="Q378" s="709">
        <f t="shared" si="189"/>
        <v>1750</v>
      </c>
      <c r="R378" s="1781" t="s">
        <v>857</v>
      </c>
      <c r="S378" s="452">
        <f>CARITAS!S77</f>
        <v>3500</v>
      </c>
      <c r="T378" s="591">
        <f t="shared" si="176"/>
        <v>1</v>
      </c>
      <c r="U378" s="595" t="s">
        <v>855</v>
      </c>
      <c r="V378" s="591">
        <f t="shared" si="187"/>
        <v>1</v>
      </c>
      <c r="W378" s="452">
        <f t="shared" si="188"/>
        <v>1750</v>
      </c>
      <c r="X378" s="595" t="s">
        <v>855</v>
      </c>
      <c r="Y378" s="273"/>
      <c r="Z378" s="273"/>
      <c r="AA378" s="273"/>
      <c r="AB378" s="273"/>
      <c r="AC378" s="273"/>
      <c r="AD378" s="273"/>
      <c r="AE378" s="273"/>
      <c r="AF378" s="273"/>
      <c r="AG378" s="273"/>
      <c r="AH378" s="273"/>
      <c r="AI378" s="273"/>
      <c r="AJ378" s="273"/>
      <c r="AK378" s="273"/>
      <c r="AL378" s="273"/>
      <c r="AM378" s="273"/>
      <c r="AN378" s="273"/>
      <c r="AO378" s="273"/>
      <c r="AP378" s="273"/>
      <c r="AQ378" s="273"/>
    </row>
    <row r="379" spans="1:43" s="450" customFormat="1" ht="78" customHeight="1" x14ac:dyDescent="0.25">
      <c r="A379" s="3004"/>
      <c r="B379" s="595" t="s">
        <v>1341</v>
      </c>
      <c r="C379" s="266" t="s">
        <v>15</v>
      </c>
      <c r="D379" s="467" t="s">
        <v>724</v>
      </c>
      <c r="E379" s="724">
        <v>0</v>
      </c>
      <c r="F379" s="266">
        <v>0</v>
      </c>
      <c r="G379" s="266">
        <v>0</v>
      </c>
      <c r="H379" s="451">
        <f>CARITAS!H78</f>
        <v>0</v>
      </c>
      <c r="I379" s="714">
        <v>0</v>
      </c>
      <c r="J379" s="437">
        <v>7</v>
      </c>
      <c r="K379" s="1798">
        <v>180</v>
      </c>
      <c r="L379" s="437">
        <v>3</v>
      </c>
      <c r="M379" s="1834">
        <f>CARITAS!M78</f>
        <v>3780</v>
      </c>
      <c r="N379" s="1784">
        <v>0.3</v>
      </c>
      <c r="O379" s="2921">
        <f t="shared" si="185"/>
        <v>3780</v>
      </c>
      <c r="P379" s="675">
        <v>0.5</v>
      </c>
      <c r="Q379" s="709">
        <f t="shared" si="189"/>
        <v>1890</v>
      </c>
      <c r="R379" s="1781" t="s">
        <v>857</v>
      </c>
      <c r="S379" s="452">
        <f>CARITAS!S78</f>
        <v>3760</v>
      </c>
      <c r="T379" s="591">
        <f t="shared" si="176"/>
        <v>0.99470899470899465</v>
      </c>
      <c r="U379" s="595" t="s">
        <v>862</v>
      </c>
      <c r="V379" s="591">
        <f t="shared" si="187"/>
        <v>0.99470899470899465</v>
      </c>
      <c r="W379" s="452">
        <f t="shared" si="188"/>
        <v>1880</v>
      </c>
      <c r="X379" s="595" t="s">
        <v>862</v>
      </c>
      <c r="Y379" s="273"/>
      <c r="Z379" s="273"/>
      <c r="AA379" s="273"/>
      <c r="AB379" s="273"/>
      <c r="AC379" s="273"/>
      <c r="AD379" s="273"/>
      <c r="AE379" s="273"/>
      <c r="AF379" s="273"/>
      <c r="AG379" s="273"/>
      <c r="AH379" s="273"/>
      <c r="AI379" s="273"/>
      <c r="AJ379" s="273"/>
      <c r="AK379" s="273"/>
      <c r="AL379" s="273"/>
      <c r="AM379" s="273"/>
      <c r="AN379" s="273"/>
      <c r="AO379" s="273"/>
      <c r="AP379" s="273"/>
      <c r="AQ379" s="273"/>
    </row>
    <row r="380" spans="1:43" s="450" customFormat="1" ht="62.5" customHeight="1" x14ac:dyDescent="0.25">
      <c r="A380" s="3004"/>
      <c r="B380" s="595" t="s">
        <v>1342</v>
      </c>
      <c r="C380" s="266" t="s">
        <v>15</v>
      </c>
      <c r="D380" s="467" t="s">
        <v>724</v>
      </c>
      <c r="E380" s="724">
        <v>0</v>
      </c>
      <c r="F380" s="266">
        <v>0</v>
      </c>
      <c r="G380" s="266">
        <v>0</v>
      </c>
      <c r="H380" s="451">
        <f>CARITAS!H79</f>
        <v>0</v>
      </c>
      <c r="I380" s="714">
        <v>0</v>
      </c>
      <c r="J380" s="437">
        <v>1</v>
      </c>
      <c r="K380" s="1798">
        <v>315</v>
      </c>
      <c r="L380" s="437">
        <v>2</v>
      </c>
      <c r="M380" s="1834">
        <f>CARITAS!M79</f>
        <v>630</v>
      </c>
      <c r="N380" s="1784">
        <v>0.4</v>
      </c>
      <c r="O380" s="2921">
        <f t="shared" si="185"/>
        <v>630</v>
      </c>
      <c r="P380" s="675">
        <f t="shared" si="183"/>
        <v>0.5</v>
      </c>
      <c r="Q380" s="709">
        <f t="shared" si="189"/>
        <v>315</v>
      </c>
      <c r="R380" s="1781" t="s">
        <v>851</v>
      </c>
      <c r="S380" s="452">
        <f>CARITAS!S79</f>
        <v>630</v>
      </c>
      <c r="T380" s="591">
        <f t="shared" si="176"/>
        <v>1</v>
      </c>
      <c r="U380" s="595" t="s">
        <v>864</v>
      </c>
      <c r="V380" s="591">
        <f t="shared" si="187"/>
        <v>1</v>
      </c>
      <c r="W380" s="452">
        <f t="shared" si="188"/>
        <v>315</v>
      </c>
      <c r="X380" s="595" t="s">
        <v>864</v>
      </c>
      <c r="Y380" s="273"/>
      <c r="Z380" s="273"/>
      <c r="AA380" s="273"/>
      <c r="AB380" s="273"/>
      <c r="AC380" s="273"/>
      <c r="AD380" s="273"/>
      <c r="AE380" s="273"/>
      <c r="AF380" s="273"/>
      <c r="AG380" s="273"/>
      <c r="AH380" s="273"/>
      <c r="AI380" s="273"/>
      <c r="AJ380" s="273"/>
      <c r="AK380" s="273"/>
      <c r="AL380" s="273"/>
      <c r="AM380" s="273"/>
      <c r="AN380" s="273"/>
      <c r="AO380" s="273"/>
      <c r="AP380" s="273"/>
      <c r="AQ380" s="273"/>
    </row>
    <row r="381" spans="1:43" s="454" customFormat="1" ht="15.65" customHeight="1" x14ac:dyDescent="0.25">
      <c r="A381" s="3005"/>
      <c r="B381" s="711" t="s">
        <v>573</v>
      </c>
      <c r="C381" s="711"/>
      <c r="D381" s="897"/>
      <c r="E381" s="712"/>
      <c r="F381" s="712"/>
      <c r="G381" s="712"/>
      <c r="H381" s="1123">
        <f>SUM(H364:H380)</f>
        <v>12280</v>
      </c>
      <c r="I381" s="716"/>
      <c r="J381" s="1077"/>
      <c r="K381" s="1077"/>
      <c r="L381" s="1077"/>
      <c r="M381" s="2870">
        <f>SUM(M364:M380)</f>
        <v>36996</v>
      </c>
      <c r="N381" s="716"/>
      <c r="O381" s="1123">
        <f>SUM(O364:O380)</f>
        <v>49276</v>
      </c>
      <c r="P381" s="1076"/>
      <c r="Q381" s="713">
        <f>SUM(Q364:Q380)</f>
        <v>24638</v>
      </c>
      <c r="R381" s="1125"/>
      <c r="S381" s="1672">
        <f>SUM(S364:S380)</f>
        <v>49256</v>
      </c>
      <c r="T381" s="1126">
        <f>S381/O381</f>
        <v>0.99959412289958605</v>
      </c>
      <c r="U381" s="715"/>
      <c r="V381" s="600">
        <f>W381/Q381</f>
        <v>0.85753713775468787</v>
      </c>
      <c r="W381" s="1127">
        <f>SUM(W364:W380)</f>
        <v>21128</v>
      </c>
      <c r="X381" s="600"/>
      <c r="Y381" s="670"/>
      <c r="Z381" s="670"/>
      <c r="AA381" s="670"/>
      <c r="AB381" s="670"/>
      <c r="AC381" s="670"/>
      <c r="AD381" s="670"/>
      <c r="AE381" s="670"/>
      <c r="AF381" s="670"/>
      <c r="AG381" s="670"/>
      <c r="AH381" s="670"/>
      <c r="AI381" s="670"/>
      <c r="AJ381" s="670"/>
      <c r="AK381" s="670"/>
      <c r="AL381" s="670"/>
      <c r="AM381" s="670"/>
      <c r="AN381" s="670"/>
      <c r="AO381" s="670"/>
      <c r="AP381" s="670"/>
      <c r="AQ381" s="670"/>
    </row>
    <row r="382" spans="1:43" x14ac:dyDescent="0.25">
      <c r="A382" s="3000" t="s">
        <v>1343</v>
      </c>
      <c r="B382" s="3001"/>
      <c r="C382" s="3001"/>
      <c r="D382" s="3001"/>
      <c r="E382" s="3001"/>
      <c r="F382" s="3001"/>
      <c r="G382" s="3001"/>
      <c r="H382" s="3001"/>
      <c r="I382" s="3001"/>
      <c r="J382" s="3001"/>
      <c r="K382" s="3001"/>
      <c r="L382" s="3001"/>
      <c r="M382" s="3001"/>
      <c r="N382" s="3001"/>
      <c r="O382" s="3001"/>
      <c r="P382" s="3001"/>
      <c r="Q382" s="3001"/>
      <c r="R382" s="3002"/>
      <c r="S382" s="1671"/>
      <c r="T382" s="1088"/>
      <c r="U382" s="893"/>
      <c r="V382" s="1103"/>
      <c r="W382" s="1104"/>
      <c r="X382" s="1105"/>
      <c r="Y382" s="448"/>
      <c r="Z382" s="448"/>
      <c r="AA382" s="448"/>
      <c r="AB382" s="448"/>
      <c r="AC382" s="448"/>
      <c r="AD382" s="448"/>
      <c r="AE382" s="448"/>
      <c r="AF382" s="448"/>
      <c r="AG382" s="448"/>
      <c r="AH382" s="448"/>
      <c r="AI382" s="448"/>
      <c r="AJ382" s="448"/>
      <c r="AK382" s="448"/>
      <c r="AL382" s="448"/>
      <c r="AM382" s="448"/>
      <c r="AN382" s="448"/>
      <c r="AO382" s="448"/>
      <c r="AP382" s="448"/>
      <c r="AQ382" s="448"/>
    </row>
    <row r="383" spans="1:43" s="450" customFormat="1" ht="27.65" customHeight="1" x14ac:dyDescent="0.25">
      <c r="A383" s="3049" t="s">
        <v>532</v>
      </c>
      <c r="B383" s="3017" t="s">
        <v>533</v>
      </c>
      <c r="C383" s="276" t="s">
        <v>47</v>
      </c>
      <c r="D383" s="467" t="s">
        <v>500</v>
      </c>
      <c r="E383" s="1721"/>
      <c r="F383" s="595"/>
      <c r="G383" s="595"/>
      <c r="H383" s="451">
        <f>ACIAR!I123</f>
        <v>800</v>
      </c>
      <c r="I383" s="684">
        <v>0.5</v>
      </c>
      <c r="J383" s="451"/>
      <c r="K383" s="451"/>
      <c r="L383" s="451"/>
      <c r="M383" s="1834">
        <v>0</v>
      </c>
      <c r="N383" s="684">
        <v>0.5</v>
      </c>
      <c r="O383" s="696">
        <f>+H383+M383</f>
        <v>800</v>
      </c>
      <c r="P383" s="684">
        <v>0.5</v>
      </c>
      <c r="Q383" s="709">
        <f>+O383*P383</f>
        <v>400</v>
      </c>
      <c r="R383" s="539"/>
      <c r="S383" s="706">
        <f>SUM(ACIAR!T123,ACIAR!T125)</f>
        <v>844.15</v>
      </c>
      <c r="T383" s="591">
        <f>+S383/O383</f>
        <v>1.0551874999999999</v>
      </c>
      <c r="U383" s="3017" t="s">
        <v>534</v>
      </c>
      <c r="V383" s="591">
        <f>W383/Q383</f>
        <v>1.0551874999999999</v>
      </c>
      <c r="W383" s="706">
        <f>P383*S383</f>
        <v>422.07499999999999</v>
      </c>
      <c r="X383" s="594"/>
      <c r="Y383" s="273"/>
      <c r="Z383" s="273"/>
      <c r="AA383" s="273"/>
      <c r="AB383" s="273"/>
      <c r="AC383" s="273"/>
      <c r="AD383" s="273"/>
      <c r="AE383" s="273"/>
      <c r="AF383" s="273"/>
      <c r="AG383" s="273"/>
      <c r="AH383" s="273"/>
      <c r="AI383" s="273"/>
      <c r="AJ383" s="273"/>
      <c r="AK383" s="273"/>
      <c r="AL383" s="273"/>
      <c r="AM383" s="273"/>
      <c r="AN383" s="273"/>
      <c r="AO383" s="273"/>
      <c r="AP383" s="273"/>
      <c r="AQ383" s="273"/>
    </row>
    <row r="384" spans="1:43" s="450" customFormat="1" x14ac:dyDescent="0.25">
      <c r="A384" s="3050"/>
      <c r="B384" s="3019"/>
      <c r="C384" s="266" t="s">
        <v>15</v>
      </c>
      <c r="D384" s="467" t="s">
        <v>500</v>
      </c>
      <c r="E384" s="1721"/>
      <c r="F384" s="595"/>
      <c r="G384" s="595"/>
      <c r="H384" s="451">
        <f>ACIAR!I124</f>
        <v>240</v>
      </c>
      <c r="I384" s="684">
        <v>0.5</v>
      </c>
      <c r="J384" s="451"/>
      <c r="K384" s="451"/>
      <c r="L384" s="451"/>
      <c r="M384" s="1834">
        <v>0</v>
      </c>
      <c r="N384" s="684">
        <v>0</v>
      </c>
      <c r="O384" s="696">
        <f>+H384+M384</f>
        <v>240</v>
      </c>
      <c r="P384" s="684">
        <v>0.5</v>
      </c>
      <c r="Q384" s="709">
        <f>+O384*P384</f>
        <v>120</v>
      </c>
      <c r="R384" s="539"/>
      <c r="S384" s="706">
        <f>ACIAR!T127</f>
        <v>30</v>
      </c>
      <c r="T384" s="591">
        <f>+S384/O384</f>
        <v>0.125</v>
      </c>
      <c r="U384" s="3019"/>
      <c r="V384" s="591">
        <f>W384/Q384</f>
        <v>0.125</v>
      </c>
      <c r="W384" s="706">
        <f>P384*S384</f>
        <v>15</v>
      </c>
      <c r="X384" s="594"/>
      <c r="Y384" s="273"/>
      <c r="Z384" s="273"/>
      <c r="AA384" s="273"/>
      <c r="AB384" s="273"/>
      <c r="AC384" s="273"/>
      <c r="AD384" s="273"/>
      <c r="AE384" s="273"/>
      <c r="AF384" s="273"/>
      <c r="AG384" s="273"/>
      <c r="AH384" s="273"/>
      <c r="AI384" s="273"/>
      <c r="AJ384" s="273"/>
      <c r="AK384" s="273"/>
      <c r="AL384" s="273"/>
      <c r="AM384" s="273"/>
      <c r="AN384" s="273"/>
      <c r="AO384" s="273"/>
      <c r="AP384" s="273"/>
      <c r="AQ384" s="273"/>
    </row>
    <row r="385" spans="1:43" s="450" customFormat="1" x14ac:dyDescent="0.25">
      <c r="A385" s="3050"/>
      <c r="B385" s="3017" t="s">
        <v>535</v>
      </c>
      <c r="C385" s="276" t="s">
        <v>15</v>
      </c>
      <c r="D385" s="467" t="s">
        <v>500</v>
      </c>
      <c r="E385" s="1721"/>
      <c r="F385" s="595"/>
      <c r="G385" s="595"/>
      <c r="H385" s="451">
        <f>ACIAR!I129</f>
        <v>2100</v>
      </c>
      <c r="I385" s="684">
        <v>0.6</v>
      </c>
      <c r="J385" s="451"/>
      <c r="K385" s="451"/>
      <c r="L385" s="451"/>
      <c r="M385" s="1834">
        <f>ACIAR!N129</f>
        <v>1050</v>
      </c>
      <c r="N385" s="684">
        <v>0.6</v>
      </c>
      <c r="O385" s="696">
        <f t="shared" ref="O385:O403" si="190">+H385+M385</f>
        <v>3150</v>
      </c>
      <c r="P385" s="684">
        <v>0.6</v>
      </c>
      <c r="Q385" s="709">
        <f t="shared" ref="Q385:Q403" si="191">+O385*P385</f>
        <v>1890</v>
      </c>
      <c r="R385" s="539"/>
      <c r="S385" s="706">
        <f>ACIAR!T129</f>
        <v>7057.35</v>
      </c>
      <c r="T385" s="591">
        <f>+S385/O385</f>
        <v>2.2404285714285717</v>
      </c>
      <c r="U385" s="595"/>
      <c r="V385" s="591">
        <f t="shared" ref="V385:V402" si="192">W385/Q385</f>
        <v>1.4356825396825394</v>
      </c>
      <c r="W385" s="706">
        <f>P385*S386</f>
        <v>2713.4399999999996</v>
      </c>
      <c r="X385" s="594"/>
      <c r="Y385" s="273"/>
      <c r="Z385" s="273"/>
      <c r="AA385" s="273"/>
      <c r="AB385" s="273"/>
      <c r="AC385" s="273"/>
      <c r="AD385" s="273"/>
      <c r="AE385" s="273"/>
      <c r="AF385" s="273"/>
      <c r="AG385" s="273"/>
      <c r="AH385" s="273"/>
      <c r="AI385" s="273"/>
      <c r="AJ385" s="273"/>
      <c r="AK385" s="273"/>
      <c r="AL385" s="273"/>
      <c r="AM385" s="273"/>
      <c r="AN385" s="273"/>
      <c r="AO385" s="273"/>
      <c r="AP385" s="273"/>
      <c r="AQ385" s="273"/>
    </row>
    <row r="386" spans="1:43" s="450" customFormat="1" x14ac:dyDescent="0.25">
      <c r="A386" s="3050"/>
      <c r="B386" s="3018"/>
      <c r="C386" s="276" t="s">
        <v>47</v>
      </c>
      <c r="D386" s="467" t="s">
        <v>500</v>
      </c>
      <c r="E386" s="1721"/>
      <c r="F386" s="595"/>
      <c r="G386" s="595"/>
      <c r="H386" s="451">
        <f>ACIAR!I130</f>
        <v>8625</v>
      </c>
      <c r="I386" s="684">
        <v>0.6</v>
      </c>
      <c r="J386" s="451"/>
      <c r="K386" s="451"/>
      <c r="L386" s="451"/>
      <c r="M386" s="1834">
        <f>ACIAR!N130</f>
        <v>3450</v>
      </c>
      <c r="N386" s="684">
        <v>0.6</v>
      </c>
      <c r="O386" s="696">
        <f t="shared" si="190"/>
        <v>12075</v>
      </c>
      <c r="P386" s="684">
        <v>0.6</v>
      </c>
      <c r="Q386" s="709">
        <f t="shared" si="191"/>
        <v>7245</v>
      </c>
      <c r="R386" s="539"/>
      <c r="S386" s="706">
        <f>ACIAR!T130</f>
        <v>4522.3999999999996</v>
      </c>
      <c r="T386" s="591">
        <f t="shared" ref="T386:T389" si="193">+S386/O386</f>
        <v>0.37452587991718422</v>
      </c>
      <c r="U386" s="595"/>
      <c r="V386" s="591">
        <f t="shared" si="192"/>
        <v>0.58445962732919254</v>
      </c>
      <c r="W386" s="706">
        <f>P386*S385</f>
        <v>4234.41</v>
      </c>
      <c r="X386" s="594"/>
      <c r="Y386" s="273"/>
      <c r="Z386" s="273"/>
      <c r="AA386" s="273"/>
      <c r="AB386" s="273"/>
      <c r="AC386" s="273"/>
      <c r="AD386" s="273"/>
      <c r="AE386" s="273"/>
      <c r="AF386" s="273"/>
      <c r="AG386" s="273"/>
      <c r="AH386" s="273"/>
      <c r="AI386" s="273"/>
      <c r="AJ386" s="273"/>
      <c r="AK386" s="273"/>
      <c r="AL386" s="273"/>
      <c r="AM386" s="273"/>
      <c r="AN386" s="273"/>
      <c r="AO386" s="273"/>
      <c r="AP386" s="273"/>
      <c r="AQ386" s="273"/>
    </row>
    <row r="387" spans="1:43" s="450" customFormat="1" x14ac:dyDescent="0.25">
      <c r="A387" s="3050"/>
      <c r="B387" s="3018"/>
      <c r="C387" s="276" t="s">
        <v>17</v>
      </c>
      <c r="D387" s="467" t="s">
        <v>500</v>
      </c>
      <c r="E387" s="1721"/>
      <c r="F387" s="595"/>
      <c r="G387" s="595"/>
      <c r="H387" s="451">
        <f>ACIAR!I131</f>
        <v>3250</v>
      </c>
      <c r="I387" s="684">
        <v>0.6</v>
      </c>
      <c r="J387" s="451"/>
      <c r="K387" s="451"/>
      <c r="L387" s="451"/>
      <c r="M387" s="1834">
        <f>ACIAR!N131</f>
        <v>1380</v>
      </c>
      <c r="N387" s="684">
        <v>0.6</v>
      </c>
      <c r="O387" s="696">
        <f t="shared" si="190"/>
        <v>4630</v>
      </c>
      <c r="P387" s="684">
        <v>0.6</v>
      </c>
      <c r="Q387" s="709">
        <f t="shared" si="191"/>
        <v>2778</v>
      </c>
      <c r="R387" s="539"/>
      <c r="S387" s="706">
        <f>ACIAR!T131</f>
        <v>4200</v>
      </c>
      <c r="T387" s="591">
        <f t="shared" si="193"/>
        <v>0.90712742980561556</v>
      </c>
      <c r="U387" s="595"/>
      <c r="V387" s="591">
        <f t="shared" si="192"/>
        <v>0.90712742980561556</v>
      </c>
      <c r="W387" s="706">
        <f t="shared" ref="W387:W403" si="194">P387*S387</f>
        <v>2520</v>
      </c>
      <c r="X387" s="594"/>
      <c r="Y387" s="273"/>
      <c r="Z387" s="273"/>
      <c r="AA387" s="273"/>
      <c r="AB387" s="273"/>
      <c r="AC387" s="273"/>
      <c r="AD387" s="273"/>
      <c r="AE387" s="273"/>
      <c r="AF387" s="273"/>
      <c r="AG387" s="273"/>
      <c r="AH387" s="273"/>
      <c r="AI387" s="273"/>
      <c r="AJ387" s="273"/>
      <c r="AK387" s="273"/>
      <c r="AL387" s="273"/>
      <c r="AM387" s="273"/>
      <c r="AN387" s="273"/>
      <c r="AO387" s="273"/>
      <c r="AP387" s="273"/>
      <c r="AQ387" s="273"/>
    </row>
    <row r="388" spans="1:43" s="450" customFormat="1" x14ac:dyDescent="0.25">
      <c r="A388" s="3050"/>
      <c r="B388" s="3018"/>
      <c r="C388" s="276" t="s">
        <v>48</v>
      </c>
      <c r="D388" s="467" t="s">
        <v>500</v>
      </c>
      <c r="E388" s="1721"/>
      <c r="F388" s="595"/>
      <c r="G388" s="595"/>
      <c r="H388" s="451">
        <f>ACIAR!I132</f>
        <v>0</v>
      </c>
      <c r="I388" s="684">
        <v>0.6</v>
      </c>
      <c r="J388" s="451"/>
      <c r="K388" s="451"/>
      <c r="L388" s="451"/>
      <c r="M388" s="1834">
        <f>ACIAR!N132</f>
        <v>0</v>
      </c>
      <c r="N388" s="684">
        <v>0.6</v>
      </c>
      <c r="O388" s="696">
        <f t="shared" si="190"/>
        <v>0</v>
      </c>
      <c r="P388" s="684">
        <v>0.6</v>
      </c>
      <c r="Q388" s="709">
        <f t="shared" si="191"/>
        <v>0</v>
      </c>
      <c r="R388" s="539"/>
      <c r="S388" s="706">
        <f>ACIAR!T132</f>
        <v>350</v>
      </c>
      <c r="T388" s="591">
        <v>0</v>
      </c>
      <c r="U388" s="595"/>
      <c r="V388" s="591">
        <v>0</v>
      </c>
      <c r="W388" s="706">
        <f t="shared" si="194"/>
        <v>210</v>
      </c>
      <c r="X388" s="594"/>
      <c r="Y388" s="273"/>
      <c r="Z388" s="273"/>
      <c r="AA388" s="273"/>
      <c r="AB388" s="273"/>
      <c r="AC388" s="273"/>
      <c r="AD388" s="273"/>
      <c r="AE388" s="273"/>
      <c r="AF388" s="273"/>
      <c r="AG388" s="273"/>
      <c r="AH388" s="273"/>
      <c r="AI388" s="273"/>
      <c r="AJ388" s="273"/>
      <c r="AK388" s="273"/>
      <c r="AL388" s="273"/>
      <c r="AM388" s="273"/>
      <c r="AN388" s="273"/>
      <c r="AO388" s="273"/>
      <c r="AP388" s="273"/>
      <c r="AQ388" s="273"/>
    </row>
    <row r="389" spans="1:43" s="450" customFormat="1" ht="26" x14ac:dyDescent="0.25">
      <c r="A389" s="3050"/>
      <c r="B389" s="3019"/>
      <c r="C389" s="276" t="s">
        <v>1374</v>
      </c>
      <c r="D389" s="467" t="s">
        <v>500</v>
      </c>
      <c r="E389" s="1721"/>
      <c r="F389" s="595"/>
      <c r="G389" s="595"/>
      <c r="H389" s="451">
        <f>ACIAR!I133</f>
        <v>584</v>
      </c>
      <c r="I389" s="684">
        <v>0.6</v>
      </c>
      <c r="J389" s="451"/>
      <c r="K389" s="451"/>
      <c r="L389" s="451"/>
      <c r="M389" s="1834">
        <f>ACIAR!N133</f>
        <v>292</v>
      </c>
      <c r="N389" s="684">
        <v>0.6</v>
      </c>
      <c r="O389" s="696">
        <f t="shared" si="190"/>
        <v>876</v>
      </c>
      <c r="P389" s="684">
        <v>0.6</v>
      </c>
      <c r="Q389" s="709">
        <f t="shared" si="191"/>
        <v>525.6</v>
      </c>
      <c r="R389" s="539"/>
      <c r="S389" s="706">
        <f>ACIAR!T133</f>
        <v>1940.3</v>
      </c>
      <c r="T389" s="591">
        <f t="shared" si="193"/>
        <v>2.2149543378995435</v>
      </c>
      <c r="U389" s="595"/>
      <c r="V389" s="591">
        <f t="shared" si="192"/>
        <v>2.2149543378995431</v>
      </c>
      <c r="W389" s="706">
        <f t="shared" si="194"/>
        <v>1164.1799999999998</v>
      </c>
      <c r="X389" s="594"/>
      <c r="Y389" s="273"/>
      <c r="Z389" s="273"/>
      <c r="AA389" s="273"/>
      <c r="AB389" s="273"/>
      <c r="AC389" s="273"/>
      <c r="AD389" s="273"/>
      <c r="AE389" s="273"/>
      <c r="AF389" s="273"/>
      <c r="AG389" s="273"/>
      <c r="AH389" s="273"/>
      <c r="AI389" s="273"/>
      <c r="AJ389" s="273"/>
      <c r="AK389" s="273"/>
      <c r="AL389" s="273"/>
      <c r="AM389" s="273"/>
      <c r="AN389" s="273"/>
      <c r="AO389" s="273"/>
      <c r="AP389" s="273"/>
      <c r="AQ389" s="273"/>
    </row>
    <row r="390" spans="1:43" s="450" customFormat="1" ht="27.65" customHeight="1" x14ac:dyDescent="0.25">
      <c r="A390" s="3050"/>
      <c r="B390" s="3017" t="s">
        <v>536</v>
      </c>
      <c r="C390" s="276" t="s">
        <v>15</v>
      </c>
      <c r="D390" s="467" t="s">
        <v>500</v>
      </c>
      <c r="E390" s="1721"/>
      <c r="F390" s="595"/>
      <c r="G390" s="595"/>
      <c r="H390" s="451">
        <f>ACIAR!I135</f>
        <v>9900</v>
      </c>
      <c r="I390" s="684">
        <v>0.6</v>
      </c>
      <c r="J390" s="451"/>
      <c r="K390" s="451"/>
      <c r="L390" s="451"/>
      <c r="M390" s="1834">
        <f>ACIAR!N135</f>
        <v>9900</v>
      </c>
      <c r="N390" s="684">
        <v>0.6</v>
      </c>
      <c r="O390" s="696">
        <f t="shared" si="190"/>
        <v>19800</v>
      </c>
      <c r="P390" s="684">
        <v>0.6</v>
      </c>
      <c r="Q390" s="709">
        <f t="shared" si="191"/>
        <v>11880</v>
      </c>
      <c r="R390" s="539"/>
      <c r="S390" s="706">
        <f>ACIAR!T135</f>
        <v>5771.75</v>
      </c>
      <c r="T390" s="591">
        <f t="shared" ref="T390:T402" si="195">+S390/O390</f>
        <v>0.29150252525252524</v>
      </c>
      <c r="U390" s="3023" t="s">
        <v>537</v>
      </c>
      <c r="V390" s="591">
        <f t="shared" si="192"/>
        <v>0.29150252525252524</v>
      </c>
      <c r="W390" s="706">
        <f t="shared" si="194"/>
        <v>3463.0499999999997</v>
      </c>
      <c r="X390" s="594"/>
      <c r="Y390" s="273"/>
      <c r="Z390" s="273"/>
      <c r="AA390" s="273"/>
      <c r="AB390" s="273"/>
      <c r="AC390" s="273"/>
      <c r="AD390" s="273"/>
      <c r="AE390" s="273"/>
      <c r="AF390" s="273"/>
      <c r="AG390" s="273"/>
      <c r="AH390" s="273"/>
      <c r="AI390" s="273"/>
      <c r="AJ390" s="273"/>
      <c r="AK390" s="273"/>
      <c r="AL390" s="273"/>
      <c r="AM390" s="273"/>
      <c r="AN390" s="273"/>
      <c r="AO390" s="273"/>
      <c r="AP390" s="273"/>
      <c r="AQ390" s="273"/>
    </row>
    <row r="391" spans="1:43" s="450" customFormat="1" x14ac:dyDescent="0.25">
      <c r="A391" s="3050"/>
      <c r="B391" s="3018"/>
      <c r="C391" s="276" t="s">
        <v>47</v>
      </c>
      <c r="D391" s="467" t="s">
        <v>500</v>
      </c>
      <c r="E391" s="1721"/>
      <c r="F391" s="595"/>
      <c r="G391" s="595"/>
      <c r="H391" s="451">
        <f>ACIAR!I136</f>
        <v>6450</v>
      </c>
      <c r="I391" s="684">
        <v>0.6</v>
      </c>
      <c r="J391" s="451"/>
      <c r="K391" s="451"/>
      <c r="L391" s="451"/>
      <c r="M391" s="1834">
        <f>ACIAR!N136</f>
        <v>6450</v>
      </c>
      <c r="N391" s="684">
        <v>0.6</v>
      </c>
      <c r="O391" s="696">
        <f t="shared" si="190"/>
        <v>12900</v>
      </c>
      <c r="P391" s="684">
        <v>0.6</v>
      </c>
      <c r="Q391" s="709">
        <f t="shared" si="191"/>
        <v>7740</v>
      </c>
      <c r="R391" s="539"/>
      <c r="S391" s="706">
        <f>ACIAR!T136</f>
        <v>19057</v>
      </c>
      <c r="T391" s="591">
        <f t="shared" si="195"/>
        <v>1.4772868217054265</v>
      </c>
      <c r="U391" s="3024"/>
      <c r="V391" s="591">
        <f t="shared" si="192"/>
        <v>1.4772868217054262</v>
      </c>
      <c r="W391" s="706">
        <f t="shared" si="194"/>
        <v>11434.199999999999</v>
      </c>
      <c r="X391" s="594"/>
      <c r="Y391" s="273"/>
      <c r="Z391" s="273"/>
      <c r="AA391" s="273"/>
      <c r="AB391" s="273"/>
      <c r="AC391" s="273"/>
      <c r="AD391" s="273"/>
      <c r="AE391" s="273"/>
      <c r="AF391" s="273"/>
      <c r="AG391" s="273"/>
      <c r="AH391" s="273"/>
      <c r="AI391" s="273"/>
      <c r="AJ391" s="273"/>
      <c r="AK391" s="273"/>
      <c r="AL391" s="273"/>
      <c r="AM391" s="273"/>
      <c r="AN391" s="273"/>
      <c r="AO391" s="273"/>
      <c r="AP391" s="273"/>
      <c r="AQ391" s="273"/>
    </row>
    <row r="392" spans="1:43" s="450" customFormat="1" x14ac:dyDescent="0.25">
      <c r="A392" s="3050"/>
      <c r="B392" s="3018"/>
      <c r="C392" s="276" t="s">
        <v>17</v>
      </c>
      <c r="D392" s="467" t="s">
        <v>500</v>
      </c>
      <c r="E392" s="1721"/>
      <c r="F392" s="595"/>
      <c r="G392" s="595"/>
      <c r="H392" s="451">
        <f>ACIAR!I137</f>
        <v>6150</v>
      </c>
      <c r="I392" s="684">
        <v>0.6</v>
      </c>
      <c r="J392" s="451"/>
      <c r="K392" s="451"/>
      <c r="L392" s="451"/>
      <c r="M392" s="1834">
        <f>ACIAR!N137</f>
        <v>6150</v>
      </c>
      <c r="N392" s="684">
        <v>0.6</v>
      </c>
      <c r="O392" s="696">
        <f t="shared" si="190"/>
        <v>12300</v>
      </c>
      <c r="P392" s="684">
        <v>0.6</v>
      </c>
      <c r="Q392" s="709">
        <f t="shared" si="191"/>
        <v>7380</v>
      </c>
      <c r="R392" s="539"/>
      <c r="S392" s="706">
        <f>ACIAR!T137</f>
        <v>10662.3</v>
      </c>
      <c r="T392" s="591">
        <f t="shared" si="195"/>
        <v>0.86685365853658536</v>
      </c>
      <c r="U392" s="3024"/>
      <c r="V392" s="591">
        <f t="shared" si="192"/>
        <v>0.86685365853658525</v>
      </c>
      <c r="W392" s="706">
        <f t="shared" si="194"/>
        <v>6397.3799999999992</v>
      </c>
      <c r="X392" s="594"/>
      <c r="Y392" s="273"/>
      <c r="Z392" s="273"/>
      <c r="AA392" s="273"/>
      <c r="AB392" s="273"/>
      <c r="AC392" s="273"/>
      <c r="AD392" s="273"/>
      <c r="AE392" s="273"/>
      <c r="AF392" s="273"/>
      <c r="AG392" s="273"/>
      <c r="AH392" s="273"/>
      <c r="AI392" s="273"/>
      <c r="AJ392" s="273"/>
      <c r="AK392" s="273"/>
      <c r="AL392" s="273"/>
      <c r="AM392" s="273"/>
      <c r="AN392" s="273"/>
      <c r="AO392" s="273"/>
      <c r="AP392" s="273"/>
      <c r="AQ392" s="273"/>
    </row>
    <row r="393" spans="1:43" s="450" customFormat="1" x14ac:dyDescent="0.25">
      <c r="A393" s="3050"/>
      <c r="B393" s="3018"/>
      <c r="C393" s="276" t="s">
        <v>48</v>
      </c>
      <c r="D393" s="467" t="s">
        <v>500</v>
      </c>
      <c r="E393" s="1721"/>
      <c r="F393" s="595"/>
      <c r="G393" s="595"/>
      <c r="H393" s="451">
        <f>ACIAR!I138</f>
        <v>21600</v>
      </c>
      <c r="I393" s="684">
        <v>0.6</v>
      </c>
      <c r="J393" s="451"/>
      <c r="K393" s="451"/>
      <c r="L393" s="451"/>
      <c r="M393" s="1834">
        <f>ACIAR!N138</f>
        <v>21600</v>
      </c>
      <c r="N393" s="684">
        <v>0.6</v>
      </c>
      <c r="O393" s="696">
        <f t="shared" si="190"/>
        <v>43200</v>
      </c>
      <c r="P393" s="684">
        <v>0.6</v>
      </c>
      <c r="Q393" s="709">
        <f t="shared" si="191"/>
        <v>25920</v>
      </c>
      <c r="R393" s="539"/>
      <c r="S393" s="706">
        <f>ACIAR!T138</f>
        <v>54411.43</v>
      </c>
      <c r="T393" s="591">
        <f t="shared" si="195"/>
        <v>1.2595238425925925</v>
      </c>
      <c r="U393" s="3024"/>
      <c r="V393" s="591">
        <f t="shared" si="192"/>
        <v>1.2595238425925925</v>
      </c>
      <c r="W393" s="706">
        <f t="shared" si="194"/>
        <v>32646.858</v>
      </c>
      <c r="X393" s="594"/>
      <c r="Y393" s="273"/>
      <c r="Z393" s="273"/>
      <c r="AA393" s="273"/>
      <c r="AB393" s="273"/>
      <c r="AC393" s="273"/>
      <c r="AD393" s="273"/>
      <c r="AE393" s="273"/>
      <c r="AF393" s="273"/>
      <c r="AG393" s="273"/>
      <c r="AH393" s="273"/>
      <c r="AI393" s="273"/>
      <c r="AJ393" s="273"/>
      <c r="AK393" s="273"/>
      <c r="AL393" s="273"/>
      <c r="AM393" s="273"/>
      <c r="AN393" s="273"/>
      <c r="AO393" s="273"/>
      <c r="AP393" s="273"/>
      <c r="AQ393" s="273"/>
    </row>
    <row r="394" spans="1:43" s="450" customFormat="1" ht="26" x14ac:dyDescent="0.25">
      <c r="A394" s="3050"/>
      <c r="B394" s="3019"/>
      <c r="C394" s="276" t="s">
        <v>1374</v>
      </c>
      <c r="D394" s="467" t="s">
        <v>500</v>
      </c>
      <c r="E394" s="1721"/>
      <c r="F394" s="595"/>
      <c r="G394" s="595"/>
      <c r="H394" s="451">
        <f>ACIAR!I139</f>
        <v>1602</v>
      </c>
      <c r="I394" s="684">
        <v>0.6</v>
      </c>
      <c r="J394" s="451"/>
      <c r="K394" s="451"/>
      <c r="L394" s="451"/>
      <c r="M394" s="1834">
        <f>ACIAR!N139</f>
        <v>1602</v>
      </c>
      <c r="N394" s="684">
        <v>0.6</v>
      </c>
      <c r="O394" s="696">
        <f t="shared" si="190"/>
        <v>3204</v>
      </c>
      <c r="P394" s="684">
        <v>0.6</v>
      </c>
      <c r="Q394" s="709">
        <f t="shared" si="191"/>
        <v>1922.3999999999999</v>
      </c>
      <c r="R394" s="539"/>
      <c r="S394" s="706">
        <f>ACIAR!T139</f>
        <v>4316.8</v>
      </c>
      <c r="T394" s="591">
        <f t="shared" si="195"/>
        <v>1.3473158551810238</v>
      </c>
      <c r="U394" s="3025"/>
      <c r="V394" s="591">
        <f t="shared" si="192"/>
        <v>1.3473158551810238</v>
      </c>
      <c r="W394" s="706">
        <f t="shared" si="194"/>
        <v>2590.08</v>
      </c>
      <c r="X394" s="594"/>
      <c r="Y394" s="273"/>
      <c r="Z394" s="273"/>
      <c r="AA394" s="273"/>
      <c r="AB394" s="273"/>
      <c r="AC394" s="273"/>
      <c r="AD394" s="273"/>
      <c r="AE394" s="273"/>
      <c r="AF394" s="273"/>
      <c r="AG394" s="273"/>
      <c r="AH394" s="273"/>
      <c r="AI394" s="273"/>
      <c r="AJ394" s="273"/>
      <c r="AK394" s="273"/>
      <c r="AL394" s="273"/>
      <c r="AM394" s="273"/>
      <c r="AN394" s="273"/>
      <c r="AO394" s="273"/>
      <c r="AP394" s="273"/>
      <c r="AQ394" s="273"/>
    </row>
    <row r="395" spans="1:43" s="450" customFormat="1" x14ac:dyDescent="0.25">
      <c r="A395" s="3050"/>
      <c r="B395" s="3017" t="s">
        <v>538</v>
      </c>
      <c r="C395" s="266" t="s">
        <v>15</v>
      </c>
      <c r="D395" s="467" t="s">
        <v>500</v>
      </c>
      <c r="E395" s="1721"/>
      <c r="F395" s="595"/>
      <c r="G395" s="595"/>
      <c r="H395" s="451">
        <f>ACIAR!I141</f>
        <v>650</v>
      </c>
      <c r="I395" s="684">
        <v>0.6</v>
      </c>
      <c r="J395" s="451"/>
      <c r="K395" s="451"/>
      <c r="L395" s="451"/>
      <c r="M395" s="1834">
        <f>ACIAR!N141</f>
        <v>0</v>
      </c>
      <c r="N395" s="684">
        <v>0</v>
      </c>
      <c r="O395" s="696">
        <f t="shared" si="190"/>
        <v>650</v>
      </c>
      <c r="P395" s="684">
        <v>0.6</v>
      </c>
      <c r="Q395" s="709">
        <f t="shared" si="191"/>
        <v>390</v>
      </c>
      <c r="R395" s="539"/>
      <c r="S395" s="706">
        <f>ACIAR!T141</f>
        <v>1831.5</v>
      </c>
      <c r="T395" s="591">
        <f t="shared" si="195"/>
        <v>2.8176923076923077</v>
      </c>
      <c r="U395" s="3023" t="s">
        <v>539</v>
      </c>
      <c r="V395" s="591">
        <f t="shared" si="192"/>
        <v>2.8176923076923073</v>
      </c>
      <c r="W395" s="706">
        <f t="shared" si="194"/>
        <v>1098.8999999999999</v>
      </c>
      <c r="X395" s="594"/>
      <c r="Y395" s="273"/>
      <c r="Z395" s="273"/>
      <c r="AA395" s="273"/>
      <c r="AB395" s="273"/>
      <c r="AC395" s="273"/>
      <c r="AD395" s="273"/>
      <c r="AE395" s="273"/>
      <c r="AF395" s="273"/>
      <c r="AG395" s="273"/>
      <c r="AH395" s="273"/>
      <c r="AI395" s="273"/>
      <c r="AJ395" s="273"/>
      <c r="AK395" s="273"/>
      <c r="AL395" s="273"/>
      <c r="AM395" s="273"/>
      <c r="AN395" s="273"/>
      <c r="AO395" s="273"/>
      <c r="AP395" s="273"/>
      <c r="AQ395" s="273"/>
    </row>
    <row r="396" spans="1:43" s="450" customFormat="1" x14ac:dyDescent="0.25">
      <c r="A396" s="3050"/>
      <c r="B396" s="3018"/>
      <c r="C396" s="1859" t="s">
        <v>47</v>
      </c>
      <c r="D396" s="467" t="s">
        <v>500</v>
      </c>
      <c r="E396" s="2977"/>
      <c r="F396" s="2487"/>
      <c r="G396" s="2487"/>
      <c r="H396" s="451">
        <f>ACIAR!I142</f>
        <v>1650</v>
      </c>
      <c r="I396" s="684">
        <v>0.6</v>
      </c>
      <c r="J396" s="1734"/>
      <c r="K396" s="1734"/>
      <c r="L396" s="1734"/>
      <c r="M396" s="1834">
        <f>ACIAR!N142</f>
        <v>0</v>
      </c>
      <c r="N396" s="684">
        <v>0</v>
      </c>
      <c r="O396" s="696">
        <f t="shared" si="190"/>
        <v>1650</v>
      </c>
      <c r="P396" s="684">
        <v>0.6</v>
      </c>
      <c r="Q396" s="709">
        <f t="shared" si="191"/>
        <v>990</v>
      </c>
      <c r="R396" s="1736"/>
      <c r="S396" s="706">
        <f>ACIAR!T142</f>
        <v>1291.5</v>
      </c>
      <c r="T396" s="591">
        <f t="shared" si="195"/>
        <v>0.78272727272727272</v>
      </c>
      <c r="U396" s="3024"/>
      <c r="V396" s="591">
        <f t="shared" si="192"/>
        <v>0.78272727272727272</v>
      </c>
      <c r="W396" s="706">
        <f t="shared" si="194"/>
        <v>774.9</v>
      </c>
      <c r="X396" s="1799"/>
      <c r="Y396" s="273"/>
      <c r="Z396" s="273"/>
      <c r="AA396" s="273"/>
      <c r="AB396" s="273"/>
      <c r="AC396" s="273"/>
      <c r="AD396" s="273"/>
      <c r="AE396" s="273"/>
      <c r="AF396" s="273"/>
      <c r="AG396" s="273"/>
      <c r="AH396" s="273"/>
      <c r="AI396" s="273"/>
      <c r="AJ396" s="273"/>
      <c r="AK396" s="273"/>
      <c r="AL396" s="273"/>
      <c r="AM396" s="273"/>
      <c r="AN396" s="273"/>
      <c r="AO396" s="273"/>
      <c r="AP396" s="273"/>
      <c r="AQ396" s="273"/>
    </row>
    <row r="397" spans="1:43" s="450" customFormat="1" x14ac:dyDescent="0.25">
      <c r="A397" s="3050"/>
      <c r="B397" s="3018"/>
      <c r="C397" s="1859" t="s">
        <v>17</v>
      </c>
      <c r="D397" s="467" t="s">
        <v>500</v>
      </c>
      <c r="E397" s="2977"/>
      <c r="F397" s="2487"/>
      <c r="G397" s="2487"/>
      <c r="H397" s="451">
        <f>ACIAR!I143</f>
        <v>2850</v>
      </c>
      <c r="I397" s="684">
        <v>0.6</v>
      </c>
      <c r="J397" s="1734"/>
      <c r="K397" s="1734"/>
      <c r="L397" s="1734"/>
      <c r="M397" s="1834">
        <f>ACIAR!N143</f>
        <v>0</v>
      </c>
      <c r="N397" s="684">
        <v>0</v>
      </c>
      <c r="O397" s="696">
        <f t="shared" si="190"/>
        <v>2850</v>
      </c>
      <c r="P397" s="684">
        <v>0.6</v>
      </c>
      <c r="Q397" s="709">
        <f t="shared" si="191"/>
        <v>1710</v>
      </c>
      <c r="R397" s="1736"/>
      <c r="S397" s="706">
        <f>ACIAR!T143</f>
        <v>1425</v>
      </c>
      <c r="T397" s="591">
        <f t="shared" si="195"/>
        <v>0.5</v>
      </c>
      <c r="U397" s="3024"/>
      <c r="V397" s="591">
        <f t="shared" si="192"/>
        <v>0.5</v>
      </c>
      <c r="W397" s="706">
        <f t="shared" si="194"/>
        <v>855</v>
      </c>
      <c r="X397" s="1799"/>
      <c r="Y397" s="273"/>
      <c r="Z397" s="273"/>
      <c r="AA397" s="273"/>
      <c r="AB397" s="273"/>
      <c r="AC397" s="273"/>
      <c r="AD397" s="273"/>
      <c r="AE397" s="273"/>
      <c r="AF397" s="273"/>
      <c r="AG397" s="273"/>
      <c r="AH397" s="273"/>
      <c r="AI397" s="273"/>
      <c r="AJ397" s="273"/>
      <c r="AK397" s="273"/>
      <c r="AL397" s="273"/>
      <c r="AM397" s="273"/>
      <c r="AN397" s="273"/>
      <c r="AO397" s="273"/>
      <c r="AP397" s="273"/>
      <c r="AQ397" s="273"/>
    </row>
    <row r="398" spans="1:43" s="450" customFormat="1" x14ac:dyDescent="0.25">
      <c r="A398" s="3050"/>
      <c r="B398" s="3018"/>
      <c r="C398" s="1859" t="s">
        <v>48</v>
      </c>
      <c r="D398" s="467" t="s">
        <v>500</v>
      </c>
      <c r="E398" s="2977"/>
      <c r="F398" s="2487"/>
      <c r="G398" s="2487"/>
      <c r="H398" s="451">
        <f>ACIAR!I144</f>
        <v>0</v>
      </c>
      <c r="I398" s="684">
        <v>0.6</v>
      </c>
      <c r="J398" s="1734"/>
      <c r="K398" s="1734"/>
      <c r="L398" s="1734"/>
      <c r="M398" s="1834">
        <f>ACIAR!N144</f>
        <v>0</v>
      </c>
      <c r="N398" s="684">
        <v>0</v>
      </c>
      <c r="O398" s="696">
        <f t="shared" si="190"/>
        <v>0</v>
      </c>
      <c r="P398" s="684">
        <v>0.6</v>
      </c>
      <c r="Q398" s="709">
        <f t="shared" si="191"/>
        <v>0</v>
      </c>
      <c r="R398" s="1736"/>
      <c r="S398" s="706">
        <f>ACIAR!T144</f>
        <v>0</v>
      </c>
      <c r="T398" s="591">
        <v>0</v>
      </c>
      <c r="U398" s="3024"/>
      <c r="V398" s="591">
        <v>0</v>
      </c>
      <c r="W398" s="706">
        <f t="shared" si="194"/>
        <v>0</v>
      </c>
      <c r="X398" s="1799"/>
      <c r="Y398" s="273"/>
      <c r="Z398" s="273"/>
      <c r="AA398" s="273"/>
      <c r="AB398" s="273"/>
      <c r="AC398" s="273"/>
      <c r="AD398" s="273"/>
      <c r="AE398" s="273"/>
      <c r="AF398" s="273"/>
      <c r="AG398" s="273"/>
      <c r="AH398" s="273"/>
      <c r="AI398" s="273"/>
      <c r="AJ398" s="273"/>
      <c r="AK398" s="273"/>
      <c r="AL398" s="273"/>
      <c r="AM398" s="273"/>
      <c r="AN398" s="273"/>
      <c r="AO398" s="273"/>
      <c r="AP398" s="273"/>
      <c r="AQ398" s="273"/>
    </row>
    <row r="399" spans="1:43" s="450" customFormat="1" ht="26" x14ac:dyDescent="0.25">
      <c r="A399" s="3050"/>
      <c r="B399" s="3019"/>
      <c r="C399" s="1859" t="s">
        <v>1374</v>
      </c>
      <c r="D399" s="467" t="s">
        <v>500</v>
      </c>
      <c r="E399" s="2977"/>
      <c r="F399" s="2487"/>
      <c r="G399" s="2487"/>
      <c r="H399" s="451">
        <f>ACIAR!I145</f>
        <v>312</v>
      </c>
      <c r="I399" s="684">
        <v>0.6</v>
      </c>
      <c r="J399" s="1734"/>
      <c r="K399" s="1734"/>
      <c r="L399" s="1734"/>
      <c r="M399" s="1834">
        <f>ACIAR!N145</f>
        <v>0</v>
      </c>
      <c r="N399" s="684">
        <v>0</v>
      </c>
      <c r="O399" s="696">
        <f t="shared" si="190"/>
        <v>312</v>
      </c>
      <c r="P399" s="684">
        <v>0.6</v>
      </c>
      <c r="Q399" s="709">
        <f t="shared" si="191"/>
        <v>187.2</v>
      </c>
      <c r="R399" s="1736"/>
      <c r="S399" s="706">
        <f>ACIAR!T145</f>
        <v>82</v>
      </c>
      <c r="T399" s="591">
        <f t="shared" si="195"/>
        <v>0.26282051282051283</v>
      </c>
      <c r="U399" s="3025"/>
      <c r="V399" s="591">
        <f t="shared" si="192"/>
        <v>0.26282051282051283</v>
      </c>
      <c r="W399" s="706">
        <f t="shared" si="194"/>
        <v>49.199999999999996</v>
      </c>
      <c r="X399" s="1799"/>
      <c r="Y399" s="273"/>
      <c r="Z399" s="273"/>
      <c r="AA399" s="273"/>
      <c r="AB399" s="273"/>
      <c r="AC399" s="273"/>
      <c r="AD399" s="273"/>
      <c r="AE399" s="273"/>
      <c r="AF399" s="273"/>
      <c r="AG399" s="273"/>
      <c r="AH399" s="273"/>
      <c r="AI399" s="273"/>
      <c r="AJ399" s="273"/>
      <c r="AK399" s="273"/>
      <c r="AL399" s="273"/>
      <c r="AM399" s="273"/>
      <c r="AN399" s="273"/>
      <c r="AO399" s="273"/>
      <c r="AP399" s="273"/>
      <c r="AQ399" s="273"/>
    </row>
    <row r="400" spans="1:43" s="450" customFormat="1" x14ac:dyDescent="0.25">
      <c r="A400" s="3050"/>
      <c r="B400" s="3017" t="s">
        <v>540</v>
      </c>
      <c r="C400" s="1859" t="s">
        <v>15</v>
      </c>
      <c r="D400" s="467" t="s">
        <v>500</v>
      </c>
      <c r="E400" s="2977"/>
      <c r="F400" s="2487"/>
      <c r="G400" s="2487"/>
      <c r="H400" s="451">
        <f>ACIAR!I147</f>
        <v>240</v>
      </c>
      <c r="I400" s="675">
        <v>0.5</v>
      </c>
      <c r="J400" s="451"/>
      <c r="K400" s="451"/>
      <c r="L400" s="451"/>
      <c r="M400" s="1834">
        <f>ACIAR!N147</f>
        <v>240</v>
      </c>
      <c r="N400" s="675">
        <v>0.5</v>
      </c>
      <c r="O400" s="696">
        <f t="shared" si="190"/>
        <v>480</v>
      </c>
      <c r="P400" s="675">
        <v>0.5</v>
      </c>
      <c r="Q400" s="1751">
        <f t="shared" si="191"/>
        <v>240</v>
      </c>
      <c r="R400" s="1736"/>
      <c r="S400" s="1854">
        <f>ACIAR!T147</f>
        <v>295</v>
      </c>
      <c r="T400" s="591">
        <f t="shared" si="195"/>
        <v>0.61458333333333337</v>
      </c>
      <c r="U400" s="3023" t="s">
        <v>507</v>
      </c>
      <c r="V400" s="591">
        <f t="shared" si="192"/>
        <v>0.61458333333333337</v>
      </c>
      <c r="W400" s="706">
        <f t="shared" si="194"/>
        <v>147.5</v>
      </c>
      <c r="X400" s="1799"/>
      <c r="Y400" s="273"/>
      <c r="Z400" s="273"/>
      <c r="AA400" s="273"/>
      <c r="AB400" s="273"/>
      <c r="AC400" s="273"/>
      <c r="AD400" s="273"/>
      <c r="AE400" s="273"/>
      <c r="AF400" s="273"/>
      <c r="AG400" s="273"/>
      <c r="AH400" s="273"/>
      <c r="AI400" s="273"/>
      <c r="AJ400" s="273"/>
      <c r="AK400" s="273"/>
      <c r="AL400" s="273"/>
      <c r="AM400" s="273"/>
      <c r="AN400" s="273"/>
      <c r="AO400" s="273"/>
      <c r="AP400" s="273"/>
      <c r="AQ400" s="273"/>
    </row>
    <row r="401" spans="1:43" s="450" customFormat="1" x14ac:dyDescent="0.25">
      <c r="A401" s="3050"/>
      <c r="B401" s="3018"/>
      <c r="C401" s="1859" t="s">
        <v>17</v>
      </c>
      <c r="D401" s="467" t="s">
        <v>500</v>
      </c>
      <c r="E401" s="2977"/>
      <c r="F401" s="2487"/>
      <c r="G401" s="2487"/>
      <c r="H401" s="451">
        <f>ACIAR!I148</f>
        <v>0</v>
      </c>
      <c r="I401" s="675">
        <v>0.5</v>
      </c>
      <c r="J401" s="451"/>
      <c r="K401" s="451"/>
      <c r="L401" s="451"/>
      <c r="M401" s="1834">
        <f>ACIAR!N148</f>
        <v>0</v>
      </c>
      <c r="N401" s="675">
        <v>0.5</v>
      </c>
      <c r="O401" s="696">
        <f t="shared" si="190"/>
        <v>0</v>
      </c>
      <c r="P401" s="675">
        <v>0.5</v>
      </c>
      <c r="Q401" s="1751">
        <f t="shared" si="191"/>
        <v>0</v>
      </c>
      <c r="R401" s="1736"/>
      <c r="S401" s="1854">
        <f>ACIAR!T148</f>
        <v>0</v>
      </c>
      <c r="T401" s="591">
        <v>0</v>
      </c>
      <c r="U401" s="3024"/>
      <c r="V401" s="591" t="e">
        <f t="shared" si="192"/>
        <v>#DIV/0!</v>
      </c>
      <c r="W401" s="706">
        <f t="shared" si="194"/>
        <v>0</v>
      </c>
      <c r="X401" s="1799"/>
      <c r="Y401" s="273"/>
      <c r="Z401" s="273"/>
      <c r="AA401" s="273"/>
      <c r="AB401" s="273"/>
      <c r="AC401" s="273"/>
      <c r="AD401" s="273"/>
      <c r="AE401" s="273"/>
      <c r="AF401" s="273"/>
      <c r="AG401" s="273"/>
      <c r="AH401" s="273"/>
      <c r="AI401" s="273"/>
      <c r="AJ401" s="273"/>
      <c r="AK401" s="273"/>
      <c r="AL401" s="273"/>
      <c r="AM401" s="273"/>
      <c r="AN401" s="273"/>
      <c r="AO401" s="273"/>
      <c r="AP401" s="273"/>
      <c r="AQ401" s="273"/>
    </row>
    <row r="402" spans="1:43" s="450" customFormat="1" x14ac:dyDescent="0.25">
      <c r="A402" s="3050"/>
      <c r="B402" s="3018"/>
      <c r="C402" s="1859" t="s">
        <v>48</v>
      </c>
      <c r="D402" s="467" t="s">
        <v>500</v>
      </c>
      <c r="E402" s="2977"/>
      <c r="F402" s="2487"/>
      <c r="G402" s="2487"/>
      <c r="H402" s="451">
        <f>ACIAR!I149</f>
        <v>2000</v>
      </c>
      <c r="I402" s="675">
        <v>0.5</v>
      </c>
      <c r="J402" s="451"/>
      <c r="K402" s="451"/>
      <c r="L402" s="451"/>
      <c r="M402" s="1834">
        <f>ACIAR!N149</f>
        <v>2000</v>
      </c>
      <c r="N402" s="675">
        <v>0.5</v>
      </c>
      <c r="O402" s="696">
        <f t="shared" si="190"/>
        <v>4000</v>
      </c>
      <c r="P402" s="675">
        <v>0.5</v>
      </c>
      <c r="Q402" s="1751">
        <f t="shared" si="191"/>
        <v>2000</v>
      </c>
      <c r="R402" s="1736"/>
      <c r="S402" s="1854">
        <f>ACIAR!T149</f>
        <v>2660</v>
      </c>
      <c r="T402" s="591">
        <f t="shared" si="195"/>
        <v>0.66500000000000004</v>
      </c>
      <c r="U402" s="3024"/>
      <c r="V402" s="591">
        <f t="shared" si="192"/>
        <v>0.66500000000000004</v>
      </c>
      <c r="W402" s="706">
        <f t="shared" si="194"/>
        <v>1330</v>
      </c>
      <c r="X402" s="1799"/>
      <c r="Y402" s="273"/>
      <c r="Z402" s="273"/>
      <c r="AA402" s="273"/>
      <c r="AB402" s="273"/>
      <c r="AC402" s="273"/>
      <c r="AD402" s="273"/>
      <c r="AE402" s="273"/>
      <c r="AF402" s="273"/>
      <c r="AG402" s="273"/>
      <c r="AH402" s="273"/>
      <c r="AI402" s="273"/>
      <c r="AJ402" s="273"/>
      <c r="AK402" s="273"/>
      <c r="AL402" s="273"/>
      <c r="AM402" s="273"/>
      <c r="AN402" s="273"/>
      <c r="AO402" s="273"/>
      <c r="AP402" s="273"/>
      <c r="AQ402" s="273"/>
    </row>
    <row r="403" spans="1:43" s="450" customFormat="1" ht="26" x14ac:dyDescent="0.25">
      <c r="A403" s="3050"/>
      <c r="B403" s="3019"/>
      <c r="C403" s="1859" t="s">
        <v>1374</v>
      </c>
      <c r="D403" s="467" t="s">
        <v>500</v>
      </c>
      <c r="E403" s="2977"/>
      <c r="F403" s="2487"/>
      <c r="G403" s="2487"/>
      <c r="H403" s="451">
        <f>ACIAR!I150</f>
        <v>1500</v>
      </c>
      <c r="I403" s="1801">
        <v>0.5</v>
      </c>
      <c r="J403" s="1800"/>
      <c r="K403" s="1800"/>
      <c r="L403" s="1800"/>
      <c r="M403" s="1834">
        <f>ACIAR!N150</f>
        <v>1500</v>
      </c>
      <c r="N403" s="1801"/>
      <c r="O403" s="696">
        <f t="shared" si="190"/>
        <v>3000</v>
      </c>
      <c r="P403" s="675">
        <v>0.5</v>
      </c>
      <c r="Q403" s="1751">
        <f t="shared" si="191"/>
        <v>1500</v>
      </c>
      <c r="R403" s="1736"/>
      <c r="S403" s="1854">
        <f>SUM(ACIAR!T150:T151)</f>
        <v>932</v>
      </c>
      <c r="T403" s="591">
        <v>0</v>
      </c>
      <c r="U403" s="3025"/>
      <c r="V403" s="591">
        <v>0</v>
      </c>
      <c r="W403" s="706">
        <f t="shared" si="194"/>
        <v>466</v>
      </c>
      <c r="X403" s="1799"/>
      <c r="Y403" s="273"/>
      <c r="Z403" s="273"/>
      <c r="AA403" s="273"/>
      <c r="AB403" s="273"/>
      <c r="AC403" s="273"/>
      <c r="AD403" s="273"/>
      <c r="AE403" s="273"/>
      <c r="AF403" s="273"/>
      <c r="AG403" s="273"/>
      <c r="AH403" s="273"/>
      <c r="AI403" s="273"/>
      <c r="AJ403" s="273"/>
      <c r="AK403" s="273"/>
      <c r="AL403" s="273"/>
      <c r="AM403" s="273"/>
      <c r="AN403" s="273"/>
      <c r="AO403" s="273"/>
      <c r="AP403" s="273"/>
      <c r="AQ403" s="273"/>
    </row>
    <row r="404" spans="1:43" s="454" customFormat="1" ht="15.65" customHeight="1" x14ac:dyDescent="0.25">
      <c r="A404" s="3051"/>
      <c r="B404" s="711" t="s">
        <v>573</v>
      </c>
      <c r="C404" s="711"/>
      <c r="D404" s="897"/>
      <c r="E404" s="712"/>
      <c r="F404" s="712"/>
      <c r="G404" s="712"/>
      <c r="H404" s="1123">
        <f>SUM(H383:H403)</f>
        <v>70503</v>
      </c>
      <c r="I404" s="716"/>
      <c r="J404" s="1077"/>
      <c r="K404" s="1077"/>
      <c r="L404" s="1077"/>
      <c r="M404" s="2870">
        <f>SUM(M383:M403)</f>
        <v>55614</v>
      </c>
      <c r="N404" s="716"/>
      <c r="O404" s="1123">
        <f>SUM(O383:O403)</f>
        <v>126117</v>
      </c>
      <c r="P404" s="1076"/>
      <c r="Q404" s="713">
        <f>SUM(Q383:Q403)</f>
        <v>74818.2</v>
      </c>
      <c r="R404" s="1125"/>
      <c r="S404" s="1672">
        <f>SUM(S383:S403)</f>
        <v>121680.48</v>
      </c>
      <c r="T404" s="1126">
        <f>S404/O404</f>
        <v>0.96482218891981253</v>
      </c>
      <c r="U404" s="715"/>
      <c r="V404" s="600">
        <f>W404/Q404</f>
        <v>0.96944557607640902</v>
      </c>
      <c r="W404" s="1127">
        <f>SUM(W383:W403)</f>
        <v>72532.172999999981</v>
      </c>
      <c r="X404" s="600"/>
      <c r="Y404" s="670"/>
      <c r="Z404" s="670"/>
      <c r="AA404" s="670"/>
      <c r="AB404" s="670"/>
      <c r="AC404" s="670"/>
      <c r="AD404" s="670"/>
      <c r="AE404" s="670"/>
      <c r="AF404" s="670"/>
      <c r="AG404" s="670"/>
      <c r="AH404" s="670"/>
      <c r="AI404" s="670"/>
      <c r="AJ404" s="670"/>
      <c r="AK404" s="670"/>
      <c r="AL404" s="670"/>
      <c r="AM404" s="670"/>
      <c r="AN404" s="670"/>
      <c r="AO404" s="670"/>
      <c r="AP404" s="670"/>
      <c r="AQ404" s="670"/>
    </row>
    <row r="405" spans="1:43" s="450" customFormat="1" x14ac:dyDescent="0.25">
      <c r="A405" s="3052" t="s">
        <v>541</v>
      </c>
      <c r="B405" s="3017" t="s">
        <v>542</v>
      </c>
      <c r="C405" s="276" t="s">
        <v>15</v>
      </c>
      <c r="D405" s="2490" t="s">
        <v>500</v>
      </c>
      <c r="E405" s="1727"/>
      <c r="F405" s="2488"/>
      <c r="G405" s="2488"/>
      <c r="H405" s="708">
        <f>ACIAR!I154</f>
        <v>175</v>
      </c>
      <c r="I405" s="684">
        <v>0.6</v>
      </c>
      <c r="J405" s="2617"/>
      <c r="K405" s="2617"/>
      <c r="L405" s="2617"/>
      <c r="M405" s="1759">
        <v>0</v>
      </c>
      <c r="N405" s="684">
        <v>0.6</v>
      </c>
      <c r="O405" s="2917">
        <f>+H405+M405</f>
        <v>175</v>
      </c>
      <c r="P405" s="684">
        <v>0.6</v>
      </c>
      <c r="Q405" s="1749">
        <f>+O405*P405</f>
        <v>105</v>
      </c>
      <c r="R405" s="1730"/>
      <c r="S405" s="732">
        <f>ACIAR!T154</f>
        <v>0</v>
      </c>
      <c r="T405" s="1731">
        <f>+S405/O405</f>
        <v>0</v>
      </c>
      <c r="U405" s="3023" t="s">
        <v>1352</v>
      </c>
      <c r="V405" s="591">
        <v>0</v>
      </c>
      <c r="W405" s="732">
        <v>0</v>
      </c>
      <c r="X405" s="1802"/>
      <c r="Y405" s="273"/>
      <c r="Z405" s="273"/>
      <c r="AA405" s="273"/>
      <c r="AB405" s="273"/>
      <c r="AC405" s="273"/>
      <c r="AD405" s="273"/>
      <c r="AE405" s="273"/>
      <c r="AF405" s="273"/>
      <c r="AG405" s="273"/>
      <c r="AH405" s="273"/>
      <c r="AI405" s="273"/>
      <c r="AJ405" s="273"/>
      <c r="AK405" s="273"/>
      <c r="AL405" s="273"/>
      <c r="AM405" s="273"/>
      <c r="AN405" s="273"/>
      <c r="AO405" s="273"/>
      <c r="AP405" s="273"/>
      <c r="AQ405" s="273"/>
    </row>
    <row r="406" spans="1:43" s="450" customFormat="1" x14ac:dyDescent="0.25">
      <c r="A406" s="3053"/>
      <c r="B406" s="3019"/>
      <c r="C406" s="276" t="s">
        <v>47</v>
      </c>
      <c r="D406" s="2490" t="s">
        <v>500</v>
      </c>
      <c r="E406" s="1727"/>
      <c r="F406" s="2488"/>
      <c r="G406" s="2488"/>
      <c r="H406" s="708">
        <f>ACIAR!I155</f>
        <v>900</v>
      </c>
      <c r="I406" s="684">
        <v>0.6</v>
      </c>
      <c r="J406" s="2617"/>
      <c r="K406" s="2617"/>
      <c r="L406" s="2617"/>
      <c r="M406" s="1759">
        <v>0</v>
      </c>
      <c r="N406" s="684">
        <v>0.6</v>
      </c>
      <c r="O406" s="2917">
        <f>+H406+M406</f>
        <v>900</v>
      </c>
      <c r="P406" s="684">
        <v>0.6</v>
      </c>
      <c r="Q406" s="1749">
        <f>+O406*P406</f>
        <v>540</v>
      </c>
      <c r="R406" s="1730"/>
      <c r="S406" s="732">
        <f>ACIAR!T155</f>
        <v>0</v>
      </c>
      <c r="T406" s="1731">
        <f>+S406/O406</f>
        <v>0</v>
      </c>
      <c r="U406" s="3025"/>
      <c r="V406" s="591">
        <v>0</v>
      </c>
      <c r="W406" s="732">
        <v>0</v>
      </c>
      <c r="X406" s="1802"/>
      <c r="Y406" s="273"/>
      <c r="Z406" s="273"/>
      <c r="AA406" s="273"/>
      <c r="AB406" s="273"/>
      <c r="AC406" s="273"/>
      <c r="AD406" s="273"/>
      <c r="AE406" s="273"/>
      <c r="AF406" s="273"/>
      <c r="AG406" s="273"/>
      <c r="AH406" s="273"/>
      <c r="AI406" s="273"/>
      <c r="AJ406" s="273"/>
      <c r="AK406" s="273"/>
      <c r="AL406" s="273"/>
      <c r="AM406" s="273"/>
      <c r="AN406" s="273"/>
      <c r="AO406" s="273"/>
      <c r="AP406" s="273"/>
      <c r="AQ406" s="273"/>
    </row>
    <row r="407" spans="1:43" s="450" customFormat="1" x14ac:dyDescent="0.25">
      <c r="A407" s="3053"/>
      <c r="B407" s="3017" t="s">
        <v>543</v>
      </c>
      <c r="C407" s="266" t="s">
        <v>15</v>
      </c>
      <c r="D407" s="2490" t="s">
        <v>500</v>
      </c>
      <c r="E407" s="724"/>
      <c r="F407" s="266"/>
      <c r="G407" s="266"/>
      <c r="H407" s="451">
        <v>0</v>
      </c>
      <c r="I407" s="684">
        <v>0.6</v>
      </c>
      <c r="J407" s="2616"/>
      <c r="K407" s="2616"/>
      <c r="L407" s="2616"/>
      <c r="M407" s="1834">
        <f>ACIAR!N157</f>
        <v>370</v>
      </c>
      <c r="N407" s="684">
        <v>0.6</v>
      </c>
      <c r="O407" s="2917">
        <f t="shared" ref="O407:O414" si="196">+H407+M407</f>
        <v>370</v>
      </c>
      <c r="P407" s="684">
        <v>0.6</v>
      </c>
      <c r="Q407" s="1749">
        <f t="shared" ref="Q407:Q414" si="197">+O407*P407</f>
        <v>222</v>
      </c>
      <c r="R407" s="539"/>
      <c r="S407" s="706">
        <f>ACIAR!T157</f>
        <v>6836.45</v>
      </c>
      <c r="T407" s="1731">
        <f t="shared" ref="T407:T414" si="198">+S407/O407</f>
        <v>18.476891891891892</v>
      </c>
      <c r="U407" s="3023" t="s">
        <v>1353</v>
      </c>
      <c r="V407" s="591">
        <v>0</v>
      </c>
      <c r="W407" s="706">
        <v>0</v>
      </c>
      <c r="X407" s="594"/>
      <c r="Y407" s="273"/>
      <c r="Z407" s="273"/>
      <c r="AA407" s="273"/>
      <c r="AB407" s="273"/>
      <c r="AC407" s="273"/>
      <c r="AD407" s="273"/>
      <c r="AE407" s="273"/>
      <c r="AF407" s="273"/>
      <c r="AG407" s="273"/>
      <c r="AH407" s="273"/>
      <c r="AI407" s="273"/>
      <c r="AJ407" s="273"/>
      <c r="AK407" s="273"/>
      <c r="AL407" s="273"/>
      <c r="AM407" s="273"/>
      <c r="AN407" s="273"/>
      <c r="AO407" s="273"/>
      <c r="AP407" s="273"/>
      <c r="AQ407" s="273"/>
    </row>
    <row r="408" spans="1:43" s="450" customFormat="1" x14ac:dyDescent="0.25">
      <c r="A408" s="3053"/>
      <c r="B408" s="3018"/>
      <c r="C408" s="266" t="s">
        <v>47</v>
      </c>
      <c r="D408" s="2490" t="s">
        <v>500</v>
      </c>
      <c r="E408" s="724"/>
      <c r="F408" s="266"/>
      <c r="G408" s="266"/>
      <c r="H408" s="451">
        <v>0</v>
      </c>
      <c r="I408" s="684">
        <v>0.6</v>
      </c>
      <c r="J408" s="2616"/>
      <c r="K408" s="2616"/>
      <c r="L408" s="2616"/>
      <c r="M408" s="1834">
        <f>ACIAR!N158</f>
        <v>4300</v>
      </c>
      <c r="N408" s="684">
        <v>0.6</v>
      </c>
      <c r="O408" s="2917">
        <f t="shared" si="196"/>
        <v>4300</v>
      </c>
      <c r="P408" s="684">
        <v>0.6</v>
      </c>
      <c r="Q408" s="1749">
        <f t="shared" si="197"/>
        <v>2580</v>
      </c>
      <c r="R408" s="539"/>
      <c r="S408" s="706">
        <f>ACIAR!T158</f>
        <v>4287.2</v>
      </c>
      <c r="T408" s="1731">
        <f t="shared" si="198"/>
        <v>0.99702325581395346</v>
      </c>
      <c r="U408" s="3024"/>
      <c r="V408" s="591">
        <v>0</v>
      </c>
      <c r="W408" s="706">
        <v>0</v>
      </c>
      <c r="X408" s="594"/>
      <c r="Y408" s="273"/>
      <c r="Z408" s="273"/>
      <c r="AA408" s="273"/>
      <c r="AB408" s="273"/>
      <c r="AC408" s="273"/>
      <c r="AD408" s="273"/>
      <c r="AE408" s="273"/>
      <c r="AF408" s="273"/>
      <c r="AG408" s="273"/>
      <c r="AH408" s="273"/>
      <c r="AI408" s="273"/>
      <c r="AJ408" s="273"/>
      <c r="AK408" s="273"/>
      <c r="AL408" s="273"/>
      <c r="AM408" s="273"/>
      <c r="AN408" s="273"/>
      <c r="AO408" s="273"/>
      <c r="AP408" s="273"/>
      <c r="AQ408" s="273"/>
    </row>
    <row r="409" spans="1:43" s="450" customFormat="1" x14ac:dyDescent="0.25">
      <c r="A409" s="3053"/>
      <c r="B409" s="3018"/>
      <c r="C409" s="266" t="s">
        <v>17</v>
      </c>
      <c r="D409" s="2490" t="s">
        <v>500</v>
      </c>
      <c r="E409" s="724"/>
      <c r="F409" s="266"/>
      <c r="G409" s="266"/>
      <c r="H409" s="451">
        <v>0</v>
      </c>
      <c r="I409" s="684">
        <v>0.6</v>
      </c>
      <c r="J409" s="2616"/>
      <c r="K409" s="2616"/>
      <c r="L409" s="2616"/>
      <c r="M409" s="1834">
        <f>ACIAR!N159</f>
        <v>2450</v>
      </c>
      <c r="N409" s="684">
        <v>0.6</v>
      </c>
      <c r="O409" s="2917">
        <f t="shared" si="196"/>
        <v>2450</v>
      </c>
      <c r="P409" s="684">
        <v>0.6</v>
      </c>
      <c r="Q409" s="1749">
        <f t="shared" si="197"/>
        <v>1470</v>
      </c>
      <c r="R409" s="539"/>
      <c r="S409" s="706">
        <f>ACIAR!T159</f>
        <v>3950</v>
      </c>
      <c r="T409" s="1731">
        <f t="shared" si="198"/>
        <v>1.6122448979591837</v>
      </c>
      <c r="U409" s="3024"/>
      <c r="V409" s="591">
        <v>0</v>
      </c>
      <c r="W409" s="706">
        <v>0</v>
      </c>
      <c r="X409" s="594"/>
      <c r="Y409" s="273"/>
      <c r="Z409" s="273"/>
      <c r="AA409" s="273"/>
      <c r="AB409" s="273"/>
      <c r="AC409" s="273"/>
      <c r="AD409" s="273"/>
      <c r="AE409" s="273"/>
      <c r="AF409" s="273"/>
      <c r="AG409" s="273"/>
      <c r="AH409" s="273"/>
      <c r="AI409" s="273"/>
      <c r="AJ409" s="273"/>
      <c r="AK409" s="273"/>
      <c r="AL409" s="273"/>
      <c r="AM409" s="273"/>
      <c r="AN409" s="273"/>
      <c r="AO409" s="273"/>
      <c r="AP409" s="273"/>
      <c r="AQ409" s="273"/>
    </row>
    <row r="410" spans="1:43" s="450" customFormat="1" ht="26" x14ac:dyDescent="0.25">
      <c r="A410" s="3053"/>
      <c r="B410" s="3019"/>
      <c r="C410" s="266" t="s">
        <v>1374</v>
      </c>
      <c r="D410" s="2490" t="s">
        <v>500</v>
      </c>
      <c r="E410" s="724"/>
      <c r="F410" s="266"/>
      <c r="G410" s="266"/>
      <c r="H410" s="451">
        <v>0</v>
      </c>
      <c r="I410" s="684">
        <v>0.6</v>
      </c>
      <c r="J410" s="2616"/>
      <c r="K410" s="2616"/>
      <c r="L410" s="2616"/>
      <c r="M410" s="1834">
        <f>ACIAR!N161</f>
        <v>264</v>
      </c>
      <c r="N410" s="684">
        <v>0.6</v>
      </c>
      <c r="O410" s="2917">
        <f t="shared" si="196"/>
        <v>264</v>
      </c>
      <c r="P410" s="684">
        <v>0.6</v>
      </c>
      <c r="Q410" s="1749">
        <f t="shared" si="197"/>
        <v>158.4</v>
      </c>
      <c r="R410" s="539"/>
      <c r="S410" s="706">
        <f>ACIAR!T161</f>
        <v>0</v>
      </c>
      <c r="T410" s="1731">
        <f t="shared" si="198"/>
        <v>0</v>
      </c>
      <c r="U410" s="3025"/>
      <c r="V410" s="591">
        <v>0</v>
      </c>
      <c r="W410" s="706">
        <v>0</v>
      </c>
      <c r="X410" s="594"/>
      <c r="Y410" s="273"/>
      <c r="Z410" s="273"/>
      <c r="AA410" s="273"/>
      <c r="AB410" s="273"/>
      <c r="AC410" s="273"/>
      <c r="AD410" s="273"/>
      <c r="AE410" s="273"/>
      <c r="AF410" s="273"/>
      <c r="AG410" s="273"/>
      <c r="AH410" s="273"/>
      <c r="AI410" s="273"/>
      <c r="AJ410" s="273"/>
      <c r="AK410" s="273"/>
      <c r="AL410" s="273"/>
      <c r="AM410" s="273"/>
      <c r="AN410" s="273"/>
      <c r="AO410" s="273"/>
      <c r="AP410" s="273"/>
      <c r="AQ410" s="273"/>
    </row>
    <row r="411" spans="1:43" s="450" customFormat="1" x14ac:dyDescent="0.25">
      <c r="A411" s="3053"/>
      <c r="B411" s="595" t="s">
        <v>544</v>
      </c>
      <c r="C411" s="266" t="s">
        <v>15</v>
      </c>
      <c r="D411" s="2490" t="s">
        <v>500</v>
      </c>
      <c r="E411" s="724"/>
      <c r="F411" s="266"/>
      <c r="G411" s="266"/>
      <c r="H411" s="451">
        <v>0</v>
      </c>
      <c r="I411" s="684">
        <v>0.6</v>
      </c>
      <c r="J411" s="2616"/>
      <c r="K411" s="2616"/>
      <c r="L411" s="2616"/>
      <c r="M411" s="1834">
        <f>ACIAR!N163</f>
        <v>35000</v>
      </c>
      <c r="N411" s="684">
        <v>0.6</v>
      </c>
      <c r="O411" s="2917">
        <f t="shared" si="196"/>
        <v>35000</v>
      </c>
      <c r="P411" s="684">
        <v>0.6</v>
      </c>
      <c r="Q411" s="1749">
        <f t="shared" si="197"/>
        <v>21000</v>
      </c>
      <c r="R411" s="539"/>
      <c r="S411" s="706">
        <f>ACIAR!T163</f>
        <v>29950</v>
      </c>
      <c r="T411" s="1731">
        <f t="shared" si="198"/>
        <v>0.85571428571428576</v>
      </c>
      <c r="U411" s="731" t="s">
        <v>1353</v>
      </c>
      <c r="V411" s="591">
        <v>0</v>
      </c>
      <c r="W411" s="706">
        <v>0</v>
      </c>
      <c r="X411" s="594"/>
      <c r="Y411" s="273"/>
      <c r="Z411" s="273"/>
      <c r="AA411" s="273"/>
      <c r="AB411" s="273"/>
      <c r="AC411" s="273"/>
      <c r="AD411" s="273"/>
      <c r="AE411" s="273"/>
      <c r="AF411" s="273"/>
      <c r="AG411" s="273"/>
      <c r="AH411" s="273"/>
      <c r="AI411" s="273"/>
      <c r="AJ411" s="273"/>
      <c r="AK411" s="273"/>
      <c r="AL411" s="273"/>
      <c r="AM411" s="273"/>
      <c r="AN411" s="273"/>
      <c r="AO411" s="273"/>
      <c r="AP411" s="273"/>
      <c r="AQ411" s="273"/>
    </row>
    <row r="412" spans="1:43" s="450" customFormat="1" ht="26" x14ac:dyDescent="0.25">
      <c r="A412" s="3053"/>
      <c r="B412" s="595" t="s">
        <v>545</v>
      </c>
      <c r="C412" s="266" t="s">
        <v>15</v>
      </c>
      <c r="D412" s="2490" t="s">
        <v>500</v>
      </c>
      <c r="E412" s="724"/>
      <c r="F412" s="266"/>
      <c r="G412" s="266"/>
      <c r="H412" s="451">
        <v>0</v>
      </c>
      <c r="I412" s="684">
        <v>0.6</v>
      </c>
      <c r="J412" s="2616"/>
      <c r="K412" s="2616"/>
      <c r="L412" s="2616"/>
      <c r="M412" s="1834">
        <f>ACIAR!N165</f>
        <v>600</v>
      </c>
      <c r="N412" s="684">
        <v>0.6</v>
      </c>
      <c r="O412" s="2917">
        <f t="shared" si="196"/>
        <v>600</v>
      </c>
      <c r="P412" s="684">
        <v>0.6</v>
      </c>
      <c r="Q412" s="1749">
        <f t="shared" si="197"/>
        <v>360</v>
      </c>
      <c r="R412" s="539"/>
      <c r="S412" s="706">
        <f>ACIAR!T165</f>
        <v>1500</v>
      </c>
      <c r="T412" s="1731">
        <f t="shared" si="198"/>
        <v>2.5</v>
      </c>
      <c r="U412" s="3023" t="s">
        <v>1353</v>
      </c>
      <c r="V412" s="591">
        <v>0</v>
      </c>
      <c r="W412" s="706">
        <v>0</v>
      </c>
      <c r="X412" s="594"/>
      <c r="Y412" s="273"/>
      <c r="Z412" s="273"/>
      <c r="AA412" s="273"/>
      <c r="AB412" s="273"/>
      <c r="AC412" s="273"/>
      <c r="AD412" s="273"/>
      <c r="AE412" s="273"/>
      <c r="AF412" s="273"/>
      <c r="AG412" s="273"/>
      <c r="AH412" s="273"/>
      <c r="AI412" s="273"/>
      <c r="AJ412" s="273"/>
      <c r="AK412" s="273"/>
      <c r="AL412" s="273"/>
      <c r="AM412" s="273"/>
      <c r="AN412" s="273"/>
      <c r="AO412" s="273"/>
      <c r="AP412" s="273"/>
      <c r="AQ412" s="273"/>
    </row>
    <row r="413" spans="1:43" s="450" customFormat="1" x14ac:dyDescent="0.25">
      <c r="A413" s="3053"/>
      <c r="B413" s="595"/>
      <c r="C413" s="266" t="s">
        <v>47</v>
      </c>
      <c r="D413" s="2490" t="s">
        <v>500</v>
      </c>
      <c r="E413" s="724"/>
      <c r="F413" s="266"/>
      <c r="G413" s="266"/>
      <c r="H413" s="451">
        <v>0</v>
      </c>
      <c r="I413" s="684">
        <v>0.6</v>
      </c>
      <c r="J413" s="2616"/>
      <c r="K413" s="2616"/>
      <c r="L413" s="2616"/>
      <c r="M413" s="1834">
        <f>ACIAR!N166</f>
        <v>6000</v>
      </c>
      <c r="N413" s="684">
        <v>0.6</v>
      </c>
      <c r="O413" s="2917">
        <f t="shared" si="196"/>
        <v>6000</v>
      </c>
      <c r="P413" s="684">
        <v>0.6</v>
      </c>
      <c r="Q413" s="1749">
        <f t="shared" si="197"/>
        <v>3600</v>
      </c>
      <c r="R413" s="539"/>
      <c r="S413" s="706">
        <f>ACIAR!T166</f>
        <v>5855</v>
      </c>
      <c r="T413" s="1731">
        <f t="shared" si="198"/>
        <v>0.97583333333333333</v>
      </c>
      <c r="U413" s="3025"/>
      <c r="V413" s="591">
        <v>0</v>
      </c>
      <c r="W413" s="706">
        <v>0</v>
      </c>
      <c r="X413" s="594"/>
      <c r="Y413" s="273"/>
      <c r="Z413" s="273"/>
      <c r="AA413" s="273"/>
      <c r="AB413" s="273"/>
      <c r="AC413" s="273"/>
      <c r="AD413" s="273"/>
      <c r="AE413" s="273"/>
      <c r="AF413" s="273"/>
      <c r="AG413" s="273"/>
      <c r="AH413" s="273"/>
      <c r="AI413" s="273"/>
      <c r="AJ413" s="273"/>
      <c r="AK413" s="273"/>
      <c r="AL413" s="273"/>
      <c r="AM413" s="273"/>
      <c r="AN413" s="273"/>
      <c r="AO413" s="273"/>
      <c r="AP413" s="273"/>
      <c r="AQ413" s="273"/>
    </row>
    <row r="414" spans="1:43" s="450" customFormat="1" ht="26" x14ac:dyDescent="0.25">
      <c r="A414" s="3053"/>
      <c r="B414" s="266" t="s">
        <v>546</v>
      </c>
      <c r="C414" s="266" t="s">
        <v>47</v>
      </c>
      <c r="D414" s="2490" t="s">
        <v>500</v>
      </c>
      <c r="E414" s="724"/>
      <c r="F414" s="266"/>
      <c r="G414" s="266"/>
      <c r="H414" s="452">
        <v>0</v>
      </c>
      <c r="I414" s="1731">
        <v>0.6</v>
      </c>
      <c r="J414" s="2618"/>
      <c r="K414" s="2618"/>
      <c r="L414" s="2618"/>
      <c r="M414" s="1803">
        <f>ACIAR!N168</f>
        <v>4640</v>
      </c>
      <c r="N414" s="1731">
        <v>0.6</v>
      </c>
      <c r="O414" s="2922">
        <f t="shared" si="196"/>
        <v>4640</v>
      </c>
      <c r="P414" s="1731">
        <v>0.6</v>
      </c>
      <c r="Q414" s="1756">
        <f t="shared" si="197"/>
        <v>2784</v>
      </c>
      <c r="R414" s="1687"/>
      <c r="S414" s="706">
        <f>ACIAR!T168</f>
        <v>3835</v>
      </c>
      <c r="T414" s="1731">
        <f t="shared" si="198"/>
        <v>0.82650862068965514</v>
      </c>
      <c r="U414" s="731" t="s">
        <v>1353</v>
      </c>
      <c r="V414" s="591">
        <v>0</v>
      </c>
      <c r="W414" s="706">
        <v>0</v>
      </c>
      <c r="X414" s="594"/>
      <c r="Y414" s="273"/>
      <c r="Z414" s="273"/>
      <c r="AA414" s="273"/>
      <c r="AB414" s="273"/>
      <c r="AC414" s="273"/>
      <c r="AD414" s="273"/>
      <c r="AE414" s="273"/>
      <c r="AF414" s="273"/>
      <c r="AG414" s="273"/>
      <c r="AH414" s="273"/>
      <c r="AI414" s="273"/>
      <c r="AJ414" s="273"/>
      <c r="AK414" s="273"/>
      <c r="AL414" s="273"/>
      <c r="AM414" s="273"/>
      <c r="AN414" s="273"/>
      <c r="AO414" s="273"/>
      <c r="AP414" s="273"/>
      <c r="AQ414" s="273"/>
    </row>
    <row r="415" spans="1:43" s="454" customFormat="1" ht="15.65" customHeight="1" x14ac:dyDescent="0.25">
      <c r="A415" s="3054"/>
      <c r="B415" s="711" t="s">
        <v>573</v>
      </c>
      <c r="C415" s="711"/>
      <c r="D415" s="897"/>
      <c r="E415" s="712"/>
      <c r="F415" s="712"/>
      <c r="G415" s="712"/>
      <c r="H415" s="1123">
        <f>SUM(H405:H414)</f>
        <v>1075</v>
      </c>
      <c r="I415" s="716"/>
      <c r="J415" s="1077"/>
      <c r="K415" s="1077"/>
      <c r="L415" s="1077"/>
      <c r="M415" s="2870">
        <f>SUM(M405:M414)</f>
        <v>53624</v>
      </c>
      <c r="N415" s="716"/>
      <c r="O415" s="1123">
        <f>SUM(O405:O414)</f>
        <v>54699</v>
      </c>
      <c r="P415" s="1076"/>
      <c r="Q415" s="713">
        <f>SUM(Q405:Q414)</f>
        <v>32819.4</v>
      </c>
      <c r="R415" s="1125"/>
      <c r="S415" s="1672">
        <f>SUM(S405:S414)</f>
        <v>56213.65</v>
      </c>
      <c r="T415" s="1126">
        <f>S415/O415</f>
        <v>1.0276906341980658</v>
      </c>
      <c r="U415" s="715"/>
      <c r="V415" s="600">
        <f>W415/Q415</f>
        <v>0</v>
      </c>
      <c r="W415" s="1127">
        <f>SUM(W405:W414)</f>
        <v>0</v>
      </c>
      <c r="X415" s="600"/>
      <c r="Y415" s="670"/>
      <c r="Z415" s="670"/>
      <c r="AA415" s="670"/>
      <c r="AB415" s="670"/>
      <c r="AC415" s="670"/>
      <c r="AD415" s="670"/>
      <c r="AE415" s="670"/>
      <c r="AF415" s="670"/>
      <c r="AG415" s="670"/>
      <c r="AH415" s="670"/>
      <c r="AI415" s="670"/>
      <c r="AJ415" s="670"/>
      <c r="AK415" s="670"/>
      <c r="AL415" s="670"/>
      <c r="AM415" s="670"/>
      <c r="AN415" s="670"/>
      <c r="AO415" s="670"/>
      <c r="AP415" s="670"/>
      <c r="AQ415" s="670"/>
    </row>
    <row r="416" spans="1:43" s="1132" customFormat="1" x14ac:dyDescent="0.25">
      <c r="A416" s="3009" t="s">
        <v>547</v>
      </c>
      <c r="B416" s="3010"/>
      <c r="C416" s="1846"/>
      <c r="D416" s="903"/>
      <c r="E416" s="1131"/>
      <c r="F416" s="1131"/>
      <c r="G416" s="1131"/>
      <c r="H416" s="476">
        <f>H294+H304+H319+H329+H340+H352+H360+H363+H381+H404+H415</f>
        <v>653862.79999999993</v>
      </c>
      <c r="I416" s="677"/>
      <c r="J416" s="1117"/>
      <c r="K416" s="1117"/>
      <c r="L416" s="1117"/>
      <c r="M416" s="2869">
        <f>M294+M304+M319+M329+M340+M352+M360+M363+M381+M404+M415</f>
        <v>616888.80000000005</v>
      </c>
      <c r="N416" s="1118"/>
      <c r="O416" s="1122">
        <f t="shared" ref="O416:R416" si="199">O294+O304+O319+O329+O340+O352+O360+O363+O381+O404+O415</f>
        <v>1270751.6000000001</v>
      </c>
      <c r="P416" s="1122">
        <f t="shared" si="199"/>
        <v>0</v>
      </c>
      <c r="Q416" s="1122">
        <f t="shared" si="199"/>
        <v>571348.28</v>
      </c>
      <c r="R416" s="1122">
        <f t="shared" si="199"/>
        <v>0</v>
      </c>
      <c r="S416" s="1122">
        <f>S294+S304+S319+S329+S340+S352+S360+S363+S381+S404+S415</f>
        <v>1079426.7120000001</v>
      </c>
      <c r="T416" s="1120">
        <f>S416/O416</f>
        <v>0.84943958520296181</v>
      </c>
      <c r="U416" s="1121"/>
      <c r="V416" s="1120">
        <f>W416/Q416</f>
        <v>0.78899938230320754</v>
      </c>
      <c r="W416" s="1122">
        <f>W294+W304+W319+W329+W340+W352+W360+W363+W381+W404+W415</f>
        <v>450793.44000000006</v>
      </c>
      <c r="X416" s="1122"/>
    </row>
    <row r="417" spans="1:485" ht="15" customHeight="1" x14ac:dyDescent="0.25">
      <c r="A417" s="2991" t="s">
        <v>1344</v>
      </c>
      <c r="B417" s="2992"/>
      <c r="C417" s="2992"/>
      <c r="D417" s="2992"/>
      <c r="E417" s="2992"/>
      <c r="F417" s="2992"/>
      <c r="G417" s="2992"/>
      <c r="H417" s="2992"/>
      <c r="I417" s="2992"/>
      <c r="J417" s="2992"/>
      <c r="K417" s="2992"/>
      <c r="L417" s="2992"/>
      <c r="M417" s="2992"/>
      <c r="N417" s="2992"/>
      <c r="O417" s="2992"/>
      <c r="P417" s="2992"/>
      <c r="Q417" s="2992"/>
      <c r="R417" s="2992"/>
      <c r="S417" s="2992"/>
      <c r="T417" s="2992"/>
      <c r="U417" s="2992"/>
      <c r="V417" s="2992"/>
      <c r="W417" s="2992"/>
      <c r="X417" s="2993"/>
    </row>
    <row r="418" spans="1:485" x14ac:dyDescent="0.25">
      <c r="A418" s="3000" t="s">
        <v>1345</v>
      </c>
      <c r="B418" s="3001"/>
      <c r="C418" s="3001"/>
      <c r="D418" s="3001"/>
      <c r="E418" s="3001"/>
      <c r="F418" s="3001"/>
      <c r="G418" s="3001"/>
      <c r="H418" s="3001"/>
      <c r="I418" s="3001"/>
      <c r="J418" s="3001"/>
      <c r="K418" s="3001"/>
      <c r="L418" s="3001"/>
      <c r="M418" s="3001"/>
      <c r="N418" s="3001"/>
      <c r="O418" s="3001"/>
      <c r="P418" s="3001"/>
      <c r="Q418" s="3001"/>
      <c r="R418" s="3002"/>
      <c r="S418" s="1671"/>
      <c r="T418" s="1088"/>
      <c r="U418" s="893"/>
      <c r="V418" s="1103"/>
      <c r="W418" s="1104"/>
      <c r="X418" s="1105"/>
      <c r="Y418" s="448"/>
      <c r="Z418" s="448"/>
      <c r="AA418" s="448"/>
      <c r="AB418" s="448"/>
      <c r="AC418" s="448"/>
      <c r="AD418" s="448"/>
      <c r="AE418" s="448"/>
      <c r="AF418" s="448"/>
      <c r="AG418" s="448"/>
      <c r="AH418" s="448"/>
      <c r="AI418" s="448"/>
      <c r="AJ418" s="448"/>
      <c r="AK418" s="448"/>
      <c r="AL418" s="448"/>
      <c r="AM418" s="448"/>
      <c r="AN418" s="448"/>
      <c r="AO418" s="448"/>
      <c r="AP418" s="448"/>
      <c r="AQ418" s="448"/>
    </row>
    <row r="419" spans="1:485" s="450" customFormat="1" ht="26" x14ac:dyDescent="0.25">
      <c r="A419" s="2994" t="s">
        <v>1347</v>
      </c>
      <c r="B419" s="595" t="s">
        <v>936</v>
      </c>
      <c r="C419" s="266" t="s">
        <v>15</v>
      </c>
      <c r="D419" s="467" t="s">
        <v>955</v>
      </c>
      <c r="E419" s="468">
        <v>110</v>
      </c>
      <c r="F419" s="468">
        <v>8.9499999999999993</v>
      </c>
      <c r="G419" s="467">
        <v>2</v>
      </c>
      <c r="H419" s="451">
        <f>E419*F419*G419</f>
        <v>1968.9999999999998</v>
      </c>
      <c r="I419" s="675">
        <v>0.1111111111111111</v>
      </c>
      <c r="J419" s="451"/>
      <c r="K419" s="451"/>
      <c r="L419" s="451"/>
      <c r="M419" s="1834">
        <f>J419*K419*L419</f>
        <v>0</v>
      </c>
      <c r="N419" s="697"/>
      <c r="O419" s="696">
        <f>+H419+M419</f>
        <v>1968.9999999999998</v>
      </c>
      <c r="P419" s="675">
        <v>0.11111111111111099</v>
      </c>
      <c r="Q419" s="451">
        <f>O419*P419</f>
        <v>218.77777777777752</v>
      </c>
      <c r="R419" s="522" t="s">
        <v>937</v>
      </c>
      <c r="S419" s="452">
        <f>COOPI!S12</f>
        <v>2049</v>
      </c>
      <c r="T419" s="591">
        <f>S419/O419</f>
        <v>1.0406297613001525</v>
      </c>
      <c r="U419" s="522" t="s">
        <v>938</v>
      </c>
      <c r="V419" s="591">
        <f>W419/Q419</f>
        <v>1.0406297613001525</v>
      </c>
      <c r="W419" s="452">
        <f>P419*S419</f>
        <v>227.66666666666643</v>
      </c>
      <c r="X419" s="453" t="s">
        <v>938</v>
      </c>
      <c r="Y419" s="273"/>
      <c r="Z419" s="273"/>
      <c r="AA419" s="273"/>
      <c r="AB419" s="273"/>
      <c r="AC419" s="273"/>
      <c r="AD419" s="273"/>
      <c r="AE419" s="273"/>
      <c r="AF419" s="273"/>
      <c r="AG419" s="273"/>
      <c r="AH419" s="273"/>
      <c r="AI419" s="273"/>
      <c r="AJ419" s="273"/>
      <c r="AK419" s="273"/>
      <c r="AL419" s="273"/>
      <c r="AM419" s="273"/>
      <c r="AN419" s="273"/>
      <c r="AO419" s="273"/>
      <c r="AP419" s="273"/>
      <c r="AQ419" s="273"/>
      <c r="AR419" s="273"/>
      <c r="AS419" s="273"/>
      <c r="AT419" s="273"/>
      <c r="AU419" s="273"/>
      <c r="AV419" s="273"/>
      <c r="AW419" s="273"/>
      <c r="AX419" s="273"/>
      <c r="AY419" s="273"/>
      <c r="AZ419" s="273"/>
      <c r="BA419" s="273"/>
      <c r="BB419" s="273"/>
      <c r="BC419" s="273"/>
      <c r="BD419" s="273"/>
      <c r="BE419" s="273"/>
      <c r="BF419" s="273"/>
      <c r="BG419" s="273"/>
      <c r="BH419" s="273"/>
      <c r="BI419" s="273"/>
      <c r="BJ419" s="273"/>
      <c r="BK419" s="273"/>
      <c r="BL419" s="273"/>
      <c r="BM419" s="273"/>
      <c r="BN419" s="273"/>
      <c r="BO419" s="273"/>
      <c r="BP419" s="273"/>
      <c r="BQ419" s="273"/>
      <c r="BR419" s="273"/>
      <c r="BS419" s="273"/>
      <c r="BT419" s="273"/>
      <c r="BU419" s="273"/>
      <c r="BV419" s="273"/>
      <c r="BW419" s="273"/>
      <c r="BX419" s="273"/>
      <c r="BY419" s="273"/>
      <c r="BZ419" s="273"/>
      <c r="CA419" s="273"/>
      <c r="CB419" s="273"/>
      <c r="CC419" s="273"/>
      <c r="CD419" s="273"/>
      <c r="CE419" s="273"/>
      <c r="CF419" s="273"/>
      <c r="CG419" s="273"/>
      <c r="CH419" s="273"/>
      <c r="CI419" s="273"/>
      <c r="CJ419" s="273"/>
      <c r="CK419" s="273"/>
      <c r="CL419" s="273"/>
      <c r="CM419" s="273"/>
      <c r="CN419" s="273"/>
      <c r="CO419" s="273"/>
      <c r="CP419" s="273"/>
      <c r="CQ419" s="273"/>
      <c r="CR419" s="273"/>
      <c r="CS419" s="273"/>
      <c r="CT419" s="273"/>
      <c r="CU419" s="273"/>
      <c r="CV419" s="273"/>
      <c r="CW419" s="273"/>
      <c r="CX419" s="273"/>
      <c r="CY419" s="273"/>
      <c r="CZ419" s="273"/>
      <c r="DA419" s="273"/>
      <c r="DB419" s="273"/>
      <c r="DC419" s="273"/>
      <c r="DD419" s="273"/>
      <c r="DE419" s="273"/>
      <c r="DF419" s="273"/>
      <c r="DG419" s="273"/>
      <c r="DH419" s="273"/>
      <c r="DI419" s="273"/>
      <c r="DJ419" s="273"/>
      <c r="DK419" s="273"/>
      <c r="DL419" s="273"/>
      <c r="DM419" s="273"/>
      <c r="DN419" s="273"/>
      <c r="DO419" s="273"/>
      <c r="DP419" s="273"/>
      <c r="DQ419" s="273"/>
      <c r="DR419" s="273"/>
      <c r="DS419" s="273"/>
      <c r="DT419" s="273"/>
      <c r="DU419" s="273"/>
      <c r="DV419" s="273"/>
      <c r="DW419" s="273"/>
      <c r="DX419" s="273"/>
      <c r="DY419" s="273"/>
      <c r="DZ419" s="273"/>
      <c r="EA419" s="273"/>
      <c r="EB419" s="273"/>
      <c r="EC419" s="273"/>
      <c r="ED419" s="273"/>
      <c r="EE419" s="273"/>
      <c r="EF419" s="273"/>
      <c r="EG419" s="273"/>
      <c r="EH419" s="273"/>
      <c r="EI419" s="273"/>
      <c r="EJ419" s="273"/>
      <c r="EK419" s="273"/>
      <c r="EL419" s="273"/>
      <c r="EM419" s="273"/>
      <c r="EN419" s="273"/>
      <c r="EO419" s="273"/>
      <c r="EP419" s="273"/>
      <c r="EQ419" s="273"/>
      <c r="ER419" s="273"/>
      <c r="ES419" s="273"/>
      <c r="ET419" s="273"/>
      <c r="EU419" s="273"/>
      <c r="EV419" s="273"/>
      <c r="EW419" s="273"/>
      <c r="EX419" s="273"/>
      <c r="EY419" s="273"/>
      <c r="EZ419" s="273"/>
      <c r="FA419" s="273"/>
      <c r="FB419" s="273"/>
      <c r="FC419" s="273"/>
      <c r="FD419" s="273"/>
      <c r="FE419" s="273"/>
      <c r="FF419" s="273"/>
      <c r="FG419" s="273"/>
      <c r="FH419" s="273"/>
      <c r="FI419" s="273"/>
      <c r="FJ419" s="273"/>
      <c r="FK419" s="273"/>
      <c r="FL419" s="273"/>
      <c r="FM419" s="273"/>
      <c r="FN419" s="273"/>
      <c r="FO419" s="273"/>
      <c r="FP419" s="273"/>
      <c r="FQ419" s="273"/>
      <c r="FR419" s="273"/>
      <c r="FS419" s="273"/>
      <c r="FT419" s="273"/>
      <c r="FU419" s="273"/>
      <c r="FV419" s="273"/>
      <c r="FW419" s="273"/>
      <c r="FX419" s="273"/>
      <c r="FY419" s="273"/>
      <c r="FZ419" s="273"/>
      <c r="GA419" s="273"/>
      <c r="GB419" s="273"/>
      <c r="GC419" s="273"/>
      <c r="GD419" s="273"/>
      <c r="GE419" s="273"/>
      <c r="GF419" s="273"/>
      <c r="GG419" s="273"/>
      <c r="GH419" s="273"/>
      <c r="GI419" s="273"/>
      <c r="GJ419" s="273"/>
      <c r="GK419" s="273"/>
      <c r="GL419" s="273"/>
      <c r="GM419" s="273"/>
      <c r="GN419" s="273"/>
      <c r="GO419" s="273"/>
      <c r="GP419" s="273"/>
      <c r="GQ419" s="273"/>
      <c r="GR419" s="273"/>
      <c r="GS419" s="273"/>
      <c r="GT419" s="273"/>
      <c r="GU419" s="273"/>
      <c r="GV419" s="273"/>
      <c r="GW419" s="273"/>
      <c r="GX419" s="273"/>
      <c r="GY419" s="273"/>
      <c r="GZ419" s="273"/>
      <c r="HA419" s="273"/>
      <c r="HB419" s="273"/>
      <c r="HC419" s="273"/>
      <c r="HD419" s="273"/>
      <c r="HE419" s="273"/>
      <c r="HF419" s="273"/>
      <c r="HG419" s="273"/>
      <c r="HH419" s="273"/>
      <c r="HI419" s="273"/>
      <c r="HJ419" s="273"/>
      <c r="HK419" s="273"/>
      <c r="HL419" s="273"/>
      <c r="HM419" s="273"/>
      <c r="HN419" s="273"/>
      <c r="HO419" s="273"/>
      <c r="HP419" s="273"/>
      <c r="HQ419" s="273"/>
      <c r="HR419" s="273"/>
      <c r="HS419" s="273"/>
      <c r="HT419" s="273"/>
      <c r="HU419" s="273"/>
      <c r="HV419" s="273"/>
      <c r="HW419" s="273"/>
      <c r="HX419" s="273"/>
      <c r="HY419" s="273"/>
      <c r="HZ419" s="273"/>
      <c r="IA419" s="273"/>
      <c r="IB419" s="273"/>
      <c r="IC419" s="273"/>
      <c r="ID419" s="273"/>
      <c r="IE419" s="273"/>
      <c r="IF419" s="273"/>
      <c r="IG419" s="273"/>
      <c r="IH419" s="273"/>
      <c r="II419" s="273"/>
      <c r="IJ419" s="273"/>
      <c r="IK419" s="273"/>
      <c r="IL419" s="273"/>
      <c r="IM419" s="273"/>
      <c r="IN419" s="273"/>
      <c r="IO419" s="273"/>
      <c r="IP419" s="273"/>
      <c r="IQ419" s="273"/>
      <c r="IR419" s="273"/>
      <c r="IS419" s="273"/>
      <c r="IT419" s="273"/>
      <c r="IU419" s="273"/>
      <c r="IV419" s="273"/>
      <c r="IW419" s="273"/>
      <c r="IX419" s="273"/>
      <c r="IY419" s="273"/>
      <c r="IZ419" s="273"/>
      <c r="JA419" s="273"/>
      <c r="JB419" s="273"/>
      <c r="JC419" s="273"/>
      <c r="JD419" s="273"/>
      <c r="JE419" s="273"/>
      <c r="JF419" s="273"/>
      <c r="JG419" s="273"/>
      <c r="JH419" s="273"/>
      <c r="JI419" s="273"/>
      <c r="JJ419" s="273"/>
      <c r="JK419" s="273"/>
      <c r="JL419" s="273"/>
      <c r="JM419" s="273"/>
      <c r="JN419" s="273"/>
      <c r="JO419" s="273"/>
      <c r="JP419" s="273"/>
      <c r="JQ419" s="273"/>
      <c r="JR419" s="273"/>
      <c r="JS419" s="273"/>
      <c r="JT419" s="273"/>
      <c r="JU419" s="273"/>
      <c r="JV419" s="273"/>
      <c r="JW419" s="273"/>
      <c r="JX419" s="273"/>
      <c r="JY419" s="273"/>
      <c r="JZ419" s="273"/>
      <c r="KA419" s="273"/>
      <c r="KB419" s="273"/>
      <c r="KC419" s="273"/>
      <c r="KD419" s="273"/>
      <c r="KE419" s="273"/>
      <c r="KF419" s="273"/>
      <c r="KG419" s="273"/>
      <c r="KH419" s="273"/>
      <c r="KI419" s="273"/>
      <c r="KJ419" s="273"/>
      <c r="KK419" s="273"/>
      <c r="KL419" s="273"/>
      <c r="KM419" s="273"/>
      <c r="KN419" s="273"/>
      <c r="KO419" s="273"/>
      <c r="KP419" s="273"/>
      <c r="KQ419" s="273"/>
      <c r="KR419" s="273"/>
      <c r="KS419" s="273"/>
      <c r="KT419" s="273"/>
      <c r="KU419" s="273"/>
      <c r="KV419" s="273"/>
      <c r="KW419" s="273"/>
      <c r="KX419" s="273"/>
      <c r="KY419" s="273"/>
      <c r="KZ419" s="273"/>
      <c r="LA419" s="273"/>
      <c r="LB419" s="273"/>
      <c r="LC419" s="273"/>
      <c r="LD419" s="273"/>
      <c r="LE419" s="273"/>
      <c r="LF419" s="273"/>
      <c r="LG419" s="273"/>
      <c r="LH419" s="273"/>
      <c r="LI419" s="273"/>
      <c r="LJ419" s="273"/>
      <c r="LK419" s="273"/>
      <c r="LL419" s="273"/>
      <c r="LM419" s="273"/>
      <c r="LN419" s="273"/>
      <c r="LO419" s="273"/>
      <c r="LP419" s="273"/>
      <c r="LQ419" s="273"/>
      <c r="LR419" s="273"/>
      <c r="LS419" s="273"/>
      <c r="LT419" s="273"/>
      <c r="LU419" s="273"/>
      <c r="LV419" s="273"/>
      <c r="LW419" s="273"/>
      <c r="LX419" s="273"/>
      <c r="LY419" s="273"/>
      <c r="LZ419" s="273"/>
      <c r="MA419" s="273"/>
      <c r="MB419" s="273"/>
      <c r="MC419" s="273"/>
      <c r="MD419" s="273"/>
      <c r="ME419" s="273"/>
      <c r="MF419" s="273"/>
      <c r="MG419" s="273"/>
      <c r="MH419" s="273"/>
      <c r="MI419" s="273"/>
      <c r="MJ419" s="273"/>
      <c r="MK419" s="273"/>
      <c r="ML419" s="273"/>
      <c r="MM419" s="273"/>
      <c r="MN419" s="273"/>
      <c r="MO419" s="273"/>
      <c r="MP419" s="273"/>
      <c r="MQ419" s="273"/>
      <c r="MR419" s="273"/>
      <c r="MS419" s="273"/>
      <c r="MT419" s="273"/>
      <c r="MU419" s="273"/>
      <c r="MV419" s="273"/>
      <c r="MW419" s="273"/>
      <c r="MX419" s="273"/>
      <c r="MY419" s="273"/>
      <c r="MZ419" s="273"/>
      <c r="NA419" s="273"/>
      <c r="NB419" s="273"/>
      <c r="NC419" s="273"/>
      <c r="ND419" s="273"/>
      <c r="NE419" s="273"/>
      <c r="NF419" s="273"/>
      <c r="NG419" s="273"/>
      <c r="NH419" s="273"/>
      <c r="NI419" s="273"/>
      <c r="NJ419" s="273"/>
      <c r="NK419" s="273"/>
      <c r="NL419" s="273"/>
      <c r="NM419" s="273"/>
      <c r="NN419" s="273"/>
      <c r="NO419" s="273"/>
      <c r="NP419" s="273"/>
      <c r="NQ419" s="273"/>
      <c r="NR419" s="273"/>
      <c r="NS419" s="273"/>
      <c r="NT419" s="273"/>
      <c r="NU419" s="273"/>
      <c r="NV419" s="273"/>
      <c r="NW419" s="273"/>
      <c r="NX419" s="273"/>
      <c r="NY419" s="273"/>
      <c r="NZ419" s="273"/>
      <c r="OA419" s="273"/>
      <c r="OB419" s="273"/>
      <c r="OC419" s="273"/>
      <c r="OD419" s="273"/>
      <c r="OE419" s="273"/>
      <c r="OF419" s="273"/>
      <c r="OG419" s="273"/>
      <c r="OH419" s="273"/>
      <c r="OI419" s="273"/>
      <c r="OJ419" s="273"/>
      <c r="OK419" s="273"/>
      <c r="OL419" s="273"/>
      <c r="OM419" s="273"/>
      <c r="ON419" s="273"/>
      <c r="OO419" s="273"/>
      <c r="OP419" s="273"/>
      <c r="OQ419" s="273"/>
      <c r="OR419" s="273"/>
      <c r="OS419" s="273"/>
      <c r="OT419" s="273"/>
      <c r="OU419" s="273"/>
      <c r="OV419" s="273"/>
      <c r="OW419" s="273"/>
      <c r="OX419" s="273"/>
      <c r="OY419" s="273"/>
      <c r="OZ419" s="273"/>
      <c r="PA419" s="273"/>
      <c r="PB419" s="273"/>
      <c r="PC419" s="273"/>
      <c r="PD419" s="273"/>
      <c r="PE419" s="273"/>
      <c r="PF419" s="273"/>
      <c r="PG419" s="273"/>
      <c r="PH419" s="273"/>
      <c r="PI419" s="273"/>
      <c r="PJ419" s="273"/>
      <c r="PK419" s="273"/>
      <c r="PL419" s="273"/>
      <c r="PM419" s="273"/>
      <c r="PN419" s="273"/>
      <c r="PO419" s="273"/>
      <c r="PP419" s="273"/>
      <c r="PQ419" s="273"/>
      <c r="PR419" s="273"/>
      <c r="PS419" s="273"/>
      <c r="PT419" s="273"/>
      <c r="PU419" s="273"/>
      <c r="PV419" s="273"/>
      <c r="PW419" s="273"/>
      <c r="PX419" s="273"/>
      <c r="PY419" s="273"/>
      <c r="PZ419" s="273"/>
      <c r="QA419" s="273"/>
      <c r="QB419" s="273"/>
      <c r="QC419" s="273"/>
      <c r="QD419" s="273"/>
      <c r="QE419" s="273"/>
      <c r="QF419" s="273"/>
      <c r="QG419" s="273"/>
      <c r="QH419" s="273"/>
      <c r="QI419" s="273"/>
      <c r="QJ419" s="273"/>
      <c r="QK419" s="273"/>
      <c r="QL419" s="273"/>
      <c r="QM419" s="273"/>
      <c r="QN419" s="273"/>
      <c r="QO419" s="273"/>
      <c r="QP419" s="273"/>
      <c r="QQ419" s="273"/>
      <c r="QR419" s="273"/>
      <c r="QS419" s="273"/>
      <c r="QT419" s="273"/>
      <c r="QU419" s="273"/>
      <c r="QV419" s="273"/>
      <c r="QW419" s="273"/>
      <c r="QX419" s="273"/>
      <c r="QY419" s="273"/>
      <c r="QZ419" s="273"/>
      <c r="RA419" s="273"/>
      <c r="RB419" s="273"/>
      <c r="RC419" s="273"/>
      <c r="RD419" s="273"/>
      <c r="RE419" s="273"/>
      <c r="RF419" s="273"/>
      <c r="RG419" s="273"/>
      <c r="RH419" s="273"/>
      <c r="RI419" s="273"/>
      <c r="RJ419" s="273"/>
      <c r="RK419" s="273"/>
      <c r="RL419" s="273"/>
      <c r="RM419" s="273"/>
      <c r="RN419" s="273"/>
      <c r="RO419" s="273"/>
      <c r="RP419" s="273"/>
      <c r="RQ419" s="273"/>
    </row>
    <row r="420" spans="1:485" s="450" customFormat="1" ht="26" x14ac:dyDescent="0.25">
      <c r="A420" s="2995"/>
      <c r="B420" s="595" t="s">
        <v>939</v>
      </c>
      <c r="C420" s="266" t="s">
        <v>15</v>
      </c>
      <c r="D420" s="467" t="s">
        <v>955</v>
      </c>
      <c r="E420" s="468">
        <v>75</v>
      </c>
      <c r="F420" s="468">
        <v>3.7850000000000001</v>
      </c>
      <c r="G420" s="467">
        <v>2</v>
      </c>
      <c r="H420" s="451">
        <f t="shared" ref="H420:H443" si="200">E420*F420*G420</f>
        <v>567.75</v>
      </c>
      <c r="I420" s="675">
        <v>0.5</v>
      </c>
      <c r="J420" s="451"/>
      <c r="K420" s="451"/>
      <c r="L420" s="451"/>
      <c r="M420" s="1834">
        <f t="shared" ref="M420:M443" si="201">J420*K420*L420</f>
        <v>0</v>
      </c>
      <c r="N420" s="697"/>
      <c r="O420" s="696">
        <f t="shared" ref="O420:O443" si="202">+H420+M420</f>
        <v>567.75</v>
      </c>
      <c r="P420" s="675">
        <v>0.5</v>
      </c>
      <c r="Q420" s="451">
        <f t="shared" ref="Q420:Q477" si="203">O420*P420</f>
        <v>283.875</v>
      </c>
      <c r="R420" s="522" t="s">
        <v>940</v>
      </c>
      <c r="S420" s="452">
        <f>COOPI!S13</f>
        <v>567.75</v>
      </c>
      <c r="T420" s="591">
        <f t="shared" ref="T420:T443" si="204">S420/O420</f>
        <v>1</v>
      </c>
      <c r="U420" s="894" t="s">
        <v>606</v>
      </c>
      <c r="V420" s="591">
        <f t="shared" ref="V420:V443" si="205">W420/Q420</f>
        <v>1</v>
      </c>
      <c r="W420" s="452">
        <f t="shared" ref="W420:W443" si="206">P420*S420</f>
        <v>283.875</v>
      </c>
      <c r="X420" s="452" t="s">
        <v>606</v>
      </c>
      <c r="Y420" s="273"/>
      <c r="Z420" s="273"/>
      <c r="AA420" s="273"/>
      <c r="AB420" s="273"/>
      <c r="AC420" s="273"/>
      <c r="AD420" s="273"/>
      <c r="AE420" s="273"/>
      <c r="AF420" s="273"/>
      <c r="AG420" s="273"/>
      <c r="AH420" s="273"/>
      <c r="AI420" s="273"/>
      <c r="AJ420" s="273"/>
      <c r="AK420" s="273"/>
      <c r="AL420" s="273"/>
      <c r="AM420" s="273"/>
      <c r="AN420" s="273"/>
      <c r="AO420" s="273"/>
      <c r="AP420" s="273"/>
      <c r="AQ420" s="273"/>
      <c r="AR420" s="273"/>
      <c r="AS420" s="273"/>
      <c r="AT420" s="273"/>
      <c r="AU420" s="273"/>
      <c r="AV420" s="273"/>
      <c r="AW420" s="273"/>
      <c r="AX420" s="273"/>
      <c r="AY420" s="273"/>
      <c r="AZ420" s="273"/>
      <c r="BA420" s="273"/>
      <c r="BB420" s="273"/>
      <c r="BC420" s="273"/>
      <c r="BD420" s="273"/>
      <c r="BE420" s="273"/>
      <c r="BF420" s="273"/>
      <c r="BG420" s="273"/>
      <c r="BH420" s="273"/>
      <c r="BI420" s="273"/>
      <c r="BJ420" s="273"/>
      <c r="BK420" s="273"/>
      <c r="BL420" s="273"/>
      <c r="BM420" s="273"/>
      <c r="BN420" s="273"/>
      <c r="BO420" s="273"/>
      <c r="BP420" s="273"/>
      <c r="BQ420" s="273"/>
      <c r="BR420" s="273"/>
      <c r="BS420" s="273"/>
      <c r="BT420" s="273"/>
      <c r="BU420" s="273"/>
      <c r="BV420" s="273"/>
      <c r="BW420" s="273"/>
      <c r="BX420" s="273"/>
      <c r="BY420" s="273"/>
      <c r="BZ420" s="273"/>
      <c r="CA420" s="273"/>
      <c r="CB420" s="273"/>
      <c r="CC420" s="273"/>
      <c r="CD420" s="273"/>
      <c r="CE420" s="273"/>
      <c r="CF420" s="273"/>
      <c r="CG420" s="273"/>
      <c r="CH420" s="273"/>
      <c r="CI420" s="273"/>
      <c r="CJ420" s="273"/>
      <c r="CK420" s="273"/>
      <c r="CL420" s="273"/>
      <c r="CM420" s="273"/>
      <c r="CN420" s="273"/>
      <c r="CO420" s="273"/>
      <c r="CP420" s="273"/>
      <c r="CQ420" s="273"/>
      <c r="CR420" s="273"/>
      <c r="CS420" s="273"/>
      <c r="CT420" s="273"/>
      <c r="CU420" s="273"/>
      <c r="CV420" s="273"/>
      <c r="CW420" s="273"/>
      <c r="CX420" s="273"/>
      <c r="CY420" s="273"/>
      <c r="CZ420" s="273"/>
      <c r="DA420" s="273"/>
      <c r="DB420" s="273"/>
      <c r="DC420" s="273"/>
      <c r="DD420" s="273"/>
      <c r="DE420" s="273"/>
      <c r="DF420" s="273"/>
      <c r="DG420" s="273"/>
      <c r="DH420" s="273"/>
      <c r="DI420" s="273"/>
      <c r="DJ420" s="273"/>
      <c r="DK420" s="273"/>
      <c r="DL420" s="273"/>
      <c r="DM420" s="273"/>
      <c r="DN420" s="273"/>
      <c r="DO420" s="273"/>
      <c r="DP420" s="273"/>
      <c r="DQ420" s="273"/>
      <c r="DR420" s="273"/>
      <c r="DS420" s="273"/>
      <c r="DT420" s="273"/>
      <c r="DU420" s="273"/>
      <c r="DV420" s="273"/>
      <c r="DW420" s="273"/>
      <c r="DX420" s="273"/>
      <c r="DY420" s="273"/>
      <c r="DZ420" s="273"/>
      <c r="EA420" s="273"/>
      <c r="EB420" s="273"/>
      <c r="EC420" s="273"/>
      <c r="ED420" s="273"/>
      <c r="EE420" s="273"/>
      <c r="EF420" s="273"/>
      <c r="EG420" s="273"/>
      <c r="EH420" s="273"/>
      <c r="EI420" s="273"/>
      <c r="EJ420" s="273"/>
      <c r="EK420" s="273"/>
      <c r="EL420" s="273"/>
      <c r="EM420" s="273"/>
      <c r="EN420" s="273"/>
      <c r="EO420" s="273"/>
      <c r="EP420" s="273"/>
      <c r="EQ420" s="273"/>
      <c r="ER420" s="273"/>
      <c r="ES420" s="273"/>
      <c r="ET420" s="273"/>
      <c r="EU420" s="273"/>
      <c r="EV420" s="273"/>
      <c r="EW420" s="273"/>
      <c r="EX420" s="273"/>
      <c r="EY420" s="273"/>
      <c r="EZ420" s="273"/>
      <c r="FA420" s="273"/>
      <c r="FB420" s="273"/>
      <c r="FC420" s="273"/>
      <c r="FD420" s="273"/>
      <c r="FE420" s="273"/>
      <c r="FF420" s="273"/>
      <c r="FG420" s="273"/>
      <c r="FH420" s="273"/>
      <c r="FI420" s="273"/>
      <c r="FJ420" s="273"/>
      <c r="FK420" s="273"/>
      <c r="FL420" s="273"/>
      <c r="FM420" s="273"/>
      <c r="FN420" s="273"/>
      <c r="FO420" s="273"/>
      <c r="FP420" s="273"/>
      <c r="FQ420" s="273"/>
      <c r="FR420" s="273"/>
      <c r="FS420" s="273"/>
      <c r="FT420" s="273"/>
      <c r="FU420" s="273"/>
      <c r="FV420" s="273"/>
      <c r="FW420" s="273"/>
      <c r="FX420" s="273"/>
      <c r="FY420" s="273"/>
      <c r="FZ420" s="273"/>
      <c r="GA420" s="273"/>
      <c r="GB420" s="273"/>
      <c r="GC420" s="273"/>
      <c r="GD420" s="273"/>
      <c r="GE420" s="273"/>
      <c r="GF420" s="273"/>
      <c r="GG420" s="273"/>
      <c r="GH420" s="273"/>
      <c r="GI420" s="273"/>
      <c r="GJ420" s="273"/>
      <c r="GK420" s="273"/>
      <c r="GL420" s="273"/>
      <c r="GM420" s="273"/>
      <c r="GN420" s="273"/>
      <c r="GO420" s="273"/>
      <c r="GP420" s="273"/>
      <c r="GQ420" s="273"/>
      <c r="GR420" s="273"/>
      <c r="GS420" s="273"/>
      <c r="GT420" s="273"/>
      <c r="GU420" s="273"/>
      <c r="GV420" s="273"/>
      <c r="GW420" s="273"/>
      <c r="GX420" s="273"/>
      <c r="GY420" s="273"/>
      <c r="GZ420" s="273"/>
      <c r="HA420" s="273"/>
      <c r="HB420" s="273"/>
      <c r="HC420" s="273"/>
      <c r="HD420" s="273"/>
      <c r="HE420" s="273"/>
      <c r="HF420" s="273"/>
      <c r="HG420" s="273"/>
      <c r="HH420" s="273"/>
      <c r="HI420" s="273"/>
      <c r="HJ420" s="273"/>
      <c r="HK420" s="273"/>
      <c r="HL420" s="273"/>
      <c r="HM420" s="273"/>
      <c r="HN420" s="273"/>
      <c r="HO420" s="273"/>
      <c r="HP420" s="273"/>
      <c r="HQ420" s="273"/>
      <c r="HR420" s="273"/>
      <c r="HS420" s="273"/>
      <c r="HT420" s="273"/>
      <c r="HU420" s="273"/>
      <c r="HV420" s="273"/>
      <c r="HW420" s="273"/>
      <c r="HX420" s="273"/>
      <c r="HY420" s="273"/>
      <c r="HZ420" s="273"/>
      <c r="IA420" s="273"/>
      <c r="IB420" s="273"/>
      <c r="IC420" s="273"/>
      <c r="ID420" s="273"/>
      <c r="IE420" s="273"/>
      <c r="IF420" s="273"/>
      <c r="IG420" s="273"/>
      <c r="IH420" s="273"/>
      <c r="II420" s="273"/>
      <c r="IJ420" s="273"/>
      <c r="IK420" s="273"/>
      <c r="IL420" s="273"/>
      <c r="IM420" s="273"/>
      <c r="IN420" s="273"/>
      <c r="IO420" s="273"/>
      <c r="IP420" s="273"/>
      <c r="IQ420" s="273"/>
      <c r="IR420" s="273"/>
      <c r="IS420" s="273"/>
      <c r="IT420" s="273"/>
      <c r="IU420" s="273"/>
      <c r="IV420" s="273"/>
      <c r="IW420" s="273"/>
      <c r="IX420" s="273"/>
      <c r="IY420" s="273"/>
      <c r="IZ420" s="273"/>
      <c r="JA420" s="273"/>
      <c r="JB420" s="273"/>
      <c r="JC420" s="273"/>
      <c r="JD420" s="273"/>
      <c r="JE420" s="273"/>
      <c r="JF420" s="273"/>
      <c r="JG420" s="273"/>
      <c r="JH420" s="273"/>
      <c r="JI420" s="273"/>
      <c r="JJ420" s="273"/>
      <c r="JK420" s="273"/>
      <c r="JL420" s="273"/>
      <c r="JM420" s="273"/>
      <c r="JN420" s="273"/>
      <c r="JO420" s="273"/>
      <c r="JP420" s="273"/>
      <c r="JQ420" s="273"/>
      <c r="JR420" s="273"/>
      <c r="JS420" s="273"/>
      <c r="JT420" s="273"/>
      <c r="JU420" s="273"/>
      <c r="JV420" s="273"/>
      <c r="JW420" s="273"/>
      <c r="JX420" s="273"/>
      <c r="JY420" s="273"/>
      <c r="JZ420" s="273"/>
      <c r="KA420" s="273"/>
      <c r="KB420" s="273"/>
      <c r="KC420" s="273"/>
      <c r="KD420" s="273"/>
      <c r="KE420" s="273"/>
      <c r="KF420" s="273"/>
      <c r="KG420" s="273"/>
      <c r="KH420" s="273"/>
      <c r="KI420" s="273"/>
      <c r="KJ420" s="273"/>
      <c r="KK420" s="273"/>
      <c r="KL420" s="273"/>
      <c r="KM420" s="273"/>
      <c r="KN420" s="273"/>
      <c r="KO420" s="273"/>
      <c r="KP420" s="273"/>
      <c r="KQ420" s="273"/>
      <c r="KR420" s="273"/>
      <c r="KS420" s="273"/>
      <c r="KT420" s="273"/>
      <c r="KU420" s="273"/>
      <c r="KV420" s="273"/>
      <c r="KW420" s="273"/>
      <c r="KX420" s="273"/>
      <c r="KY420" s="273"/>
      <c r="KZ420" s="273"/>
      <c r="LA420" s="273"/>
      <c r="LB420" s="273"/>
      <c r="LC420" s="273"/>
      <c r="LD420" s="273"/>
      <c r="LE420" s="273"/>
      <c r="LF420" s="273"/>
      <c r="LG420" s="273"/>
      <c r="LH420" s="273"/>
      <c r="LI420" s="273"/>
      <c r="LJ420" s="273"/>
      <c r="LK420" s="273"/>
      <c r="LL420" s="273"/>
      <c r="LM420" s="273"/>
      <c r="LN420" s="273"/>
      <c r="LO420" s="273"/>
      <c r="LP420" s="273"/>
      <c r="LQ420" s="273"/>
      <c r="LR420" s="273"/>
      <c r="LS420" s="273"/>
      <c r="LT420" s="273"/>
      <c r="LU420" s="273"/>
      <c r="LV420" s="273"/>
      <c r="LW420" s="273"/>
      <c r="LX420" s="273"/>
      <c r="LY420" s="273"/>
      <c r="LZ420" s="273"/>
      <c r="MA420" s="273"/>
      <c r="MB420" s="273"/>
      <c r="MC420" s="273"/>
      <c r="MD420" s="273"/>
      <c r="ME420" s="273"/>
      <c r="MF420" s="273"/>
      <c r="MG420" s="273"/>
      <c r="MH420" s="273"/>
      <c r="MI420" s="273"/>
      <c r="MJ420" s="273"/>
      <c r="MK420" s="273"/>
      <c r="ML420" s="273"/>
      <c r="MM420" s="273"/>
      <c r="MN420" s="273"/>
      <c r="MO420" s="273"/>
      <c r="MP420" s="273"/>
      <c r="MQ420" s="273"/>
      <c r="MR420" s="273"/>
      <c r="MS420" s="273"/>
      <c r="MT420" s="273"/>
      <c r="MU420" s="273"/>
      <c r="MV420" s="273"/>
      <c r="MW420" s="273"/>
      <c r="MX420" s="273"/>
      <c r="MY420" s="273"/>
      <c r="MZ420" s="273"/>
      <c r="NA420" s="273"/>
      <c r="NB420" s="273"/>
      <c r="NC420" s="273"/>
      <c r="ND420" s="273"/>
      <c r="NE420" s="273"/>
      <c r="NF420" s="273"/>
      <c r="NG420" s="273"/>
      <c r="NH420" s="273"/>
      <c r="NI420" s="273"/>
      <c r="NJ420" s="273"/>
      <c r="NK420" s="273"/>
      <c r="NL420" s="273"/>
      <c r="NM420" s="273"/>
      <c r="NN420" s="273"/>
      <c r="NO420" s="273"/>
      <c r="NP420" s="273"/>
      <c r="NQ420" s="273"/>
      <c r="NR420" s="273"/>
      <c r="NS420" s="273"/>
      <c r="NT420" s="273"/>
      <c r="NU420" s="273"/>
      <c r="NV420" s="273"/>
      <c r="NW420" s="273"/>
      <c r="NX420" s="273"/>
      <c r="NY420" s="273"/>
      <c r="NZ420" s="273"/>
      <c r="OA420" s="273"/>
      <c r="OB420" s="273"/>
      <c r="OC420" s="273"/>
      <c r="OD420" s="273"/>
      <c r="OE420" s="273"/>
      <c r="OF420" s="273"/>
      <c r="OG420" s="273"/>
      <c r="OH420" s="273"/>
      <c r="OI420" s="273"/>
      <c r="OJ420" s="273"/>
      <c r="OK420" s="273"/>
      <c r="OL420" s="273"/>
      <c r="OM420" s="273"/>
      <c r="ON420" s="273"/>
      <c r="OO420" s="273"/>
      <c r="OP420" s="273"/>
      <c r="OQ420" s="273"/>
      <c r="OR420" s="273"/>
      <c r="OS420" s="273"/>
      <c r="OT420" s="273"/>
      <c r="OU420" s="273"/>
      <c r="OV420" s="273"/>
      <c r="OW420" s="273"/>
      <c r="OX420" s="273"/>
      <c r="OY420" s="273"/>
      <c r="OZ420" s="273"/>
      <c r="PA420" s="273"/>
      <c r="PB420" s="273"/>
      <c r="PC420" s="273"/>
      <c r="PD420" s="273"/>
      <c r="PE420" s="273"/>
      <c r="PF420" s="273"/>
      <c r="PG420" s="273"/>
      <c r="PH420" s="273"/>
      <c r="PI420" s="273"/>
      <c r="PJ420" s="273"/>
      <c r="PK420" s="273"/>
      <c r="PL420" s="273"/>
      <c r="PM420" s="273"/>
      <c r="PN420" s="273"/>
      <c r="PO420" s="273"/>
      <c r="PP420" s="273"/>
      <c r="PQ420" s="273"/>
      <c r="PR420" s="273"/>
      <c r="PS420" s="273"/>
      <c r="PT420" s="273"/>
      <c r="PU420" s="273"/>
      <c r="PV420" s="273"/>
      <c r="PW420" s="273"/>
      <c r="PX420" s="273"/>
      <c r="PY420" s="273"/>
      <c r="PZ420" s="273"/>
      <c r="QA420" s="273"/>
      <c r="QB420" s="273"/>
      <c r="QC420" s="273"/>
      <c r="QD420" s="273"/>
      <c r="QE420" s="273"/>
      <c r="QF420" s="273"/>
      <c r="QG420" s="273"/>
      <c r="QH420" s="273"/>
      <c r="QI420" s="273"/>
      <c r="QJ420" s="273"/>
      <c r="QK420" s="273"/>
      <c r="QL420" s="273"/>
      <c r="QM420" s="273"/>
      <c r="QN420" s="273"/>
      <c r="QO420" s="273"/>
      <c r="QP420" s="273"/>
      <c r="QQ420" s="273"/>
      <c r="QR420" s="273"/>
      <c r="QS420" s="273"/>
      <c r="QT420" s="273"/>
      <c r="QU420" s="273"/>
      <c r="QV420" s="273"/>
      <c r="QW420" s="273"/>
      <c r="QX420" s="273"/>
      <c r="QY420" s="273"/>
      <c r="QZ420" s="273"/>
      <c r="RA420" s="273"/>
      <c r="RB420" s="273"/>
      <c r="RC420" s="273"/>
      <c r="RD420" s="273"/>
      <c r="RE420" s="273"/>
      <c r="RF420" s="273"/>
      <c r="RG420" s="273"/>
      <c r="RH420" s="273"/>
      <c r="RI420" s="273"/>
      <c r="RJ420" s="273"/>
      <c r="RK420" s="273"/>
      <c r="RL420" s="273"/>
      <c r="RM420" s="273"/>
      <c r="RN420" s="273"/>
      <c r="RO420" s="273"/>
      <c r="RP420" s="273"/>
      <c r="RQ420" s="273"/>
    </row>
    <row r="421" spans="1:485" s="450" customFormat="1" ht="26" x14ac:dyDescent="0.25">
      <c r="A421" s="2995"/>
      <c r="B421" s="595" t="s">
        <v>941</v>
      </c>
      <c r="C421" s="266" t="s">
        <v>15</v>
      </c>
      <c r="D421" s="467" t="s">
        <v>955</v>
      </c>
      <c r="E421" s="468">
        <v>250</v>
      </c>
      <c r="F421" s="468">
        <v>7.43</v>
      </c>
      <c r="G421" s="467">
        <v>2</v>
      </c>
      <c r="H421" s="451">
        <f t="shared" si="200"/>
        <v>3715</v>
      </c>
      <c r="I421" s="675">
        <v>0.36</v>
      </c>
      <c r="J421" s="451"/>
      <c r="K421" s="451"/>
      <c r="L421" s="451"/>
      <c r="M421" s="1834">
        <f t="shared" si="201"/>
        <v>0</v>
      </c>
      <c r="N421" s="697"/>
      <c r="O421" s="696">
        <f t="shared" si="202"/>
        <v>3715</v>
      </c>
      <c r="P421" s="675">
        <v>0.36</v>
      </c>
      <c r="Q421" s="451">
        <f t="shared" si="203"/>
        <v>1337.3999999999999</v>
      </c>
      <c r="R421" s="522" t="s">
        <v>942</v>
      </c>
      <c r="S421" s="452">
        <f>COOPI!S14</f>
        <v>3715.4844313940357</v>
      </c>
      <c r="T421" s="591">
        <f t="shared" si="204"/>
        <v>1.0001303987601711</v>
      </c>
      <c r="U421" s="894" t="s">
        <v>606</v>
      </c>
      <c r="V421" s="591">
        <f t="shared" si="205"/>
        <v>1.0001303987601711</v>
      </c>
      <c r="W421" s="452">
        <f t="shared" si="206"/>
        <v>1337.5743953018527</v>
      </c>
      <c r="X421" s="452" t="s">
        <v>606</v>
      </c>
      <c r="Y421" s="273"/>
      <c r="Z421" s="273"/>
      <c r="AA421" s="273"/>
      <c r="AB421" s="273"/>
      <c r="AC421" s="273"/>
      <c r="AD421" s="273"/>
      <c r="AE421" s="273"/>
      <c r="AF421" s="273"/>
      <c r="AG421" s="273"/>
      <c r="AH421" s="273"/>
      <c r="AI421" s="273"/>
      <c r="AJ421" s="273"/>
      <c r="AK421" s="273"/>
      <c r="AL421" s="273"/>
      <c r="AM421" s="273"/>
      <c r="AN421" s="273"/>
      <c r="AO421" s="273"/>
      <c r="AP421" s="273"/>
      <c r="AQ421" s="273"/>
      <c r="AR421" s="273"/>
      <c r="AS421" s="273"/>
      <c r="AT421" s="273"/>
      <c r="AU421" s="273"/>
      <c r="AV421" s="273"/>
      <c r="AW421" s="273"/>
      <c r="AX421" s="273"/>
      <c r="AY421" s="273"/>
      <c r="AZ421" s="273"/>
      <c r="BA421" s="273"/>
      <c r="BB421" s="273"/>
      <c r="BC421" s="273"/>
      <c r="BD421" s="273"/>
      <c r="BE421" s="273"/>
      <c r="BF421" s="273"/>
      <c r="BG421" s="273"/>
      <c r="BH421" s="273"/>
      <c r="BI421" s="273"/>
      <c r="BJ421" s="273"/>
      <c r="BK421" s="273"/>
      <c r="BL421" s="273"/>
      <c r="BM421" s="273"/>
      <c r="BN421" s="273"/>
      <c r="BO421" s="273"/>
      <c r="BP421" s="273"/>
      <c r="BQ421" s="273"/>
      <c r="BR421" s="273"/>
      <c r="BS421" s="273"/>
      <c r="BT421" s="273"/>
      <c r="BU421" s="273"/>
      <c r="BV421" s="273"/>
      <c r="BW421" s="273"/>
      <c r="BX421" s="273"/>
      <c r="BY421" s="273"/>
      <c r="BZ421" s="273"/>
      <c r="CA421" s="273"/>
      <c r="CB421" s="273"/>
      <c r="CC421" s="273"/>
      <c r="CD421" s="273"/>
      <c r="CE421" s="273"/>
      <c r="CF421" s="273"/>
      <c r="CG421" s="273"/>
      <c r="CH421" s="273"/>
      <c r="CI421" s="273"/>
      <c r="CJ421" s="273"/>
      <c r="CK421" s="273"/>
      <c r="CL421" s="273"/>
      <c r="CM421" s="273"/>
      <c r="CN421" s="273"/>
      <c r="CO421" s="273"/>
      <c r="CP421" s="273"/>
      <c r="CQ421" s="273"/>
      <c r="CR421" s="273"/>
      <c r="CS421" s="273"/>
      <c r="CT421" s="273"/>
      <c r="CU421" s="273"/>
      <c r="CV421" s="273"/>
      <c r="CW421" s="273"/>
      <c r="CX421" s="273"/>
      <c r="CY421" s="273"/>
      <c r="CZ421" s="273"/>
      <c r="DA421" s="273"/>
      <c r="DB421" s="273"/>
      <c r="DC421" s="273"/>
      <c r="DD421" s="273"/>
      <c r="DE421" s="273"/>
      <c r="DF421" s="273"/>
      <c r="DG421" s="273"/>
      <c r="DH421" s="273"/>
      <c r="DI421" s="273"/>
      <c r="DJ421" s="273"/>
      <c r="DK421" s="273"/>
      <c r="DL421" s="273"/>
      <c r="DM421" s="273"/>
      <c r="DN421" s="273"/>
      <c r="DO421" s="273"/>
      <c r="DP421" s="273"/>
      <c r="DQ421" s="273"/>
      <c r="DR421" s="273"/>
      <c r="DS421" s="273"/>
      <c r="DT421" s="273"/>
      <c r="DU421" s="273"/>
      <c r="DV421" s="273"/>
      <c r="DW421" s="273"/>
      <c r="DX421" s="273"/>
      <c r="DY421" s="273"/>
      <c r="DZ421" s="273"/>
      <c r="EA421" s="273"/>
      <c r="EB421" s="273"/>
      <c r="EC421" s="273"/>
      <c r="ED421" s="273"/>
      <c r="EE421" s="273"/>
      <c r="EF421" s="273"/>
      <c r="EG421" s="273"/>
      <c r="EH421" s="273"/>
      <c r="EI421" s="273"/>
      <c r="EJ421" s="273"/>
      <c r="EK421" s="273"/>
      <c r="EL421" s="273"/>
      <c r="EM421" s="273"/>
      <c r="EN421" s="273"/>
      <c r="EO421" s="273"/>
      <c r="EP421" s="273"/>
      <c r="EQ421" s="273"/>
      <c r="ER421" s="273"/>
      <c r="ES421" s="273"/>
      <c r="ET421" s="273"/>
      <c r="EU421" s="273"/>
      <c r="EV421" s="273"/>
      <c r="EW421" s="273"/>
      <c r="EX421" s="273"/>
      <c r="EY421" s="273"/>
      <c r="EZ421" s="273"/>
      <c r="FA421" s="273"/>
      <c r="FB421" s="273"/>
      <c r="FC421" s="273"/>
      <c r="FD421" s="273"/>
      <c r="FE421" s="273"/>
      <c r="FF421" s="273"/>
      <c r="FG421" s="273"/>
      <c r="FH421" s="273"/>
      <c r="FI421" s="273"/>
      <c r="FJ421" s="273"/>
      <c r="FK421" s="273"/>
      <c r="FL421" s="273"/>
      <c r="FM421" s="273"/>
      <c r="FN421" s="273"/>
      <c r="FO421" s="273"/>
      <c r="FP421" s="273"/>
      <c r="FQ421" s="273"/>
      <c r="FR421" s="273"/>
      <c r="FS421" s="273"/>
      <c r="FT421" s="273"/>
      <c r="FU421" s="273"/>
      <c r="FV421" s="273"/>
      <c r="FW421" s="273"/>
      <c r="FX421" s="273"/>
      <c r="FY421" s="273"/>
      <c r="FZ421" s="273"/>
      <c r="GA421" s="273"/>
      <c r="GB421" s="273"/>
      <c r="GC421" s="273"/>
      <c r="GD421" s="273"/>
      <c r="GE421" s="273"/>
      <c r="GF421" s="273"/>
      <c r="GG421" s="273"/>
      <c r="GH421" s="273"/>
      <c r="GI421" s="273"/>
      <c r="GJ421" s="273"/>
      <c r="GK421" s="273"/>
      <c r="GL421" s="273"/>
      <c r="GM421" s="273"/>
      <c r="GN421" s="273"/>
      <c r="GO421" s="273"/>
      <c r="GP421" s="273"/>
      <c r="GQ421" s="273"/>
      <c r="GR421" s="273"/>
      <c r="GS421" s="273"/>
      <c r="GT421" s="273"/>
      <c r="GU421" s="273"/>
      <c r="GV421" s="273"/>
      <c r="GW421" s="273"/>
      <c r="GX421" s="273"/>
      <c r="GY421" s="273"/>
      <c r="GZ421" s="273"/>
      <c r="HA421" s="273"/>
      <c r="HB421" s="273"/>
      <c r="HC421" s="273"/>
      <c r="HD421" s="273"/>
      <c r="HE421" s="273"/>
      <c r="HF421" s="273"/>
      <c r="HG421" s="273"/>
      <c r="HH421" s="273"/>
      <c r="HI421" s="273"/>
      <c r="HJ421" s="273"/>
      <c r="HK421" s="273"/>
      <c r="HL421" s="273"/>
      <c r="HM421" s="273"/>
      <c r="HN421" s="273"/>
      <c r="HO421" s="273"/>
      <c r="HP421" s="273"/>
      <c r="HQ421" s="273"/>
      <c r="HR421" s="273"/>
      <c r="HS421" s="273"/>
      <c r="HT421" s="273"/>
      <c r="HU421" s="273"/>
      <c r="HV421" s="273"/>
      <c r="HW421" s="273"/>
      <c r="HX421" s="273"/>
      <c r="HY421" s="273"/>
      <c r="HZ421" s="273"/>
      <c r="IA421" s="273"/>
      <c r="IB421" s="273"/>
      <c r="IC421" s="273"/>
      <c r="ID421" s="273"/>
      <c r="IE421" s="273"/>
      <c r="IF421" s="273"/>
      <c r="IG421" s="273"/>
      <c r="IH421" s="273"/>
      <c r="II421" s="273"/>
      <c r="IJ421" s="273"/>
      <c r="IK421" s="273"/>
      <c r="IL421" s="273"/>
      <c r="IM421" s="273"/>
      <c r="IN421" s="273"/>
      <c r="IO421" s="273"/>
      <c r="IP421" s="273"/>
      <c r="IQ421" s="273"/>
      <c r="IR421" s="273"/>
      <c r="IS421" s="273"/>
      <c r="IT421" s="273"/>
      <c r="IU421" s="273"/>
      <c r="IV421" s="273"/>
      <c r="IW421" s="273"/>
      <c r="IX421" s="273"/>
      <c r="IY421" s="273"/>
      <c r="IZ421" s="273"/>
      <c r="JA421" s="273"/>
      <c r="JB421" s="273"/>
      <c r="JC421" s="273"/>
      <c r="JD421" s="273"/>
      <c r="JE421" s="273"/>
      <c r="JF421" s="273"/>
      <c r="JG421" s="273"/>
      <c r="JH421" s="273"/>
      <c r="JI421" s="273"/>
      <c r="JJ421" s="273"/>
      <c r="JK421" s="273"/>
      <c r="JL421" s="273"/>
      <c r="JM421" s="273"/>
      <c r="JN421" s="273"/>
      <c r="JO421" s="273"/>
      <c r="JP421" s="273"/>
      <c r="JQ421" s="273"/>
      <c r="JR421" s="273"/>
      <c r="JS421" s="273"/>
      <c r="JT421" s="273"/>
      <c r="JU421" s="273"/>
      <c r="JV421" s="273"/>
      <c r="JW421" s="273"/>
      <c r="JX421" s="273"/>
      <c r="JY421" s="273"/>
      <c r="JZ421" s="273"/>
      <c r="KA421" s="273"/>
      <c r="KB421" s="273"/>
      <c r="KC421" s="273"/>
      <c r="KD421" s="273"/>
      <c r="KE421" s="273"/>
      <c r="KF421" s="273"/>
      <c r="KG421" s="273"/>
      <c r="KH421" s="273"/>
      <c r="KI421" s="273"/>
      <c r="KJ421" s="273"/>
      <c r="KK421" s="273"/>
      <c r="KL421" s="273"/>
      <c r="KM421" s="273"/>
      <c r="KN421" s="273"/>
      <c r="KO421" s="273"/>
      <c r="KP421" s="273"/>
      <c r="KQ421" s="273"/>
      <c r="KR421" s="273"/>
      <c r="KS421" s="273"/>
      <c r="KT421" s="273"/>
      <c r="KU421" s="273"/>
      <c r="KV421" s="273"/>
      <c r="KW421" s="273"/>
      <c r="KX421" s="273"/>
      <c r="KY421" s="273"/>
      <c r="KZ421" s="273"/>
      <c r="LA421" s="273"/>
      <c r="LB421" s="273"/>
      <c r="LC421" s="273"/>
      <c r="LD421" s="273"/>
      <c r="LE421" s="273"/>
      <c r="LF421" s="273"/>
      <c r="LG421" s="273"/>
      <c r="LH421" s="273"/>
      <c r="LI421" s="273"/>
      <c r="LJ421" s="273"/>
      <c r="LK421" s="273"/>
      <c r="LL421" s="273"/>
      <c r="LM421" s="273"/>
      <c r="LN421" s="273"/>
      <c r="LO421" s="273"/>
      <c r="LP421" s="273"/>
      <c r="LQ421" s="273"/>
      <c r="LR421" s="273"/>
      <c r="LS421" s="273"/>
      <c r="LT421" s="273"/>
      <c r="LU421" s="273"/>
      <c r="LV421" s="273"/>
      <c r="LW421" s="273"/>
      <c r="LX421" s="273"/>
      <c r="LY421" s="273"/>
      <c r="LZ421" s="273"/>
      <c r="MA421" s="273"/>
      <c r="MB421" s="273"/>
      <c r="MC421" s="273"/>
      <c r="MD421" s="273"/>
      <c r="ME421" s="273"/>
      <c r="MF421" s="273"/>
      <c r="MG421" s="273"/>
      <c r="MH421" s="273"/>
      <c r="MI421" s="273"/>
      <c r="MJ421" s="273"/>
      <c r="MK421" s="273"/>
      <c r="ML421" s="273"/>
      <c r="MM421" s="273"/>
      <c r="MN421" s="273"/>
      <c r="MO421" s="273"/>
      <c r="MP421" s="273"/>
      <c r="MQ421" s="273"/>
      <c r="MR421" s="273"/>
      <c r="MS421" s="273"/>
      <c r="MT421" s="273"/>
      <c r="MU421" s="273"/>
      <c r="MV421" s="273"/>
      <c r="MW421" s="273"/>
      <c r="MX421" s="273"/>
      <c r="MY421" s="273"/>
      <c r="MZ421" s="273"/>
      <c r="NA421" s="273"/>
      <c r="NB421" s="273"/>
      <c r="NC421" s="273"/>
      <c r="ND421" s="273"/>
      <c r="NE421" s="273"/>
      <c r="NF421" s="273"/>
      <c r="NG421" s="273"/>
      <c r="NH421" s="273"/>
      <c r="NI421" s="273"/>
      <c r="NJ421" s="273"/>
      <c r="NK421" s="273"/>
      <c r="NL421" s="273"/>
      <c r="NM421" s="273"/>
      <c r="NN421" s="273"/>
      <c r="NO421" s="273"/>
      <c r="NP421" s="273"/>
      <c r="NQ421" s="273"/>
      <c r="NR421" s="273"/>
      <c r="NS421" s="273"/>
      <c r="NT421" s="273"/>
      <c r="NU421" s="273"/>
      <c r="NV421" s="273"/>
      <c r="NW421" s="273"/>
      <c r="NX421" s="273"/>
      <c r="NY421" s="273"/>
      <c r="NZ421" s="273"/>
      <c r="OA421" s="273"/>
      <c r="OB421" s="273"/>
      <c r="OC421" s="273"/>
      <c r="OD421" s="273"/>
      <c r="OE421" s="273"/>
      <c r="OF421" s="273"/>
      <c r="OG421" s="273"/>
      <c r="OH421" s="273"/>
      <c r="OI421" s="273"/>
      <c r="OJ421" s="273"/>
      <c r="OK421" s="273"/>
      <c r="OL421" s="273"/>
      <c r="OM421" s="273"/>
      <c r="ON421" s="273"/>
      <c r="OO421" s="273"/>
      <c r="OP421" s="273"/>
      <c r="OQ421" s="273"/>
      <c r="OR421" s="273"/>
      <c r="OS421" s="273"/>
      <c r="OT421" s="273"/>
      <c r="OU421" s="273"/>
      <c r="OV421" s="273"/>
      <c r="OW421" s="273"/>
      <c r="OX421" s="273"/>
      <c r="OY421" s="273"/>
      <c r="OZ421" s="273"/>
      <c r="PA421" s="273"/>
      <c r="PB421" s="273"/>
      <c r="PC421" s="273"/>
      <c r="PD421" s="273"/>
      <c r="PE421" s="273"/>
      <c r="PF421" s="273"/>
      <c r="PG421" s="273"/>
      <c r="PH421" s="273"/>
      <c r="PI421" s="273"/>
      <c r="PJ421" s="273"/>
      <c r="PK421" s="273"/>
      <c r="PL421" s="273"/>
      <c r="PM421" s="273"/>
      <c r="PN421" s="273"/>
      <c r="PO421" s="273"/>
      <c r="PP421" s="273"/>
      <c r="PQ421" s="273"/>
      <c r="PR421" s="273"/>
      <c r="PS421" s="273"/>
      <c r="PT421" s="273"/>
      <c r="PU421" s="273"/>
      <c r="PV421" s="273"/>
      <c r="PW421" s="273"/>
      <c r="PX421" s="273"/>
      <c r="PY421" s="273"/>
      <c r="PZ421" s="273"/>
      <c r="QA421" s="273"/>
      <c r="QB421" s="273"/>
      <c r="QC421" s="273"/>
      <c r="QD421" s="273"/>
      <c r="QE421" s="273"/>
      <c r="QF421" s="273"/>
      <c r="QG421" s="273"/>
      <c r="QH421" s="273"/>
      <c r="QI421" s="273"/>
      <c r="QJ421" s="273"/>
      <c r="QK421" s="273"/>
      <c r="QL421" s="273"/>
      <c r="QM421" s="273"/>
      <c r="QN421" s="273"/>
      <c r="QO421" s="273"/>
      <c r="QP421" s="273"/>
      <c r="QQ421" s="273"/>
      <c r="QR421" s="273"/>
      <c r="QS421" s="273"/>
      <c r="QT421" s="273"/>
      <c r="QU421" s="273"/>
      <c r="QV421" s="273"/>
      <c r="QW421" s="273"/>
      <c r="QX421" s="273"/>
      <c r="QY421" s="273"/>
      <c r="QZ421" s="273"/>
      <c r="RA421" s="273"/>
      <c r="RB421" s="273"/>
      <c r="RC421" s="273"/>
      <c r="RD421" s="273"/>
      <c r="RE421" s="273"/>
      <c r="RF421" s="273"/>
      <c r="RG421" s="273"/>
      <c r="RH421" s="273"/>
      <c r="RI421" s="273"/>
      <c r="RJ421" s="273"/>
      <c r="RK421" s="273"/>
      <c r="RL421" s="273"/>
      <c r="RM421" s="273"/>
      <c r="RN421" s="273"/>
      <c r="RO421" s="273"/>
      <c r="RP421" s="273"/>
      <c r="RQ421" s="273"/>
    </row>
    <row r="422" spans="1:485" s="450" customFormat="1" ht="26" x14ac:dyDescent="0.25">
      <c r="A422" s="2995"/>
      <c r="B422" s="595" t="s">
        <v>943</v>
      </c>
      <c r="C422" s="266" t="s">
        <v>15</v>
      </c>
      <c r="D422" s="467" t="s">
        <v>955</v>
      </c>
      <c r="E422" s="468">
        <v>89</v>
      </c>
      <c r="F422" s="468">
        <v>5.6573033707865168</v>
      </c>
      <c r="G422" s="467">
        <v>2</v>
      </c>
      <c r="H422" s="451">
        <f t="shared" si="200"/>
        <v>1007</v>
      </c>
      <c r="I422" s="675">
        <v>0.29629629629629628</v>
      </c>
      <c r="J422" s="451"/>
      <c r="K422" s="451"/>
      <c r="L422" s="451"/>
      <c r="M422" s="1834">
        <f t="shared" si="201"/>
        <v>0</v>
      </c>
      <c r="N422" s="697"/>
      <c r="O422" s="696">
        <f t="shared" si="202"/>
        <v>1007</v>
      </c>
      <c r="P422" s="675">
        <v>0.29629629629629628</v>
      </c>
      <c r="Q422" s="451">
        <f t="shared" si="203"/>
        <v>298.37037037037038</v>
      </c>
      <c r="R422" s="522" t="s">
        <v>942</v>
      </c>
      <c r="S422" s="452">
        <f>COOPI!S15</f>
        <v>1112</v>
      </c>
      <c r="T422" s="591">
        <f t="shared" si="204"/>
        <v>1.1042701092353526</v>
      </c>
      <c r="U422" s="522" t="s">
        <v>944</v>
      </c>
      <c r="V422" s="591">
        <f t="shared" si="205"/>
        <v>1.1042701092353524</v>
      </c>
      <c r="W422" s="452">
        <f t="shared" si="206"/>
        <v>329.48148148148147</v>
      </c>
      <c r="X422" s="453" t="s">
        <v>606</v>
      </c>
      <c r="Y422" s="273"/>
      <c r="Z422" s="273"/>
      <c r="AA422" s="273"/>
      <c r="AB422" s="273"/>
      <c r="AC422" s="273"/>
      <c r="AD422" s="273"/>
      <c r="AE422" s="273"/>
      <c r="AF422" s="273"/>
      <c r="AG422" s="273"/>
      <c r="AH422" s="273"/>
      <c r="AI422" s="273"/>
      <c r="AJ422" s="273"/>
      <c r="AK422" s="273"/>
      <c r="AL422" s="273"/>
      <c r="AM422" s="273"/>
      <c r="AN422" s="273"/>
      <c r="AO422" s="273"/>
      <c r="AP422" s="273"/>
      <c r="AQ422" s="273"/>
      <c r="AR422" s="273"/>
      <c r="AS422" s="273"/>
      <c r="AT422" s="273"/>
      <c r="AU422" s="273"/>
      <c r="AV422" s="273"/>
      <c r="AW422" s="273"/>
      <c r="AX422" s="273"/>
      <c r="AY422" s="273"/>
      <c r="AZ422" s="273"/>
      <c r="BA422" s="273"/>
      <c r="BB422" s="273"/>
      <c r="BC422" s="273"/>
      <c r="BD422" s="273"/>
      <c r="BE422" s="273"/>
      <c r="BF422" s="273"/>
      <c r="BG422" s="273"/>
      <c r="BH422" s="273"/>
      <c r="BI422" s="273"/>
      <c r="BJ422" s="273"/>
      <c r="BK422" s="273"/>
      <c r="BL422" s="273"/>
      <c r="BM422" s="273"/>
      <c r="BN422" s="273"/>
      <c r="BO422" s="273"/>
      <c r="BP422" s="273"/>
      <c r="BQ422" s="273"/>
      <c r="BR422" s="273"/>
      <c r="BS422" s="273"/>
      <c r="BT422" s="273"/>
      <c r="BU422" s="273"/>
      <c r="BV422" s="273"/>
      <c r="BW422" s="273"/>
      <c r="BX422" s="273"/>
      <c r="BY422" s="273"/>
      <c r="BZ422" s="273"/>
      <c r="CA422" s="273"/>
      <c r="CB422" s="273"/>
      <c r="CC422" s="273"/>
      <c r="CD422" s="273"/>
      <c r="CE422" s="273"/>
      <c r="CF422" s="273"/>
      <c r="CG422" s="273"/>
      <c r="CH422" s="273"/>
      <c r="CI422" s="273"/>
      <c r="CJ422" s="273"/>
      <c r="CK422" s="273"/>
      <c r="CL422" s="273"/>
      <c r="CM422" s="273"/>
      <c r="CN422" s="273"/>
      <c r="CO422" s="273"/>
      <c r="CP422" s="273"/>
      <c r="CQ422" s="273"/>
      <c r="CR422" s="273"/>
      <c r="CS422" s="273"/>
      <c r="CT422" s="273"/>
      <c r="CU422" s="273"/>
      <c r="CV422" s="273"/>
      <c r="CW422" s="273"/>
      <c r="CX422" s="273"/>
      <c r="CY422" s="273"/>
      <c r="CZ422" s="273"/>
      <c r="DA422" s="273"/>
      <c r="DB422" s="273"/>
      <c r="DC422" s="273"/>
      <c r="DD422" s="273"/>
      <c r="DE422" s="273"/>
      <c r="DF422" s="273"/>
      <c r="DG422" s="273"/>
      <c r="DH422" s="273"/>
      <c r="DI422" s="273"/>
      <c r="DJ422" s="273"/>
      <c r="DK422" s="273"/>
      <c r="DL422" s="273"/>
      <c r="DM422" s="273"/>
      <c r="DN422" s="273"/>
      <c r="DO422" s="273"/>
      <c r="DP422" s="273"/>
      <c r="DQ422" s="273"/>
      <c r="DR422" s="273"/>
      <c r="DS422" s="273"/>
      <c r="DT422" s="273"/>
      <c r="DU422" s="273"/>
      <c r="DV422" s="273"/>
      <c r="DW422" s="273"/>
      <c r="DX422" s="273"/>
      <c r="DY422" s="273"/>
      <c r="DZ422" s="273"/>
      <c r="EA422" s="273"/>
      <c r="EB422" s="273"/>
      <c r="EC422" s="273"/>
      <c r="ED422" s="273"/>
      <c r="EE422" s="273"/>
      <c r="EF422" s="273"/>
      <c r="EG422" s="273"/>
      <c r="EH422" s="273"/>
      <c r="EI422" s="273"/>
      <c r="EJ422" s="273"/>
      <c r="EK422" s="273"/>
      <c r="EL422" s="273"/>
      <c r="EM422" s="273"/>
      <c r="EN422" s="273"/>
      <c r="EO422" s="273"/>
      <c r="EP422" s="273"/>
      <c r="EQ422" s="273"/>
      <c r="ER422" s="273"/>
      <c r="ES422" s="273"/>
      <c r="ET422" s="273"/>
      <c r="EU422" s="273"/>
      <c r="EV422" s="273"/>
      <c r="EW422" s="273"/>
      <c r="EX422" s="273"/>
      <c r="EY422" s="273"/>
      <c r="EZ422" s="273"/>
      <c r="FA422" s="273"/>
      <c r="FB422" s="273"/>
      <c r="FC422" s="273"/>
      <c r="FD422" s="273"/>
      <c r="FE422" s="273"/>
      <c r="FF422" s="273"/>
      <c r="FG422" s="273"/>
      <c r="FH422" s="273"/>
      <c r="FI422" s="273"/>
      <c r="FJ422" s="273"/>
      <c r="FK422" s="273"/>
      <c r="FL422" s="273"/>
      <c r="FM422" s="273"/>
      <c r="FN422" s="273"/>
      <c r="FO422" s="273"/>
      <c r="FP422" s="273"/>
      <c r="FQ422" s="273"/>
      <c r="FR422" s="273"/>
      <c r="FS422" s="273"/>
      <c r="FT422" s="273"/>
      <c r="FU422" s="273"/>
      <c r="FV422" s="273"/>
      <c r="FW422" s="273"/>
      <c r="FX422" s="273"/>
      <c r="FY422" s="273"/>
      <c r="FZ422" s="273"/>
      <c r="GA422" s="273"/>
      <c r="GB422" s="273"/>
      <c r="GC422" s="273"/>
      <c r="GD422" s="273"/>
      <c r="GE422" s="273"/>
      <c r="GF422" s="273"/>
      <c r="GG422" s="273"/>
      <c r="GH422" s="273"/>
      <c r="GI422" s="273"/>
      <c r="GJ422" s="273"/>
      <c r="GK422" s="273"/>
      <c r="GL422" s="273"/>
      <c r="GM422" s="273"/>
      <c r="GN422" s="273"/>
      <c r="GO422" s="273"/>
      <c r="GP422" s="273"/>
      <c r="GQ422" s="273"/>
      <c r="GR422" s="273"/>
      <c r="GS422" s="273"/>
      <c r="GT422" s="273"/>
      <c r="GU422" s="273"/>
      <c r="GV422" s="273"/>
      <c r="GW422" s="273"/>
      <c r="GX422" s="273"/>
      <c r="GY422" s="273"/>
      <c r="GZ422" s="273"/>
      <c r="HA422" s="273"/>
      <c r="HB422" s="273"/>
      <c r="HC422" s="273"/>
      <c r="HD422" s="273"/>
      <c r="HE422" s="273"/>
      <c r="HF422" s="273"/>
      <c r="HG422" s="273"/>
      <c r="HH422" s="273"/>
      <c r="HI422" s="273"/>
      <c r="HJ422" s="273"/>
      <c r="HK422" s="273"/>
      <c r="HL422" s="273"/>
      <c r="HM422" s="273"/>
      <c r="HN422" s="273"/>
      <c r="HO422" s="273"/>
      <c r="HP422" s="273"/>
      <c r="HQ422" s="273"/>
      <c r="HR422" s="273"/>
      <c r="HS422" s="273"/>
      <c r="HT422" s="273"/>
      <c r="HU422" s="273"/>
      <c r="HV422" s="273"/>
      <c r="HW422" s="273"/>
      <c r="HX422" s="273"/>
      <c r="HY422" s="273"/>
      <c r="HZ422" s="273"/>
      <c r="IA422" s="273"/>
      <c r="IB422" s="273"/>
      <c r="IC422" s="273"/>
      <c r="ID422" s="273"/>
      <c r="IE422" s="273"/>
      <c r="IF422" s="273"/>
      <c r="IG422" s="273"/>
      <c r="IH422" s="273"/>
      <c r="II422" s="273"/>
      <c r="IJ422" s="273"/>
      <c r="IK422" s="273"/>
      <c r="IL422" s="273"/>
      <c r="IM422" s="273"/>
      <c r="IN422" s="273"/>
      <c r="IO422" s="273"/>
      <c r="IP422" s="273"/>
      <c r="IQ422" s="273"/>
      <c r="IR422" s="273"/>
      <c r="IS422" s="273"/>
      <c r="IT422" s="273"/>
      <c r="IU422" s="273"/>
      <c r="IV422" s="273"/>
      <c r="IW422" s="273"/>
      <c r="IX422" s="273"/>
      <c r="IY422" s="273"/>
      <c r="IZ422" s="273"/>
      <c r="JA422" s="273"/>
      <c r="JB422" s="273"/>
      <c r="JC422" s="273"/>
      <c r="JD422" s="273"/>
      <c r="JE422" s="273"/>
      <c r="JF422" s="273"/>
      <c r="JG422" s="273"/>
      <c r="JH422" s="273"/>
      <c r="JI422" s="273"/>
      <c r="JJ422" s="273"/>
      <c r="JK422" s="273"/>
      <c r="JL422" s="273"/>
      <c r="JM422" s="273"/>
      <c r="JN422" s="273"/>
      <c r="JO422" s="273"/>
      <c r="JP422" s="273"/>
      <c r="JQ422" s="273"/>
      <c r="JR422" s="273"/>
      <c r="JS422" s="273"/>
      <c r="JT422" s="273"/>
      <c r="JU422" s="273"/>
      <c r="JV422" s="273"/>
      <c r="JW422" s="273"/>
      <c r="JX422" s="273"/>
      <c r="JY422" s="273"/>
      <c r="JZ422" s="273"/>
      <c r="KA422" s="273"/>
      <c r="KB422" s="273"/>
      <c r="KC422" s="273"/>
      <c r="KD422" s="273"/>
      <c r="KE422" s="273"/>
      <c r="KF422" s="273"/>
      <c r="KG422" s="273"/>
      <c r="KH422" s="273"/>
      <c r="KI422" s="273"/>
      <c r="KJ422" s="273"/>
      <c r="KK422" s="273"/>
      <c r="KL422" s="273"/>
      <c r="KM422" s="273"/>
      <c r="KN422" s="273"/>
      <c r="KO422" s="273"/>
      <c r="KP422" s="273"/>
      <c r="KQ422" s="273"/>
      <c r="KR422" s="273"/>
      <c r="KS422" s="273"/>
      <c r="KT422" s="273"/>
      <c r="KU422" s="273"/>
      <c r="KV422" s="273"/>
      <c r="KW422" s="273"/>
      <c r="KX422" s="273"/>
      <c r="KY422" s="273"/>
      <c r="KZ422" s="273"/>
      <c r="LA422" s="273"/>
      <c r="LB422" s="273"/>
      <c r="LC422" s="273"/>
      <c r="LD422" s="273"/>
      <c r="LE422" s="273"/>
      <c r="LF422" s="273"/>
      <c r="LG422" s="273"/>
      <c r="LH422" s="273"/>
      <c r="LI422" s="273"/>
      <c r="LJ422" s="273"/>
      <c r="LK422" s="273"/>
      <c r="LL422" s="273"/>
      <c r="LM422" s="273"/>
      <c r="LN422" s="273"/>
      <c r="LO422" s="273"/>
      <c r="LP422" s="273"/>
      <c r="LQ422" s="273"/>
      <c r="LR422" s="273"/>
      <c r="LS422" s="273"/>
      <c r="LT422" s="273"/>
      <c r="LU422" s="273"/>
      <c r="LV422" s="273"/>
      <c r="LW422" s="273"/>
      <c r="LX422" s="273"/>
      <c r="LY422" s="273"/>
      <c r="LZ422" s="273"/>
      <c r="MA422" s="273"/>
      <c r="MB422" s="273"/>
      <c r="MC422" s="273"/>
      <c r="MD422" s="273"/>
      <c r="ME422" s="273"/>
      <c r="MF422" s="273"/>
      <c r="MG422" s="273"/>
      <c r="MH422" s="273"/>
      <c r="MI422" s="273"/>
      <c r="MJ422" s="273"/>
      <c r="MK422" s="273"/>
      <c r="ML422" s="273"/>
      <c r="MM422" s="273"/>
      <c r="MN422" s="273"/>
      <c r="MO422" s="273"/>
      <c r="MP422" s="273"/>
      <c r="MQ422" s="273"/>
      <c r="MR422" s="273"/>
      <c r="MS422" s="273"/>
      <c r="MT422" s="273"/>
      <c r="MU422" s="273"/>
      <c r="MV422" s="273"/>
      <c r="MW422" s="273"/>
      <c r="MX422" s="273"/>
      <c r="MY422" s="273"/>
      <c r="MZ422" s="273"/>
      <c r="NA422" s="273"/>
      <c r="NB422" s="273"/>
      <c r="NC422" s="273"/>
      <c r="ND422" s="273"/>
      <c r="NE422" s="273"/>
      <c r="NF422" s="273"/>
      <c r="NG422" s="273"/>
      <c r="NH422" s="273"/>
      <c r="NI422" s="273"/>
      <c r="NJ422" s="273"/>
      <c r="NK422" s="273"/>
      <c r="NL422" s="273"/>
      <c r="NM422" s="273"/>
      <c r="NN422" s="273"/>
      <c r="NO422" s="273"/>
      <c r="NP422" s="273"/>
      <c r="NQ422" s="273"/>
      <c r="NR422" s="273"/>
      <c r="NS422" s="273"/>
      <c r="NT422" s="273"/>
      <c r="NU422" s="273"/>
      <c r="NV422" s="273"/>
      <c r="NW422" s="273"/>
      <c r="NX422" s="273"/>
      <c r="NY422" s="273"/>
      <c r="NZ422" s="273"/>
      <c r="OA422" s="273"/>
      <c r="OB422" s="273"/>
      <c r="OC422" s="273"/>
      <c r="OD422" s="273"/>
      <c r="OE422" s="273"/>
      <c r="OF422" s="273"/>
      <c r="OG422" s="273"/>
      <c r="OH422" s="273"/>
      <c r="OI422" s="273"/>
      <c r="OJ422" s="273"/>
      <c r="OK422" s="273"/>
      <c r="OL422" s="273"/>
      <c r="OM422" s="273"/>
      <c r="ON422" s="273"/>
      <c r="OO422" s="273"/>
      <c r="OP422" s="273"/>
      <c r="OQ422" s="273"/>
      <c r="OR422" s="273"/>
      <c r="OS422" s="273"/>
      <c r="OT422" s="273"/>
      <c r="OU422" s="273"/>
      <c r="OV422" s="273"/>
      <c r="OW422" s="273"/>
      <c r="OX422" s="273"/>
      <c r="OY422" s="273"/>
      <c r="OZ422" s="273"/>
      <c r="PA422" s="273"/>
      <c r="PB422" s="273"/>
      <c r="PC422" s="273"/>
      <c r="PD422" s="273"/>
      <c r="PE422" s="273"/>
      <c r="PF422" s="273"/>
      <c r="PG422" s="273"/>
      <c r="PH422" s="273"/>
      <c r="PI422" s="273"/>
      <c r="PJ422" s="273"/>
      <c r="PK422" s="273"/>
      <c r="PL422" s="273"/>
      <c r="PM422" s="273"/>
      <c r="PN422" s="273"/>
      <c r="PO422" s="273"/>
      <c r="PP422" s="273"/>
      <c r="PQ422" s="273"/>
      <c r="PR422" s="273"/>
      <c r="PS422" s="273"/>
      <c r="PT422" s="273"/>
      <c r="PU422" s="273"/>
      <c r="PV422" s="273"/>
      <c r="PW422" s="273"/>
      <c r="PX422" s="273"/>
      <c r="PY422" s="273"/>
      <c r="PZ422" s="273"/>
      <c r="QA422" s="273"/>
      <c r="QB422" s="273"/>
      <c r="QC422" s="273"/>
      <c r="QD422" s="273"/>
      <c r="QE422" s="273"/>
      <c r="QF422" s="273"/>
      <c r="QG422" s="273"/>
      <c r="QH422" s="273"/>
      <c r="QI422" s="273"/>
      <c r="QJ422" s="273"/>
      <c r="QK422" s="273"/>
      <c r="QL422" s="273"/>
      <c r="QM422" s="273"/>
      <c r="QN422" s="273"/>
      <c r="QO422" s="273"/>
      <c r="QP422" s="273"/>
      <c r="QQ422" s="273"/>
      <c r="QR422" s="273"/>
      <c r="QS422" s="273"/>
      <c r="QT422" s="273"/>
      <c r="QU422" s="273"/>
      <c r="QV422" s="273"/>
      <c r="QW422" s="273"/>
      <c r="QX422" s="273"/>
      <c r="QY422" s="273"/>
      <c r="QZ422" s="273"/>
      <c r="RA422" s="273"/>
      <c r="RB422" s="273"/>
      <c r="RC422" s="273"/>
      <c r="RD422" s="273"/>
      <c r="RE422" s="273"/>
      <c r="RF422" s="273"/>
      <c r="RG422" s="273"/>
      <c r="RH422" s="273"/>
      <c r="RI422" s="273"/>
      <c r="RJ422" s="273"/>
      <c r="RK422" s="273"/>
      <c r="RL422" s="273"/>
      <c r="RM422" s="273"/>
      <c r="RN422" s="273"/>
      <c r="RO422" s="273"/>
      <c r="RP422" s="273"/>
      <c r="RQ422" s="273"/>
    </row>
    <row r="423" spans="1:485" s="450" customFormat="1" ht="65" x14ac:dyDescent="0.25">
      <c r="A423" s="2995"/>
      <c r="B423" s="595" t="s">
        <v>945</v>
      </c>
      <c r="C423" s="266" t="s">
        <v>15</v>
      </c>
      <c r="D423" s="467" t="s">
        <v>955</v>
      </c>
      <c r="E423" s="468">
        <v>1</v>
      </c>
      <c r="F423" s="468">
        <v>709.50071428571437</v>
      </c>
      <c r="G423" s="467">
        <v>7</v>
      </c>
      <c r="H423" s="451">
        <f t="shared" si="200"/>
        <v>4966.505000000001</v>
      </c>
      <c r="I423" s="675">
        <v>0.25</v>
      </c>
      <c r="J423" s="451">
        <v>1</v>
      </c>
      <c r="K423" s="451">
        <v>945</v>
      </c>
      <c r="L423" s="451">
        <v>11</v>
      </c>
      <c r="M423" s="1834">
        <f t="shared" si="201"/>
        <v>10395</v>
      </c>
      <c r="N423" s="697">
        <v>0.25</v>
      </c>
      <c r="O423" s="696">
        <f t="shared" si="202"/>
        <v>15361.505000000001</v>
      </c>
      <c r="P423" s="675">
        <v>0.25</v>
      </c>
      <c r="Q423" s="451">
        <f>O423*P423</f>
        <v>3840.3762500000003</v>
      </c>
      <c r="R423" s="522" t="s">
        <v>946</v>
      </c>
      <c r="S423" s="452">
        <f>COOPI!S16</f>
        <v>14145</v>
      </c>
      <c r="T423" s="591">
        <f t="shared" si="204"/>
        <v>0.92080821508048849</v>
      </c>
      <c r="U423" s="522" t="s">
        <v>944</v>
      </c>
      <c r="V423" s="591">
        <f t="shared" si="205"/>
        <v>0.92080821508048849</v>
      </c>
      <c r="W423" s="452">
        <f t="shared" si="206"/>
        <v>3536.25</v>
      </c>
      <c r="X423" s="453" t="s">
        <v>606</v>
      </c>
      <c r="Y423" s="273"/>
      <c r="Z423" s="273"/>
      <c r="AA423" s="273"/>
      <c r="AB423" s="273"/>
      <c r="AC423" s="273"/>
      <c r="AD423" s="273"/>
      <c r="AE423" s="273"/>
      <c r="AF423" s="273"/>
      <c r="AG423" s="273"/>
      <c r="AH423" s="273"/>
      <c r="AI423" s="273"/>
      <c r="AJ423" s="273"/>
      <c r="AK423" s="273"/>
      <c r="AL423" s="273"/>
      <c r="AM423" s="273"/>
      <c r="AN423" s="273"/>
      <c r="AO423" s="273"/>
      <c r="AP423" s="273"/>
      <c r="AQ423" s="273"/>
      <c r="AR423" s="273"/>
      <c r="AS423" s="273"/>
      <c r="AT423" s="273"/>
      <c r="AU423" s="273"/>
      <c r="AV423" s="273"/>
      <c r="AW423" s="273"/>
      <c r="AX423" s="273"/>
      <c r="AY423" s="273"/>
      <c r="AZ423" s="273"/>
      <c r="BA423" s="273"/>
      <c r="BB423" s="273"/>
      <c r="BC423" s="273"/>
      <c r="BD423" s="273"/>
      <c r="BE423" s="273"/>
      <c r="BF423" s="273"/>
      <c r="BG423" s="273"/>
      <c r="BH423" s="273"/>
      <c r="BI423" s="273"/>
      <c r="BJ423" s="273"/>
      <c r="BK423" s="273"/>
      <c r="BL423" s="273"/>
      <c r="BM423" s="273"/>
      <c r="BN423" s="273"/>
      <c r="BO423" s="273"/>
      <c r="BP423" s="273"/>
      <c r="BQ423" s="273"/>
      <c r="BR423" s="273"/>
      <c r="BS423" s="273"/>
      <c r="BT423" s="273"/>
      <c r="BU423" s="273"/>
      <c r="BV423" s="273"/>
      <c r="BW423" s="273"/>
      <c r="BX423" s="273"/>
      <c r="BY423" s="273"/>
      <c r="BZ423" s="273"/>
      <c r="CA423" s="273"/>
      <c r="CB423" s="273"/>
      <c r="CC423" s="273"/>
      <c r="CD423" s="273"/>
      <c r="CE423" s="273"/>
      <c r="CF423" s="273"/>
      <c r="CG423" s="273"/>
      <c r="CH423" s="273"/>
      <c r="CI423" s="273"/>
      <c r="CJ423" s="273"/>
      <c r="CK423" s="273"/>
      <c r="CL423" s="273"/>
      <c r="CM423" s="273"/>
      <c r="CN423" s="273"/>
      <c r="CO423" s="273"/>
      <c r="CP423" s="273"/>
      <c r="CQ423" s="273"/>
      <c r="CR423" s="273"/>
      <c r="CS423" s="273"/>
      <c r="CT423" s="273"/>
      <c r="CU423" s="273"/>
      <c r="CV423" s="273"/>
      <c r="CW423" s="273"/>
      <c r="CX423" s="273"/>
      <c r="CY423" s="273"/>
      <c r="CZ423" s="273"/>
      <c r="DA423" s="273"/>
      <c r="DB423" s="273"/>
      <c r="DC423" s="273"/>
      <c r="DD423" s="273"/>
      <c r="DE423" s="273"/>
      <c r="DF423" s="273"/>
      <c r="DG423" s="273"/>
      <c r="DH423" s="273"/>
      <c r="DI423" s="273"/>
      <c r="DJ423" s="273"/>
      <c r="DK423" s="273"/>
      <c r="DL423" s="273"/>
      <c r="DM423" s="273"/>
      <c r="DN423" s="273"/>
      <c r="DO423" s="273"/>
      <c r="DP423" s="273"/>
      <c r="DQ423" s="273"/>
      <c r="DR423" s="273"/>
      <c r="DS423" s="273"/>
      <c r="DT423" s="273"/>
      <c r="DU423" s="273"/>
      <c r="DV423" s="273"/>
      <c r="DW423" s="273"/>
      <c r="DX423" s="273"/>
      <c r="DY423" s="273"/>
      <c r="DZ423" s="273"/>
      <c r="EA423" s="273"/>
      <c r="EB423" s="273"/>
      <c r="EC423" s="273"/>
      <c r="ED423" s="273"/>
      <c r="EE423" s="273"/>
      <c r="EF423" s="273"/>
      <c r="EG423" s="273"/>
      <c r="EH423" s="273"/>
      <c r="EI423" s="273"/>
      <c r="EJ423" s="273"/>
      <c r="EK423" s="273"/>
      <c r="EL423" s="273"/>
      <c r="EM423" s="273"/>
      <c r="EN423" s="273"/>
      <c r="EO423" s="273"/>
      <c r="EP423" s="273"/>
      <c r="EQ423" s="273"/>
      <c r="ER423" s="273"/>
      <c r="ES423" s="273"/>
      <c r="ET423" s="273"/>
      <c r="EU423" s="273"/>
      <c r="EV423" s="273"/>
      <c r="EW423" s="273"/>
      <c r="EX423" s="273"/>
      <c r="EY423" s="273"/>
      <c r="EZ423" s="273"/>
      <c r="FA423" s="273"/>
      <c r="FB423" s="273"/>
      <c r="FC423" s="273"/>
      <c r="FD423" s="273"/>
      <c r="FE423" s="273"/>
      <c r="FF423" s="273"/>
      <c r="FG423" s="273"/>
      <c r="FH423" s="273"/>
      <c r="FI423" s="273"/>
      <c r="FJ423" s="273"/>
      <c r="FK423" s="273"/>
      <c r="FL423" s="273"/>
      <c r="FM423" s="273"/>
      <c r="FN423" s="273"/>
      <c r="FO423" s="273"/>
      <c r="FP423" s="273"/>
      <c r="FQ423" s="273"/>
      <c r="FR423" s="273"/>
      <c r="FS423" s="273"/>
      <c r="FT423" s="273"/>
      <c r="FU423" s="273"/>
      <c r="FV423" s="273"/>
      <c r="FW423" s="273"/>
      <c r="FX423" s="273"/>
      <c r="FY423" s="273"/>
      <c r="FZ423" s="273"/>
      <c r="GA423" s="273"/>
      <c r="GB423" s="273"/>
      <c r="GC423" s="273"/>
      <c r="GD423" s="273"/>
      <c r="GE423" s="273"/>
      <c r="GF423" s="273"/>
      <c r="GG423" s="273"/>
      <c r="GH423" s="273"/>
      <c r="GI423" s="273"/>
      <c r="GJ423" s="273"/>
      <c r="GK423" s="273"/>
      <c r="GL423" s="273"/>
      <c r="GM423" s="273"/>
      <c r="GN423" s="273"/>
      <c r="GO423" s="273"/>
      <c r="GP423" s="273"/>
      <c r="GQ423" s="273"/>
      <c r="GR423" s="273"/>
      <c r="GS423" s="273"/>
      <c r="GT423" s="273"/>
      <c r="GU423" s="273"/>
      <c r="GV423" s="273"/>
      <c r="GW423" s="273"/>
      <c r="GX423" s="273"/>
      <c r="GY423" s="273"/>
      <c r="GZ423" s="273"/>
      <c r="HA423" s="273"/>
      <c r="HB423" s="273"/>
      <c r="HC423" s="273"/>
      <c r="HD423" s="273"/>
      <c r="HE423" s="273"/>
      <c r="HF423" s="273"/>
      <c r="HG423" s="273"/>
      <c r="HH423" s="273"/>
      <c r="HI423" s="273"/>
      <c r="HJ423" s="273"/>
      <c r="HK423" s="273"/>
      <c r="HL423" s="273"/>
      <c r="HM423" s="273"/>
      <c r="HN423" s="273"/>
      <c r="HO423" s="273"/>
      <c r="HP423" s="273"/>
      <c r="HQ423" s="273"/>
      <c r="HR423" s="273"/>
      <c r="HS423" s="273"/>
      <c r="HT423" s="273"/>
      <c r="HU423" s="273"/>
      <c r="HV423" s="273"/>
      <c r="HW423" s="273"/>
      <c r="HX423" s="273"/>
      <c r="HY423" s="273"/>
      <c r="HZ423" s="273"/>
      <c r="IA423" s="273"/>
      <c r="IB423" s="273"/>
      <c r="IC423" s="273"/>
      <c r="ID423" s="273"/>
      <c r="IE423" s="273"/>
      <c r="IF423" s="273"/>
      <c r="IG423" s="273"/>
      <c r="IH423" s="273"/>
      <c r="II423" s="273"/>
      <c r="IJ423" s="273"/>
      <c r="IK423" s="273"/>
      <c r="IL423" s="273"/>
      <c r="IM423" s="273"/>
      <c r="IN423" s="273"/>
      <c r="IO423" s="273"/>
      <c r="IP423" s="273"/>
      <c r="IQ423" s="273"/>
      <c r="IR423" s="273"/>
      <c r="IS423" s="273"/>
      <c r="IT423" s="273"/>
      <c r="IU423" s="273"/>
      <c r="IV423" s="273"/>
      <c r="IW423" s="273"/>
      <c r="IX423" s="273"/>
      <c r="IY423" s="273"/>
      <c r="IZ423" s="273"/>
      <c r="JA423" s="273"/>
      <c r="JB423" s="273"/>
      <c r="JC423" s="273"/>
      <c r="JD423" s="273"/>
      <c r="JE423" s="273"/>
      <c r="JF423" s="273"/>
      <c r="JG423" s="273"/>
      <c r="JH423" s="273"/>
      <c r="JI423" s="273"/>
      <c r="JJ423" s="273"/>
      <c r="JK423" s="273"/>
      <c r="JL423" s="273"/>
      <c r="JM423" s="273"/>
      <c r="JN423" s="273"/>
      <c r="JO423" s="273"/>
      <c r="JP423" s="273"/>
      <c r="JQ423" s="273"/>
      <c r="JR423" s="273"/>
      <c r="JS423" s="273"/>
      <c r="JT423" s="273"/>
      <c r="JU423" s="273"/>
      <c r="JV423" s="273"/>
      <c r="JW423" s="273"/>
      <c r="JX423" s="273"/>
      <c r="JY423" s="273"/>
      <c r="JZ423" s="273"/>
      <c r="KA423" s="273"/>
      <c r="KB423" s="273"/>
      <c r="KC423" s="273"/>
      <c r="KD423" s="273"/>
      <c r="KE423" s="273"/>
      <c r="KF423" s="273"/>
      <c r="KG423" s="273"/>
      <c r="KH423" s="273"/>
      <c r="KI423" s="273"/>
      <c r="KJ423" s="273"/>
      <c r="KK423" s="273"/>
      <c r="KL423" s="273"/>
      <c r="KM423" s="273"/>
      <c r="KN423" s="273"/>
      <c r="KO423" s="273"/>
      <c r="KP423" s="273"/>
      <c r="KQ423" s="273"/>
      <c r="KR423" s="273"/>
      <c r="KS423" s="273"/>
      <c r="KT423" s="273"/>
      <c r="KU423" s="273"/>
      <c r="KV423" s="273"/>
      <c r="KW423" s="273"/>
      <c r="KX423" s="273"/>
      <c r="KY423" s="273"/>
      <c r="KZ423" s="273"/>
      <c r="LA423" s="273"/>
      <c r="LB423" s="273"/>
      <c r="LC423" s="273"/>
      <c r="LD423" s="273"/>
      <c r="LE423" s="273"/>
      <c r="LF423" s="273"/>
      <c r="LG423" s="273"/>
      <c r="LH423" s="273"/>
      <c r="LI423" s="273"/>
      <c r="LJ423" s="273"/>
      <c r="LK423" s="273"/>
      <c r="LL423" s="273"/>
      <c r="LM423" s="273"/>
      <c r="LN423" s="273"/>
      <c r="LO423" s="273"/>
      <c r="LP423" s="273"/>
      <c r="LQ423" s="273"/>
      <c r="LR423" s="273"/>
      <c r="LS423" s="273"/>
      <c r="LT423" s="273"/>
      <c r="LU423" s="273"/>
      <c r="LV423" s="273"/>
      <c r="LW423" s="273"/>
      <c r="LX423" s="273"/>
      <c r="LY423" s="273"/>
      <c r="LZ423" s="273"/>
      <c r="MA423" s="273"/>
      <c r="MB423" s="273"/>
      <c r="MC423" s="273"/>
      <c r="MD423" s="273"/>
      <c r="ME423" s="273"/>
      <c r="MF423" s="273"/>
      <c r="MG423" s="273"/>
      <c r="MH423" s="273"/>
      <c r="MI423" s="273"/>
      <c r="MJ423" s="273"/>
      <c r="MK423" s="273"/>
      <c r="ML423" s="273"/>
      <c r="MM423" s="273"/>
      <c r="MN423" s="273"/>
      <c r="MO423" s="273"/>
      <c r="MP423" s="273"/>
      <c r="MQ423" s="273"/>
      <c r="MR423" s="273"/>
      <c r="MS423" s="273"/>
      <c r="MT423" s="273"/>
      <c r="MU423" s="273"/>
      <c r="MV423" s="273"/>
      <c r="MW423" s="273"/>
      <c r="MX423" s="273"/>
      <c r="MY423" s="273"/>
      <c r="MZ423" s="273"/>
      <c r="NA423" s="273"/>
      <c r="NB423" s="273"/>
      <c r="NC423" s="273"/>
      <c r="ND423" s="273"/>
      <c r="NE423" s="273"/>
      <c r="NF423" s="273"/>
      <c r="NG423" s="273"/>
      <c r="NH423" s="273"/>
      <c r="NI423" s="273"/>
      <c r="NJ423" s="273"/>
      <c r="NK423" s="273"/>
      <c r="NL423" s="273"/>
      <c r="NM423" s="273"/>
      <c r="NN423" s="273"/>
      <c r="NO423" s="273"/>
      <c r="NP423" s="273"/>
      <c r="NQ423" s="273"/>
      <c r="NR423" s="273"/>
      <c r="NS423" s="273"/>
      <c r="NT423" s="273"/>
      <c r="NU423" s="273"/>
      <c r="NV423" s="273"/>
      <c r="NW423" s="273"/>
      <c r="NX423" s="273"/>
      <c r="NY423" s="273"/>
      <c r="NZ423" s="273"/>
      <c r="OA423" s="273"/>
      <c r="OB423" s="273"/>
      <c r="OC423" s="273"/>
      <c r="OD423" s="273"/>
      <c r="OE423" s="273"/>
      <c r="OF423" s="273"/>
      <c r="OG423" s="273"/>
      <c r="OH423" s="273"/>
      <c r="OI423" s="273"/>
      <c r="OJ423" s="273"/>
      <c r="OK423" s="273"/>
      <c r="OL423" s="273"/>
      <c r="OM423" s="273"/>
      <c r="ON423" s="273"/>
      <c r="OO423" s="273"/>
      <c r="OP423" s="273"/>
      <c r="OQ423" s="273"/>
      <c r="OR423" s="273"/>
      <c r="OS423" s="273"/>
      <c r="OT423" s="273"/>
      <c r="OU423" s="273"/>
      <c r="OV423" s="273"/>
      <c r="OW423" s="273"/>
      <c r="OX423" s="273"/>
      <c r="OY423" s="273"/>
      <c r="OZ423" s="273"/>
      <c r="PA423" s="273"/>
      <c r="PB423" s="273"/>
      <c r="PC423" s="273"/>
      <c r="PD423" s="273"/>
      <c r="PE423" s="273"/>
      <c r="PF423" s="273"/>
      <c r="PG423" s="273"/>
      <c r="PH423" s="273"/>
      <c r="PI423" s="273"/>
      <c r="PJ423" s="273"/>
      <c r="PK423" s="273"/>
      <c r="PL423" s="273"/>
      <c r="PM423" s="273"/>
      <c r="PN423" s="273"/>
      <c r="PO423" s="273"/>
      <c r="PP423" s="273"/>
      <c r="PQ423" s="273"/>
      <c r="PR423" s="273"/>
      <c r="PS423" s="273"/>
      <c r="PT423" s="273"/>
      <c r="PU423" s="273"/>
      <c r="PV423" s="273"/>
      <c r="PW423" s="273"/>
      <c r="PX423" s="273"/>
      <c r="PY423" s="273"/>
      <c r="PZ423" s="273"/>
      <c r="QA423" s="273"/>
      <c r="QB423" s="273"/>
      <c r="QC423" s="273"/>
      <c r="QD423" s="273"/>
      <c r="QE423" s="273"/>
      <c r="QF423" s="273"/>
      <c r="QG423" s="273"/>
      <c r="QH423" s="273"/>
      <c r="QI423" s="273"/>
      <c r="QJ423" s="273"/>
      <c r="QK423" s="273"/>
      <c r="QL423" s="273"/>
      <c r="QM423" s="273"/>
      <c r="QN423" s="273"/>
      <c r="QO423" s="273"/>
      <c r="QP423" s="273"/>
      <c r="QQ423" s="273"/>
      <c r="QR423" s="273"/>
      <c r="QS423" s="273"/>
      <c r="QT423" s="273"/>
      <c r="QU423" s="273"/>
      <c r="QV423" s="273"/>
      <c r="QW423" s="273"/>
      <c r="QX423" s="273"/>
      <c r="QY423" s="273"/>
      <c r="QZ423" s="273"/>
      <c r="RA423" s="273"/>
      <c r="RB423" s="273"/>
      <c r="RC423" s="273"/>
      <c r="RD423" s="273"/>
      <c r="RE423" s="273"/>
      <c r="RF423" s="273"/>
      <c r="RG423" s="273"/>
      <c r="RH423" s="273"/>
      <c r="RI423" s="273"/>
      <c r="RJ423" s="273"/>
      <c r="RK423" s="273"/>
      <c r="RL423" s="273"/>
      <c r="RM423" s="273"/>
      <c r="RN423" s="273"/>
      <c r="RO423" s="273"/>
      <c r="RP423" s="273"/>
      <c r="RQ423" s="273"/>
    </row>
    <row r="424" spans="1:485" s="450" customFormat="1" ht="33" customHeight="1" x14ac:dyDescent="0.25">
      <c r="A424" s="2995"/>
      <c r="B424" s="595" t="s">
        <v>947</v>
      </c>
      <c r="C424" s="266" t="s">
        <v>18</v>
      </c>
      <c r="D424" s="467" t="s">
        <v>955</v>
      </c>
      <c r="E424" s="468">
        <v>1</v>
      </c>
      <c r="F424" s="468">
        <v>270</v>
      </c>
      <c r="G424" s="467">
        <v>8</v>
      </c>
      <c r="H424" s="451">
        <f t="shared" si="200"/>
        <v>2160</v>
      </c>
      <c r="I424" s="675">
        <v>1</v>
      </c>
      <c r="J424" s="451">
        <v>1</v>
      </c>
      <c r="K424" s="451">
        <v>810</v>
      </c>
      <c r="L424" s="451">
        <v>8</v>
      </c>
      <c r="M424" s="1834">
        <f t="shared" si="201"/>
        <v>6480</v>
      </c>
      <c r="N424" s="697">
        <v>1</v>
      </c>
      <c r="O424" s="696">
        <f t="shared" si="202"/>
        <v>8640</v>
      </c>
      <c r="P424" s="675">
        <v>1</v>
      </c>
      <c r="Q424" s="451">
        <f t="shared" si="203"/>
        <v>8640</v>
      </c>
      <c r="R424" s="522" t="s">
        <v>948</v>
      </c>
      <c r="S424" s="452">
        <f>COOPI!S17</f>
        <v>10160</v>
      </c>
      <c r="T424" s="591">
        <f t="shared" si="204"/>
        <v>1.1759259259259258</v>
      </c>
      <c r="U424" s="522" t="s">
        <v>944</v>
      </c>
      <c r="V424" s="591">
        <f t="shared" si="205"/>
        <v>1.1759259259259258</v>
      </c>
      <c r="W424" s="452">
        <f t="shared" si="206"/>
        <v>10160</v>
      </c>
      <c r="X424" s="453" t="s">
        <v>944</v>
      </c>
      <c r="Y424" s="273"/>
      <c r="Z424" s="273"/>
      <c r="AA424" s="273"/>
      <c r="AB424" s="273"/>
      <c r="AC424" s="273"/>
      <c r="AD424" s="273"/>
      <c r="AE424" s="273"/>
      <c r="AF424" s="273"/>
      <c r="AG424" s="273"/>
      <c r="AH424" s="273"/>
      <c r="AI424" s="273"/>
      <c r="AJ424" s="273"/>
      <c r="AK424" s="273"/>
      <c r="AL424" s="273"/>
      <c r="AM424" s="273"/>
      <c r="AN424" s="273"/>
      <c r="AO424" s="273"/>
      <c r="AP424" s="273"/>
      <c r="AQ424" s="273"/>
      <c r="AR424" s="273"/>
      <c r="AS424" s="273"/>
      <c r="AT424" s="273"/>
      <c r="AU424" s="273"/>
      <c r="AV424" s="273"/>
      <c r="AW424" s="273"/>
      <c r="AX424" s="273"/>
      <c r="AY424" s="273"/>
      <c r="AZ424" s="273"/>
      <c r="BA424" s="273"/>
      <c r="BB424" s="273"/>
      <c r="BC424" s="273"/>
      <c r="BD424" s="273"/>
      <c r="BE424" s="273"/>
      <c r="BF424" s="273"/>
      <c r="BG424" s="273"/>
      <c r="BH424" s="273"/>
      <c r="BI424" s="273"/>
      <c r="BJ424" s="273"/>
      <c r="BK424" s="273"/>
      <c r="BL424" s="273"/>
      <c r="BM424" s="273"/>
      <c r="BN424" s="273"/>
      <c r="BO424" s="273"/>
      <c r="BP424" s="273"/>
      <c r="BQ424" s="273"/>
      <c r="BR424" s="273"/>
      <c r="BS424" s="273"/>
      <c r="BT424" s="273"/>
      <c r="BU424" s="273"/>
      <c r="BV424" s="273"/>
      <c r="BW424" s="273"/>
      <c r="BX424" s="273"/>
      <c r="BY424" s="273"/>
      <c r="BZ424" s="273"/>
      <c r="CA424" s="273"/>
      <c r="CB424" s="273"/>
      <c r="CC424" s="273"/>
      <c r="CD424" s="273"/>
      <c r="CE424" s="273"/>
      <c r="CF424" s="273"/>
      <c r="CG424" s="273"/>
      <c r="CH424" s="273"/>
      <c r="CI424" s="273"/>
      <c r="CJ424" s="273"/>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3"/>
      <c r="DF424" s="273"/>
      <c r="DG424" s="273"/>
      <c r="DH424" s="273"/>
      <c r="DI424" s="273"/>
      <c r="DJ424" s="273"/>
      <c r="DK424" s="273"/>
      <c r="DL424" s="273"/>
      <c r="DM424" s="273"/>
      <c r="DN424" s="273"/>
      <c r="DO424" s="273"/>
      <c r="DP424" s="273"/>
      <c r="DQ424" s="273"/>
      <c r="DR424" s="273"/>
      <c r="DS424" s="273"/>
      <c r="DT424" s="273"/>
      <c r="DU424" s="273"/>
      <c r="DV424" s="273"/>
      <c r="DW424" s="273"/>
      <c r="DX424" s="273"/>
      <c r="DY424" s="273"/>
      <c r="DZ424" s="273"/>
      <c r="EA424" s="273"/>
      <c r="EB424" s="273"/>
      <c r="EC424" s="273"/>
      <c r="ED424" s="273"/>
      <c r="EE424" s="273"/>
      <c r="EF424" s="273"/>
      <c r="EG424" s="273"/>
      <c r="EH424" s="273"/>
      <c r="EI424" s="273"/>
      <c r="EJ424" s="273"/>
      <c r="EK424" s="273"/>
      <c r="EL424" s="273"/>
      <c r="EM424" s="273"/>
      <c r="EN424" s="273"/>
      <c r="EO424" s="273"/>
      <c r="EP424" s="273"/>
      <c r="EQ424" s="273"/>
      <c r="ER424" s="273"/>
      <c r="ES424" s="273"/>
      <c r="ET424" s="273"/>
      <c r="EU424" s="273"/>
      <c r="EV424" s="273"/>
      <c r="EW424" s="273"/>
      <c r="EX424" s="273"/>
      <c r="EY424" s="273"/>
      <c r="EZ424" s="273"/>
      <c r="FA424" s="273"/>
      <c r="FB424" s="273"/>
      <c r="FC424" s="273"/>
      <c r="FD424" s="273"/>
      <c r="FE424" s="273"/>
      <c r="FF424" s="273"/>
      <c r="FG424" s="273"/>
      <c r="FH424" s="273"/>
      <c r="FI424" s="273"/>
      <c r="FJ424" s="273"/>
      <c r="FK424" s="273"/>
      <c r="FL424" s="273"/>
      <c r="FM424" s="273"/>
      <c r="FN424" s="273"/>
      <c r="FO424" s="273"/>
      <c r="FP424" s="273"/>
      <c r="FQ424" s="273"/>
      <c r="FR424" s="273"/>
      <c r="FS424" s="273"/>
      <c r="FT424" s="273"/>
      <c r="FU424" s="273"/>
      <c r="FV424" s="273"/>
      <c r="FW424" s="273"/>
      <c r="FX424" s="273"/>
      <c r="FY424" s="273"/>
      <c r="FZ424" s="273"/>
      <c r="GA424" s="273"/>
      <c r="GB424" s="273"/>
      <c r="GC424" s="273"/>
      <c r="GD424" s="273"/>
      <c r="GE424" s="273"/>
      <c r="GF424" s="273"/>
      <c r="GG424" s="273"/>
      <c r="GH424" s="273"/>
      <c r="GI424" s="273"/>
      <c r="GJ424" s="273"/>
      <c r="GK424" s="273"/>
      <c r="GL424" s="273"/>
      <c r="GM424" s="273"/>
      <c r="GN424" s="273"/>
      <c r="GO424" s="273"/>
      <c r="GP424" s="273"/>
      <c r="GQ424" s="273"/>
      <c r="GR424" s="273"/>
      <c r="GS424" s="273"/>
      <c r="GT424" s="273"/>
      <c r="GU424" s="273"/>
      <c r="GV424" s="273"/>
      <c r="GW424" s="273"/>
      <c r="GX424" s="273"/>
      <c r="GY424" s="273"/>
      <c r="GZ424" s="273"/>
      <c r="HA424" s="273"/>
      <c r="HB424" s="273"/>
      <c r="HC424" s="273"/>
      <c r="HD424" s="273"/>
      <c r="HE424" s="273"/>
      <c r="HF424" s="273"/>
      <c r="HG424" s="273"/>
      <c r="HH424" s="273"/>
      <c r="HI424" s="273"/>
      <c r="HJ424" s="273"/>
      <c r="HK424" s="273"/>
      <c r="HL424" s="273"/>
      <c r="HM424" s="273"/>
      <c r="HN424" s="273"/>
      <c r="HO424" s="273"/>
      <c r="HP424" s="273"/>
      <c r="HQ424" s="273"/>
      <c r="HR424" s="273"/>
      <c r="HS424" s="273"/>
      <c r="HT424" s="273"/>
      <c r="HU424" s="273"/>
      <c r="HV424" s="273"/>
      <c r="HW424" s="273"/>
      <c r="HX424" s="273"/>
      <c r="HY424" s="273"/>
      <c r="HZ424" s="273"/>
      <c r="IA424" s="273"/>
      <c r="IB424" s="273"/>
      <c r="IC424" s="273"/>
      <c r="ID424" s="273"/>
      <c r="IE424" s="273"/>
      <c r="IF424" s="273"/>
      <c r="IG424" s="273"/>
      <c r="IH424" s="273"/>
      <c r="II424" s="273"/>
      <c r="IJ424" s="273"/>
      <c r="IK424" s="273"/>
      <c r="IL424" s="273"/>
      <c r="IM424" s="273"/>
      <c r="IN424" s="273"/>
      <c r="IO424" s="273"/>
      <c r="IP424" s="273"/>
      <c r="IQ424" s="273"/>
      <c r="IR424" s="273"/>
      <c r="IS424" s="273"/>
      <c r="IT424" s="273"/>
      <c r="IU424" s="273"/>
      <c r="IV424" s="273"/>
      <c r="IW424" s="273"/>
      <c r="IX424" s="273"/>
      <c r="IY424" s="273"/>
      <c r="IZ424" s="273"/>
      <c r="JA424" s="273"/>
      <c r="JB424" s="273"/>
      <c r="JC424" s="273"/>
      <c r="JD424" s="273"/>
      <c r="JE424" s="273"/>
      <c r="JF424" s="273"/>
      <c r="JG424" s="273"/>
      <c r="JH424" s="273"/>
      <c r="JI424" s="273"/>
      <c r="JJ424" s="273"/>
      <c r="JK424" s="273"/>
      <c r="JL424" s="273"/>
      <c r="JM424" s="273"/>
      <c r="JN424" s="273"/>
      <c r="JO424" s="273"/>
      <c r="JP424" s="273"/>
      <c r="JQ424" s="273"/>
      <c r="JR424" s="273"/>
      <c r="JS424" s="273"/>
      <c r="JT424" s="273"/>
      <c r="JU424" s="273"/>
      <c r="JV424" s="273"/>
      <c r="JW424" s="273"/>
      <c r="JX424" s="273"/>
      <c r="JY424" s="273"/>
      <c r="JZ424" s="273"/>
      <c r="KA424" s="273"/>
      <c r="KB424" s="273"/>
      <c r="KC424" s="273"/>
      <c r="KD424" s="273"/>
      <c r="KE424" s="273"/>
      <c r="KF424" s="273"/>
      <c r="KG424" s="273"/>
      <c r="KH424" s="273"/>
      <c r="KI424" s="273"/>
      <c r="KJ424" s="273"/>
      <c r="KK424" s="273"/>
      <c r="KL424" s="273"/>
      <c r="KM424" s="273"/>
      <c r="KN424" s="273"/>
      <c r="KO424" s="273"/>
      <c r="KP424" s="273"/>
      <c r="KQ424" s="273"/>
      <c r="KR424" s="273"/>
      <c r="KS424" s="273"/>
      <c r="KT424" s="273"/>
      <c r="KU424" s="273"/>
      <c r="KV424" s="273"/>
      <c r="KW424" s="273"/>
      <c r="KX424" s="273"/>
      <c r="KY424" s="273"/>
      <c r="KZ424" s="273"/>
      <c r="LA424" s="273"/>
      <c r="LB424" s="273"/>
      <c r="LC424" s="273"/>
      <c r="LD424" s="273"/>
      <c r="LE424" s="273"/>
      <c r="LF424" s="273"/>
      <c r="LG424" s="273"/>
      <c r="LH424" s="273"/>
      <c r="LI424" s="273"/>
      <c r="LJ424" s="273"/>
      <c r="LK424" s="273"/>
      <c r="LL424" s="273"/>
      <c r="LM424" s="273"/>
      <c r="LN424" s="273"/>
      <c r="LO424" s="273"/>
      <c r="LP424" s="273"/>
      <c r="LQ424" s="273"/>
      <c r="LR424" s="273"/>
      <c r="LS424" s="273"/>
      <c r="LT424" s="273"/>
      <c r="LU424" s="273"/>
      <c r="LV424" s="273"/>
      <c r="LW424" s="273"/>
      <c r="LX424" s="273"/>
      <c r="LY424" s="273"/>
      <c r="LZ424" s="273"/>
      <c r="MA424" s="273"/>
      <c r="MB424" s="273"/>
      <c r="MC424" s="273"/>
      <c r="MD424" s="273"/>
      <c r="ME424" s="273"/>
      <c r="MF424" s="273"/>
      <c r="MG424" s="273"/>
      <c r="MH424" s="273"/>
      <c r="MI424" s="273"/>
      <c r="MJ424" s="273"/>
      <c r="MK424" s="273"/>
      <c r="ML424" s="273"/>
      <c r="MM424" s="273"/>
      <c r="MN424" s="273"/>
      <c r="MO424" s="273"/>
      <c r="MP424" s="273"/>
      <c r="MQ424" s="273"/>
      <c r="MR424" s="273"/>
      <c r="MS424" s="273"/>
      <c r="MT424" s="273"/>
      <c r="MU424" s="273"/>
      <c r="MV424" s="273"/>
      <c r="MW424" s="273"/>
      <c r="MX424" s="273"/>
      <c r="MY424" s="273"/>
      <c r="MZ424" s="273"/>
      <c r="NA424" s="273"/>
      <c r="NB424" s="273"/>
      <c r="NC424" s="273"/>
      <c r="ND424" s="273"/>
      <c r="NE424" s="273"/>
      <c r="NF424" s="273"/>
      <c r="NG424" s="273"/>
      <c r="NH424" s="273"/>
      <c r="NI424" s="273"/>
      <c r="NJ424" s="273"/>
      <c r="NK424" s="273"/>
      <c r="NL424" s="273"/>
      <c r="NM424" s="273"/>
      <c r="NN424" s="273"/>
      <c r="NO424" s="273"/>
      <c r="NP424" s="273"/>
      <c r="NQ424" s="273"/>
      <c r="NR424" s="273"/>
      <c r="NS424" s="273"/>
      <c r="NT424" s="273"/>
      <c r="NU424" s="273"/>
      <c r="NV424" s="273"/>
      <c r="NW424" s="273"/>
      <c r="NX424" s="273"/>
      <c r="NY424" s="273"/>
      <c r="NZ424" s="273"/>
      <c r="OA424" s="273"/>
      <c r="OB424" s="273"/>
      <c r="OC424" s="273"/>
      <c r="OD424" s="273"/>
      <c r="OE424" s="273"/>
      <c r="OF424" s="273"/>
      <c r="OG424" s="273"/>
      <c r="OH424" s="273"/>
      <c r="OI424" s="273"/>
      <c r="OJ424" s="273"/>
      <c r="OK424" s="273"/>
      <c r="OL424" s="273"/>
      <c r="OM424" s="273"/>
      <c r="ON424" s="273"/>
      <c r="OO424" s="273"/>
      <c r="OP424" s="273"/>
      <c r="OQ424" s="273"/>
      <c r="OR424" s="273"/>
      <c r="OS424" s="273"/>
      <c r="OT424" s="273"/>
      <c r="OU424" s="273"/>
      <c r="OV424" s="273"/>
      <c r="OW424" s="273"/>
      <c r="OX424" s="273"/>
      <c r="OY424" s="273"/>
      <c r="OZ424" s="273"/>
      <c r="PA424" s="273"/>
      <c r="PB424" s="273"/>
      <c r="PC424" s="273"/>
      <c r="PD424" s="273"/>
      <c r="PE424" s="273"/>
      <c r="PF424" s="273"/>
      <c r="PG424" s="273"/>
      <c r="PH424" s="273"/>
      <c r="PI424" s="273"/>
      <c r="PJ424" s="273"/>
      <c r="PK424" s="273"/>
      <c r="PL424" s="273"/>
      <c r="PM424" s="273"/>
      <c r="PN424" s="273"/>
      <c r="PO424" s="273"/>
      <c r="PP424" s="273"/>
      <c r="PQ424" s="273"/>
      <c r="PR424" s="273"/>
      <c r="PS424" s="273"/>
      <c r="PT424" s="273"/>
      <c r="PU424" s="273"/>
      <c r="PV424" s="273"/>
      <c r="PW424" s="273"/>
      <c r="PX424" s="273"/>
      <c r="PY424" s="273"/>
      <c r="PZ424" s="273"/>
      <c r="QA424" s="273"/>
      <c r="QB424" s="273"/>
      <c r="QC424" s="273"/>
      <c r="QD424" s="273"/>
      <c r="QE424" s="273"/>
      <c r="QF424" s="273"/>
      <c r="QG424" s="273"/>
      <c r="QH424" s="273"/>
      <c r="QI424" s="273"/>
      <c r="QJ424" s="273"/>
      <c r="QK424" s="273"/>
      <c r="QL424" s="273"/>
      <c r="QM424" s="273"/>
      <c r="QN424" s="273"/>
      <c r="QO424" s="273"/>
      <c r="QP424" s="273"/>
      <c r="QQ424" s="273"/>
      <c r="QR424" s="273"/>
      <c r="QS424" s="273"/>
      <c r="QT424" s="273"/>
      <c r="QU424" s="273"/>
      <c r="QV424" s="273"/>
      <c r="QW424" s="273"/>
      <c r="QX424" s="273"/>
      <c r="QY424" s="273"/>
      <c r="QZ424" s="273"/>
      <c r="RA424" s="273"/>
      <c r="RB424" s="273"/>
      <c r="RC424" s="273"/>
      <c r="RD424" s="273"/>
      <c r="RE424" s="273"/>
      <c r="RF424" s="273"/>
      <c r="RG424" s="273"/>
      <c r="RH424" s="273"/>
      <c r="RI424" s="273"/>
      <c r="RJ424" s="273"/>
      <c r="RK424" s="273"/>
      <c r="RL424" s="273"/>
      <c r="RM424" s="273"/>
      <c r="RN424" s="273"/>
      <c r="RO424" s="273"/>
      <c r="RP424" s="273"/>
      <c r="RQ424" s="273"/>
    </row>
    <row r="425" spans="1:485" s="450" customFormat="1" ht="26.25" customHeight="1" x14ac:dyDescent="0.25">
      <c r="A425" s="2995"/>
      <c r="B425" s="595" t="s">
        <v>949</v>
      </c>
      <c r="C425" s="266" t="s">
        <v>18</v>
      </c>
      <c r="D425" s="467" t="s">
        <v>955</v>
      </c>
      <c r="E425" s="468">
        <v>2</v>
      </c>
      <c r="F425" s="468">
        <v>375.5</v>
      </c>
      <c r="G425" s="467">
        <v>8</v>
      </c>
      <c r="H425" s="451">
        <f t="shared" si="200"/>
        <v>6008</v>
      </c>
      <c r="I425" s="675">
        <v>0.75</v>
      </c>
      <c r="J425" s="451">
        <v>2</v>
      </c>
      <c r="K425" s="451">
        <v>1043.125</v>
      </c>
      <c r="L425" s="451">
        <v>8</v>
      </c>
      <c r="M425" s="1834">
        <f t="shared" si="201"/>
        <v>16690</v>
      </c>
      <c r="N425" s="697">
        <v>0.75</v>
      </c>
      <c r="O425" s="696">
        <f t="shared" si="202"/>
        <v>22698</v>
      </c>
      <c r="P425" s="675">
        <v>0.75</v>
      </c>
      <c r="Q425" s="451">
        <f t="shared" si="203"/>
        <v>17023.5</v>
      </c>
      <c r="R425" s="522" t="s">
        <v>950</v>
      </c>
      <c r="S425" s="452">
        <f>COOPI!S18</f>
        <v>22790</v>
      </c>
      <c r="T425" s="591">
        <f t="shared" si="204"/>
        <v>1.0040532205480659</v>
      </c>
      <c r="U425" s="522" t="s">
        <v>944</v>
      </c>
      <c r="V425" s="591">
        <f t="shared" si="205"/>
        <v>1.0040532205480659</v>
      </c>
      <c r="W425" s="452">
        <f t="shared" si="206"/>
        <v>17092.5</v>
      </c>
      <c r="X425" s="453" t="s">
        <v>944</v>
      </c>
      <c r="Y425" s="273"/>
      <c r="Z425" s="273"/>
      <c r="AA425" s="273"/>
      <c r="AB425" s="273"/>
      <c r="AC425" s="273"/>
      <c r="AD425" s="273"/>
      <c r="AE425" s="273"/>
      <c r="AF425" s="273"/>
      <c r="AG425" s="273"/>
      <c r="AH425" s="273"/>
      <c r="AI425" s="273"/>
      <c r="AJ425" s="273"/>
      <c r="AK425" s="273"/>
      <c r="AL425" s="273"/>
      <c r="AM425" s="273"/>
      <c r="AN425" s="273"/>
      <c r="AO425" s="273"/>
      <c r="AP425" s="273"/>
      <c r="AQ425" s="273"/>
      <c r="AR425" s="273"/>
      <c r="AS425" s="273"/>
      <c r="AT425" s="273"/>
      <c r="AU425" s="273"/>
      <c r="AV425" s="273"/>
      <c r="AW425" s="273"/>
      <c r="AX425" s="273"/>
      <c r="AY425" s="273"/>
      <c r="AZ425" s="273"/>
      <c r="BA425" s="273"/>
      <c r="BB425" s="273"/>
      <c r="BC425" s="273"/>
      <c r="BD425" s="273"/>
      <c r="BE425" s="273"/>
      <c r="BF425" s="273"/>
      <c r="BG425" s="273"/>
      <c r="BH425" s="273"/>
      <c r="BI425" s="273"/>
      <c r="BJ425" s="273"/>
      <c r="BK425" s="273"/>
      <c r="BL425" s="273"/>
      <c r="BM425" s="273"/>
      <c r="BN425" s="273"/>
      <c r="BO425" s="273"/>
      <c r="BP425" s="273"/>
      <c r="BQ425" s="273"/>
      <c r="BR425" s="273"/>
      <c r="BS425" s="273"/>
      <c r="BT425" s="273"/>
      <c r="BU425" s="273"/>
      <c r="BV425" s="273"/>
      <c r="BW425" s="273"/>
      <c r="BX425" s="273"/>
      <c r="BY425" s="273"/>
      <c r="BZ425" s="273"/>
      <c r="CA425" s="273"/>
      <c r="CB425" s="273"/>
      <c r="CC425" s="273"/>
      <c r="CD425" s="273"/>
      <c r="CE425" s="273"/>
      <c r="CF425" s="273"/>
      <c r="CG425" s="273"/>
      <c r="CH425" s="273"/>
      <c r="CI425" s="273"/>
      <c r="CJ425" s="273"/>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273"/>
      <c r="DI425" s="273"/>
      <c r="DJ425" s="273"/>
      <c r="DK425" s="273"/>
      <c r="DL425" s="273"/>
      <c r="DM425" s="273"/>
      <c r="DN425" s="273"/>
      <c r="DO425" s="273"/>
      <c r="DP425" s="273"/>
      <c r="DQ425" s="273"/>
      <c r="DR425" s="273"/>
      <c r="DS425" s="273"/>
      <c r="DT425" s="273"/>
      <c r="DU425" s="273"/>
      <c r="DV425" s="273"/>
      <c r="DW425" s="273"/>
      <c r="DX425" s="273"/>
      <c r="DY425" s="273"/>
      <c r="DZ425" s="273"/>
      <c r="EA425" s="273"/>
      <c r="EB425" s="273"/>
      <c r="EC425" s="273"/>
      <c r="ED425" s="273"/>
      <c r="EE425" s="273"/>
      <c r="EF425" s="273"/>
      <c r="EG425" s="273"/>
      <c r="EH425" s="273"/>
      <c r="EI425" s="273"/>
      <c r="EJ425" s="273"/>
      <c r="EK425" s="273"/>
      <c r="EL425" s="273"/>
      <c r="EM425" s="273"/>
      <c r="EN425" s="273"/>
      <c r="EO425" s="273"/>
      <c r="EP425" s="273"/>
      <c r="EQ425" s="273"/>
      <c r="ER425" s="273"/>
      <c r="ES425" s="273"/>
      <c r="ET425" s="273"/>
      <c r="EU425" s="273"/>
      <c r="EV425" s="273"/>
      <c r="EW425" s="273"/>
      <c r="EX425" s="273"/>
      <c r="EY425" s="273"/>
      <c r="EZ425" s="273"/>
      <c r="FA425" s="273"/>
      <c r="FB425" s="273"/>
      <c r="FC425" s="273"/>
      <c r="FD425" s="273"/>
      <c r="FE425" s="273"/>
      <c r="FF425" s="273"/>
      <c r="FG425" s="273"/>
      <c r="FH425" s="273"/>
      <c r="FI425" s="273"/>
      <c r="FJ425" s="273"/>
      <c r="FK425" s="273"/>
      <c r="FL425" s="273"/>
      <c r="FM425" s="273"/>
      <c r="FN425" s="273"/>
      <c r="FO425" s="273"/>
      <c r="FP425" s="273"/>
      <c r="FQ425" s="273"/>
      <c r="FR425" s="273"/>
      <c r="FS425" s="273"/>
      <c r="FT425" s="273"/>
      <c r="FU425" s="273"/>
      <c r="FV425" s="273"/>
      <c r="FW425" s="273"/>
      <c r="FX425" s="273"/>
      <c r="FY425" s="273"/>
      <c r="FZ425" s="273"/>
      <c r="GA425" s="273"/>
      <c r="GB425" s="273"/>
      <c r="GC425" s="273"/>
      <c r="GD425" s="273"/>
      <c r="GE425" s="273"/>
      <c r="GF425" s="273"/>
      <c r="GG425" s="273"/>
      <c r="GH425" s="273"/>
      <c r="GI425" s="273"/>
      <c r="GJ425" s="273"/>
      <c r="GK425" s="273"/>
      <c r="GL425" s="273"/>
      <c r="GM425" s="273"/>
      <c r="GN425" s="273"/>
      <c r="GO425" s="273"/>
      <c r="GP425" s="273"/>
      <c r="GQ425" s="273"/>
      <c r="GR425" s="273"/>
      <c r="GS425" s="273"/>
      <c r="GT425" s="273"/>
      <c r="GU425" s="273"/>
      <c r="GV425" s="273"/>
      <c r="GW425" s="273"/>
      <c r="GX425" s="273"/>
      <c r="GY425" s="273"/>
      <c r="GZ425" s="273"/>
      <c r="HA425" s="273"/>
      <c r="HB425" s="273"/>
      <c r="HC425" s="273"/>
      <c r="HD425" s="273"/>
      <c r="HE425" s="273"/>
      <c r="HF425" s="273"/>
      <c r="HG425" s="273"/>
      <c r="HH425" s="273"/>
      <c r="HI425" s="273"/>
      <c r="HJ425" s="273"/>
      <c r="HK425" s="273"/>
      <c r="HL425" s="273"/>
      <c r="HM425" s="273"/>
      <c r="HN425" s="273"/>
      <c r="HO425" s="273"/>
      <c r="HP425" s="273"/>
      <c r="HQ425" s="273"/>
      <c r="HR425" s="273"/>
      <c r="HS425" s="273"/>
      <c r="HT425" s="273"/>
      <c r="HU425" s="273"/>
      <c r="HV425" s="273"/>
      <c r="HW425" s="273"/>
      <c r="HX425" s="273"/>
      <c r="HY425" s="273"/>
      <c r="HZ425" s="273"/>
      <c r="IA425" s="273"/>
      <c r="IB425" s="273"/>
      <c r="IC425" s="273"/>
      <c r="ID425" s="273"/>
      <c r="IE425" s="273"/>
      <c r="IF425" s="273"/>
      <c r="IG425" s="273"/>
      <c r="IH425" s="273"/>
      <c r="II425" s="273"/>
      <c r="IJ425" s="273"/>
      <c r="IK425" s="273"/>
      <c r="IL425" s="273"/>
      <c r="IM425" s="273"/>
      <c r="IN425" s="273"/>
      <c r="IO425" s="273"/>
      <c r="IP425" s="273"/>
      <c r="IQ425" s="273"/>
      <c r="IR425" s="273"/>
      <c r="IS425" s="273"/>
      <c r="IT425" s="273"/>
      <c r="IU425" s="273"/>
      <c r="IV425" s="273"/>
      <c r="IW425" s="273"/>
      <c r="IX425" s="273"/>
      <c r="IY425" s="273"/>
      <c r="IZ425" s="273"/>
      <c r="JA425" s="273"/>
      <c r="JB425" s="273"/>
      <c r="JC425" s="273"/>
      <c r="JD425" s="273"/>
      <c r="JE425" s="273"/>
      <c r="JF425" s="273"/>
      <c r="JG425" s="273"/>
      <c r="JH425" s="273"/>
      <c r="JI425" s="273"/>
      <c r="JJ425" s="273"/>
      <c r="JK425" s="273"/>
      <c r="JL425" s="273"/>
      <c r="JM425" s="273"/>
      <c r="JN425" s="273"/>
      <c r="JO425" s="273"/>
      <c r="JP425" s="273"/>
      <c r="JQ425" s="273"/>
      <c r="JR425" s="273"/>
      <c r="JS425" s="273"/>
      <c r="JT425" s="273"/>
      <c r="JU425" s="273"/>
      <c r="JV425" s="273"/>
      <c r="JW425" s="273"/>
      <c r="JX425" s="273"/>
      <c r="JY425" s="273"/>
      <c r="JZ425" s="273"/>
      <c r="KA425" s="273"/>
      <c r="KB425" s="273"/>
      <c r="KC425" s="273"/>
      <c r="KD425" s="273"/>
      <c r="KE425" s="273"/>
      <c r="KF425" s="273"/>
      <c r="KG425" s="273"/>
      <c r="KH425" s="273"/>
      <c r="KI425" s="273"/>
      <c r="KJ425" s="273"/>
      <c r="KK425" s="273"/>
      <c r="KL425" s="273"/>
      <c r="KM425" s="273"/>
      <c r="KN425" s="273"/>
      <c r="KO425" s="273"/>
      <c r="KP425" s="273"/>
      <c r="KQ425" s="273"/>
      <c r="KR425" s="273"/>
      <c r="KS425" s="273"/>
      <c r="KT425" s="273"/>
      <c r="KU425" s="273"/>
      <c r="KV425" s="273"/>
      <c r="KW425" s="273"/>
      <c r="KX425" s="273"/>
      <c r="KY425" s="273"/>
      <c r="KZ425" s="273"/>
      <c r="LA425" s="273"/>
      <c r="LB425" s="273"/>
      <c r="LC425" s="273"/>
      <c r="LD425" s="273"/>
      <c r="LE425" s="273"/>
      <c r="LF425" s="273"/>
      <c r="LG425" s="273"/>
      <c r="LH425" s="273"/>
      <c r="LI425" s="273"/>
      <c r="LJ425" s="273"/>
      <c r="LK425" s="273"/>
      <c r="LL425" s="273"/>
      <c r="LM425" s="273"/>
      <c r="LN425" s="273"/>
      <c r="LO425" s="273"/>
      <c r="LP425" s="273"/>
      <c r="LQ425" s="273"/>
      <c r="LR425" s="273"/>
      <c r="LS425" s="273"/>
      <c r="LT425" s="273"/>
      <c r="LU425" s="273"/>
      <c r="LV425" s="273"/>
      <c r="LW425" s="273"/>
      <c r="LX425" s="273"/>
      <c r="LY425" s="273"/>
      <c r="LZ425" s="273"/>
      <c r="MA425" s="273"/>
      <c r="MB425" s="273"/>
      <c r="MC425" s="273"/>
      <c r="MD425" s="273"/>
      <c r="ME425" s="273"/>
      <c r="MF425" s="273"/>
      <c r="MG425" s="273"/>
      <c r="MH425" s="273"/>
      <c r="MI425" s="273"/>
      <c r="MJ425" s="273"/>
      <c r="MK425" s="273"/>
      <c r="ML425" s="273"/>
      <c r="MM425" s="273"/>
      <c r="MN425" s="273"/>
      <c r="MO425" s="273"/>
      <c r="MP425" s="273"/>
      <c r="MQ425" s="273"/>
      <c r="MR425" s="273"/>
      <c r="MS425" s="273"/>
      <c r="MT425" s="273"/>
      <c r="MU425" s="273"/>
      <c r="MV425" s="273"/>
      <c r="MW425" s="273"/>
      <c r="MX425" s="273"/>
      <c r="MY425" s="273"/>
      <c r="MZ425" s="273"/>
      <c r="NA425" s="273"/>
      <c r="NB425" s="273"/>
      <c r="NC425" s="273"/>
      <c r="ND425" s="273"/>
      <c r="NE425" s="273"/>
      <c r="NF425" s="273"/>
      <c r="NG425" s="273"/>
      <c r="NH425" s="273"/>
      <c r="NI425" s="273"/>
      <c r="NJ425" s="273"/>
      <c r="NK425" s="273"/>
      <c r="NL425" s="273"/>
      <c r="NM425" s="273"/>
      <c r="NN425" s="273"/>
      <c r="NO425" s="273"/>
      <c r="NP425" s="273"/>
      <c r="NQ425" s="273"/>
      <c r="NR425" s="273"/>
      <c r="NS425" s="273"/>
      <c r="NT425" s="273"/>
      <c r="NU425" s="273"/>
      <c r="NV425" s="273"/>
      <c r="NW425" s="273"/>
      <c r="NX425" s="273"/>
      <c r="NY425" s="273"/>
      <c r="NZ425" s="273"/>
      <c r="OA425" s="273"/>
      <c r="OB425" s="273"/>
      <c r="OC425" s="273"/>
      <c r="OD425" s="273"/>
      <c r="OE425" s="273"/>
      <c r="OF425" s="273"/>
      <c r="OG425" s="273"/>
      <c r="OH425" s="273"/>
      <c r="OI425" s="273"/>
      <c r="OJ425" s="273"/>
      <c r="OK425" s="273"/>
      <c r="OL425" s="273"/>
      <c r="OM425" s="273"/>
      <c r="ON425" s="273"/>
      <c r="OO425" s="273"/>
      <c r="OP425" s="273"/>
      <c r="OQ425" s="273"/>
      <c r="OR425" s="273"/>
      <c r="OS425" s="273"/>
      <c r="OT425" s="273"/>
      <c r="OU425" s="273"/>
      <c r="OV425" s="273"/>
      <c r="OW425" s="273"/>
      <c r="OX425" s="273"/>
      <c r="OY425" s="273"/>
      <c r="OZ425" s="273"/>
      <c r="PA425" s="273"/>
      <c r="PB425" s="273"/>
      <c r="PC425" s="273"/>
      <c r="PD425" s="273"/>
      <c r="PE425" s="273"/>
      <c r="PF425" s="273"/>
      <c r="PG425" s="273"/>
      <c r="PH425" s="273"/>
      <c r="PI425" s="273"/>
      <c r="PJ425" s="273"/>
      <c r="PK425" s="273"/>
      <c r="PL425" s="273"/>
      <c r="PM425" s="273"/>
      <c r="PN425" s="273"/>
      <c r="PO425" s="273"/>
      <c r="PP425" s="273"/>
      <c r="PQ425" s="273"/>
      <c r="PR425" s="273"/>
      <c r="PS425" s="273"/>
      <c r="PT425" s="273"/>
      <c r="PU425" s="273"/>
      <c r="PV425" s="273"/>
      <c r="PW425" s="273"/>
      <c r="PX425" s="273"/>
      <c r="PY425" s="273"/>
      <c r="PZ425" s="273"/>
      <c r="QA425" s="273"/>
      <c r="QB425" s="273"/>
      <c r="QC425" s="273"/>
      <c r="QD425" s="273"/>
      <c r="QE425" s="273"/>
      <c r="QF425" s="273"/>
      <c r="QG425" s="273"/>
      <c r="QH425" s="273"/>
      <c r="QI425" s="273"/>
      <c r="QJ425" s="273"/>
      <c r="QK425" s="273"/>
      <c r="QL425" s="273"/>
      <c r="QM425" s="273"/>
      <c r="QN425" s="273"/>
      <c r="QO425" s="273"/>
      <c r="QP425" s="273"/>
      <c r="QQ425" s="273"/>
      <c r="QR425" s="273"/>
      <c r="QS425" s="273"/>
      <c r="QT425" s="273"/>
      <c r="QU425" s="273"/>
      <c r="QV425" s="273"/>
      <c r="QW425" s="273"/>
      <c r="QX425" s="273"/>
      <c r="QY425" s="273"/>
      <c r="QZ425" s="273"/>
      <c r="RA425" s="273"/>
      <c r="RB425" s="273"/>
      <c r="RC425" s="273"/>
      <c r="RD425" s="273"/>
      <c r="RE425" s="273"/>
      <c r="RF425" s="273"/>
      <c r="RG425" s="273"/>
      <c r="RH425" s="273"/>
      <c r="RI425" s="273"/>
      <c r="RJ425" s="273"/>
      <c r="RK425" s="273"/>
      <c r="RL425" s="273"/>
      <c r="RM425" s="273"/>
      <c r="RN425" s="273"/>
      <c r="RO425" s="273"/>
      <c r="RP425" s="273"/>
      <c r="RQ425" s="273"/>
    </row>
    <row r="426" spans="1:485" s="450" customFormat="1" ht="39" customHeight="1" x14ac:dyDescent="0.25">
      <c r="A426" s="2995"/>
      <c r="B426" s="595" t="s">
        <v>951</v>
      </c>
      <c r="C426" s="266" t="s">
        <v>18</v>
      </c>
      <c r="D426" s="467" t="s">
        <v>955</v>
      </c>
      <c r="E426" s="468">
        <v>1</v>
      </c>
      <c r="F426" s="468">
        <v>725</v>
      </c>
      <c r="G426" s="467">
        <v>8</v>
      </c>
      <c r="H426" s="451">
        <f t="shared" si="200"/>
        <v>5800</v>
      </c>
      <c r="I426" s="675">
        <v>0.5</v>
      </c>
      <c r="J426" s="451">
        <v>1</v>
      </c>
      <c r="K426" s="451">
        <v>1265</v>
      </c>
      <c r="L426" s="451">
        <v>8</v>
      </c>
      <c r="M426" s="1834">
        <f t="shared" si="201"/>
        <v>10120</v>
      </c>
      <c r="N426" s="697">
        <v>0.5</v>
      </c>
      <c r="O426" s="696">
        <f t="shared" si="202"/>
        <v>15920</v>
      </c>
      <c r="P426" s="675">
        <v>0.5</v>
      </c>
      <c r="Q426" s="451">
        <f t="shared" si="203"/>
        <v>7960</v>
      </c>
      <c r="R426" s="522" t="s">
        <v>948</v>
      </c>
      <c r="S426" s="452">
        <f>COOPI!S19</f>
        <v>17040</v>
      </c>
      <c r="T426" s="591">
        <f t="shared" si="204"/>
        <v>1.0703517587939699</v>
      </c>
      <c r="U426" s="522" t="s">
        <v>944</v>
      </c>
      <c r="V426" s="591">
        <f t="shared" si="205"/>
        <v>1.0703517587939699</v>
      </c>
      <c r="W426" s="452">
        <f t="shared" si="206"/>
        <v>8520</v>
      </c>
      <c r="X426" s="453" t="s">
        <v>944</v>
      </c>
      <c r="Y426" s="273"/>
      <c r="Z426" s="273"/>
      <c r="AA426" s="273"/>
      <c r="AB426" s="273"/>
      <c r="AC426" s="273"/>
      <c r="AD426" s="273"/>
      <c r="AE426" s="273"/>
      <c r="AF426" s="273"/>
      <c r="AG426" s="273"/>
      <c r="AH426" s="273"/>
      <c r="AI426" s="273"/>
      <c r="AJ426" s="273"/>
      <c r="AK426" s="273"/>
      <c r="AL426" s="273"/>
      <c r="AM426" s="273"/>
      <c r="AN426" s="273"/>
      <c r="AO426" s="273"/>
      <c r="AP426" s="273"/>
      <c r="AQ426" s="273"/>
      <c r="AR426" s="273"/>
      <c r="AS426" s="273"/>
      <c r="AT426" s="273"/>
      <c r="AU426" s="273"/>
      <c r="AV426" s="273"/>
      <c r="AW426" s="273"/>
      <c r="AX426" s="273"/>
      <c r="AY426" s="273"/>
      <c r="AZ426" s="273"/>
      <c r="BA426" s="273"/>
      <c r="BB426" s="273"/>
      <c r="BC426" s="273"/>
      <c r="BD426" s="273"/>
      <c r="BE426" s="273"/>
      <c r="BF426" s="273"/>
      <c r="BG426" s="273"/>
      <c r="BH426" s="273"/>
      <c r="BI426" s="273"/>
      <c r="BJ426" s="273"/>
      <c r="BK426" s="273"/>
      <c r="BL426" s="273"/>
      <c r="BM426" s="273"/>
      <c r="BN426" s="273"/>
      <c r="BO426" s="273"/>
      <c r="BP426" s="273"/>
      <c r="BQ426" s="273"/>
      <c r="BR426" s="273"/>
      <c r="BS426" s="273"/>
      <c r="BT426" s="273"/>
      <c r="BU426" s="273"/>
      <c r="BV426" s="273"/>
      <c r="BW426" s="273"/>
      <c r="BX426" s="273"/>
      <c r="BY426" s="273"/>
      <c r="BZ426" s="273"/>
      <c r="CA426" s="273"/>
      <c r="CB426" s="273"/>
      <c r="CC426" s="273"/>
      <c r="CD426" s="273"/>
      <c r="CE426" s="273"/>
      <c r="CF426" s="273"/>
      <c r="CG426" s="273"/>
      <c r="CH426" s="273"/>
      <c r="CI426" s="273"/>
      <c r="CJ426" s="273"/>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273"/>
      <c r="DI426" s="273"/>
      <c r="DJ426" s="273"/>
      <c r="DK426" s="273"/>
      <c r="DL426" s="273"/>
      <c r="DM426" s="273"/>
      <c r="DN426" s="273"/>
      <c r="DO426" s="273"/>
      <c r="DP426" s="273"/>
      <c r="DQ426" s="273"/>
      <c r="DR426" s="273"/>
      <c r="DS426" s="273"/>
      <c r="DT426" s="273"/>
      <c r="DU426" s="273"/>
      <c r="DV426" s="273"/>
      <c r="DW426" s="273"/>
      <c r="DX426" s="273"/>
      <c r="DY426" s="273"/>
      <c r="DZ426" s="273"/>
      <c r="EA426" s="273"/>
      <c r="EB426" s="273"/>
      <c r="EC426" s="273"/>
      <c r="ED426" s="273"/>
      <c r="EE426" s="273"/>
      <c r="EF426" s="273"/>
      <c r="EG426" s="273"/>
      <c r="EH426" s="273"/>
      <c r="EI426" s="273"/>
      <c r="EJ426" s="273"/>
      <c r="EK426" s="273"/>
      <c r="EL426" s="273"/>
      <c r="EM426" s="273"/>
      <c r="EN426" s="273"/>
      <c r="EO426" s="273"/>
      <c r="EP426" s="273"/>
      <c r="EQ426" s="273"/>
      <c r="ER426" s="273"/>
      <c r="ES426" s="273"/>
      <c r="ET426" s="273"/>
      <c r="EU426" s="273"/>
      <c r="EV426" s="273"/>
      <c r="EW426" s="273"/>
      <c r="EX426" s="273"/>
      <c r="EY426" s="273"/>
      <c r="EZ426" s="273"/>
      <c r="FA426" s="273"/>
      <c r="FB426" s="273"/>
      <c r="FC426" s="273"/>
      <c r="FD426" s="273"/>
      <c r="FE426" s="273"/>
      <c r="FF426" s="273"/>
      <c r="FG426" s="273"/>
      <c r="FH426" s="273"/>
      <c r="FI426" s="273"/>
      <c r="FJ426" s="273"/>
      <c r="FK426" s="273"/>
      <c r="FL426" s="273"/>
      <c r="FM426" s="273"/>
      <c r="FN426" s="273"/>
      <c r="FO426" s="273"/>
      <c r="FP426" s="273"/>
      <c r="FQ426" s="273"/>
      <c r="FR426" s="273"/>
      <c r="FS426" s="273"/>
      <c r="FT426" s="273"/>
      <c r="FU426" s="273"/>
      <c r="FV426" s="273"/>
      <c r="FW426" s="273"/>
      <c r="FX426" s="273"/>
      <c r="FY426" s="273"/>
      <c r="FZ426" s="273"/>
      <c r="GA426" s="273"/>
      <c r="GB426" s="273"/>
      <c r="GC426" s="273"/>
      <c r="GD426" s="273"/>
      <c r="GE426" s="273"/>
      <c r="GF426" s="273"/>
      <c r="GG426" s="273"/>
      <c r="GH426" s="273"/>
      <c r="GI426" s="273"/>
      <c r="GJ426" s="273"/>
      <c r="GK426" s="273"/>
      <c r="GL426" s="273"/>
      <c r="GM426" s="273"/>
      <c r="GN426" s="273"/>
      <c r="GO426" s="273"/>
      <c r="GP426" s="273"/>
      <c r="GQ426" s="273"/>
      <c r="GR426" s="273"/>
      <c r="GS426" s="273"/>
      <c r="GT426" s="273"/>
      <c r="GU426" s="273"/>
      <c r="GV426" s="273"/>
      <c r="GW426" s="273"/>
      <c r="GX426" s="273"/>
      <c r="GY426" s="273"/>
      <c r="GZ426" s="273"/>
      <c r="HA426" s="273"/>
      <c r="HB426" s="273"/>
      <c r="HC426" s="273"/>
      <c r="HD426" s="273"/>
      <c r="HE426" s="273"/>
      <c r="HF426" s="273"/>
      <c r="HG426" s="273"/>
      <c r="HH426" s="273"/>
      <c r="HI426" s="273"/>
      <c r="HJ426" s="273"/>
      <c r="HK426" s="273"/>
      <c r="HL426" s="273"/>
      <c r="HM426" s="273"/>
      <c r="HN426" s="273"/>
      <c r="HO426" s="273"/>
      <c r="HP426" s="273"/>
      <c r="HQ426" s="273"/>
      <c r="HR426" s="273"/>
      <c r="HS426" s="273"/>
      <c r="HT426" s="273"/>
      <c r="HU426" s="273"/>
      <c r="HV426" s="273"/>
      <c r="HW426" s="273"/>
      <c r="HX426" s="273"/>
      <c r="HY426" s="273"/>
      <c r="HZ426" s="273"/>
      <c r="IA426" s="273"/>
      <c r="IB426" s="273"/>
      <c r="IC426" s="273"/>
      <c r="ID426" s="273"/>
      <c r="IE426" s="273"/>
      <c r="IF426" s="273"/>
      <c r="IG426" s="273"/>
      <c r="IH426" s="273"/>
      <c r="II426" s="273"/>
      <c r="IJ426" s="273"/>
      <c r="IK426" s="273"/>
      <c r="IL426" s="273"/>
      <c r="IM426" s="273"/>
      <c r="IN426" s="273"/>
      <c r="IO426" s="273"/>
      <c r="IP426" s="273"/>
      <c r="IQ426" s="273"/>
      <c r="IR426" s="273"/>
      <c r="IS426" s="273"/>
      <c r="IT426" s="273"/>
      <c r="IU426" s="273"/>
      <c r="IV426" s="273"/>
      <c r="IW426" s="273"/>
      <c r="IX426" s="273"/>
      <c r="IY426" s="273"/>
      <c r="IZ426" s="273"/>
      <c r="JA426" s="273"/>
      <c r="JB426" s="273"/>
      <c r="JC426" s="273"/>
      <c r="JD426" s="273"/>
      <c r="JE426" s="273"/>
      <c r="JF426" s="273"/>
      <c r="JG426" s="273"/>
      <c r="JH426" s="273"/>
      <c r="JI426" s="273"/>
      <c r="JJ426" s="273"/>
      <c r="JK426" s="273"/>
      <c r="JL426" s="273"/>
      <c r="JM426" s="273"/>
      <c r="JN426" s="273"/>
      <c r="JO426" s="273"/>
      <c r="JP426" s="273"/>
      <c r="JQ426" s="273"/>
      <c r="JR426" s="273"/>
      <c r="JS426" s="273"/>
      <c r="JT426" s="273"/>
      <c r="JU426" s="273"/>
      <c r="JV426" s="273"/>
      <c r="JW426" s="273"/>
      <c r="JX426" s="273"/>
      <c r="JY426" s="273"/>
      <c r="JZ426" s="273"/>
      <c r="KA426" s="273"/>
      <c r="KB426" s="273"/>
      <c r="KC426" s="273"/>
      <c r="KD426" s="273"/>
      <c r="KE426" s="273"/>
      <c r="KF426" s="273"/>
      <c r="KG426" s="273"/>
      <c r="KH426" s="273"/>
      <c r="KI426" s="273"/>
      <c r="KJ426" s="273"/>
      <c r="KK426" s="273"/>
      <c r="KL426" s="273"/>
      <c r="KM426" s="273"/>
      <c r="KN426" s="273"/>
      <c r="KO426" s="273"/>
      <c r="KP426" s="273"/>
      <c r="KQ426" s="273"/>
      <c r="KR426" s="273"/>
      <c r="KS426" s="273"/>
      <c r="KT426" s="273"/>
      <c r="KU426" s="273"/>
      <c r="KV426" s="273"/>
      <c r="KW426" s="273"/>
      <c r="KX426" s="273"/>
      <c r="KY426" s="273"/>
      <c r="KZ426" s="273"/>
      <c r="LA426" s="273"/>
      <c r="LB426" s="273"/>
      <c r="LC426" s="273"/>
      <c r="LD426" s="273"/>
      <c r="LE426" s="273"/>
      <c r="LF426" s="273"/>
      <c r="LG426" s="273"/>
      <c r="LH426" s="273"/>
      <c r="LI426" s="273"/>
      <c r="LJ426" s="273"/>
      <c r="LK426" s="273"/>
      <c r="LL426" s="273"/>
      <c r="LM426" s="273"/>
      <c r="LN426" s="273"/>
      <c r="LO426" s="273"/>
      <c r="LP426" s="273"/>
      <c r="LQ426" s="273"/>
      <c r="LR426" s="273"/>
      <c r="LS426" s="273"/>
      <c r="LT426" s="273"/>
      <c r="LU426" s="273"/>
      <c r="LV426" s="273"/>
      <c r="LW426" s="273"/>
      <c r="LX426" s="273"/>
      <c r="LY426" s="273"/>
      <c r="LZ426" s="273"/>
      <c r="MA426" s="273"/>
      <c r="MB426" s="273"/>
      <c r="MC426" s="273"/>
      <c r="MD426" s="273"/>
      <c r="ME426" s="273"/>
      <c r="MF426" s="273"/>
      <c r="MG426" s="273"/>
      <c r="MH426" s="273"/>
      <c r="MI426" s="273"/>
      <c r="MJ426" s="273"/>
      <c r="MK426" s="273"/>
      <c r="ML426" s="273"/>
      <c r="MM426" s="273"/>
      <c r="MN426" s="273"/>
      <c r="MO426" s="273"/>
      <c r="MP426" s="273"/>
      <c r="MQ426" s="273"/>
      <c r="MR426" s="273"/>
      <c r="MS426" s="273"/>
      <c r="MT426" s="273"/>
      <c r="MU426" s="273"/>
      <c r="MV426" s="273"/>
      <c r="MW426" s="273"/>
      <c r="MX426" s="273"/>
      <c r="MY426" s="273"/>
      <c r="MZ426" s="273"/>
      <c r="NA426" s="273"/>
      <c r="NB426" s="273"/>
      <c r="NC426" s="273"/>
      <c r="ND426" s="273"/>
      <c r="NE426" s="273"/>
      <c r="NF426" s="273"/>
      <c r="NG426" s="273"/>
      <c r="NH426" s="273"/>
      <c r="NI426" s="273"/>
      <c r="NJ426" s="273"/>
      <c r="NK426" s="273"/>
      <c r="NL426" s="273"/>
      <c r="NM426" s="273"/>
      <c r="NN426" s="273"/>
      <c r="NO426" s="273"/>
      <c r="NP426" s="273"/>
      <c r="NQ426" s="273"/>
      <c r="NR426" s="273"/>
      <c r="NS426" s="273"/>
      <c r="NT426" s="273"/>
      <c r="NU426" s="273"/>
      <c r="NV426" s="273"/>
      <c r="NW426" s="273"/>
      <c r="NX426" s="273"/>
      <c r="NY426" s="273"/>
      <c r="NZ426" s="273"/>
      <c r="OA426" s="273"/>
      <c r="OB426" s="273"/>
      <c r="OC426" s="273"/>
      <c r="OD426" s="273"/>
      <c r="OE426" s="273"/>
      <c r="OF426" s="273"/>
      <c r="OG426" s="273"/>
      <c r="OH426" s="273"/>
      <c r="OI426" s="273"/>
      <c r="OJ426" s="273"/>
      <c r="OK426" s="273"/>
      <c r="OL426" s="273"/>
      <c r="OM426" s="273"/>
      <c r="ON426" s="273"/>
      <c r="OO426" s="273"/>
      <c r="OP426" s="273"/>
      <c r="OQ426" s="273"/>
      <c r="OR426" s="273"/>
      <c r="OS426" s="273"/>
      <c r="OT426" s="273"/>
      <c r="OU426" s="273"/>
      <c r="OV426" s="273"/>
      <c r="OW426" s="273"/>
      <c r="OX426" s="273"/>
      <c r="OY426" s="273"/>
      <c r="OZ426" s="273"/>
      <c r="PA426" s="273"/>
      <c r="PB426" s="273"/>
      <c r="PC426" s="273"/>
      <c r="PD426" s="273"/>
      <c r="PE426" s="273"/>
      <c r="PF426" s="273"/>
      <c r="PG426" s="273"/>
      <c r="PH426" s="273"/>
      <c r="PI426" s="273"/>
      <c r="PJ426" s="273"/>
      <c r="PK426" s="273"/>
      <c r="PL426" s="273"/>
      <c r="PM426" s="273"/>
      <c r="PN426" s="273"/>
      <c r="PO426" s="273"/>
      <c r="PP426" s="273"/>
      <c r="PQ426" s="273"/>
      <c r="PR426" s="273"/>
      <c r="PS426" s="273"/>
      <c r="PT426" s="273"/>
      <c r="PU426" s="273"/>
      <c r="PV426" s="273"/>
      <c r="PW426" s="273"/>
      <c r="PX426" s="273"/>
      <c r="PY426" s="273"/>
      <c r="PZ426" s="273"/>
      <c r="QA426" s="273"/>
      <c r="QB426" s="273"/>
      <c r="QC426" s="273"/>
      <c r="QD426" s="273"/>
      <c r="QE426" s="273"/>
      <c r="QF426" s="273"/>
      <c r="QG426" s="273"/>
      <c r="QH426" s="273"/>
      <c r="QI426" s="273"/>
      <c r="QJ426" s="273"/>
      <c r="QK426" s="273"/>
      <c r="QL426" s="273"/>
      <c r="QM426" s="273"/>
      <c r="QN426" s="273"/>
      <c r="QO426" s="273"/>
      <c r="QP426" s="273"/>
      <c r="QQ426" s="273"/>
      <c r="QR426" s="273"/>
      <c r="QS426" s="273"/>
      <c r="QT426" s="273"/>
      <c r="QU426" s="273"/>
      <c r="QV426" s="273"/>
      <c r="QW426" s="273"/>
      <c r="QX426" s="273"/>
      <c r="QY426" s="273"/>
      <c r="QZ426" s="273"/>
      <c r="RA426" s="273"/>
      <c r="RB426" s="273"/>
      <c r="RC426" s="273"/>
      <c r="RD426" s="273"/>
      <c r="RE426" s="273"/>
      <c r="RF426" s="273"/>
      <c r="RG426" s="273"/>
      <c r="RH426" s="273"/>
      <c r="RI426" s="273"/>
      <c r="RJ426" s="273"/>
      <c r="RK426" s="273"/>
      <c r="RL426" s="273"/>
      <c r="RM426" s="273"/>
      <c r="RN426" s="273"/>
      <c r="RO426" s="273"/>
      <c r="RP426" s="273"/>
      <c r="RQ426" s="273"/>
    </row>
    <row r="427" spans="1:485" s="450" customFormat="1" ht="19.5" customHeight="1" x14ac:dyDescent="0.25">
      <c r="A427" s="2995"/>
      <c r="B427" s="595" t="s">
        <v>952</v>
      </c>
      <c r="C427" s="266" t="s">
        <v>15</v>
      </c>
      <c r="D427" s="467" t="s">
        <v>955</v>
      </c>
      <c r="E427" s="468">
        <v>8</v>
      </c>
      <c r="F427" s="468">
        <v>12.6875</v>
      </c>
      <c r="G427" s="467">
        <v>8</v>
      </c>
      <c r="H427" s="451">
        <f t="shared" si="200"/>
        <v>812</v>
      </c>
      <c r="I427" s="675">
        <v>1</v>
      </c>
      <c r="J427" s="451">
        <v>8</v>
      </c>
      <c r="K427" s="451">
        <v>40</v>
      </c>
      <c r="L427" s="451">
        <v>10</v>
      </c>
      <c r="M427" s="1834">
        <f t="shared" si="201"/>
        <v>3200</v>
      </c>
      <c r="N427" s="697">
        <v>1</v>
      </c>
      <c r="O427" s="696">
        <f t="shared" si="202"/>
        <v>4012</v>
      </c>
      <c r="P427" s="675">
        <v>1</v>
      </c>
      <c r="Q427" s="451">
        <f t="shared" si="203"/>
        <v>4012</v>
      </c>
      <c r="R427" s="522" t="s">
        <v>953</v>
      </c>
      <c r="S427" s="452">
        <f>COOPI!S20</f>
        <v>2607</v>
      </c>
      <c r="T427" s="591">
        <f t="shared" si="204"/>
        <v>0.64980059820538383</v>
      </c>
      <c r="U427" s="522" t="s">
        <v>944</v>
      </c>
      <c r="V427" s="591">
        <f t="shared" si="205"/>
        <v>0.64980059820538383</v>
      </c>
      <c r="W427" s="452">
        <f t="shared" si="206"/>
        <v>2607</v>
      </c>
      <c r="X427" s="453" t="s">
        <v>944</v>
      </c>
      <c r="Y427" s="273"/>
      <c r="Z427" s="273"/>
      <c r="AA427" s="273"/>
      <c r="AB427" s="273"/>
      <c r="AC427" s="273"/>
      <c r="AD427" s="273"/>
      <c r="AE427" s="273"/>
      <c r="AF427" s="273"/>
      <c r="AG427" s="273"/>
      <c r="AH427" s="273"/>
      <c r="AI427" s="273"/>
      <c r="AJ427" s="273"/>
      <c r="AK427" s="273"/>
      <c r="AL427" s="273"/>
      <c r="AM427" s="273"/>
      <c r="AN427" s="273"/>
      <c r="AO427" s="273"/>
      <c r="AP427" s="273"/>
      <c r="AQ427" s="273"/>
      <c r="AR427" s="273"/>
      <c r="AS427" s="273"/>
      <c r="AT427" s="273"/>
      <c r="AU427" s="273"/>
      <c r="AV427" s="273"/>
      <c r="AW427" s="273"/>
      <c r="AX427" s="273"/>
      <c r="AY427" s="273"/>
      <c r="AZ427" s="273"/>
      <c r="BA427" s="273"/>
      <c r="BB427" s="273"/>
      <c r="BC427" s="273"/>
      <c r="BD427" s="273"/>
      <c r="BE427" s="273"/>
      <c r="BF427" s="273"/>
      <c r="BG427" s="273"/>
      <c r="BH427" s="273"/>
      <c r="BI427" s="273"/>
      <c r="BJ427" s="273"/>
      <c r="BK427" s="273"/>
      <c r="BL427" s="273"/>
      <c r="BM427" s="273"/>
      <c r="BN427" s="273"/>
      <c r="BO427" s="273"/>
      <c r="BP427" s="273"/>
      <c r="BQ427" s="273"/>
      <c r="BR427" s="273"/>
      <c r="BS427" s="273"/>
      <c r="BT427" s="273"/>
      <c r="BU427" s="273"/>
      <c r="BV427" s="273"/>
      <c r="BW427" s="273"/>
      <c r="BX427" s="273"/>
      <c r="BY427" s="273"/>
      <c r="BZ427" s="273"/>
      <c r="CA427" s="273"/>
      <c r="CB427" s="273"/>
      <c r="CC427" s="273"/>
      <c r="CD427" s="273"/>
      <c r="CE427" s="273"/>
      <c r="CF427" s="273"/>
      <c r="CG427" s="273"/>
      <c r="CH427" s="273"/>
      <c r="CI427" s="273"/>
      <c r="CJ427" s="273"/>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273"/>
      <c r="DI427" s="273"/>
      <c r="DJ427" s="273"/>
      <c r="DK427" s="273"/>
      <c r="DL427" s="273"/>
      <c r="DM427" s="273"/>
      <c r="DN427" s="273"/>
      <c r="DO427" s="273"/>
      <c r="DP427" s="273"/>
      <c r="DQ427" s="273"/>
      <c r="DR427" s="273"/>
      <c r="DS427" s="273"/>
      <c r="DT427" s="273"/>
      <c r="DU427" s="273"/>
      <c r="DV427" s="273"/>
      <c r="DW427" s="273"/>
      <c r="DX427" s="273"/>
      <c r="DY427" s="273"/>
      <c r="DZ427" s="273"/>
      <c r="EA427" s="273"/>
      <c r="EB427" s="273"/>
      <c r="EC427" s="273"/>
      <c r="ED427" s="273"/>
      <c r="EE427" s="273"/>
      <c r="EF427" s="273"/>
      <c r="EG427" s="273"/>
      <c r="EH427" s="273"/>
      <c r="EI427" s="273"/>
      <c r="EJ427" s="273"/>
      <c r="EK427" s="273"/>
      <c r="EL427" s="273"/>
      <c r="EM427" s="273"/>
      <c r="EN427" s="273"/>
      <c r="EO427" s="273"/>
      <c r="EP427" s="273"/>
      <c r="EQ427" s="273"/>
      <c r="ER427" s="273"/>
      <c r="ES427" s="273"/>
      <c r="ET427" s="273"/>
      <c r="EU427" s="273"/>
      <c r="EV427" s="273"/>
      <c r="EW427" s="273"/>
      <c r="EX427" s="273"/>
      <c r="EY427" s="273"/>
      <c r="EZ427" s="273"/>
      <c r="FA427" s="273"/>
      <c r="FB427" s="273"/>
      <c r="FC427" s="273"/>
      <c r="FD427" s="273"/>
      <c r="FE427" s="273"/>
      <c r="FF427" s="273"/>
      <c r="FG427" s="273"/>
      <c r="FH427" s="273"/>
      <c r="FI427" s="273"/>
      <c r="FJ427" s="273"/>
      <c r="FK427" s="273"/>
      <c r="FL427" s="273"/>
      <c r="FM427" s="273"/>
      <c r="FN427" s="273"/>
      <c r="FO427" s="273"/>
      <c r="FP427" s="273"/>
      <c r="FQ427" s="273"/>
      <c r="FR427" s="273"/>
      <c r="FS427" s="273"/>
      <c r="FT427" s="273"/>
      <c r="FU427" s="273"/>
      <c r="FV427" s="273"/>
      <c r="FW427" s="273"/>
      <c r="FX427" s="273"/>
      <c r="FY427" s="273"/>
      <c r="FZ427" s="273"/>
      <c r="GA427" s="273"/>
      <c r="GB427" s="273"/>
      <c r="GC427" s="273"/>
      <c r="GD427" s="273"/>
      <c r="GE427" s="273"/>
      <c r="GF427" s="273"/>
      <c r="GG427" s="273"/>
      <c r="GH427" s="273"/>
      <c r="GI427" s="273"/>
      <c r="GJ427" s="273"/>
      <c r="GK427" s="273"/>
      <c r="GL427" s="273"/>
      <c r="GM427" s="273"/>
      <c r="GN427" s="273"/>
      <c r="GO427" s="273"/>
      <c r="GP427" s="273"/>
      <c r="GQ427" s="273"/>
      <c r="GR427" s="273"/>
      <c r="GS427" s="273"/>
      <c r="GT427" s="273"/>
      <c r="GU427" s="273"/>
      <c r="GV427" s="273"/>
      <c r="GW427" s="273"/>
      <c r="GX427" s="273"/>
      <c r="GY427" s="273"/>
      <c r="GZ427" s="273"/>
      <c r="HA427" s="273"/>
      <c r="HB427" s="273"/>
      <c r="HC427" s="273"/>
      <c r="HD427" s="273"/>
      <c r="HE427" s="273"/>
      <c r="HF427" s="273"/>
      <c r="HG427" s="273"/>
      <c r="HH427" s="273"/>
      <c r="HI427" s="273"/>
      <c r="HJ427" s="273"/>
      <c r="HK427" s="273"/>
      <c r="HL427" s="273"/>
      <c r="HM427" s="273"/>
      <c r="HN427" s="273"/>
      <c r="HO427" s="273"/>
      <c r="HP427" s="273"/>
      <c r="HQ427" s="273"/>
      <c r="HR427" s="273"/>
      <c r="HS427" s="273"/>
      <c r="HT427" s="273"/>
      <c r="HU427" s="273"/>
      <c r="HV427" s="273"/>
      <c r="HW427" s="273"/>
      <c r="HX427" s="273"/>
      <c r="HY427" s="273"/>
      <c r="HZ427" s="273"/>
      <c r="IA427" s="273"/>
      <c r="IB427" s="273"/>
      <c r="IC427" s="273"/>
      <c r="ID427" s="273"/>
      <c r="IE427" s="273"/>
      <c r="IF427" s="273"/>
      <c r="IG427" s="273"/>
      <c r="IH427" s="273"/>
      <c r="II427" s="273"/>
      <c r="IJ427" s="273"/>
      <c r="IK427" s="273"/>
      <c r="IL427" s="273"/>
      <c r="IM427" s="273"/>
      <c r="IN427" s="273"/>
      <c r="IO427" s="273"/>
      <c r="IP427" s="273"/>
      <c r="IQ427" s="273"/>
      <c r="IR427" s="273"/>
      <c r="IS427" s="273"/>
      <c r="IT427" s="273"/>
      <c r="IU427" s="273"/>
      <c r="IV427" s="273"/>
      <c r="IW427" s="273"/>
      <c r="IX427" s="273"/>
      <c r="IY427" s="273"/>
      <c r="IZ427" s="273"/>
      <c r="JA427" s="273"/>
      <c r="JB427" s="273"/>
      <c r="JC427" s="273"/>
      <c r="JD427" s="273"/>
      <c r="JE427" s="273"/>
      <c r="JF427" s="273"/>
      <c r="JG427" s="273"/>
      <c r="JH427" s="273"/>
      <c r="JI427" s="273"/>
      <c r="JJ427" s="273"/>
      <c r="JK427" s="273"/>
      <c r="JL427" s="273"/>
      <c r="JM427" s="273"/>
      <c r="JN427" s="273"/>
      <c r="JO427" s="273"/>
      <c r="JP427" s="273"/>
      <c r="JQ427" s="273"/>
      <c r="JR427" s="273"/>
      <c r="JS427" s="273"/>
      <c r="JT427" s="273"/>
      <c r="JU427" s="273"/>
      <c r="JV427" s="273"/>
      <c r="JW427" s="273"/>
      <c r="JX427" s="273"/>
      <c r="JY427" s="273"/>
      <c r="JZ427" s="273"/>
      <c r="KA427" s="273"/>
      <c r="KB427" s="273"/>
      <c r="KC427" s="273"/>
      <c r="KD427" s="273"/>
      <c r="KE427" s="273"/>
      <c r="KF427" s="273"/>
      <c r="KG427" s="273"/>
      <c r="KH427" s="273"/>
      <c r="KI427" s="273"/>
      <c r="KJ427" s="273"/>
      <c r="KK427" s="273"/>
      <c r="KL427" s="273"/>
      <c r="KM427" s="273"/>
      <c r="KN427" s="273"/>
      <c r="KO427" s="273"/>
      <c r="KP427" s="273"/>
      <c r="KQ427" s="273"/>
      <c r="KR427" s="273"/>
      <c r="KS427" s="273"/>
      <c r="KT427" s="273"/>
      <c r="KU427" s="273"/>
      <c r="KV427" s="273"/>
      <c r="KW427" s="273"/>
      <c r="KX427" s="273"/>
      <c r="KY427" s="273"/>
      <c r="KZ427" s="273"/>
      <c r="LA427" s="273"/>
      <c r="LB427" s="273"/>
      <c r="LC427" s="273"/>
      <c r="LD427" s="273"/>
      <c r="LE427" s="273"/>
      <c r="LF427" s="273"/>
      <c r="LG427" s="273"/>
      <c r="LH427" s="273"/>
      <c r="LI427" s="273"/>
      <c r="LJ427" s="273"/>
      <c r="LK427" s="273"/>
      <c r="LL427" s="273"/>
      <c r="LM427" s="273"/>
      <c r="LN427" s="273"/>
      <c r="LO427" s="273"/>
      <c r="LP427" s="273"/>
      <c r="LQ427" s="273"/>
      <c r="LR427" s="273"/>
      <c r="LS427" s="273"/>
      <c r="LT427" s="273"/>
      <c r="LU427" s="273"/>
      <c r="LV427" s="273"/>
      <c r="LW427" s="273"/>
      <c r="LX427" s="273"/>
      <c r="LY427" s="273"/>
      <c r="LZ427" s="273"/>
      <c r="MA427" s="273"/>
      <c r="MB427" s="273"/>
      <c r="MC427" s="273"/>
      <c r="MD427" s="273"/>
      <c r="ME427" s="273"/>
      <c r="MF427" s="273"/>
      <c r="MG427" s="273"/>
      <c r="MH427" s="273"/>
      <c r="MI427" s="273"/>
      <c r="MJ427" s="273"/>
      <c r="MK427" s="273"/>
      <c r="ML427" s="273"/>
      <c r="MM427" s="273"/>
      <c r="MN427" s="273"/>
      <c r="MO427" s="273"/>
      <c r="MP427" s="273"/>
      <c r="MQ427" s="273"/>
      <c r="MR427" s="273"/>
      <c r="MS427" s="273"/>
      <c r="MT427" s="273"/>
      <c r="MU427" s="273"/>
      <c r="MV427" s="273"/>
      <c r="MW427" s="273"/>
      <c r="MX427" s="273"/>
      <c r="MY427" s="273"/>
      <c r="MZ427" s="273"/>
      <c r="NA427" s="273"/>
      <c r="NB427" s="273"/>
      <c r="NC427" s="273"/>
      <c r="ND427" s="273"/>
      <c r="NE427" s="273"/>
      <c r="NF427" s="273"/>
      <c r="NG427" s="273"/>
      <c r="NH427" s="273"/>
      <c r="NI427" s="273"/>
      <c r="NJ427" s="273"/>
      <c r="NK427" s="273"/>
      <c r="NL427" s="273"/>
      <c r="NM427" s="273"/>
      <c r="NN427" s="273"/>
      <c r="NO427" s="273"/>
      <c r="NP427" s="273"/>
      <c r="NQ427" s="273"/>
      <c r="NR427" s="273"/>
      <c r="NS427" s="273"/>
      <c r="NT427" s="273"/>
      <c r="NU427" s="273"/>
      <c r="NV427" s="273"/>
      <c r="NW427" s="273"/>
      <c r="NX427" s="273"/>
      <c r="NY427" s="273"/>
      <c r="NZ427" s="273"/>
      <c r="OA427" s="273"/>
      <c r="OB427" s="273"/>
      <c r="OC427" s="273"/>
      <c r="OD427" s="273"/>
      <c r="OE427" s="273"/>
      <c r="OF427" s="273"/>
      <c r="OG427" s="273"/>
      <c r="OH427" s="273"/>
      <c r="OI427" s="273"/>
      <c r="OJ427" s="273"/>
      <c r="OK427" s="273"/>
      <c r="OL427" s="273"/>
      <c r="OM427" s="273"/>
      <c r="ON427" s="273"/>
      <c r="OO427" s="273"/>
      <c r="OP427" s="273"/>
      <c r="OQ427" s="273"/>
      <c r="OR427" s="273"/>
      <c r="OS427" s="273"/>
      <c r="OT427" s="273"/>
      <c r="OU427" s="273"/>
      <c r="OV427" s="273"/>
      <c r="OW427" s="273"/>
      <c r="OX427" s="273"/>
      <c r="OY427" s="273"/>
      <c r="OZ427" s="273"/>
      <c r="PA427" s="273"/>
      <c r="PB427" s="273"/>
      <c r="PC427" s="273"/>
      <c r="PD427" s="273"/>
      <c r="PE427" s="273"/>
      <c r="PF427" s="273"/>
      <c r="PG427" s="273"/>
      <c r="PH427" s="273"/>
      <c r="PI427" s="273"/>
      <c r="PJ427" s="273"/>
      <c r="PK427" s="273"/>
      <c r="PL427" s="273"/>
      <c r="PM427" s="273"/>
      <c r="PN427" s="273"/>
      <c r="PO427" s="273"/>
      <c r="PP427" s="273"/>
      <c r="PQ427" s="273"/>
      <c r="PR427" s="273"/>
      <c r="PS427" s="273"/>
      <c r="PT427" s="273"/>
      <c r="PU427" s="273"/>
      <c r="PV427" s="273"/>
      <c r="PW427" s="273"/>
      <c r="PX427" s="273"/>
      <c r="PY427" s="273"/>
      <c r="PZ427" s="273"/>
      <c r="QA427" s="273"/>
      <c r="QB427" s="273"/>
      <c r="QC427" s="273"/>
      <c r="QD427" s="273"/>
      <c r="QE427" s="273"/>
      <c r="QF427" s="273"/>
      <c r="QG427" s="273"/>
      <c r="QH427" s="273"/>
      <c r="QI427" s="273"/>
      <c r="QJ427" s="273"/>
      <c r="QK427" s="273"/>
      <c r="QL427" s="273"/>
      <c r="QM427" s="273"/>
      <c r="QN427" s="273"/>
      <c r="QO427" s="273"/>
      <c r="QP427" s="273"/>
      <c r="QQ427" s="273"/>
      <c r="QR427" s="273"/>
      <c r="QS427" s="273"/>
      <c r="QT427" s="273"/>
      <c r="QU427" s="273"/>
      <c r="QV427" s="273"/>
      <c r="QW427" s="273"/>
      <c r="QX427" s="273"/>
      <c r="QY427" s="273"/>
      <c r="QZ427" s="273"/>
      <c r="RA427" s="273"/>
      <c r="RB427" s="273"/>
      <c r="RC427" s="273"/>
      <c r="RD427" s="273"/>
      <c r="RE427" s="273"/>
      <c r="RF427" s="273"/>
      <c r="RG427" s="273"/>
      <c r="RH427" s="273"/>
      <c r="RI427" s="273"/>
      <c r="RJ427" s="273"/>
      <c r="RK427" s="273"/>
      <c r="RL427" s="273"/>
      <c r="RM427" s="273"/>
      <c r="RN427" s="273"/>
      <c r="RO427" s="273"/>
      <c r="RP427" s="273"/>
      <c r="RQ427" s="273"/>
    </row>
    <row r="428" spans="1:485" s="450" customFormat="1" ht="26" x14ac:dyDescent="0.25">
      <c r="A428" s="2995"/>
      <c r="B428" s="595" t="s">
        <v>954</v>
      </c>
      <c r="C428" s="266" t="s">
        <v>15</v>
      </c>
      <c r="D428" s="467" t="s">
        <v>955</v>
      </c>
      <c r="E428" s="468">
        <v>1</v>
      </c>
      <c r="F428" s="468">
        <v>270</v>
      </c>
      <c r="G428" s="467">
        <v>1</v>
      </c>
      <c r="H428" s="451">
        <f t="shared" si="200"/>
        <v>270</v>
      </c>
      <c r="I428" s="675">
        <v>1</v>
      </c>
      <c r="J428" s="451"/>
      <c r="K428" s="451"/>
      <c r="L428" s="451"/>
      <c r="M428" s="1834">
        <f t="shared" si="201"/>
        <v>0</v>
      </c>
      <c r="N428" s="697">
        <v>1</v>
      </c>
      <c r="O428" s="696">
        <f t="shared" si="202"/>
        <v>270</v>
      </c>
      <c r="P428" s="675">
        <v>1</v>
      </c>
      <c r="Q428" s="451">
        <f t="shared" si="203"/>
        <v>270</v>
      </c>
      <c r="R428" s="522" t="s">
        <v>956</v>
      </c>
      <c r="S428" s="452">
        <f>COOPI!S21</f>
        <v>270</v>
      </c>
      <c r="T428" s="591">
        <f t="shared" si="204"/>
        <v>1</v>
      </c>
      <c r="U428" s="522"/>
      <c r="V428" s="591">
        <f t="shared" si="205"/>
        <v>1</v>
      </c>
      <c r="W428" s="452">
        <f t="shared" si="206"/>
        <v>270</v>
      </c>
      <c r="X428" s="453" t="s">
        <v>1119</v>
      </c>
      <c r="Y428" s="273">
        <v>-800</v>
      </c>
      <c r="Z428" s="273" t="s">
        <v>1346</v>
      </c>
      <c r="AA428" s="273"/>
      <c r="AB428" s="273"/>
      <c r="AC428" s="273"/>
      <c r="AD428" s="273"/>
      <c r="AE428" s="273"/>
      <c r="AF428" s="273"/>
      <c r="AG428" s="273"/>
      <c r="AH428" s="273"/>
      <c r="AI428" s="273"/>
      <c r="AJ428" s="273"/>
      <c r="AK428" s="273"/>
      <c r="AL428" s="273"/>
      <c r="AM428" s="273"/>
      <c r="AN428" s="273"/>
      <c r="AO428" s="273"/>
      <c r="AP428" s="273"/>
      <c r="AQ428" s="273"/>
      <c r="AR428" s="273"/>
      <c r="AS428" s="273"/>
      <c r="AT428" s="273"/>
      <c r="AU428" s="273"/>
      <c r="AV428" s="273"/>
      <c r="AW428" s="273"/>
      <c r="AX428" s="273"/>
      <c r="AY428" s="273"/>
      <c r="AZ428" s="273"/>
      <c r="BA428" s="273"/>
      <c r="BB428" s="273"/>
      <c r="BC428" s="273"/>
      <c r="BD428" s="273"/>
      <c r="BE428" s="273"/>
      <c r="BF428" s="273"/>
      <c r="BG428" s="273"/>
      <c r="BH428" s="273"/>
      <c r="BI428" s="273"/>
      <c r="BJ428" s="273"/>
      <c r="BK428" s="273"/>
      <c r="BL428" s="273"/>
      <c r="BM428" s="273"/>
      <c r="BN428" s="273"/>
      <c r="BO428" s="273"/>
      <c r="BP428" s="273"/>
      <c r="BQ428" s="273"/>
      <c r="BR428" s="273"/>
      <c r="BS428" s="273"/>
      <c r="BT428" s="273"/>
      <c r="BU428" s="273"/>
      <c r="BV428" s="273"/>
      <c r="BW428" s="273"/>
      <c r="BX428" s="273"/>
      <c r="BY428" s="273"/>
      <c r="BZ428" s="273"/>
      <c r="CA428" s="273"/>
      <c r="CB428" s="273"/>
      <c r="CC428" s="273"/>
      <c r="CD428" s="273"/>
      <c r="CE428" s="273"/>
      <c r="CF428" s="273"/>
      <c r="CG428" s="273"/>
      <c r="CH428" s="273"/>
      <c r="CI428" s="273"/>
      <c r="CJ428" s="273"/>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273"/>
      <c r="DI428" s="273"/>
      <c r="DJ428" s="273"/>
      <c r="DK428" s="273"/>
      <c r="DL428" s="273"/>
      <c r="DM428" s="273"/>
      <c r="DN428" s="273"/>
      <c r="DO428" s="273"/>
      <c r="DP428" s="273"/>
      <c r="DQ428" s="273"/>
      <c r="DR428" s="273"/>
      <c r="DS428" s="273"/>
      <c r="DT428" s="273"/>
      <c r="DU428" s="273"/>
      <c r="DV428" s="273"/>
      <c r="DW428" s="273"/>
      <c r="DX428" s="273"/>
      <c r="DY428" s="273"/>
      <c r="DZ428" s="273"/>
      <c r="EA428" s="273"/>
      <c r="EB428" s="273"/>
      <c r="EC428" s="273"/>
      <c r="ED428" s="273"/>
      <c r="EE428" s="273"/>
      <c r="EF428" s="273"/>
      <c r="EG428" s="273"/>
      <c r="EH428" s="273"/>
      <c r="EI428" s="273"/>
      <c r="EJ428" s="273"/>
      <c r="EK428" s="273"/>
      <c r="EL428" s="273"/>
      <c r="EM428" s="273"/>
      <c r="EN428" s="273"/>
      <c r="EO428" s="273"/>
      <c r="EP428" s="273"/>
      <c r="EQ428" s="273"/>
      <c r="ER428" s="273"/>
      <c r="ES428" s="273"/>
      <c r="ET428" s="273"/>
      <c r="EU428" s="273"/>
      <c r="EV428" s="273"/>
      <c r="EW428" s="273"/>
      <c r="EX428" s="273"/>
      <c r="EY428" s="273"/>
      <c r="EZ428" s="273"/>
      <c r="FA428" s="273"/>
      <c r="FB428" s="273"/>
      <c r="FC428" s="273"/>
      <c r="FD428" s="273"/>
      <c r="FE428" s="273"/>
      <c r="FF428" s="273"/>
      <c r="FG428" s="273"/>
      <c r="FH428" s="273"/>
      <c r="FI428" s="273"/>
      <c r="FJ428" s="273"/>
      <c r="FK428" s="273"/>
      <c r="FL428" s="273"/>
      <c r="FM428" s="273"/>
      <c r="FN428" s="273"/>
      <c r="FO428" s="273"/>
      <c r="FP428" s="273"/>
      <c r="FQ428" s="273"/>
      <c r="FR428" s="273"/>
      <c r="FS428" s="273"/>
      <c r="FT428" s="273"/>
      <c r="FU428" s="273"/>
      <c r="FV428" s="273"/>
      <c r="FW428" s="273"/>
      <c r="FX428" s="273"/>
      <c r="FY428" s="273"/>
      <c r="FZ428" s="273"/>
      <c r="GA428" s="273"/>
      <c r="GB428" s="273"/>
      <c r="GC428" s="273"/>
      <c r="GD428" s="273"/>
      <c r="GE428" s="273"/>
      <c r="GF428" s="273"/>
      <c r="GG428" s="273"/>
      <c r="GH428" s="273"/>
      <c r="GI428" s="273"/>
      <c r="GJ428" s="273"/>
      <c r="GK428" s="273"/>
      <c r="GL428" s="273"/>
      <c r="GM428" s="273"/>
      <c r="GN428" s="273"/>
      <c r="GO428" s="273"/>
      <c r="GP428" s="273"/>
      <c r="GQ428" s="273"/>
      <c r="GR428" s="273"/>
      <c r="GS428" s="273"/>
      <c r="GT428" s="273"/>
      <c r="GU428" s="273"/>
      <c r="GV428" s="273"/>
      <c r="GW428" s="273"/>
      <c r="GX428" s="273"/>
      <c r="GY428" s="273"/>
      <c r="GZ428" s="273"/>
      <c r="HA428" s="273"/>
      <c r="HB428" s="273"/>
      <c r="HC428" s="273"/>
      <c r="HD428" s="273"/>
      <c r="HE428" s="273"/>
      <c r="HF428" s="273"/>
      <c r="HG428" s="273"/>
      <c r="HH428" s="273"/>
      <c r="HI428" s="273"/>
      <c r="HJ428" s="273"/>
      <c r="HK428" s="273"/>
      <c r="HL428" s="273"/>
      <c r="HM428" s="273"/>
      <c r="HN428" s="273"/>
      <c r="HO428" s="273"/>
      <c r="HP428" s="273"/>
      <c r="HQ428" s="273"/>
      <c r="HR428" s="273"/>
      <c r="HS428" s="273"/>
      <c r="HT428" s="273"/>
      <c r="HU428" s="273"/>
      <c r="HV428" s="273"/>
      <c r="HW428" s="273"/>
      <c r="HX428" s="273"/>
      <c r="HY428" s="273"/>
      <c r="HZ428" s="273"/>
      <c r="IA428" s="273"/>
      <c r="IB428" s="273"/>
      <c r="IC428" s="273"/>
      <c r="ID428" s="273"/>
      <c r="IE428" s="273"/>
      <c r="IF428" s="273"/>
      <c r="IG428" s="273"/>
      <c r="IH428" s="273"/>
      <c r="II428" s="273"/>
      <c r="IJ428" s="273"/>
      <c r="IK428" s="273"/>
      <c r="IL428" s="273"/>
      <c r="IM428" s="273"/>
      <c r="IN428" s="273"/>
      <c r="IO428" s="273"/>
      <c r="IP428" s="273"/>
      <c r="IQ428" s="273"/>
      <c r="IR428" s="273"/>
      <c r="IS428" s="273"/>
      <c r="IT428" s="273"/>
      <c r="IU428" s="273"/>
      <c r="IV428" s="273"/>
      <c r="IW428" s="273"/>
      <c r="IX428" s="273"/>
      <c r="IY428" s="273"/>
      <c r="IZ428" s="273"/>
      <c r="JA428" s="273"/>
      <c r="JB428" s="273"/>
      <c r="JC428" s="273"/>
      <c r="JD428" s="273"/>
      <c r="JE428" s="273"/>
      <c r="JF428" s="273"/>
      <c r="JG428" s="273"/>
      <c r="JH428" s="273"/>
      <c r="JI428" s="273"/>
      <c r="JJ428" s="273"/>
      <c r="JK428" s="273"/>
      <c r="JL428" s="273"/>
      <c r="JM428" s="273"/>
      <c r="JN428" s="273"/>
      <c r="JO428" s="273"/>
      <c r="JP428" s="273"/>
      <c r="JQ428" s="273"/>
      <c r="JR428" s="273"/>
      <c r="JS428" s="273"/>
      <c r="JT428" s="273"/>
      <c r="JU428" s="273"/>
      <c r="JV428" s="273"/>
      <c r="JW428" s="273"/>
      <c r="JX428" s="273"/>
      <c r="JY428" s="273"/>
      <c r="JZ428" s="273"/>
      <c r="KA428" s="273"/>
      <c r="KB428" s="273"/>
      <c r="KC428" s="273"/>
      <c r="KD428" s="273"/>
      <c r="KE428" s="273"/>
      <c r="KF428" s="273"/>
      <c r="KG428" s="273"/>
      <c r="KH428" s="273"/>
      <c r="KI428" s="273"/>
      <c r="KJ428" s="273"/>
      <c r="KK428" s="273"/>
      <c r="KL428" s="273"/>
      <c r="KM428" s="273"/>
      <c r="KN428" s="273"/>
      <c r="KO428" s="273"/>
      <c r="KP428" s="273"/>
      <c r="KQ428" s="273"/>
      <c r="KR428" s="273"/>
      <c r="KS428" s="273"/>
      <c r="KT428" s="273"/>
      <c r="KU428" s="273"/>
      <c r="KV428" s="273"/>
      <c r="KW428" s="273"/>
      <c r="KX428" s="273"/>
      <c r="KY428" s="273"/>
      <c r="KZ428" s="273"/>
      <c r="LA428" s="273"/>
      <c r="LB428" s="273"/>
      <c r="LC428" s="273"/>
      <c r="LD428" s="273"/>
      <c r="LE428" s="273"/>
      <c r="LF428" s="273"/>
      <c r="LG428" s="273"/>
      <c r="LH428" s="273"/>
      <c r="LI428" s="273"/>
      <c r="LJ428" s="273"/>
      <c r="LK428" s="273"/>
      <c r="LL428" s="273"/>
      <c r="LM428" s="273"/>
      <c r="LN428" s="273"/>
      <c r="LO428" s="273"/>
      <c r="LP428" s="273"/>
      <c r="LQ428" s="273"/>
      <c r="LR428" s="273"/>
      <c r="LS428" s="273"/>
      <c r="LT428" s="273"/>
      <c r="LU428" s="273"/>
      <c r="LV428" s="273"/>
      <c r="LW428" s="273"/>
      <c r="LX428" s="273"/>
      <c r="LY428" s="273"/>
      <c r="LZ428" s="273"/>
      <c r="MA428" s="273"/>
      <c r="MB428" s="273"/>
      <c r="MC428" s="273"/>
      <c r="MD428" s="273"/>
      <c r="ME428" s="273"/>
      <c r="MF428" s="273"/>
      <c r="MG428" s="273"/>
      <c r="MH428" s="273"/>
      <c r="MI428" s="273"/>
      <c r="MJ428" s="273"/>
      <c r="MK428" s="273"/>
      <c r="ML428" s="273"/>
      <c r="MM428" s="273"/>
      <c r="MN428" s="273"/>
      <c r="MO428" s="273"/>
      <c r="MP428" s="273"/>
      <c r="MQ428" s="273"/>
      <c r="MR428" s="273"/>
      <c r="MS428" s="273"/>
      <c r="MT428" s="273"/>
      <c r="MU428" s="273"/>
      <c r="MV428" s="273"/>
      <c r="MW428" s="273"/>
      <c r="MX428" s="273"/>
      <c r="MY428" s="273"/>
      <c r="MZ428" s="273"/>
      <c r="NA428" s="273"/>
      <c r="NB428" s="273"/>
      <c r="NC428" s="273"/>
      <c r="ND428" s="273"/>
      <c r="NE428" s="273"/>
      <c r="NF428" s="273"/>
      <c r="NG428" s="273"/>
      <c r="NH428" s="273"/>
      <c r="NI428" s="273"/>
      <c r="NJ428" s="273"/>
      <c r="NK428" s="273"/>
      <c r="NL428" s="273"/>
      <c r="NM428" s="273"/>
      <c r="NN428" s="273"/>
      <c r="NO428" s="273"/>
      <c r="NP428" s="273"/>
      <c r="NQ428" s="273"/>
      <c r="NR428" s="273"/>
      <c r="NS428" s="273"/>
      <c r="NT428" s="273"/>
      <c r="NU428" s="273"/>
      <c r="NV428" s="273"/>
      <c r="NW428" s="273"/>
      <c r="NX428" s="273"/>
      <c r="NY428" s="273"/>
      <c r="NZ428" s="273"/>
      <c r="OA428" s="273"/>
      <c r="OB428" s="273"/>
      <c r="OC428" s="273"/>
      <c r="OD428" s="273"/>
      <c r="OE428" s="273"/>
      <c r="OF428" s="273"/>
      <c r="OG428" s="273"/>
      <c r="OH428" s="273"/>
      <c r="OI428" s="273"/>
      <c r="OJ428" s="273"/>
      <c r="OK428" s="273"/>
      <c r="OL428" s="273"/>
      <c r="OM428" s="273"/>
      <c r="ON428" s="273"/>
      <c r="OO428" s="273"/>
      <c r="OP428" s="273"/>
      <c r="OQ428" s="273"/>
      <c r="OR428" s="273"/>
      <c r="OS428" s="273"/>
      <c r="OT428" s="273"/>
      <c r="OU428" s="273"/>
      <c r="OV428" s="273"/>
      <c r="OW428" s="273"/>
      <c r="OX428" s="273"/>
      <c r="OY428" s="273"/>
      <c r="OZ428" s="273"/>
      <c r="PA428" s="273"/>
      <c r="PB428" s="273"/>
      <c r="PC428" s="273"/>
      <c r="PD428" s="273"/>
      <c r="PE428" s="273"/>
      <c r="PF428" s="273"/>
      <c r="PG428" s="273"/>
      <c r="PH428" s="273"/>
      <c r="PI428" s="273"/>
      <c r="PJ428" s="273"/>
      <c r="PK428" s="273"/>
      <c r="PL428" s="273"/>
      <c r="PM428" s="273"/>
      <c r="PN428" s="273"/>
      <c r="PO428" s="273"/>
      <c r="PP428" s="273"/>
      <c r="PQ428" s="273"/>
      <c r="PR428" s="273"/>
      <c r="PS428" s="273"/>
      <c r="PT428" s="273"/>
      <c r="PU428" s="273"/>
      <c r="PV428" s="273"/>
      <c r="PW428" s="273"/>
      <c r="PX428" s="273"/>
      <c r="PY428" s="273"/>
      <c r="PZ428" s="273"/>
      <c r="QA428" s="273"/>
      <c r="QB428" s="273"/>
      <c r="QC428" s="273"/>
      <c r="QD428" s="273"/>
      <c r="QE428" s="273"/>
      <c r="QF428" s="273"/>
      <c r="QG428" s="273"/>
      <c r="QH428" s="273"/>
      <c r="QI428" s="273"/>
      <c r="QJ428" s="273"/>
      <c r="QK428" s="273"/>
      <c r="QL428" s="273"/>
      <c r="QM428" s="273"/>
      <c r="QN428" s="273"/>
      <c r="QO428" s="273"/>
      <c r="QP428" s="273"/>
      <c r="QQ428" s="273"/>
      <c r="QR428" s="273"/>
      <c r="QS428" s="273"/>
      <c r="QT428" s="273"/>
      <c r="QU428" s="273"/>
      <c r="QV428" s="273"/>
      <c r="QW428" s="273"/>
      <c r="QX428" s="273"/>
      <c r="QY428" s="273"/>
      <c r="QZ428" s="273"/>
      <c r="RA428" s="273"/>
      <c r="RB428" s="273"/>
      <c r="RC428" s="273"/>
      <c r="RD428" s="273"/>
      <c r="RE428" s="273"/>
      <c r="RF428" s="273"/>
      <c r="RG428" s="273"/>
      <c r="RH428" s="273"/>
      <c r="RI428" s="273"/>
      <c r="RJ428" s="273"/>
      <c r="RK428" s="273"/>
      <c r="RL428" s="273"/>
      <c r="RM428" s="273"/>
      <c r="RN428" s="273"/>
      <c r="RO428" s="273"/>
      <c r="RP428" s="273"/>
      <c r="RQ428" s="273"/>
    </row>
    <row r="429" spans="1:485" s="450" customFormat="1" ht="39" x14ac:dyDescent="0.25">
      <c r="A429" s="2995"/>
      <c r="B429" s="595" t="s">
        <v>957</v>
      </c>
      <c r="C429" s="266" t="s">
        <v>47</v>
      </c>
      <c r="D429" s="467" t="s">
        <v>955</v>
      </c>
      <c r="E429" s="468">
        <v>1</v>
      </c>
      <c r="F429" s="468">
        <v>90</v>
      </c>
      <c r="G429" s="467">
        <v>1</v>
      </c>
      <c r="H429" s="451">
        <f t="shared" si="200"/>
        <v>90</v>
      </c>
      <c r="I429" s="675">
        <v>1</v>
      </c>
      <c r="J429" s="451"/>
      <c r="K429" s="451"/>
      <c r="L429" s="451"/>
      <c r="M429" s="1834">
        <f t="shared" si="201"/>
        <v>0</v>
      </c>
      <c r="N429" s="697">
        <v>1</v>
      </c>
      <c r="O429" s="696">
        <f t="shared" si="202"/>
        <v>90</v>
      </c>
      <c r="P429" s="675">
        <v>1</v>
      </c>
      <c r="Q429" s="451">
        <f t="shared" si="203"/>
        <v>90</v>
      </c>
      <c r="R429" s="522" t="s">
        <v>958</v>
      </c>
      <c r="S429" s="452">
        <f>COOPI!S22</f>
        <v>90</v>
      </c>
      <c r="T429" s="591">
        <f t="shared" si="204"/>
        <v>1</v>
      </c>
      <c r="U429" s="894" t="s">
        <v>606</v>
      </c>
      <c r="V429" s="591">
        <f t="shared" si="205"/>
        <v>1</v>
      </c>
      <c r="W429" s="452">
        <f t="shared" si="206"/>
        <v>90</v>
      </c>
      <c r="X429" s="452" t="s">
        <v>606</v>
      </c>
      <c r="Y429" s="273"/>
      <c r="Z429" s="273"/>
      <c r="AA429" s="273"/>
      <c r="AB429" s="273"/>
      <c r="AC429" s="273"/>
      <c r="AD429" s="273"/>
      <c r="AE429" s="273"/>
      <c r="AF429" s="273"/>
      <c r="AG429" s="273"/>
      <c r="AH429" s="273"/>
      <c r="AI429" s="273"/>
      <c r="AJ429" s="273"/>
      <c r="AK429" s="273"/>
      <c r="AL429" s="273"/>
      <c r="AM429" s="273"/>
      <c r="AN429" s="273"/>
      <c r="AO429" s="273"/>
      <c r="AP429" s="273"/>
      <c r="AQ429" s="273"/>
      <c r="AR429" s="273"/>
      <c r="AS429" s="273"/>
      <c r="AT429" s="273"/>
      <c r="AU429" s="273"/>
      <c r="AV429" s="273"/>
      <c r="AW429" s="273"/>
      <c r="AX429" s="273"/>
      <c r="AY429" s="273"/>
      <c r="AZ429" s="273"/>
      <c r="BA429" s="273"/>
      <c r="BB429" s="273"/>
      <c r="BC429" s="273"/>
      <c r="BD429" s="273"/>
      <c r="BE429" s="273"/>
      <c r="BF429" s="273"/>
      <c r="BG429" s="273"/>
      <c r="BH429" s="273"/>
      <c r="BI429" s="273"/>
      <c r="BJ429" s="273"/>
      <c r="BK429" s="273"/>
      <c r="BL429" s="273"/>
      <c r="BM429" s="273"/>
      <c r="BN429" s="273"/>
      <c r="BO429" s="273"/>
      <c r="BP429" s="273"/>
      <c r="BQ429" s="273"/>
      <c r="BR429" s="273"/>
      <c r="BS429" s="273"/>
      <c r="BT429" s="273"/>
      <c r="BU429" s="273"/>
      <c r="BV429" s="273"/>
      <c r="BW429" s="273"/>
      <c r="BX429" s="273"/>
      <c r="BY429" s="273"/>
      <c r="BZ429" s="273"/>
      <c r="CA429" s="273"/>
      <c r="CB429" s="273"/>
      <c r="CC429" s="273"/>
      <c r="CD429" s="273"/>
      <c r="CE429" s="273"/>
      <c r="CF429" s="273"/>
      <c r="CG429" s="273"/>
      <c r="CH429" s="273"/>
      <c r="CI429" s="273"/>
      <c r="CJ429" s="273"/>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3"/>
      <c r="DF429" s="273"/>
      <c r="DG429" s="273"/>
      <c r="DH429" s="273"/>
      <c r="DI429" s="273"/>
      <c r="DJ429" s="273"/>
      <c r="DK429" s="273"/>
      <c r="DL429" s="273"/>
      <c r="DM429" s="273"/>
      <c r="DN429" s="273"/>
      <c r="DO429" s="273"/>
      <c r="DP429" s="273"/>
      <c r="DQ429" s="273"/>
      <c r="DR429" s="273"/>
      <c r="DS429" s="273"/>
      <c r="DT429" s="273"/>
      <c r="DU429" s="273"/>
      <c r="DV429" s="273"/>
      <c r="DW429" s="273"/>
      <c r="DX429" s="273"/>
      <c r="DY429" s="273"/>
      <c r="DZ429" s="273"/>
      <c r="EA429" s="273"/>
      <c r="EB429" s="273"/>
      <c r="EC429" s="273"/>
      <c r="ED429" s="273"/>
      <c r="EE429" s="273"/>
      <c r="EF429" s="273"/>
      <c r="EG429" s="273"/>
      <c r="EH429" s="273"/>
      <c r="EI429" s="273"/>
      <c r="EJ429" s="273"/>
      <c r="EK429" s="273"/>
      <c r="EL429" s="273"/>
      <c r="EM429" s="273"/>
      <c r="EN429" s="273"/>
      <c r="EO429" s="273"/>
      <c r="EP429" s="273"/>
      <c r="EQ429" s="273"/>
      <c r="ER429" s="273"/>
      <c r="ES429" s="273"/>
      <c r="ET429" s="273"/>
      <c r="EU429" s="273"/>
      <c r="EV429" s="273"/>
      <c r="EW429" s="273"/>
      <c r="EX429" s="273"/>
      <c r="EY429" s="273"/>
      <c r="EZ429" s="273"/>
      <c r="FA429" s="273"/>
      <c r="FB429" s="273"/>
      <c r="FC429" s="273"/>
      <c r="FD429" s="273"/>
      <c r="FE429" s="273"/>
      <c r="FF429" s="273"/>
      <c r="FG429" s="273"/>
      <c r="FH429" s="273"/>
      <c r="FI429" s="273"/>
      <c r="FJ429" s="273"/>
      <c r="FK429" s="273"/>
      <c r="FL429" s="273"/>
      <c r="FM429" s="273"/>
      <c r="FN429" s="273"/>
      <c r="FO429" s="273"/>
      <c r="FP429" s="273"/>
      <c r="FQ429" s="273"/>
      <c r="FR429" s="273"/>
      <c r="FS429" s="273"/>
      <c r="FT429" s="273"/>
      <c r="FU429" s="273"/>
      <c r="FV429" s="273"/>
      <c r="FW429" s="273"/>
      <c r="FX429" s="273"/>
      <c r="FY429" s="273"/>
      <c r="FZ429" s="273"/>
      <c r="GA429" s="273"/>
      <c r="GB429" s="273"/>
      <c r="GC429" s="273"/>
      <c r="GD429" s="273"/>
      <c r="GE429" s="273"/>
      <c r="GF429" s="273"/>
      <c r="GG429" s="273"/>
      <c r="GH429" s="273"/>
      <c r="GI429" s="273"/>
      <c r="GJ429" s="273"/>
      <c r="GK429" s="273"/>
      <c r="GL429" s="273"/>
      <c r="GM429" s="273"/>
      <c r="GN429" s="273"/>
      <c r="GO429" s="273"/>
      <c r="GP429" s="273"/>
      <c r="GQ429" s="273"/>
      <c r="GR429" s="273"/>
      <c r="GS429" s="273"/>
      <c r="GT429" s="273"/>
      <c r="GU429" s="273"/>
      <c r="GV429" s="273"/>
      <c r="GW429" s="273"/>
      <c r="GX429" s="273"/>
      <c r="GY429" s="273"/>
      <c r="GZ429" s="273"/>
      <c r="HA429" s="273"/>
      <c r="HB429" s="273"/>
      <c r="HC429" s="273"/>
      <c r="HD429" s="273"/>
      <c r="HE429" s="273"/>
      <c r="HF429" s="273"/>
      <c r="HG429" s="273"/>
      <c r="HH429" s="273"/>
      <c r="HI429" s="273"/>
      <c r="HJ429" s="273"/>
      <c r="HK429" s="273"/>
      <c r="HL429" s="273"/>
      <c r="HM429" s="273"/>
      <c r="HN429" s="273"/>
      <c r="HO429" s="273"/>
      <c r="HP429" s="273"/>
      <c r="HQ429" s="273"/>
      <c r="HR429" s="273"/>
      <c r="HS429" s="273"/>
      <c r="HT429" s="273"/>
      <c r="HU429" s="273"/>
      <c r="HV429" s="273"/>
      <c r="HW429" s="273"/>
      <c r="HX429" s="273"/>
      <c r="HY429" s="273"/>
      <c r="HZ429" s="273"/>
      <c r="IA429" s="273"/>
      <c r="IB429" s="273"/>
      <c r="IC429" s="273"/>
      <c r="ID429" s="273"/>
      <c r="IE429" s="273"/>
      <c r="IF429" s="273"/>
      <c r="IG429" s="273"/>
      <c r="IH429" s="273"/>
      <c r="II429" s="273"/>
      <c r="IJ429" s="273"/>
      <c r="IK429" s="273"/>
      <c r="IL429" s="273"/>
      <c r="IM429" s="273"/>
      <c r="IN429" s="273"/>
      <c r="IO429" s="273"/>
      <c r="IP429" s="273"/>
      <c r="IQ429" s="273"/>
      <c r="IR429" s="273"/>
      <c r="IS429" s="273"/>
      <c r="IT429" s="273"/>
      <c r="IU429" s="273"/>
      <c r="IV429" s="273"/>
      <c r="IW429" s="273"/>
      <c r="IX429" s="273"/>
      <c r="IY429" s="273"/>
      <c r="IZ429" s="273"/>
      <c r="JA429" s="273"/>
      <c r="JB429" s="273"/>
      <c r="JC429" s="273"/>
      <c r="JD429" s="273"/>
      <c r="JE429" s="273"/>
      <c r="JF429" s="273"/>
      <c r="JG429" s="273"/>
      <c r="JH429" s="273"/>
      <c r="JI429" s="273"/>
      <c r="JJ429" s="273"/>
      <c r="JK429" s="273"/>
      <c r="JL429" s="273"/>
      <c r="JM429" s="273"/>
      <c r="JN429" s="273"/>
      <c r="JO429" s="273"/>
      <c r="JP429" s="273"/>
      <c r="JQ429" s="273"/>
      <c r="JR429" s="273"/>
      <c r="JS429" s="273"/>
      <c r="JT429" s="273"/>
      <c r="JU429" s="273"/>
      <c r="JV429" s="273"/>
      <c r="JW429" s="273"/>
      <c r="JX429" s="273"/>
      <c r="JY429" s="273"/>
      <c r="JZ429" s="273"/>
      <c r="KA429" s="273"/>
      <c r="KB429" s="273"/>
      <c r="KC429" s="273"/>
      <c r="KD429" s="273"/>
      <c r="KE429" s="273"/>
      <c r="KF429" s="273"/>
      <c r="KG429" s="273"/>
      <c r="KH429" s="273"/>
      <c r="KI429" s="273"/>
      <c r="KJ429" s="273"/>
      <c r="KK429" s="273"/>
      <c r="KL429" s="273"/>
      <c r="KM429" s="273"/>
      <c r="KN429" s="273"/>
      <c r="KO429" s="273"/>
      <c r="KP429" s="273"/>
      <c r="KQ429" s="273"/>
      <c r="KR429" s="273"/>
      <c r="KS429" s="273"/>
      <c r="KT429" s="273"/>
      <c r="KU429" s="273"/>
      <c r="KV429" s="273"/>
      <c r="KW429" s="273"/>
      <c r="KX429" s="273"/>
      <c r="KY429" s="273"/>
      <c r="KZ429" s="273"/>
      <c r="LA429" s="273"/>
      <c r="LB429" s="273"/>
      <c r="LC429" s="273"/>
      <c r="LD429" s="273"/>
      <c r="LE429" s="273"/>
      <c r="LF429" s="273"/>
      <c r="LG429" s="273"/>
      <c r="LH429" s="273"/>
      <c r="LI429" s="273"/>
      <c r="LJ429" s="273"/>
      <c r="LK429" s="273"/>
      <c r="LL429" s="273"/>
      <c r="LM429" s="273"/>
      <c r="LN429" s="273"/>
      <c r="LO429" s="273"/>
      <c r="LP429" s="273"/>
      <c r="LQ429" s="273"/>
      <c r="LR429" s="273"/>
      <c r="LS429" s="273"/>
      <c r="LT429" s="273"/>
      <c r="LU429" s="273"/>
      <c r="LV429" s="273"/>
      <c r="LW429" s="273"/>
      <c r="LX429" s="273"/>
      <c r="LY429" s="273"/>
      <c r="LZ429" s="273"/>
      <c r="MA429" s="273"/>
      <c r="MB429" s="273"/>
      <c r="MC429" s="273"/>
      <c r="MD429" s="273"/>
      <c r="ME429" s="273"/>
      <c r="MF429" s="273"/>
      <c r="MG429" s="273"/>
      <c r="MH429" s="273"/>
      <c r="MI429" s="273"/>
      <c r="MJ429" s="273"/>
      <c r="MK429" s="273"/>
      <c r="ML429" s="273"/>
      <c r="MM429" s="273"/>
      <c r="MN429" s="273"/>
      <c r="MO429" s="273"/>
      <c r="MP429" s="273"/>
      <c r="MQ429" s="273"/>
      <c r="MR429" s="273"/>
      <c r="MS429" s="273"/>
      <c r="MT429" s="273"/>
      <c r="MU429" s="273"/>
      <c r="MV429" s="273"/>
      <c r="MW429" s="273"/>
      <c r="MX429" s="273"/>
      <c r="MY429" s="273"/>
      <c r="MZ429" s="273"/>
      <c r="NA429" s="273"/>
      <c r="NB429" s="273"/>
      <c r="NC429" s="273"/>
      <c r="ND429" s="273"/>
      <c r="NE429" s="273"/>
      <c r="NF429" s="273"/>
      <c r="NG429" s="273"/>
      <c r="NH429" s="273"/>
      <c r="NI429" s="273"/>
      <c r="NJ429" s="273"/>
      <c r="NK429" s="273"/>
      <c r="NL429" s="273"/>
      <c r="NM429" s="273"/>
      <c r="NN429" s="273"/>
      <c r="NO429" s="273"/>
      <c r="NP429" s="273"/>
      <c r="NQ429" s="273"/>
      <c r="NR429" s="273"/>
      <c r="NS429" s="273"/>
      <c r="NT429" s="273"/>
      <c r="NU429" s="273"/>
      <c r="NV429" s="273"/>
      <c r="NW429" s="273"/>
      <c r="NX429" s="273"/>
      <c r="NY429" s="273"/>
      <c r="NZ429" s="273"/>
      <c r="OA429" s="273"/>
      <c r="OB429" s="273"/>
      <c r="OC429" s="273"/>
      <c r="OD429" s="273"/>
      <c r="OE429" s="273"/>
      <c r="OF429" s="273"/>
      <c r="OG429" s="273"/>
      <c r="OH429" s="273"/>
      <c r="OI429" s="273"/>
      <c r="OJ429" s="273"/>
      <c r="OK429" s="273"/>
      <c r="OL429" s="273"/>
      <c r="OM429" s="273"/>
      <c r="ON429" s="273"/>
      <c r="OO429" s="273"/>
      <c r="OP429" s="273"/>
      <c r="OQ429" s="273"/>
      <c r="OR429" s="273"/>
      <c r="OS429" s="273"/>
      <c r="OT429" s="273"/>
      <c r="OU429" s="273"/>
      <c r="OV429" s="273"/>
      <c r="OW429" s="273"/>
      <c r="OX429" s="273"/>
      <c r="OY429" s="273"/>
      <c r="OZ429" s="273"/>
      <c r="PA429" s="273"/>
      <c r="PB429" s="273"/>
      <c r="PC429" s="273"/>
      <c r="PD429" s="273"/>
      <c r="PE429" s="273"/>
      <c r="PF429" s="273"/>
      <c r="PG429" s="273"/>
      <c r="PH429" s="273"/>
      <c r="PI429" s="273"/>
      <c r="PJ429" s="273"/>
      <c r="PK429" s="273"/>
      <c r="PL429" s="273"/>
      <c r="PM429" s="273"/>
      <c r="PN429" s="273"/>
      <c r="PO429" s="273"/>
      <c r="PP429" s="273"/>
      <c r="PQ429" s="273"/>
      <c r="PR429" s="273"/>
      <c r="PS429" s="273"/>
      <c r="PT429" s="273"/>
      <c r="PU429" s="273"/>
      <c r="PV429" s="273"/>
      <c r="PW429" s="273"/>
      <c r="PX429" s="273"/>
      <c r="PY429" s="273"/>
      <c r="PZ429" s="273"/>
      <c r="QA429" s="273"/>
      <c r="QB429" s="273"/>
      <c r="QC429" s="273"/>
      <c r="QD429" s="273"/>
      <c r="QE429" s="273"/>
      <c r="QF429" s="273"/>
      <c r="QG429" s="273"/>
      <c r="QH429" s="273"/>
      <c r="QI429" s="273"/>
      <c r="QJ429" s="273"/>
      <c r="QK429" s="273"/>
      <c r="QL429" s="273"/>
      <c r="QM429" s="273"/>
      <c r="QN429" s="273"/>
      <c r="QO429" s="273"/>
      <c r="QP429" s="273"/>
      <c r="QQ429" s="273"/>
      <c r="QR429" s="273"/>
      <c r="QS429" s="273"/>
      <c r="QT429" s="273"/>
      <c r="QU429" s="273"/>
      <c r="QV429" s="273"/>
      <c r="QW429" s="273"/>
      <c r="QX429" s="273"/>
      <c r="QY429" s="273"/>
      <c r="QZ429" s="273"/>
      <c r="RA429" s="273"/>
      <c r="RB429" s="273"/>
      <c r="RC429" s="273"/>
      <c r="RD429" s="273"/>
      <c r="RE429" s="273"/>
      <c r="RF429" s="273"/>
      <c r="RG429" s="273"/>
      <c r="RH429" s="273"/>
      <c r="RI429" s="273"/>
      <c r="RJ429" s="273"/>
      <c r="RK429" s="273"/>
      <c r="RL429" s="273"/>
      <c r="RM429" s="273"/>
      <c r="RN429" s="273"/>
      <c r="RO429" s="273"/>
      <c r="RP429" s="273"/>
      <c r="RQ429" s="273"/>
    </row>
    <row r="430" spans="1:485" s="450" customFormat="1" ht="26" x14ac:dyDescent="0.25">
      <c r="A430" s="2995"/>
      <c r="B430" s="595" t="s">
        <v>959</v>
      </c>
      <c r="C430" s="266" t="s">
        <v>48</v>
      </c>
      <c r="D430" s="467" t="s">
        <v>955</v>
      </c>
      <c r="E430" s="468">
        <v>1</v>
      </c>
      <c r="F430" s="468">
        <v>3649.97</v>
      </c>
      <c r="G430" s="467">
        <v>1</v>
      </c>
      <c r="H430" s="451">
        <f t="shared" si="200"/>
        <v>3649.97</v>
      </c>
      <c r="I430" s="675">
        <v>1</v>
      </c>
      <c r="J430" s="451">
        <v>1</v>
      </c>
      <c r="K430" s="451">
        <v>3000</v>
      </c>
      <c r="L430" s="451">
        <v>1</v>
      </c>
      <c r="M430" s="1834">
        <f t="shared" si="201"/>
        <v>3000</v>
      </c>
      <c r="N430" s="697">
        <v>1</v>
      </c>
      <c r="O430" s="696">
        <f t="shared" si="202"/>
        <v>6649.9699999999993</v>
      </c>
      <c r="P430" s="675">
        <v>1</v>
      </c>
      <c r="Q430" s="451">
        <f t="shared" si="203"/>
        <v>6649.9699999999993</v>
      </c>
      <c r="R430" s="522" t="s">
        <v>960</v>
      </c>
      <c r="S430" s="452">
        <f>COOPI!S23</f>
        <v>6109.37</v>
      </c>
      <c r="T430" s="591">
        <f t="shared" si="204"/>
        <v>0.91870640017924898</v>
      </c>
      <c r="U430" s="522" t="s">
        <v>606</v>
      </c>
      <c r="V430" s="591">
        <f t="shared" si="205"/>
        <v>0.91870640017924898</v>
      </c>
      <c r="W430" s="452">
        <f t="shared" si="206"/>
        <v>6109.37</v>
      </c>
      <c r="X430" s="453" t="s">
        <v>606</v>
      </c>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3"/>
      <c r="AY430" s="273"/>
      <c r="AZ430" s="273"/>
      <c r="BA430" s="273"/>
      <c r="BB430" s="273"/>
      <c r="BC430" s="273"/>
      <c r="BD430" s="273"/>
      <c r="BE430" s="273"/>
      <c r="BF430" s="273"/>
      <c r="BG430" s="273"/>
      <c r="BH430" s="273"/>
      <c r="BI430" s="273"/>
      <c r="BJ430" s="273"/>
      <c r="BK430" s="273"/>
      <c r="BL430" s="273"/>
      <c r="BM430" s="273"/>
      <c r="BN430" s="273"/>
      <c r="BO430" s="273"/>
      <c r="BP430" s="273"/>
      <c r="BQ430" s="273"/>
      <c r="BR430" s="273"/>
      <c r="BS430" s="273"/>
      <c r="BT430" s="273"/>
      <c r="BU430" s="273"/>
      <c r="BV430" s="273"/>
      <c r="BW430" s="273"/>
      <c r="BX430" s="273"/>
      <c r="BY430" s="273"/>
      <c r="BZ430" s="273"/>
      <c r="CA430" s="273"/>
      <c r="CB430" s="273"/>
      <c r="CC430" s="273"/>
      <c r="CD430" s="273"/>
      <c r="CE430" s="273"/>
      <c r="CF430" s="273"/>
      <c r="CG430" s="273"/>
      <c r="CH430" s="273"/>
      <c r="CI430" s="273"/>
      <c r="CJ430" s="273"/>
      <c r="CK430" s="273"/>
      <c r="CL430" s="273"/>
      <c r="CM430" s="273"/>
      <c r="CN430" s="273"/>
      <c r="CO430" s="273"/>
      <c r="CP430" s="273"/>
      <c r="CQ430" s="273"/>
      <c r="CR430" s="273"/>
      <c r="CS430" s="273"/>
      <c r="CT430" s="273"/>
      <c r="CU430" s="273"/>
      <c r="CV430" s="273"/>
      <c r="CW430" s="273"/>
      <c r="CX430" s="273"/>
      <c r="CY430" s="273"/>
      <c r="CZ430" s="273"/>
      <c r="DA430" s="273"/>
      <c r="DB430" s="273"/>
      <c r="DC430" s="273"/>
      <c r="DD430" s="273"/>
      <c r="DE430" s="273"/>
      <c r="DF430" s="273"/>
      <c r="DG430" s="273"/>
      <c r="DH430" s="273"/>
      <c r="DI430" s="273"/>
      <c r="DJ430" s="273"/>
      <c r="DK430" s="273"/>
      <c r="DL430" s="273"/>
      <c r="DM430" s="273"/>
      <c r="DN430" s="273"/>
      <c r="DO430" s="273"/>
      <c r="DP430" s="273"/>
      <c r="DQ430" s="273"/>
      <c r="DR430" s="273"/>
      <c r="DS430" s="273"/>
      <c r="DT430" s="273"/>
      <c r="DU430" s="273"/>
      <c r="DV430" s="273"/>
      <c r="DW430" s="273"/>
      <c r="DX430" s="273"/>
      <c r="DY430" s="273"/>
      <c r="DZ430" s="273"/>
      <c r="EA430" s="273"/>
      <c r="EB430" s="273"/>
      <c r="EC430" s="273"/>
      <c r="ED430" s="273"/>
      <c r="EE430" s="273"/>
      <c r="EF430" s="273"/>
      <c r="EG430" s="273"/>
      <c r="EH430" s="273"/>
      <c r="EI430" s="273"/>
      <c r="EJ430" s="273"/>
      <c r="EK430" s="273"/>
      <c r="EL430" s="273"/>
      <c r="EM430" s="273"/>
      <c r="EN430" s="273"/>
      <c r="EO430" s="273"/>
      <c r="EP430" s="273"/>
      <c r="EQ430" s="273"/>
      <c r="ER430" s="273"/>
      <c r="ES430" s="273"/>
      <c r="ET430" s="273"/>
      <c r="EU430" s="273"/>
      <c r="EV430" s="273"/>
      <c r="EW430" s="273"/>
      <c r="EX430" s="273"/>
      <c r="EY430" s="273"/>
      <c r="EZ430" s="273"/>
      <c r="FA430" s="273"/>
      <c r="FB430" s="273"/>
      <c r="FC430" s="273"/>
      <c r="FD430" s="273"/>
      <c r="FE430" s="273"/>
      <c r="FF430" s="273"/>
      <c r="FG430" s="273"/>
      <c r="FH430" s="273"/>
      <c r="FI430" s="273"/>
      <c r="FJ430" s="273"/>
      <c r="FK430" s="273"/>
      <c r="FL430" s="273"/>
      <c r="FM430" s="273"/>
      <c r="FN430" s="273"/>
      <c r="FO430" s="273"/>
      <c r="FP430" s="273"/>
      <c r="FQ430" s="273"/>
      <c r="FR430" s="273"/>
      <c r="FS430" s="273"/>
      <c r="FT430" s="273"/>
      <c r="FU430" s="273"/>
      <c r="FV430" s="273"/>
      <c r="FW430" s="273"/>
      <c r="FX430" s="273"/>
      <c r="FY430" s="273"/>
      <c r="FZ430" s="273"/>
      <c r="GA430" s="273"/>
      <c r="GB430" s="273"/>
      <c r="GC430" s="273"/>
      <c r="GD430" s="273"/>
      <c r="GE430" s="273"/>
      <c r="GF430" s="273"/>
      <c r="GG430" s="273"/>
      <c r="GH430" s="273"/>
      <c r="GI430" s="273"/>
      <c r="GJ430" s="273"/>
      <c r="GK430" s="273"/>
      <c r="GL430" s="273"/>
      <c r="GM430" s="273"/>
      <c r="GN430" s="273"/>
      <c r="GO430" s="273"/>
      <c r="GP430" s="273"/>
      <c r="GQ430" s="273"/>
      <c r="GR430" s="273"/>
      <c r="GS430" s="273"/>
      <c r="GT430" s="273"/>
      <c r="GU430" s="273"/>
      <c r="GV430" s="273"/>
      <c r="GW430" s="273"/>
      <c r="GX430" s="273"/>
      <c r="GY430" s="273"/>
      <c r="GZ430" s="273"/>
      <c r="HA430" s="273"/>
      <c r="HB430" s="273"/>
      <c r="HC430" s="273"/>
      <c r="HD430" s="273"/>
      <c r="HE430" s="273"/>
      <c r="HF430" s="273"/>
      <c r="HG430" s="273"/>
      <c r="HH430" s="273"/>
      <c r="HI430" s="273"/>
      <c r="HJ430" s="273"/>
      <c r="HK430" s="273"/>
      <c r="HL430" s="273"/>
      <c r="HM430" s="273"/>
      <c r="HN430" s="273"/>
      <c r="HO430" s="273"/>
      <c r="HP430" s="273"/>
      <c r="HQ430" s="273"/>
      <c r="HR430" s="273"/>
      <c r="HS430" s="273"/>
      <c r="HT430" s="273"/>
      <c r="HU430" s="273"/>
      <c r="HV430" s="273"/>
      <c r="HW430" s="273"/>
      <c r="HX430" s="273"/>
      <c r="HY430" s="273"/>
      <c r="HZ430" s="273"/>
      <c r="IA430" s="273"/>
      <c r="IB430" s="273"/>
      <c r="IC430" s="273"/>
      <c r="ID430" s="273"/>
      <c r="IE430" s="273"/>
      <c r="IF430" s="273"/>
      <c r="IG430" s="273"/>
      <c r="IH430" s="273"/>
      <c r="II430" s="273"/>
      <c r="IJ430" s="273"/>
      <c r="IK430" s="273"/>
      <c r="IL430" s="273"/>
      <c r="IM430" s="273"/>
      <c r="IN430" s="273"/>
      <c r="IO430" s="273"/>
      <c r="IP430" s="273"/>
      <c r="IQ430" s="273"/>
      <c r="IR430" s="273"/>
      <c r="IS430" s="273"/>
      <c r="IT430" s="273"/>
      <c r="IU430" s="273"/>
      <c r="IV430" s="273"/>
      <c r="IW430" s="273"/>
      <c r="IX430" s="273"/>
      <c r="IY430" s="273"/>
      <c r="IZ430" s="273"/>
      <c r="JA430" s="273"/>
      <c r="JB430" s="273"/>
      <c r="JC430" s="273"/>
      <c r="JD430" s="273"/>
      <c r="JE430" s="273"/>
      <c r="JF430" s="273"/>
      <c r="JG430" s="273"/>
      <c r="JH430" s="273"/>
      <c r="JI430" s="273"/>
      <c r="JJ430" s="273"/>
      <c r="JK430" s="273"/>
      <c r="JL430" s="273"/>
      <c r="JM430" s="273"/>
      <c r="JN430" s="273"/>
      <c r="JO430" s="273"/>
      <c r="JP430" s="273"/>
      <c r="JQ430" s="273"/>
      <c r="JR430" s="273"/>
      <c r="JS430" s="273"/>
      <c r="JT430" s="273"/>
      <c r="JU430" s="273"/>
      <c r="JV430" s="273"/>
      <c r="JW430" s="273"/>
      <c r="JX430" s="273"/>
      <c r="JY430" s="273"/>
      <c r="JZ430" s="273"/>
      <c r="KA430" s="273"/>
      <c r="KB430" s="273"/>
      <c r="KC430" s="273"/>
      <c r="KD430" s="273"/>
      <c r="KE430" s="273"/>
      <c r="KF430" s="273"/>
      <c r="KG430" s="273"/>
      <c r="KH430" s="273"/>
      <c r="KI430" s="273"/>
      <c r="KJ430" s="273"/>
      <c r="KK430" s="273"/>
      <c r="KL430" s="273"/>
      <c r="KM430" s="273"/>
      <c r="KN430" s="273"/>
      <c r="KO430" s="273"/>
      <c r="KP430" s="273"/>
      <c r="KQ430" s="273"/>
      <c r="KR430" s="273"/>
      <c r="KS430" s="273"/>
      <c r="KT430" s="273"/>
      <c r="KU430" s="273"/>
      <c r="KV430" s="273"/>
      <c r="KW430" s="273"/>
      <c r="KX430" s="273"/>
      <c r="KY430" s="273"/>
      <c r="KZ430" s="273"/>
      <c r="LA430" s="273"/>
      <c r="LB430" s="273"/>
      <c r="LC430" s="273"/>
      <c r="LD430" s="273"/>
      <c r="LE430" s="273"/>
      <c r="LF430" s="273"/>
      <c r="LG430" s="273"/>
      <c r="LH430" s="273"/>
      <c r="LI430" s="273"/>
      <c r="LJ430" s="273"/>
      <c r="LK430" s="273"/>
      <c r="LL430" s="273"/>
      <c r="LM430" s="273"/>
      <c r="LN430" s="273"/>
      <c r="LO430" s="273"/>
      <c r="LP430" s="273"/>
      <c r="LQ430" s="273"/>
      <c r="LR430" s="273"/>
      <c r="LS430" s="273"/>
      <c r="LT430" s="273"/>
      <c r="LU430" s="273"/>
      <c r="LV430" s="273"/>
      <c r="LW430" s="273"/>
      <c r="LX430" s="273"/>
      <c r="LY430" s="273"/>
      <c r="LZ430" s="273"/>
      <c r="MA430" s="273"/>
      <c r="MB430" s="273"/>
      <c r="MC430" s="273"/>
      <c r="MD430" s="273"/>
      <c r="ME430" s="273"/>
      <c r="MF430" s="273"/>
      <c r="MG430" s="273"/>
      <c r="MH430" s="273"/>
      <c r="MI430" s="273"/>
      <c r="MJ430" s="273"/>
      <c r="MK430" s="273"/>
      <c r="ML430" s="273"/>
      <c r="MM430" s="273"/>
      <c r="MN430" s="273"/>
      <c r="MO430" s="273"/>
      <c r="MP430" s="273"/>
      <c r="MQ430" s="273"/>
      <c r="MR430" s="273"/>
      <c r="MS430" s="273"/>
      <c r="MT430" s="273"/>
      <c r="MU430" s="273"/>
      <c r="MV430" s="273"/>
      <c r="MW430" s="273"/>
      <c r="MX430" s="273"/>
      <c r="MY430" s="273"/>
      <c r="MZ430" s="273"/>
      <c r="NA430" s="273"/>
      <c r="NB430" s="273"/>
      <c r="NC430" s="273"/>
      <c r="ND430" s="273"/>
      <c r="NE430" s="273"/>
      <c r="NF430" s="273"/>
      <c r="NG430" s="273"/>
      <c r="NH430" s="273"/>
      <c r="NI430" s="273"/>
      <c r="NJ430" s="273"/>
      <c r="NK430" s="273"/>
      <c r="NL430" s="273"/>
      <c r="NM430" s="273"/>
      <c r="NN430" s="273"/>
      <c r="NO430" s="273"/>
      <c r="NP430" s="273"/>
      <c r="NQ430" s="273"/>
      <c r="NR430" s="273"/>
      <c r="NS430" s="273"/>
      <c r="NT430" s="273"/>
      <c r="NU430" s="273"/>
      <c r="NV430" s="273"/>
      <c r="NW430" s="273"/>
      <c r="NX430" s="273"/>
      <c r="NY430" s="273"/>
      <c r="NZ430" s="273"/>
      <c r="OA430" s="273"/>
      <c r="OB430" s="273"/>
      <c r="OC430" s="273"/>
      <c r="OD430" s="273"/>
      <c r="OE430" s="273"/>
      <c r="OF430" s="273"/>
      <c r="OG430" s="273"/>
      <c r="OH430" s="273"/>
      <c r="OI430" s="273"/>
      <c r="OJ430" s="273"/>
      <c r="OK430" s="273"/>
      <c r="OL430" s="273"/>
      <c r="OM430" s="273"/>
      <c r="ON430" s="273"/>
      <c r="OO430" s="273"/>
      <c r="OP430" s="273"/>
      <c r="OQ430" s="273"/>
      <c r="OR430" s="273"/>
      <c r="OS430" s="273"/>
      <c r="OT430" s="273"/>
      <c r="OU430" s="273"/>
      <c r="OV430" s="273"/>
      <c r="OW430" s="273"/>
      <c r="OX430" s="273"/>
      <c r="OY430" s="273"/>
      <c r="OZ430" s="273"/>
      <c r="PA430" s="273"/>
      <c r="PB430" s="273"/>
      <c r="PC430" s="273"/>
      <c r="PD430" s="273"/>
      <c r="PE430" s="273"/>
      <c r="PF430" s="273"/>
      <c r="PG430" s="273"/>
      <c r="PH430" s="273"/>
      <c r="PI430" s="273"/>
      <c r="PJ430" s="273"/>
      <c r="PK430" s="273"/>
      <c r="PL430" s="273"/>
      <c r="PM430" s="273"/>
      <c r="PN430" s="273"/>
      <c r="PO430" s="273"/>
      <c r="PP430" s="273"/>
      <c r="PQ430" s="273"/>
      <c r="PR430" s="273"/>
      <c r="PS430" s="273"/>
      <c r="PT430" s="273"/>
      <c r="PU430" s="273"/>
      <c r="PV430" s="273"/>
      <c r="PW430" s="273"/>
      <c r="PX430" s="273"/>
      <c r="PY430" s="273"/>
      <c r="PZ430" s="273"/>
      <c r="QA430" s="273"/>
      <c r="QB430" s="273"/>
      <c r="QC430" s="273"/>
      <c r="QD430" s="273"/>
      <c r="QE430" s="273"/>
      <c r="QF430" s="273"/>
      <c r="QG430" s="273"/>
      <c r="QH430" s="273"/>
      <c r="QI430" s="273"/>
      <c r="QJ430" s="273"/>
      <c r="QK430" s="273"/>
      <c r="QL430" s="273"/>
      <c r="QM430" s="273"/>
      <c r="QN430" s="273"/>
      <c r="QO430" s="273"/>
      <c r="QP430" s="273"/>
      <c r="QQ430" s="273"/>
      <c r="QR430" s="273"/>
      <c r="QS430" s="273"/>
      <c r="QT430" s="273"/>
      <c r="QU430" s="273"/>
      <c r="QV430" s="273"/>
      <c r="QW430" s="273"/>
      <c r="QX430" s="273"/>
      <c r="QY430" s="273"/>
      <c r="QZ430" s="273"/>
      <c r="RA430" s="273"/>
      <c r="RB430" s="273"/>
      <c r="RC430" s="273"/>
      <c r="RD430" s="273"/>
      <c r="RE430" s="273"/>
      <c r="RF430" s="273"/>
      <c r="RG430" s="273"/>
      <c r="RH430" s="273"/>
      <c r="RI430" s="273"/>
      <c r="RJ430" s="273"/>
      <c r="RK430" s="273"/>
      <c r="RL430" s="273"/>
      <c r="RM430" s="273"/>
      <c r="RN430" s="273"/>
      <c r="RO430" s="273"/>
      <c r="RP430" s="273"/>
      <c r="RQ430" s="273"/>
    </row>
    <row r="431" spans="1:485" s="450" customFormat="1" ht="39" x14ac:dyDescent="0.25">
      <c r="A431" s="2995"/>
      <c r="B431" s="595" t="s">
        <v>961</v>
      </c>
      <c r="C431" s="266" t="s">
        <v>15</v>
      </c>
      <c r="D431" s="467" t="s">
        <v>955</v>
      </c>
      <c r="E431" s="468">
        <v>15</v>
      </c>
      <c r="F431" s="468">
        <v>90</v>
      </c>
      <c r="G431" s="467">
        <v>1</v>
      </c>
      <c r="H431" s="451">
        <f t="shared" si="200"/>
        <v>1350</v>
      </c>
      <c r="I431" s="675">
        <v>1</v>
      </c>
      <c r="J431" s="451">
        <v>15</v>
      </c>
      <c r="K431" s="451">
        <v>65</v>
      </c>
      <c r="L431" s="451">
        <v>1</v>
      </c>
      <c r="M431" s="1834">
        <f t="shared" si="201"/>
        <v>975</v>
      </c>
      <c r="N431" s="697">
        <v>1</v>
      </c>
      <c r="O431" s="696">
        <f t="shared" si="202"/>
        <v>2325</v>
      </c>
      <c r="P431" s="675">
        <v>1</v>
      </c>
      <c r="Q431" s="451">
        <f t="shared" si="203"/>
        <v>2325</v>
      </c>
      <c r="R431" s="522" t="s">
        <v>962</v>
      </c>
      <c r="S431" s="452">
        <f>COOPI!S24</f>
        <v>1778</v>
      </c>
      <c r="T431" s="591">
        <f t="shared" si="204"/>
        <v>0.76473118279569896</v>
      </c>
      <c r="U431" s="522" t="s">
        <v>606</v>
      </c>
      <c r="V431" s="591">
        <f t="shared" si="205"/>
        <v>0.76473118279569896</v>
      </c>
      <c r="W431" s="452">
        <f t="shared" si="206"/>
        <v>1778</v>
      </c>
      <c r="X431" s="453" t="s">
        <v>606</v>
      </c>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273"/>
      <c r="BF431" s="273"/>
      <c r="BG431" s="273"/>
      <c r="BH431" s="273"/>
      <c r="BI431" s="273"/>
      <c r="BJ431" s="273"/>
      <c r="BK431" s="273"/>
      <c r="BL431" s="273"/>
      <c r="BM431" s="273"/>
      <c r="BN431" s="273"/>
      <c r="BO431" s="273"/>
      <c r="BP431" s="273"/>
      <c r="BQ431" s="273"/>
      <c r="BR431" s="273"/>
      <c r="BS431" s="273"/>
      <c r="BT431" s="273"/>
      <c r="BU431" s="273"/>
      <c r="BV431" s="273"/>
      <c r="BW431" s="273"/>
      <c r="BX431" s="273"/>
      <c r="BY431" s="273"/>
      <c r="BZ431" s="273"/>
      <c r="CA431" s="273"/>
      <c r="CB431" s="273"/>
      <c r="CC431" s="273"/>
      <c r="CD431" s="273"/>
      <c r="CE431" s="273"/>
      <c r="CF431" s="273"/>
      <c r="CG431" s="273"/>
      <c r="CH431" s="273"/>
      <c r="CI431" s="273"/>
      <c r="CJ431" s="273"/>
      <c r="CK431" s="273"/>
      <c r="CL431" s="273"/>
      <c r="CM431" s="273"/>
      <c r="CN431" s="273"/>
      <c r="CO431" s="273"/>
      <c r="CP431" s="273"/>
      <c r="CQ431" s="273"/>
      <c r="CR431" s="273"/>
      <c r="CS431" s="273"/>
      <c r="CT431" s="273"/>
      <c r="CU431" s="273"/>
      <c r="CV431" s="273"/>
      <c r="CW431" s="273"/>
      <c r="CX431" s="273"/>
      <c r="CY431" s="273"/>
      <c r="CZ431" s="273"/>
      <c r="DA431" s="273"/>
      <c r="DB431" s="273"/>
      <c r="DC431" s="273"/>
      <c r="DD431" s="273"/>
      <c r="DE431" s="273"/>
      <c r="DF431" s="273"/>
      <c r="DG431" s="273"/>
      <c r="DH431" s="273"/>
      <c r="DI431" s="273"/>
      <c r="DJ431" s="273"/>
      <c r="DK431" s="273"/>
      <c r="DL431" s="273"/>
      <c r="DM431" s="273"/>
      <c r="DN431" s="273"/>
      <c r="DO431" s="273"/>
      <c r="DP431" s="273"/>
      <c r="DQ431" s="273"/>
      <c r="DR431" s="273"/>
      <c r="DS431" s="273"/>
      <c r="DT431" s="273"/>
      <c r="DU431" s="273"/>
      <c r="DV431" s="273"/>
      <c r="DW431" s="273"/>
      <c r="DX431" s="273"/>
      <c r="DY431" s="273"/>
      <c r="DZ431" s="273"/>
      <c r="EA431" s="273"/>
      <c r="EB431" s="273"/>
      <c r="EC431" s="273"/>
      <c r="ED431" s="273"/>
      <c r="EE431" s="273"/>
      <c r="EF431" s="273"/>
      <c r="EG431" s="273"/>
      <c r="EH431" s="273"/>
      <c r="EI431" s="273"/>
      <c r="EJ431" s="273"/>
      <c r="EK431" s="273"/>
      <c r="EL431" s="273"/>
      <c r="EM431" s="273"/>
      <c r="EN431" s="273"/>
      <c r="EO431" s="273"/>
      <c r="EP431" s="273"/>
      <c r="EQ431" s="273"/>
      <c r="ER431" s="273"/>
      <c r="ES431" s="273"/>
      <c r="ET431" s="273"/>
      <c r="EU431" s="273"/>
      <c r="EV431" s="273"/>
      <c r="EW431" s="273"/>
      <c r="EX431" s="273"/>
      <c r="EY431" s="273"/>
      <c r="EZ431" s="273"/>
      <c r="FA431" s="273"/>
      <c r="FB431" s="273"/>
      <c r="FC431" s="273"/>
      <c r="FD431" s="273"/>
      <c r="FE431" s="273"/>
      <c r="FF431" s="273"/>
      <c r="FG431" s="273"/>
      <c r="FH431" s="273"/>
      <c r="FI431" s="273"/>
      <c r="FJ431" s="273"/>
      <c r="FK431" s="273"/>
      <c r="FL431" s="273"/>
      <c r="FM431" s="273"/>
      <c r="FN431" s="273"/>
      <c r="FO431" s="273"/>
      <c r="FP431" s="273"/>
      <c r="FQ431" s="273"/>
      <c r="FR431" s="273"/>
      <c r="FS431" s="273"/>
      <c r="FT431" s="273"/>
      <c r="FU431" s="273"/>
      <c r="FV431" s="273"/>
      <c r="FW431" s="273"/>
      <c r="FX431" s="273"/>
      <c r="FY431" s="273"/>
      <c r="FZ431" s="273"/>
      <c r="GA431" s="273"/>
      <c r="GB431" s="273"/>
      <c r="GC431" s="273"/>
      <c r="GD431" s="273"/>
      <c r="GE431" s="273"/>
      <c r="GF431" s="273"/>
      <c r="GG431" s="273"/>
      <c r="GH431" s="273"/>
      <c r="GI431" s="273"/>
      <c r="GJ431" s="273"/>
      <c r="GK431" s="273"/>
      <c r="GL431" s="273"/>
      <c r="GM431" s="273"/>
      <c r="GN431" s="273"/>
      <c r="GO431" s="273"/>
      <c r="GP431" s="273"/>
      <c r="GQ431" s="273"/>
      <c r="GR431" s="273"/>
      <c r="GS431" s="273"/>
      <c r="GT431" s="273"/>
      <c r="GU431" s="273"/>
      <c r="GV431" s="273"/>
      <c r="GW431" s="273"/>
      <c r="GX431" s="273"/>
      <c r="GY431" s="273"/>
      <c r="GZ431" s="273"/>
      <c r="HA431" s="273"/>
      <c r="HB431" s="273"/>
      <c r="HC431" s="273"/>
      <c r="HD431" s="273"/>
      <c r="HE431" s="273"/>
      <c r="HF431" s="273"/>
      <c r="HG431" s="273"/>
      <c r="HH431" s="273"/>
      <c r="HI431" s="273"/>
      <c r="HJ431" s="273"/>
      <c r="HK431" s="273"/>
      <c r="HL431" s="273"/>
      <c r="HM431" s="273"/>
      <c r="HN431" s="273"/>
      <c r="HO431" s="273"/>
      <c r="HP431" s="273"/>
      <c r="HQ431" s="273"/>
      <c r="HR431" s="273"/>
      <c r="HS431" s="273"/>
      <c r="HT431" s="273"/>
      <c r="HU431" s="273"/>
      <c r="HV431" s="273"/>
      <c r="HW431" s="273"/>
      <c r="HX431" s="273"/>
      <c r="HY431" s="273"/>
      <c r="HZ431" s="273"/>
      <c r="IA431" s="273"/>
      <c r="IB431" s="273"/>
      <c r="IC431" s="273"/>
      <c r="ID431" s="273"/>
      <c r="IE431" s="273"/>
      <c r="IF431" s="273"/>
      <c r="IG431" s="273"/>
      <c r="IH431" s="273"/>
      <c r="II431" s="273"/>
      <c r="IJ431" s="273"/>
      <c r="IK431" s="273"/>
      <c r="IL431" s="273"/>
      <c r="IM431" s="273"/>
      <c r="IN431" s="273"/>
      <c r="IO431" s="273"/>
      <c r="IP431" s="273"/>
      <c r="IQ431" s="273"/>
      <c r="IR431" s="273"/>
      <c r="IS431" s="273"/>
      <c r="IT431" s="273"/>
      <c r="IU431" s="273"/>
      <c r="IV431" s="273"/>
      <c r="IW431" s="273"/>
      <c r="IX431" s="273"/>
      <c r="IY431" s="273"/>
      <c r="IZ431" s="273"/>
      <c r="JA431" s="273"/>
      <c r="JB431" s="273"/>
      <c r="JC431" s="273"/>
      <c r="JD431" s="273"/>
      <c r="JE431" s="273"/>
      <c r="JF431" s="273"/>
      <c r="JG431" s="273"/>
      <c r="JH431" s="273"/>
      <c r="JI431" s="273"/>
      <c r="JJ431" s="273"/>
      <c r="JK431" s="273"/>
      <c r="JL431" s="273"/>
      <c r="JM431" s="273"/>
      <c r="JN431" s="273"/>
      <c r="JO431" s="273"/>
      <c r="JP431" s="273"/>
      <c r="JQ431" s="273"/>
      <c r="JR431" s="273"/>
      <c r="JS431" s="273"/>
      <c r="JT431" s="273"/>
      <c r="JU431" s="273"/>
      <c r="JV431" s="273"/>
      <c r="JW431" s="273"/>
      <c r="JX431" s="273"/>
      <c r="JY431" s="273"/>
      <c r="JZ431" s="273"/>
      <c r="KA431" s="273"/>
      <c r="KB431" s="273"/>
      <c r="KC431" s="273"/>
      <c r="KD431" s="273"/>
      <c r="KE431" s="273"/>
      <c r="KF431" s="273"/>
      <c r="KG431" s="273"/>
      <c r="KH431" s="273"/>
      <c r="KI431" s="273"/>
      <c r="KJ431" s="273"/>
      <c r="KK431" s="273"/>
      <c r="KL431" s="273"/>
      <c r="KM431" s="273"/>
      <c r="KN431" s="273"/>
      <c r="KO431" s="273"/>
      <c r="KP431" s="273"/>
      <c r="KQ431" s="273"/>
      <c r="KR431" s="273"/>
      <c r="KS431" s="273"/>
      <c r="KT431" s="273"/>
      <c r="KU431" s="273"/>
      <c r="KV431" s="273"/>
      <c r="KW431" s="273"/>
      <c r="KX431" s="273"/>
      <c r="KY431" s="273"/>
      <c r="KZ431" s="273"/>
      <c r="LA431" s="273"/>
      <c r="LB431" s="273"/>
      <c r="LC431" s="273"/>
      <c r="LD431" s="273"/>
      <c r="LE431" s="273"/>
      <c r="LF431" s="273"/>
      <c r="LG431" s="273"/>
      <c r="LH431" s="273"/>
      <c r="LI431" s="273"/>
      <c r="LJ431" s="273"/>
      <c r="LK431" s="273"/>
      <c r="LL431" s="273"/>
      <c r="LM431" s="273"/>
      <c r="LN431" s="273"/>
      <c r="LO431" s="273"/>
      <c r="LP431" s="273"/>
      <c r="LQ431" s="273"/>
      <c r="LR431" s="273"/>
      <c r="LS431" s="273"/>
      <c r="LT431" s="273"/>
      <c r="LU431" s="273"/>
      <c r="LV431" s="273"/>
      <c r="LW431" s="273"/>
      <c r="LX431" s="273"/>
      <c r="LY431" s="273"/>
      <c r="LZ431" s="273"/>
      <c r="MA431" s="273"/>
      <c r="MB431" s="273"/>
      <c r="MC431" s="273"/>
      <c r="MD431" s="273"/>
      <c r="ME431" s="273"/>
      <c r="MF431" s="273"/>
      <c r="MG431" s="273"/>
      <c r="MH431" s="273"/>
      <c r="MI431" s="273"/>
      <c r="MJ431" s="273"/>
      <c r="MK431" s="273"/>
      <c r="ML431" s="273"/>
      <c r="MM431" s="273"/>
      <c r="MN431" s="273"/>
      <c r="MO431" s="273"/>
      <c r="MP431" s="273"/>
      <c r="MQ431" s="273"/>
      <c r="MR431" s="273"/>
      <c r="MS431" s="273"/>
      <c r="MT431" s="273"/>
      <c r="MU431" s="273"/>
      <c r="MV431" s="273"/>
      <c r="MW431" s="273"/>
      <c r="MX431" s="273"/>
      <c r="MY431" s="273"/>
      <c r="MZ431" s="273"/>
      <c r="NA431" s="273"/>
      <c r="NB431" s="273"/>
      <c r="NC431" s="273"/>
      <c r="ND431" s="273"/>
      <c r="NE431" s="273"/>
      <c r="NF431" s="273"/>
      <c r="NG431" s="273"/>
      <c r="NH431" s="273"/>
      <c r="NI431" s="273"/>
      <c r="NJ431" s="273"/>
      <c r="NK431" s="273"/>
      <c r="NL431" s="273"/>
      <c r="NM431" s="273"/>
      <c r="NN431" s="273"/>
      <c r="NO431" s="273"/>
      <c r="NP431" s="273"/>
      <c r="NQ431" s="273"/>
      <c r="NR431" s="273"/>
      <c r="NS431" s="273"/>
      <c r="NT431" s="273"/>
      <c r="NU431" s="273"/>
      <c r="NV431" s="273"/>
      <c r="NW431" s="273"/>
      <c r="NX431" s="273"/>
      <c r="NY431" s="273"/>
      <c r="NZ431" s="273"/>
      <c r="OA431" s="273"/>
      <c r="OB431" s="273"/>
      <c r="OC431" s="273"/>
      <c r="OD431" s="273"/>
      <c r="OE431" s="273"/>
      <c r="OF431" s="273"/>
      <c r="OG431" s="273"/>
      <c r="OH431" s="273"/>
      <c r="OI431" s="273"/>
      <c r="OJ431" s="273"/>
      <c r="OK431" s="273"/>
      <c r="OL431" s="273"/>
      <c r="OM431" s="273"/>
      <c r="ON431" s="273"/>
      <c r="OO431" s="273"/>
      <c r="OP431" s="273"/>
      <c r="OQ431" s="273"/>
      <c r="OR431" s="273"/>
      <c r="OS431" s="273"/>
      <c r="OT431" s="273"/>
      <c r="OU431" s="273"/>
      <c r="OV431" s="273"/>
      <c r="OW431" s="273"/>
      <c r="OX431" s="273"/>
      <c r="OY431" s="273"/>
      <c r="OZ431" s="273"/>
      <c r="PA431" s="273"/>
      <c r="PB431" s="273"/>
      <c r="PC431" s="273"/>
      <c r="PD431" s="273"/>
      <c r="PE431" s="273"/>
      <c r="PF431" s="273"/>
      <c r="PG431" s="273"/>
      <c r="PH431" s="273"/>
      <c r="PI431" s="273"/>
      <c r="PJ431" s="273"/>
      <c r="PK431" s="273"/>
      <c r="PL431" s="273"/>
      <c r="PM431" s="273"/>
      <c r="PN431" s="273"/>
      <c r="PO431" s="273"/>
      <c r="PP431" s="273"/>
      <c r="PQ431" s="273"/>
      <c r="PR431" s="273"/>
      <c r="PS431" s="273"/>
      <c r="PT431" s="273"/>
      <c r="PU431" s="273"/>
      <c r="PV431" s="273"/>
      <c r="PW431" s="273"/>
      <c r="PX431" s="273"/>
      <c r="PY431" s="273"/>
      <c r="PZ431" s="273"/>
      <c r="QA431" s="273"/>
      <c r="QB431" s="273"/>
      <c r="QC431" s="273"/>
      <c r="QD431" s="273"/>
      <c r="QE431" s="273"/>
      <c r="QF431" s="273"/>
      <c r="QG431" s="273"/>
      <c r="QH431" s="273"/>
      <c r="QI431" s="273"/>
      <c r="QJ431" s="273"/>
      <c r="QK431" s="273"/>
      <c r="QL431" s="273"/>
      <c r="QM431" s="273"/>
      <c r="QN431" s="273"/>
      <c r="QO431" s="273"/>
      <c r="QP431" s="273"/>
      <c r="QQ431" s="273"/>
      <c r="QR431" s="273"/>
      <c r="QS431" s="273"/>
      <c r="QT431" s="273"/>
      <c r="QU431" s="273"/>
      <c r="QV431" s="273"/>
      <c r="QW431" s="273"/>
      <c r="QX431" s="273"/>
      <c r="QY431" s="273"/>
      <c r="QZ431" s="273"/>
      <c r="RA431" s="273"/>
      <c r="RB431" s="273"/>
      <c r="RC431" s="273"/>
      <c r="RD431" s="273"/>
      <c r="RE431" s="273"/>
      <c r="RF431" s="273"/>
      <c r="RG431" s="273"/>
      <c r="RH431" s="273"/>
      <c r="RI431" s="273"/>
      <c r="RJ431" s="273"/>
      <c r="RK431" s="273"/>
      <c r="RL431" s="273"/>
      <c r="RM431" s="273"/>
      <c r="RN431" s="273"/>
      <c r="RO431" s="273"/>
      <c r="RP431" s="273"/>
      <c r="RQ431" s="273"/>
    </row>
    <row r="432" spans="1:485" s="450" customFormat="1" ht="39" x14ac:dyDescent="0.25">
      <c r="A432" s="2995"/>
      <c r="B432" s="595" t="s">
        <v>963</v>
      </c>
      <c r="C432" s="266" t="s">
        <v>15</v>
      </c>
      <c r="D432" s="467" t="s">
        <v>955</v>
      </c>
      <c r="E432" s="468">
        <v>1</v>
      </c>
      <c r="F432" s="468">
        <v>1280</v>
      </c>
      <c r="G432" s="467">
        <v>1</v>
      </c>
      <c r="H432" s="451">
        <f t="shared" si="200"/>
        <v>1280</v>
      </c>
      <c r="I432" s="675">
        <v>1</v>
      </c>
      <c r="J432" s="451">
        <v>1</v>
      </c>
      <c r="K432" s="451">
        <v>1125</v>
      </c>
      <c r="L432" s="451">
        <v>0</v>
      </c>
      <c r="M432" s="1834">
        <f t="shared" si="201"/>
        <v>0</v>
      </c>
      <c r="N432" s="697">
        <v>1</v>
      </c>
      <c r="O432" s="696">
        <f t="shared" si="202"/>
        <v>1280</v>
      </c>
      <c r="P432" s="675">
        <v>1</v>
      </c>
      <c r="Q432" s="451">
        <f t="shared" si="203"/>
        <v>1280</v>
      </c>
      <c r="R432" s="522" t="s">
        <v>964</v>
      </c>
      <c r="S432" s="452">
        <f>COOPI!S25</f>
        <v>1350</v>
      </c>
      <c r="T432" s="591">
        <f t="shared" si="204"/>
        <v>1.0546875</v>
      </c>
      <c r="U432" s="522" t="s">
        <v>1483</v>
      </c>
      <c r="V432" s="591">
        <f t="shared" si="205"/>
        <v>1.0546875</v>
      </c>
      <c r="W432" s="452">
        <f t="shared" si="206"/>
        <v>1350</v>
      </c>
      <c r="X432" s="453" t="s">
        <v>1483</v>
      </c>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273"/>
      <c r="BF432" s="273"/>
      <c r="BG432" s="273"/>
      <c r="BH432" s="273"/>
      <c r="BI432" s="273"/>
      <c r="BJ432" s="273"/>
      <c r="BK432" s="273"/>
      <c r="BL432" s="273"/>
      <c r="BM432" s="273"/>
      <c r="BN432" s="273"/>
      <c r="BO432" s="273"/>
      <c r="BP432" s="273"/>
      <c r="BQ432" s="273"/>
      <c r="BR432" s="273"/>
      <c r="BS432" s="273"/>
      <c r="BT432" s="273"/>
      <c r="BU432" s="273"/>
      <c r="BV432" s="273"/>
      <c r="BW432" s="273"/>
      <c r="BX432" s="273"/>
      <c r="BY432" s="273"/>
      <c r="BZ432" s="273"/>
      <c r="CA432" s="273"/>
      <c r="CB432" s="273"/>
      <c r="CC432" s="273"/>
      <c r="CD432" s="273"/>
      <c r="CE432" s="273"/>
      <c r="CF432" s="273"/>
      <c r="CG432" s="273"/>
      <c r="CH432" s="273"/>
      <c r="CI432" s="273"/>
      <c r="CJ432" s="273"/>
      <c r="CK432" s="273"/>
      <c r="CL432" s="273"/>
      <c r="CM432" s="273"/>
      <c r="CN432" s="273"/>
      <c r="CO432" s="273"/>
      <c r="CP432" s="273"/>
      <c r="CQ432" s="273"/>
      <c r="CR432" s="273"/>
      <c r="CS432" s="273"/>
      <c r="CT432" s="273"/>
      <c r="CU432" s="273"/>
      <c r="CV432" s="273"/>
      <c r="CW432" s="273"/>
      <c r="CX432" s="273"/>
      <c r="CY432" s="273"/>
      <c r="CZ432" s="273"/>
      <c r="DA432" s="273"/>
      <c r="DB432" s="273"/>
      <c r="DC432" s="273"/>
      <c r="DD432" s="273"/>
      <c r="DE432" s="273"/>
      <c r="DF432" s="273"/>
      <c r="DG432" s="273"/>
      <c r="DH432" s="273"/>
      <c r="DI432" s="273"/>
      <c r="DJ432" s="273"/>
      <c r="DK432" s="273"/>
      <c r="DL432" s="273"/>
      <c r="DM432" s="273"/>
      <c r="DN432" s="273"/>
      <c r="DO432" s="273"/>
      <c r="DP432" s="273"/>
      <c r="DQ432" s="273"/>
      <c r="DR432" s="273"/>
      <c r="DS432" s="273"/>
      <c r="DT432" s="273"/>
      <c r="DU432" s="273"/>
      <c r="DV432" s="273"/>
      <c r="DW432" s="273"/>
      <c r="DX432" s="273"/>
      <c r="DY432" s="273"/>
      <c r="DZ432" s="273"/>
      <c r="EA432" s="273"/>
      <c r="EB432" s="273"/>
      <c r="EC432" s="273"/>
      <c r="ED432" s="273"/>
      <c r="EE432" s="273"/>
      <c r="EF432" s="273"/>
      <c r="EG432" s="273"/>
      <c r="EH432" s="273"/>
      <c r="EI432" s="273"/>
      <c r="EJ432" s="273"/>
      <c r="EK432" s="273"/>
      <c r="EL432" s="273"/>
      <c r="EM432" s="273"/>
      <c r="EN432" s="273"/>
      <c r="EO432" s="273"/>
      <c r="EP432" s="273"/>
      <c r="EQ432" s="273"/>
      <c r="ER432" s="273"/>
      <c r="ES432" s="273"/>
      <c r="ET432" s="273"/>
      <c r="EU432" s="273"/>
      <c r="EV432" s="273"/>
      <c r="EW432" s="273"/>
      <c r="EX432" s="273"/>
      <c r="EY432" s="273"/>
      <c r="EZ432" s="273"/>
      <c r="FA432" s="273"/>
      <c r="FB432" s="273"/>
      <c r="FC432" s="273"/>
      <c r="FD432" s="273"/>
      <c r="FE432" s="273"/>
      <c r="FF432" s="273"/>
      <c r="FG432" s="273"/>
      <c r="FH432" s="273"/>
      <c r="FI432" s="273"/>
      <c r="FJ432" s="273"/>
      <c r="FK432" s="273"/>
      <c r="FL432" s="273"/>
      <c r="FM432" s="273"/>
      <c r="FN432" s="273"/>
      <c r="FO432" s="273"/>
      <c r="FP432" s="273"/>
      <c r="FQ432" s="273"/>
      <c r="FR432" s="273"/>
      <c r="FS432" s="273"/>
      <c r="FT432" s="273"/>
      <c r="FU432" s="273"/>
      <c r="FV432" s="273"/>
      <c r="FW432" s="273"/>
      <c r="FX432" s="273"/>
      <c r="FY432" s="273"/>
      <c r="FZ432" s="273"/>
      <c r="GA432" s="273"/>
      <c r="GB432" s="273"/>
      <c r="GC432" s="273"/>
      <c r="GD432" s="273"/>
      <c r="GE432" s="273"/>
      <c r="GF432" s="273"/>
      <c r="GG432" s="273"/>
      <c r="GH432" s="273"/>
      <c r="GI432" s="273"/>
      <c r="GJ432" s="273"/>
      <c r="GK432" s="273"/>
      <c r="GL432" s="273"/>
      <c r="GM432" s="273"/>
      <c r="GN432" s="273"/>
      <c r="GO432" s="273"/>
      <c r="GP432" s="273"/>
      <c r="GQ432" s="273"/>
      <c r="GR432" s="273"/>
      <c r="GS432" s="273"/>
      <c r="GT432" s="273"/>
      <c r="GU432" s="273"/>
      <c r="GV432" s="273"/>
      <c r="GW432" s="273"/>
      <c r="GX432" s="273"/>
      <c r="GY432" s="273"/>
      <c r="GZ432" s="273"/>
      <c r="HA432" s="273"/>
      <c r="HB432" s="273"/>
      <c r="HC432" s="273"/>
      <c r="HD432" s="273"/>
      <c r="HE432" s="273"/>
      <c r="HF432" s="273"/>
      <c r="HG432" s="273"/>
      <c r="HH432" s="273"/>
      <c r="HI432" s="273"/>
      <c r="HJ432" s="273"/>
      <c r="HK432" s="273"/>
      <c r="HL432" s="273"/>
      <c r="HM432" s="273"/>
      <c r="HN432" s="273"/>
      <c r="HO432" s="273"/>
      <c r="HP432" s="273"/>
      <c r="HQ432" s="273"/>
      <c r="HR432" s="273"/>
      <c r="HS432" s="273"/>
      <c r="HT432" s="273"/>
      <c r="HU432" s="273"/>
      <c r="HV432" s="273"/>
      <c r="HW432" s="273"/>
      <c r="HX432" s="273"/>
      <c r="HY432" s="273"/>
      <c r="HZ432" s="273"/>
      <c r="IA432" s="273"/>
      <c r="IB432" s="273"/>
      <c r="IC432" s="273"/>
      <c r="ID432" s="273"/>
      <c r="IE432" s="273"/>
      <c r="IF432" s="273"/>
      <c r="IG432" s="273"/>
      <c r="IH432" s="273"/>
      <c r="II432" s="273"/>
      <c r="IJ432" s="273"/>
      <c r="IK432" s="273"/>
      <c r="IL432" s="273"/>
      <c r="IM432" s="273"/>
      <c r="IN432" s="273"/>
      <c r="IO432" s="273"/>
      <c r="IP432" s="273"/>
      <c r="IQ432" s="273"/>
      <c r="IR432" s="273"/>
      <c r="IS432" s="273"/>
      <c r="IT432" s="273"/>
      <c r="IU432" s="273"/>
      <c r="IV432" s="273"/>
      <c r="IW432" s="273"/>
      <c r="IX432" s="273"/>
      <c r="IY432" s="273"/>
      <c r="IZ432" s="273"/>
      <c r="JA432" s="273"/>
      <c r="JB432" s="273"/>
      <c r="JC432" s="273"/>
      <c r="JD432" s="273"/>
      <c r="JE432" s="273"/>
      <c r="JF432" s="273"/>
      <c r="JG432" s="273"/>
      <c r="JH432" s="273"/>
      <c r="JI432" s="273"/>
      <c r="JJ432" s="273"/>
      <c r="JK432" s="273"/>
      <c r="JL432" s="273"/>
      <c r="JM432" s="273"/>
      <c r="JN432" s="273"/>
      <c r="JO432" s="273"/>
      <c r="JP432" s="273"/>
      <c r="JQ432" s="273"/>
      <c r="JR432" s="273"/>
      <c r="JS432" s="273"/>
      <c r="JT432" s="273"/>
      <c r="JU432" s="273"/>
      <c r="JV432" s="273"/>
      <c r="JW432" s="273"/>
      <c r="JX432" s="273"/>
      <c r="JY432" s="273"/>
      <c r="JZ432" s="273"/>
      <c r="KA432" s="273"/>
      <c r="KB432" s="273"/>
      <c r="KC432" s="273"/>
      <c r="KD432" s="273"/>
      <c r="KE432" s="273"/>
      <c r="KF432" s="273"/>
      <c r="KG432" s="273"/>
      <c r="KH432" s="273"/>
      <c r="KI432" s="273"/>
      <c r="KJ432" s="273"/>
      <c r="KK432" s="273"/>
      <c r="KL432" s="273"/>
      <c r="KM432" s="273"/>
      <c r="KN432" s="273"/>
      <c r="KO432" s="273"/>
      <c r="KP432" s="273"/>
      <c r="KQ432" s="273"/>
      <c r="KR432" s="273"/>
      <c r="KS432" s="273"/>
      <c r="KT432" s="273"/>
      <c r="KU432" s="273"/>
      <c r="KV432" s="273"/>
      <c r="KW432" s="273"/>
      <c r="KX432" s="273"/>
      <c r="KY432" s="273"/>
      <c r="KZ432" s="273"/>
      <c r="LA432" s="273"/>
      <c r="LB432" s="273"/>
      <c r="LC432" s="273"/>
      <c r="LD432" s="273"/>
      <c r="LE432" s="273"/>
      <c r="LF432" s="273"/>
      <c r="LG432" s="273"/>
      <c r="LH432" s="273"/>
      <c r="LI432" s="273"/>
      <c r="LJ432" s="273"/>
      <c r="LK432" s="273"/>
      <c r="LL432" s="273"/>
      <c r="LM432" s="273"/>
      <c r="LN432" s="273"/>
      <c r="LO432" s="273"/>
      <c r="LP432" s="273"/>
      <c r="LQ432" s="273"/>
      <c r="LR432" s="273"/>
      <c r="LS432" s="273"/>
      <c r="LT432" s="273"/>
      <c r="LU432" s="273"/>
      <c r="LV432" s="273"/>
      <c r="LW432" s="273"/>
      <c r="LX432" s="273"/>
      <c r="LY432" s="273"/>
      <c r="LZ432" s="273"/>
      <c r="MA432" s="273"/>
      <c r="MB432" s="273"/>
      <c r="MC432" s="273"/>
      <c r="MD432" s="273"/>
      <c r="ME432" s="273"/>
      <c r="MF432" s="273"/>
      <c r="MG432" s="273"/>
      <c r="MH432" s="273"/>
      <c r="MI432" s="273"/>
      <c r="MJ432" s="273"/>
      <c r="MK432" s="273"/>
      <c r="ML432" s="273"/>
      <c r="MM432" s="273"/>
      <c r="MN432" s="273"/>
      <c r="MO432" s="273"/>
      <c r="MP432" s="273"/>
      <c r="MQ432" s="273"/>
      <c r="MR432" s="273"/>
      <c r="MS432" s="273"/>
      <c r="MT432" s="273"/>
      <c r="MU432" s="273"/>
      <c r="MV432" s="273"/>
      <c r="MW432" s="273"/>
      <c r="MX432" s="273"/>
      <c r="MY432" s="273"/>
      <c r="MZ432" s="273"/>
      <c r="NA432" s="273"/>
      <c r="NB432" s="273"/>
      <c r="NC432" s="273"/>
      <c r="ND432" s="273"/>
      <c r="NE432" s="273"/>
      <c r="NF432" s="273"/>
      <c r="NG432" s="273"/>
      <c r="NH432" s="273"/>
      <c r="NI432" s="273"/>
      <c r="NJ432" s="273"/>
      <c r="NK432" s="273"/>
      <c r="NL432" s="273"/>
      <c r="NM432" s="273"/>
      <c r="NN432" s="273"/>
      <c r="NO432" s="273"/>
      <c r="NP432" s="273"/>
      <c r="NQ432" s="273"/>
      <c r="NR432" s="273"/>
      <c r="NS432" s="273"/>
      <c r="NT432" s="273"/>
      <c r="NU432" s="273"/>
      <c r="NV432" s="273"/>
      <c r="NW432" s="273"/>
      <c r="NX432" s="273"/>
      <c r="NY432" s="273"/>
      <c r="NZ432" s="273"/>
      <c r="OA432" s="273"/>
      <c r="OB432" s="273"/>
      <c r="OC432" s="273"/>
      <c r="OD432" s="273"/>
      <c r="OE432" s="273"/>
      <c r="OF432" s="273"/>
      <c r="OG432" s="273"/>
      <c r="OH432" s="273"/>
      <c r="OI432" s="273"/>
      <c r="OJ432" s="273"/>
      <c r="OK432" s="273"/>
      <c r="OL432" s="273"/>
      <c r="OM432" s="273"/>
      <c r="ON432" s="273"/>
      <c r="OO432" s="273"/>
      <c r="OP432" s="273"/>
      <c r="OQ432" s="273"/>
      <c r="OR432" s="273"/>
      <c r="OS432" s="273"/>
      <c r="OT432" s="273"/>
      <c r="OU432" s="273"/>
      <c r="OV432" s="273"/>
      <c r="OW432" s="273"/>
      <c r="OX432" s="273"/>
      <c r="OY432" s="273"/>
      <c r="OZ432" s="273"/>
      <c r="PA432" s="273"/>
      <c r="PB432" s="273"/>
      <c r="PC432" s="273"/>
      <c r="PD432" s="273"/>
      <c r="PE432" s="273"/>
      <c r="PF432" s="273"/>
      <c r="PG432" s="273"/>
      <c r="PH432" s="273"/>
      <c r="PI432" s="273"/>
      <c r="PJ432" s="273"/>
      <c r="PK432" s="273"/>
      <c r="PL432" s="273"/>
      <c r="PM432" s="273"/>
      <c r="PN432" s="273"/>
      <c r="PO432" s="273"/>
      <c r="PP432" s="273"/>
      <c r="PQ432" s="273"/>
      <c r="PR432" s="273"/>
      <c r="PS432" s="273"/>
      <c r="PT432" s="273"/>
      <c r="PU432" s="273"/>
      <c r="PV432" s="273"/>
      <c r="PW432" s="273"/>
      <c r="PX432" s="273"/>
      <c r="PY432" s="273"/>
      <c r="PZ432" s="273"/>
      <c r="QA432" s="273"/>
      <c r="QB432" s="273"/>
      <c r="QC432" s="273"/>
      <c r="QD432" s="273"/>
      <c r="QE432" s="273"/>
      <c r="QF432" s="273"/>
      <c r="QG432" s="273"/>
      <c r="QH432" s="273"/>
      <c r="QI432" s="273"/>
      <c r="QJ432" s="273"/>
      <c r="QK432" s="273"/>
      <c r="QL432" s="273"/>
      <c r="QM432" s="273"/>
      <c r="QN432" s="273"/>
      <c r="QO432" s="273"/>
      <c r="QP432" s="273"/>
      <c r="QQ432" s="273"/>
      <c r="QR432" s="273"/>
      <c r="QS432" s="273"/>
      <c r="QT432" s="273"/>
      <c r="QU432" s="273"/>
      <c r="QV432" s="273"/>
      <c r="QW432" s="273"/>
      <c r="QX432" s="273"/>
      <c r="QY432" s="273"/>
      <c r="QZ432" s="273"/>
      <c r="RA432" s="273"/>
      <c r="RB432" s="273"/>
      <c r="RC432" s="273"/>
      <c r="RD432" s="273"/>
      <c r="RE432" s="273"/>
      <c r="RF432" s="273"/>
      <c r="RG432" s="273"/>
      <c r="RH432" s="273"/>
      <c r="RI432" s="273"/>
      <c r="RJ432" s="273"/>
      <c r="RK432" s="273"/>
      <c r="RL432" s="273"/>
      <c r="RM432" s="273"/>
      <c r="RN432" s="273"/>
      <c r="RO432" s="273"/>
      <c r="RP432" s="273"/>
      <c r="RQ432" s="273"/>
    </row>
    <row r="433" spans="1:485" s="450" customFormat="1" ht="23.25" customHeight="1" x14ac:dyDescent="0.25">
      <c r="A433" s="2995"/>
      <c r="B433" s="595" t="s">
        <v>965</v>
      </c>
      <c r="C433" s="266" t="s">
        <v>48</v>
      </c>
      <c r="D433" s="467" t="s">
        <v>955</v>
      </c>
      <c r="E433" s="468">
        <v>0</v>
      </c>
      <c r="F433" s="468">
        <v>0</v>
      </c>
      <c r="G433" s="467">
        <v>0</v>
      </c>
      <c r="H433" s="451">
        <f t="shared" si="200"/>
        <v>0</v>
      </c>
      <c r="I433" s="675">
        <v>1</v>
      </c>
      <c r="J433" s="451">
        <v>0</v>
      </c>
      <c r="K433" s="451">
        <v>0</v>
      </c>
      <c r="L433" s="451">
        <v>0</v>
      </c>
      <c r="M433" s="1834">
        <f t="shared" si="201"/>
        <v>0</v>
      </c>
      <c r="N433" s="697">
        <v>1</v>
      </c>
      <c r="O433" s="696">
        <f t="shared" si="202"/>
        <v>0</v>
      </c>
      <c r="P433" s="675">
        <v>1</v>
      </c>
      <c r="Q433" s="451">
        <f t="shared" si="203"/>
        <v>0</v>
      </c>
      <c r="R433" s="522" t="s">
        <v>966</v>
      </c>
      <c r="S433" s="452">
        <f>COOPI!S26</f>
        <v>0</v>
      </c>
      <c r="T433" s="591">
        <v>0</v>
      </c>
      <c r="U433" s="522"/>
      <c r="V433" s="591">
        <v>0</v>
      </c>
      <c r="W433" s="452">
        <f t="shared" si="206"/>
        <v>0</v>
      </c>
      <c r="X433" s="45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273"/>
      <c r="BF433" s="273"/>
      <c r="BG433" s="273"/>
      <c r="BH433" s="273"/>
      <c r="BI433" s="273"/>
      <c r="BJ433" s="273"/>
      <c r="BK433" s="273"/>
      <c r="BL433" s="273"/>
      <c r="BM433" s="273"/>
      <c r="BN433" s="273"/>
      <c r="BO433" s="273"/>
      <c r="BP433" s="273"/>
      <c r="BQ433" s="273"/>
      <c r="BR433" s="273"/>
      <c r="BS433" s="273"/>
      <c r="BT433" s="273"/>
      <c r="BU433" s="273"/>
      <c r="BV433" s="273"/>
      <c r="BW433" s="273"/>
      <c r="BX433" s="273"/>
      <c r="BY433" s="273"/>
      <c r="BZ433" s="273"/>
      <c r="CA433" s="273"/>
      <c r="CB433" s="273"/>
      <c r="CC433" s="273"/>
      <c r="CD433" s="273"/>
      <c r="CE433" s="273"/>
      <c r="CF433" s="273"/>
      <c r="CG433" s="273"/>
      <c r="CH433" s="273"/>
      <c r="CI433" s="273"/>
      <c r="CJ433" s="273"/>
      <c r="CK433" s="273"/>
      <c r="CL433" s="273"/>
      <c r="CM433" s="273"/>
      <c r="CN433" s="273"/>
      <c r="CO433" s="273"/>
      <c r="CP433" s="273"/>
      <c r="CQ433" s="273"/>
      <c r="CR433" s="273"/>
      <c r="CS433" s="273"/>
      <c r="CT433" s="273"/>
      <c r="CU433" s="273"/>
      <c r="CV433" s="273"/>
      <c r="CW433" s="273"/>
      <c r="CX433" s="273"/>
      <c r="CY433" s="273"/>
      <c r="CZ433" s="273"/>
      <c r="DA433" s="273"/>
      <c r="DB433" s="273"/>
      <c r="DC433" s="273"/>
      <c r="DD433" s="273"/>
      <c r="DE433" s="273"/>
      <c r="DF433" s="273"/>
      <c r="DG433" s="273"/>
      <c r="DH433" s="273"/>
      <c r="DI433" s="273"/>
      <c r="DJ433" s="273"/>
      <c r="DK433" s="273"/>
      <c r="DL433" s="273"/>
      <c r="DM433" s="273"/>
      <c r="DN433" s="273"/>
      <c r="DO433" s="273"/>
      <c r="DP433" s="273"/>
      <c r="DQ433" s="273"/>
      <c r="DR433" s="273"/>
      <c r="DS433" s="273"/>
      <c r="DT433" s="273"/>
      <c r="DU433" s="273"/>
      <c r="DV433" s="273"/>
      <c r="DW433" s="273"/>
      <c r="DX433" s="273"/>
      <c r="DY433" s="273"/>
      <c r="DZ433" s="273"/>
      <c r="EA433" s="273"/>
      <c r="EB433" s="273"/>
      <c r="EC433" s="273"/>
      <c r="ED433" s="273"/>
      <c r="EE433" s="273"/>
      <c r="EF433" s="273"/>
      <c r="EG433" s="273"/>
      <c r="EH433" s="273"/>
      <c r="EI433" s="273"/>
      <c r="EJ433" s="273"/>
      <c r="EK433" s="273"/>
      <c r="EL433" s="273"/>
      <c r="EM433" s="273"/>
      <c r="EN433" s="273"/>
      <c r="EO433" s="273"/>
      <c r="EP433" s="273"/>
      <c r="EQ433" s="273"/>
      <c r="ER433" s="273"/>
      <c r="ES433" s="273"/>
      <c r="ET433" s="273"/>
      <c r="EU433" s="273"/>
      <c r="EV433" s="273"/>
      <c r="EW433" s="273"/>
      <c r="EX433" s="273"/>
      <c r="EY433" s="273"/>
      <c r="EZ433" s="273"/>
      <c r="FA433" s="273"/>
      <c r="FB433" s="273"/>
      <c r="FC433" s="273"/>
      <c r="FD433" s="273"/>
      <c r="FE433" s="273"/>
      <c r="FF433" s="273"/>
      <c r="FG433" s="273"/>
      <c r="FH433" s="273"/>
      <c r="FI433" s="273"/>
      <c r="FJ433" s="273"/>
      <c r="FK433" s="273"/>
      <c r="FL433" s="273"/>
      <c r="FM433" s="273"/>
      <c r="FN433" s="273"/>
      <c r="FO433" s="273"/>
      <c r="FP433" s="273"/>
      <c r="FQ433" s="273"/>
      <c r="FR433" s="273"/>
      <c r="FS433" s="273"/>
      <c r="FT433" s="273"/>
      <c r="FU433" s="273"/>
      <c r="FV433" s="273"/>
      <c r="FW433" s="273"/>
      <c r="FX433" s="273"/>
      <c r="FY433" s="273"/>
      <c r="FZ433" s="273"/>
      <c r="GA433" s="273"/>
      <c r="GB433" s="273"/>
      <c r="GC433" s="273"/>
      <c r="GD433" s="273"/>
      <c r="GE433" s="273"/>
      <c r="GF433" s="273"/>
      <c r="GG433" s="273"/>
      <c r="GH433" s="273"/>
      <c r="GI433" s="273"/>
      <c r="GJ433" s="273"/>
      <c r="GK433" s="273"/>
      <c r="GL433" s="273"/>
      <c r="GM433" s="273"/>
      <c r="GN433" s="273"/>
      <c r="GO433" s="273"/>
      <c r="GP433" s="273"/>
      <c r="GQ433" s="273"/>
      <c r="GR433" s="273"/>
      <c r="GS433" s="273"/>
      <c r="GT433" s="273"/>
      <c r="GU433" s="273"/>
      <c r="GV433" s="273"/>
      <c r="GW433" s="273"/>
      <c r="GX433" s="273"/>
      <c r="GY433" s="273"/>
      <c r="GZ433" s="273"/>
      <c r="HA433" s="273"/>
      <c r="HB433" s="273"/>
      <c r="HC433" s="273"/>
      <c r="HD433" s="273"/>
      <c r="HE433" s="273"/>
      <c r="HF433" s="273"/>
      <c r="HG433" s="273"/>
      <c r="HH433" s="273"/>
      <c r="HI433" s="273"/>
      <c r="HJ433" s="273"/>
      <c r="HK433" s="273"/>
      <c r="HL433" s="273"/>
      <c r="HM433" s="273"/>
      <c r="HN433" s="273"/>
      <c r="HO433" s="273"/>
      <c r="HP433" s="273"/>
      <c r="HQ433" s="273"/>
      <c r="HR433" s="273"/>
      <c r="HS433" s="273"/>
      <c r="HT433" s="273"/>
      <c r="HU433" s="273"/>
      <c r="HV433" s="273"/>
      <c r="HW433" s="273"/>
      <c r="HX433" s="273"/>
      <c r="HY433" s="273"/>
      <c r="HZ433" s="273"/>
      <c r="IA433" s="273"/>
      <c r="IB433" s="273"/>
      <c r="IC433" s="273"/>
      <c r="ID433" s="273"/>
      <c r="IE433" s="273"/>
      <c r="IF433" s="273"/>
      <c r="IG433" s="273"/>
      <c r="IH433" s="273"/>
      <c r="II433" s="273"/>
      <c r="IJ433" s="273"/>
      <c r="IK433" s="273"/>
      <c r="IL433" s="273"/>
      <c r="IM433" s="273"/>
      <c r="IN433" s="273"/>
      <c r="IO433" s="273"/>
      <c r="IP433" s="273"/>
      <c r="IQ433" s="273"/>
      <c r="IR433" s="273"/>
      <c r="IS433" s="273"/>
      <c r="IT433" s="273"/>
      <c r="IU433" s="273"/>
      <c r="IV433" s="273"/>
      <c r="IW433" s="273"/>
      <c r="IX433" s="273"/>
      <c r="IY433" s="273"/>
      <c r="IZ433" s="273"/>
      <c r="JA433" s="273"/>
      <c r="JB433" s="273"/>
      <c r="JC433" s="273"/>
      <c r="JD433" s="273"/>
      <c r="JE433" s="273"/>
      <c r="JF433" s="273"/>
      <c r="JG433" s="273"/>
      <c r="JH433" s="273"/>
      <c r="JI433" s="273"/>
      <c r="JJ433" s="273"/>
      <c r="JK433" s="273"/>
      <c r="JL433" s="273"/>
      <c r="JM433" s="273"/>
      <c r="JN433" s="273"/>
      <c r="JO433" s="273"/>
      <c r="JP433" s="273"/>
      <c r="JQ433" s="273"/>
      <c r="JR433" s="273"/>
      <c r="JS433" s="273"/>
      <c r="JT433" s="273"/>
      <c r="JU433" s="273"/>
      <c r="JV433" s="273"/>
      <c r="JW433" s="273"/>
      <c r="JX433" s="273"/>
      <c r="JY433" s="273"/>
      <c r="JZ433" s="273"/>
      <c r="KA433" s="273"/>
      <c r="KB433" s="273"/>
      <c r="KC433" s="273"/>
      <c r="KD433" s="273"/>
      <c r="KE433" s="273"/>
      <c r="KF433" s="273"/>
      <c r="KG433" s="273"/>
      <c r="KH433" s="273"/>
      <c r="KI433" s="273"/>
      <c r="KJ433" s="273"/>
      <c r="KK433" s="273"/>
      <c r="KL433" s="273"/>
      <c r="KM433" s="273"/>
      <c r="KN433" s="273"/>
      <c r="KO433" s="273"/>
      <c r="KP433" s="273"/>
      <c r="KQ433" s="273"/>
      <c r="KR433" s="273"/>
      <c r="KS433" s="273"/>
      <c r="KT433" s="273"/>
      <c r="KU433" s="273"/>
      <c r="KV433" s="273"/>
      <c r="KW433" s="273"/>
      <c r="KX433" s="273"/>
      <c r="KY433" s="273"/>
      <c r="KZ433" s="273"/>
      <c r="LA433" s="273"/>
      <c r="LB433" s="273"/>
      <c r="LC433" s="273"/>
      <c r="LD433" s="273"/>
      <c r="LE433" s="273"/>
      <c r="LF433" s="273"/>
      <c r="LG433" s="273"/>
      <c r="LH433" s="273"/>
      <c r="LI433" s="273"/>
      <c r="LJ433" s="273"/>
      <c r="LK433" s="273"/>
      <c r="LL433" s="273"/>
      <c r="LM433" s="273"/>
      <c r="LN433" s="273"/>
      <c r="LO433" s="273"/>
      <c r="LP433" s="273"/>
      <c r="LQ433" s="273"/>
      <c r="LR433" s="273"/>
      <c r="LS433" s="273"/>
      <c r="LT433" s="273"/>
      <c r="LU433" s="273"/>
      <c r="LV433" s="273"/>
      <c r="LW433" s="273"/>
      <c r="LX433" s="273"/>
      <c r="LY433" s="273"/>
      <c r="LZ433" s="273"/>
      <c r="MA433" s="273"/>
      <c r="MB433" s="273"/>
      <c r="MC433" s="273"/>
      <c r="MD433" s="273"/>
      <c r="ME433" s="273"/>
      <c r="MF433" s="273"/>
      <c r="MG433" s="273"/>
      <c r="MH433" s="273"/>
      <c r="MI433" s="273"/>
      <c r="MJ433" s="273"/>
      <c r="MK433" s="273"/>
      <c r="ML433" s="273"/>
      <c r="MM433" s="273"/>
      <c r="MN433" s="273"/>
      <c r="MO433" s="273"/>
      <c r="MP433" s="273"/>
      <c r="MQ433" s="273"/>
      <c r="MR433" s="273"/>
      <c r="MS433" s="273"/>
      <c r="MT433" s="273"/>
      <c r="MU433" s="273"/>
      <c r="MV433" s="273"/>
      <c r="MW433" s="273"/>
      <c r="MX433" s="273"/>
      <c r="MY433" s="273"/>
      <c r="MZ433" s="273"/>
      <c r="NA433" s="273"/>
      <c r="NB433" s="273"/>
      <c r="NC433" s="273"/>
      <c r="ND433" s="273"/>
      <c r="NE433" s="273"/>
      <c r="NF433" s="273"/>
      <c r="NG433" s="273"/>
      <c r="NH433" s="273"/>
      <c r="NI433" s="273"/>
      <c r="NJ433" s="273"/>
      <c r="NK433" s="273"/>
      <c r="NL433" s="273"/>
      <c r="NM433" s="273"/>
      <c r="NN433" s="273"/>
      <c r="NO433" s="273"/>
      <c r="NP433" s="273"/>
      <c r="NQ433" s="273"/>
      <c r="NR433" s="273"/>
      <c r="NS433" s="273"/>
      <c r="NT433" s="273"/>
      <c r="NU433" s="273"/>
      <c r="NV433" s="273"/>
      <c r="NW433" s="273"/>
      <c r="NX433" s="273"/>
      <c r="NY433" s="273"/>
      <c r="NZ433" s="273"/>
      <c r="OA433" s="273"/>
      <c r="OB433" s="273"/>
      <c r="OC433" s="273"/>
      <c r="OD433" s="273"/>
      <c r="OE433" s="273"/>
      <c r="OF433" s="273"/>
      <c r="OG433" s="273"/>
      <c r="OH433" s="273"/>
      <c r="OI433" s="273"/>
      <c r="OJ433" s="273"/>
      <c r="OK433" s="273"/>
      <c r="OL433" s="273"/>
      <c r="OM433" s="273"/>
      <c r="ON433" s="273"/>
      <c r="OO433" s="273"/>
      <c r="OP433" s="273"/>
      <c r="OQ433" s="273"/>
      <c r="OR433" s="273"/>
      <c r="OS433" s="273"/>
      <c r="OT433" s="273"/>
      <c r="OU433" s="273"/>
      <c r="OV433" s="273"/>
      <c r="OW433" s="273"/>
      <c r="OX433" s="273"/>
      <c r="OY433" s="273"/>
      <c r="OZ433" s="273"/>
      <c r="PA433" s="273"/>
      <c r="PB433" s="273"/>
      <c r="PC433" s="273"/>
      <c r="PD433" s="273"/>
      <c r="PE433" s="273"/>
      <c r="PF433" s="273"/>
      <c r="PG433" s="273"/>
      <c r="PH433" s="273"/>
      <c r="PI433" s="273"/>
      <c r="PJ433" s="273"/>
      <c r="PK433" s="273"/>
      <c r="PL433" s="273"/>
      <c r="PM433" s="273"/>
      <c r="PN433" s="273"/>
      <c r="PO433" s="273"/>
      <c r="PP433" s="273"/>
      <c r="PQ433" s="273"/>
      <c r="PR433" s="273"/>
      <c r="PS433" s="273"/>
      <c r="PT433" s="273"/>
      <c r="PU433" s="273"/>
      <c r="PV433" s="273"/>
      <c r="PW433" s="273"/>
      <c r="PX433" s="273"/>
      <c r="PY433" s="273"/>
      <c r="PZ433" s="273"/>
      <c r="QA433" s="273"/>
      <c r="QB433" s="273"/>
      <c r="QC433" s="273"/>
      <c r="QD433" s="273"/>
      <c r="QE433" s="273"/>
      <c r="QF433" s="273"/>
      <c r="QG433" s="273"/>
      <c r="QH433" s="273"/>
      <c r="QI433" s="273"/>
      <c r="QJ433" s="273"/>
      <c r="QK433" s="273"/>
      <c r="QL433" s="273"/>
      <c r="QM433" s="273"/>
      <c r="QN433" s="273"/>
      <c r="QO433" s="273"/>
      <c r="QP433" s="273"/>
      <c r="QQ433" s="273"/>
      <c r="QR433" s="273"/>
      <c r="QS433" s="273"/>
      <c r="QT433" s="273"/>
      <c r="QU433" s="273"/>
      <c r="QV433" s="273"/>
      <c r="QW433" s="273"/>
      <c r="QX433" s="273"/>
      <c r="QY433" s="273"/>
      <c r="QZ433" s="273"/>
      <c r="RA433" s="273"/>
      <c r="RB433" s="273"/>
      <c r="RC433" s="273"/>
      <c r="RD433" s="273"/>
      <c r="RE433" s="273"/>
      <c r="RF433" s="273"/>
      <c r="RG433" s="273"/>
      <c r="RH433" s="273"/>
      <c r="RI433" s="273"/>
      <c r="RJ433" s="273"/>
      <c r="RK433" s="273"/>
      <c r="RL433" s="273"/>
      <c r="RM433" s="273"/>
      <c r="RN433" s="273"/>
      <c r="RO433" s="273"/>
      <c r="RP433" s="273"/>
      <c r="RQ433" s="273"/>
    </row>
    <row r="434" spans="1:485" s="450" customFormat="1" ht="39" x14ac:dyDescent="0.25">
      <c r="A434" s="2995"/>
      <c r="B434" s="595" t="s">
        <v>967</v>
      </c>
      <c r="C434" s="266" t="s">
        <v>15</v>
      </c>
      <c r="D434" s="467" t="s">
        <v>955</v>
      </c>
      <c r="E434" s="468">
        <v>4</v>
      </c>
      <c r="F434" s="468">
        <v>467.5</v>
      </c>
      <c r="G434" s="467">
        <v>1</v>
      </c>
      <c r="H434" s="451">
        <f t="shared" si="200"/>
        <v>1870</v>
      </c>
      <c r="I434" s="675">
        <v>1</v>
      </c>
      <c r="J434" s="451"/>
      <c r="K434" s="451"/>
      <c r="L434" s="451"/>
      <c r="M434" s="1834">
        <f t="shared" si="201"/>
        <v>0</v>
      </c>
      <c r="N434" s="697">
        <v>1</v>
      </c>
      <c r="O434" s="696">
        <f t="shared" si="202"/>
        <v>1870</v>
      </c>
      <c r="P434" s="675">
        <v>1</v>
      </c>
      <c r="Q434" s="451">
        <f t="shared" si="203"/>
        <v>1870</v>
      </c>
      <c r="R434" s="522" t="s">
        <v>968</v>
      </c>
      <c r="S434" s="452">
        <f>COOPI!S27</f>
        <v>1870</v>
      </c>
      <c r="T434" s="591">
        <f t="shared" si="204"/>
        <v>1</v>
      </c>
      <c r="U434" s="894" t="s">
        <v>606</v>
      </c>
      <c r="V434" s="591">
        <f t="shared" si="205"/>
        <v>1</v>
      </c>
      <c r="W434" s="452">
        <f t="shared" si="206"/>
        <v>1870</v>
      </c>
      <c r="X434" s="452" t="s">
        <v>606</v>
      </c>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273"/>
      <c r="BF434" s="273"/>
      <c r="BG434" s="273"/>
      <c r="BH434" s="273"/>
      <c r="BI434" s="273"/>
      <c r="BJ434" s="273"/>
      <c r="BK434" s="273"/>
      <c r="BL434" s="273"/>
      <c r="BM434" s="273"/>
      <c r="BN434" s="273"/>
      <c r="BO434" s="273"/>
      <c r="BP434" s="273"/>
      <c r="BQ434" s="273"/>
      <c r="BR434" s="273"/>
      <c r="BS434" s="273"/>
      <c r="BT434" s="273"/>
      <c r="BU434" s="273"/>
      <c r="BV434" s="273"/>
      <c r="BW434" s="273"/>
      <c r="BX434" s="273"/>
      <c r="BY434" s="273"/>
      <c r="BZ434" s="273"/>
      <c r="CA434" s="273"/>
      <c r="CB434" s="273"/>
      <c r="CC434" s="273"/>
      <c r="CD434" s="273"/>
      <c r="CE434" s="273"/>
      <c r="CF434" s="273"/>
      <c r="CG434" s="273"/>
      <c r="CH434" s="273"/>
      <c r="CI434" s="273"/>
      <c r="CJ434" s="273"/>
      <c r="CK434" s="273"/>
      <c r="CL434" s="273"/>
      <c r="CM434" s="273"/>
      <c r="CN434" s="273"/>
      <c r="CO434" s="273"/>
      <c r="CP434" s="273"/>
      <c r="CQ434" s="273"/>
      <c r="CR434" s="273"/>
      <c r="CS434" s="273"/>
      <c r="CT434" s="273"/>
      <c r="CU434" s="273"/>
      <c r="CV434" s="273"/>
      <c r="CW434" s="273"/>
      <c r="CX434" s="273"/>
      <c r="CY434" s="273"/>
      <c r="CZ434" s="273"/>
      <c r="DA434" s="273"/>
      <c r="DB434" s="273"/>
      <c r="DC434" s="273"/>
      <c r="DD434" s="273"/>
      <c r="DE434" s="273"/>
      <c r="DF434" s="273"/>
      <c r="DG434" s="273"/>
      <c r="DH434" s="273"/>
      <c r="DI434" s="273"/>
      <c r="DJ434" s="273"/>
      <c r="DK434" s="273"/>
      <c r="DL434" s="273"/>
      <c r="DM434" s="273"/>
      <c r="DN434" s="273"/>
      <c r="DO434" s="273"/>
      <c r="DP434" s="273"/>
      <c r="DQ434" s="273"/>
      <c r="DR434" s="273"/>
      <c r="DS434" s="273"/>
      <c r="DT434" s="273"/>
      <c r="DU434" s="273"/>
      <c r="DV434" s="273"/>
      <c r="DW434" s="273"/>
      <c r="DX434" s="273"/>
      <c r="DY434" s="273"/>
      <c r="DZ434" s="273"/>
      <c r="EA434" s="273"/>
      <c r="EB434" s="273"/>
      <c r="EC434" s="273"/>
      <c r="ED434" s="273"/>
      <c r="EE434" s="273"/>
      <c r="EF434" s="273"/>
      <c r="EG434" s="273"/>
      <c r="EH434" s="273"/>
      <c r="EI434" s="273"/>
      <c r="EJ434" s="273"/>
      <c r="EK434" s="273"/>
      <c r="EL434" s="273"/>
      <c r="EM434" s="273"/>
      <c r="EN434" s="273"/>
      <c r="EO434" s="273"/>
      <c r="EP434" s="273"/>
      <c r="EQ434" s="273"/>
      <c r="ER434" s="273"/>
      <c r="ES434" s="273"/>
      <c r="ET434" s="273"/>
      <c r="EU434" s="273"/>
      <c r="EV434" s="273"/>
      <c r="EW434" s="273"/>
      <c r="EX434" s="273"/>
      <c r="EY434" s="273"/>
      <c r="EZ434" s="273"/>
      <c r="FA434" s="273"/>
      <c r="FB434" s="273"/>
      <c r="FC434" s="273"/>
      <c r="FD434" s="273"/>
      <c r="FE434" s="273"/>
      <c r="FF434" s="273"/>
      <c r="FG434" s="273"/>
      <c r="FH434" s="273"/>
      <c r="FI434" s="273"/>
      <c r="FJ434" s="273"/>
      <c r="FK434" s="273"/>
      <c r="FL434" s="273"/>
      <c r="FM434" s="273"/>
      <c r="FN434" s="273"/>
      <c r="FO434" s="273"/>
      <c r="FP434" s="273"/>
      <c r="FQ434" s="273"/>
      <c r="FR434" s="273"/>
      <c r="FS434" s="273"/>
      <c r="FT434" s="273"/>
      <c r="FU434" s="273"/>
      <c r="FV434" s="273"/>
      <c r="FW434" s="273"/>
      <c r="FX434" s="273"/>
      <c r="FY434" s="273"/>
      <c r="FZ434" s="273"/>
      <c r="GA434" s="273"/>
      <c r="GB434" s="273"/>
      <c r="GC434" s="273"/>
      <c r="GD434" s="273"/>
      <c r="GE434" s="273"/>
      <c r="GF434" s="273"/>
      <c r="GG434" s="273"/>
      <c r="GH434" s="273"/>
      <c r="GI434" s="273"/>
      <c r="GJ434" s="273"/>
      <c r="GK434" s="273"/>
      <c r="GL434" s="273"/>
      <c r="GM434" s="273"/>
      <c r="GN434" s="273"/>
      <c r="GO434" s="273"/>
      <c r="GP434" s="273"/>
      <c r="GQ434" s="273"/>
      <c r="GR434" s="273"/>
      <c r="GS434" s="273"/>
      <c r="GT434" s="273"/>
      <c r="GU434" s="273"/>
      <c r="GV434" s="273"/>
      <c r="GW434" s="273"/>
      <c r="GX434" s="273"/>
      <c r="GY434" s="273"/>
      <c r="GZ434" s="273"/>
      <c r="HA434" s="273"/>
      <c r="HB434" s="273"/>
      <c r="HC434" s="273"/>
      <c r="HD434" s="273"/>
      <c r="HE434" s="273"/>
      <c r="HF434" s="273"/>
      <c r="HG434" s="273"/>
      <c r="HH434" s="273"/>
      <c r="HI434" s="273"/>
      <c r="HJ434" s="273"/>
      <c r="HK434" s="273"/>
      <c r="HL434" s="273"/>
      <c r="HM434" s="273"/>
      <c r="HN434" s="273"/>
      <c r="HO434" s="273"/>
      <c r="HP434" s="273"/>
      <c r="HQ434" s="273"/>
      <c r="HR434" s="273"/>
      <c r="HS434" s="273"/>
      <c r="HT434" s="273"/>
      <c r="HU434" s="273"/>
      <c r="HV434" s="273"/>
      <c r="HW434" s="273"/>
      <c r="HX434" s="273"/>
      <c r="HY434" s="273"/>
      <c r="HZ434" s="273"/>
      <c r="IA434" s="273"/>
      <c r="IB434" s="273"/>
      <c r="IC434" s="273"/>
      <c r="ID434" s="273"/>
      <c r="IE434" s="273"/>
      <c r="IF434" s="273"/>
      <c r="IG434" s="273"/>
      <c r="IH434" s="273"/>
      <c r="II434" s="273"/>
      <c r="IJ434" s="273"/>
      <c r="IK434" s="273"/>
      <c r="IL434" s="273"/>
      <c r="IM434" s="273"/>
      <c r="IN434" s="273"/>
      <c r="IO434" s="273"/>
      <c r="IP434" s="273"/>
      <c r="IQ434" s="273"/>
      <c r="IR434" s="273"/>
      <c r="IS434" s="273"/>
      <c r="IT434" s="273"/>
      <c r="IU434" s="273"/>
      <c r="IV434" s="273"/>
      <c r="IW434" s="273"/>
      <c r="IX434" s="273"/>
      <c r="IY434" s="273"/>
      <c r="IZ434" s="273"/>
      <c r="JA434" s="273"/>
      <c r="JB434" s="273"/>
      <c r="JC434" s="273"/>
      <c r="JD434" s="273"/>
      <c r="JE434" s="273"/>
      <c r="JF434" s="273"/>
      <c r="JG434" s="273"/>
      <c r="JH434" s="273"/>
      <c r="JI434" s="273"/>
      <c r="JJ434" s="273"/>
      <c r="JK434" s="273"/>
      <c r="JL434" s="273"/>
      <c r="JM434" s="273"/>
      <c r="JN434" s="273"/>
      <c r="JO434" s="273"/>
      <c r="JP434" s="273"/>
      <c r="JQ434" s="273"/>
      <c r="JR434" s="273"/>
      <c r="JS434" s="273"/>
      <c r="JT434" s="273"/>
      <c r="JU434" s="273"/>
      <c r="JV434" s="273"/>
      <c r="JW434" s="273"/>
      <c r="JX434" s="273"/>
      <c r="JY434" s="273"/>
      <c r="JZ434" s="273"/>
      <c r="KA434" s="273"/>
      <c r="KB434" s="273"/>
      <c r="KC434" s="273"/>
      <c r="KD434" s="273"/>
      <c r="KE434" s="273"/>
      <c r="KF434" s="273"/>
      <c r="KG434" s="273"/>
      <c r="KH434" s="273"/>
      <c r="KI434" s="273"/>
      <c r="KJ434" s="273"/>
      <c r="KK434" s="273"/>
      <c r="KL434" s="273"/>
      <c r="KM434" s="273"/>
      <c r="KN434" s="273"/>
      <c r="KO434" s="273"/>
      <c r="KP434" s="273"/>
      <c r="KQ434" s="273"/>
      <c r="KR434" s="273"/>
      <c r="KS434" s="273"/>
      <c r="KT434" s="273"/>
      <c r="KU434" s="273"/>
      <c r="KV434" s="273"/>
      <c r="KW434" s="273"/>
      <c r="KX434" s="273"/>
      <c r="KY434" s="273"/>
      <c r="KZ434" s="273"/>
      <c r="LA434" s="273"/>
      <c r="LB434" s="273"/>
      <c r="LC434" s="273"/>
      <c r="LD434" s="273"/>
      <c r="LE434" s="273"/>
      <c r="LF434" s="273"/>
      <c r="LG434" s="273"/>
      <c r="LH434" s="273"/>
      <c r="LI434" s="273"/>
      <c r="LJ434" s="273"/>
      <c r="LK434" s="273"/>
      <c r="LL434" s="273"/>
      <c r="LM434" s="273"/>
      <c r="LN434" s="273"/>
      <c r="LO434" s="273"/>
      <c r="LP434" s="273"/>
      <c r="LQ434" s="273"/>
      <c r="LR434" s="273"/>
      <c r="LS434" s="273"/>
      <c r="LT434" s="273"/>
      <c r="LU434" s="273"/>
      <c r="LV434" s="273"/>
      <c r="LW434" s="273"/>
      <c r="LX434" s="273"/>
      <c r="LY434" s="273"/>
      <c r="LZ434" s="273"/>
      <c r="MA434" s="273"/>
      <c r="MB434" s="273"/>
      <c r="MC434" s="273"/>
      <c r="MD434" s="273"/>
      <c r="ME434" s="273"/>
      <c r="MF434" s="273"/>
      <c r="MG434" s="273"/>
      <c r="MH434" s="273"/>
      <c r="MI434" s="273"/>
      <c r="MJ434" s="273"/>
      <c r="MK434" s="273"/>
      <c r="ML434" s="273"/>
      <c r="MM434" s="273"/>
      <c r="MN434" s="273"/>
      <c r="MO434" s="273"/>
      <c r="MP434" s="273"/>
      <c r="MQ434" s="273"/>
      <c r="MR434" s="273"/>
      <c r="MS434" s="273"/>
      <c r="MT434" s="273"/>
      <c r="MU434" s="273"/>
      <c r="MV434" s="273"/>
      <c r="MW434" s="273"/>
      <c r="MX434" s="273"/>
      <c r="MY434" s="273"/>
      <c r="MZ434" s="273"/>
      <c r="NA434" s="273"/>
      <c r="NB434" s="273"/>
      <c r="NC434" s="273"/>
      <c r="ND434" s="273"/>
      <c r="NE434" s="273"/>
      <c r="NF434" s="273"/>
      <c r="NG434" s="273"/>
      <c r="NH434" s="273"/>
      <c r="NI434" s="273"/>
      <c r="NJ434" s="273"/>
      <c r="NK434" s="273"/>
      <c r="NL434" s="273"/>
      <c r="NM434" s="273"/>
      <c r="NN434" s="273"/>
      <c r="NO434" s="273"/>
      <c r="NP434" s="273"/>
      <c r="NQ434" s="273"/>
      <c r="NR434" s="273"/>
      <c r="NS434" s="273"/>
      <c r="NT434" s="273"/>
      <c r="NU434" s="273"/>
      <c r="NV434" s="273"/>
      <c r="NW434" s="273"/>
      <c r="NX434" s="273"/>
      <c r="NY434" s="273"/>
      <c r="NZ434" s="273"/>
      <c r="OA434" s="273"/>
      <c r="OB434" s="273"/>
      <c r="OC434" s="273"/>
      <c r="OD434" s="273"/>
      <c r="OE434" s="273"/>
      <c r="OF434" s="273"/>
      <c r="OG434" s="273"/>
      <c r="OH434" s="273"/>
      <c r="OI434" s="273"/>
      <c r="OJ434" s="273"/>
      <c r="OK434" s="273"/>
      <c r="OL434" s="273"/>
      <c r="OM434" s="273"/>
      <c r="ON434" s="273"/>
      <c r="OO434" s="273"/>
      <c r="OP434" s="273"/>
      <c r="OQ434" s="273"/>
      <c r="OR434" s="273"/>
      <c r="OS434" s="273"/>
      <c r="OT434" s="273"/>
      <c r="OU434" s="273"/>
      <c r="OV434" s="273"/>
      <c r="OW434" s="273"/>
      <c r="OX434" s="273"/>
      <c r="OY434" s="273"/>
      <c r="OZ434" s="273"/>
      <c r="PA434" s="273"/>
      <c r="PB434" s="273"/>
      <c r="PC434" s="273"/>
      <c r="PD434" s="273"/>
      <c r="PE434" s="273"/>
      <c r="PF434" s="273"/>
      <c r="PG434" s="273"/>
      <c r="PH434" s="273"/>
      <c r="PI434" s="273"/>
      <c r="PJ434" s="273"/>
      <c r="PK434" s="273"/>
      <c r="PL434" s="273"/>
      <c r="PM434" s="273"/>
      <c r="PN434" s="273"/>
      <c r="PO434" s="273"/>
      <c r="PP434" s="273"/>
      <c r="PQ434" s="273"/>
      <c r="PR434" s="273"/>
      <c r="PS434" s="273"/>
      <c r="PT434" s="273"/>
      <c r="PU434" s="273"/>
      <c r="PV434" s="273"/>
      <c r="PW434" s="273"/>
      <c r="PX434" s="273"/>
      <c r="PY434" s="273"/>
      <c r="PZ434" s="273"/>
      <c r="QA434" s="273"/>
      <c r="QB434" s="273"/>
      <c r="QC434" s="273"/>
      <c r="QD434" s="273"/>
      <c r="QE434" s="273"/>
      <c r="QF434" s="273"/>
      <c r="QG434" s="273"/>
      <c r="QH434" s="273"/>
      <c r="QI434" s="273"/>
      <c r="QJ434" s="273"/>
      <c r="QK434" s="273"/>
      <c r="QL434" s="273"/>
      <c r="QM434" s="273"/>
      <c r="QN434" s="273"/>
      <c r="QO434" s="273"/>
      <c r="QP434" s="273"/>
      <c r="QQ434" s="273"/>
      <c r="QR434" s="273"/>
      <c r="QS434" s="273"/>
      <c r="QT434" s="273"/>
      <c r="QU434" s="273"/>
      <c r="QV434" s="273"/>
      <c r="QW434" s="273"/>
      <c r="QX434" s="273"/>
      <c r="QY434" s="273"/>
      <c r="QZ434" s="273"/>
      <c r="RA434" s="273"/>
      <c r="RB434" s="273"/>
      <c r="RC434" s="273"/>
      <c r="RD434" s="273"/>
      <c r="RE434" s="273"/>
      <c r="RF434" s="273"/>
      <c r="RG434" s="273"/>
      <c r="RH434" s="273"/>
      <c r="RI434" s="273"/>
      <c r="RJ434" s="273"/>
      <c r="RK434" s="273"/>
      <c r="RL434" s="273"/>
      <c r="RM434" s="273"/>
      <c r="RN434" s="273"/>
      <c r="RO434" s="273"/>
      <c r="RP434" s="273"/>
      <c r="RQ434" s="273"/>
    </row>
    <row r="435" spans="1:485" s="450" customFormat="1" ht="26" x14ac:dyDescent="0.25">
      <c r="A435" s="2995"/>
      <c r="B435" s="595" t="s">
        <v>969</v>
      </c>
      <c r="C435" s="266" t="s">
        <v>15</v>
      </c>
      <c r="D435" s="467" t="s">
        <v>955</v>
      </c>
      <c r="E435" s="468">
        <v>15</v>
      </c>
      <c r="F435" s="468">
        <v>42.583333333333336</v>
      </c>
      <c r="G435" s="467">
        <v>1</v>
      </c>
      <c r="H435" s="451">
        <f t="shared" si="200"/>
        <v>638.75</v>
      </c>
      <c r="I435" s="675">
        <v>1</v>
      </c>
      <c r="J435" s="451"/>
      <c r="K435" s="451"/>
      <c r="L435" s="451"/>
      <c r="M435" s="1834">
        <f t="shared" si="201"/>
        <v>0</v>
      </c>
      <c r="N435" s="697">
        <v>1</v>
      </c>
      <c r="O435" s="696">
        <f t="shared" si="202"/>
        <v>638.75</v>
      </c>
      <c r="P435" s="675">
        <v>1</v>
      </c>
      <c r="Q435" s="451">
        <f t="shared" si="203"/>
        <v>638.75</v>
      </c>
      <c r="R435" s="522" t="s">
        <v>970</v>
      </c>
      <c r="S435" s="452">
        <f>COOPI!S28</f>
        <v>639.75</v>
      </c>
      <c r="T435" s="591">
        <f t="shared" si="204"/>
        <v>1.0015655577299414</v>
      </c>
      <c r="U435" s="894" t="s">
        <v>606</v>
      </c>
      <c r="V435" s="591">
        <f t="shared" si="205"/>
        <v>1.0015655577299414</v>
      </c>
      <c r="W435" s="452">
        <f t="shared" si="206"/>
        <v>639.75</v>
      </c>
      <c r="X435" s="452" t="s">
        <v>606</v>
      </c>
      <c r="Y435" s="273"/>
      <c r="Z435" s="273"/>
      <c r="AA435" s="273"/>
      <c r="AB435" s="273"/>
      <c r="AC435" s="273"/>
      <c r="AD435" s="273"/>
      <c r="AE435" s="273"/>
      <c r="AF435" s="273"/>
      <c r="AG435" s="273"/>
      <c r="AH435" s="273"/>
      <c r="AI435" s="273"/>
      <c r="AJ435" s="273"/>
      <c r="AK435" s="273"/>
      <c r="AL435" s="273"/>
      <c r="AM435" s="273"/>
      <c r="AN435" s="273"/>
      <c r="AO435" s="273"/>
      <c r="AP435" s="273"/>
      <c r="AQ435" s="273"/>
      <c r="AR435" s="273"/>
      <c r="AS435" s="273"/>
      <c r="AT435" s="273"/>
      <c r="AU435" s="273"/>
      <c r="AV435" s="273"/>
      <c r="AW435" s="273"/>
      <c r="AX435" s="273"/>
      <c r="AY435" s="273"/>
      <c r="AZ435" s="273"/>
      <c r="BA435" s="273"/>
      <c r="BB435" s="273"/>
      <c r="BC435" s="273"/>
      <c r="BD435" s="273"/>
      <c r="BE435" s="273"/>
      <c r="BF435" s="273"/>
      <c r="BG435" s="273"/>
      <c r="BH435" s="273"/>
      <c r="BI435" s="273"/>
      <c r="BJ435" s="273"/>
      <c r="BK435" s="273"/>
      <c r="BL435" s="273"/>
      <c r="BM435" s="273"/>
      <c r="BN435" s="273"/>
      <c r="BO435" s="273"/>
      <c r="BP435" s="273"/>
      <c r="BQ435" s="273"/>
      <c r="BR435" s="273"/>
      <c r="BS435" s="273"/>
      <c r="BT435" s="273"/>
      <c r="BU435" s="273"/>
      <c r="BV435" s="273"/>
      <c r="BW435" s="273"/>
      <c r="BX435" s="273"/>
      <c r="BY435" s="273"/>
      <c r="BZ435" s="273"/>
      <c r="CA435" s="273"/>
      <c r="CB435" s="273"/>
      <c r="CC435" s="273"/>
      <c r="CD435" s="273"/>
      <c r="CE435" s="273"/>
      <c r="CF435" s="273"/>
      <c r="CG435" s="273"/>
      <c r="CH435" s="273"/>
      <c r="CI435" s="273"/>
      <c r="CJ435" s="273"/>
      <c r="CK435" s="273"/>
      <c r="CL435" s="273"/>
      <c r="CM435" s="273"/>
      <c r="CN435" s="273"/>
      <c r="CO435" s="273"/>
      <c r="CP435" s="273"/>
      <c r="CQ435" s="273"/>
      <c r="CR435" s="273"/>
      <c r="CS435" s="273"/>
      <c r="CT435" s="273"/>
      <c r="CU435" s="273"/>
      <c r="CV435" s="273"/>
      <c r="CW435" s="273"/>
      <c r="CX435" s="273"/>
      <c r="CY435" s="273"/>
      <c r="CZ435" s="273"/>
      <c r="DA435" s="273"/>
      <c r="DB435" s="273"/>
      <c r="DC435" s="273"/>
      <c r="DD435" s="273"/>
      <c r="DE435" s="273"/>
      <c r="DF435" s="273"/>
      <c r="DG435" s="273"/>
      <c r="DH435" s="273"/>
      <c r="DI435" s="273"/>
      <c r="DJ435" s="273"/>
      <c r="DK435" s="273"/>
      <c r="DL435" s="273"/>
      <c r="DM435" s="273"/>
      <c r="DN435" s="273"/>
      <c r="DO435" s="273"/>
      <c r="DP435" s="273"/>
      <c r="DQ435" s="273"/>
      <c r="DR435" s="273"/>
      <c r="DS435" s="273"/>
      <c r="DT435" s="273"/>
      <c r="DU435" s="273"/>
      <c r="DV435" s="273"/>
      <c r="DW435" s="273"/>
      <c r="DX435" s="273"/>
      <c r="DY435" s="273"/>
      <c r="DZ435" s="273"/>
      <c r="EA435" s="273"/>
      <c r="EB435" s="273"/>
      <c r="EC435" s="273"/>
      <c r="ED435" s="273"/>
      <c r="EE435" s="273"/>
      <c r="EF435" s="273"/>
      <c r="EG435" s="273"/>
      <c r="EH435" s="273"/>
      <c r="EI435" s="273"/>
      <c r="EJ435" s="273"/>
      <c r="EK435" s="273"/>
      <c r="EL435" s="273"/>
      <c r="EM435" s="273"/>
      <c r="EN435" s="273"/>
      <c r="EO435" s="273"/>
      <c r="EP435" s="273"/>
      <c r="EQ435" s="273"/>
      <c r="ER435" s="273"/>
      <c r="ES435" s="273"/>
      <c r="ET435" s="273"/>
      <c r="EU435" s="273"/>
      <c r="EV435" s="273"/>
      <c r="EW435" s="273"/>
      <c r="EX435" s="273"/>
      <c r="EY435" s="273"/>
      <c r="EZ435" s="273"/>
      <c r="FA435" s="273"/>
      <c r="FB435" s="273"/>
      <c r="FC435" s="273"/>
      <c r="FD435" s="273"/>
      <c r="FE435" s="273"/>
      <c r="FF435" s="273"/>
      <c r="FG435" s="273"/>
      <c r="FH435" s="273"/>
      <c r="FI435" s="273"/>
      <c r="FJ435" s="273"/>
      <c r="FK435" s="273"/>
      <c r="FL435" s="273"/>
      <c r="FM435" s="273"/>
      <c r="FN435" s="273"/>
      <c r="FO435" s="273"/>
      <c r="FP435" s="273"/>
      <c r="FQ435" s="273"/>
      <c r="FR435" s="273"/>
      <c r="FS435" s="273"/>
      <c r="FT435" s="273"/>
      <c r="FU435" s="273"/>
      <c r="FV435" s="273"/>
      <c r="FW435" s="273"/>
      <c r="FX435" s="273"/>
      <c r="FY435" s="273"/>
      <c r="FZ435" s="273"/>
      <c r="GA435" s="273"/>
      <c r="GB435" s="273"/>
      <c r="GC435" s="273"/>
      <c r="GD435" s="273"/>
      <c r="GE435" s="273"/>
      <c r="GF435" s="273"/>
      <c r="GG435" s="273"/>
      <c r="GH435" s="273"/>
      <c r="GI435" s="273"/>
      <c r="GJ435" s="273"/>
      <c r="GK435" s="273"/>
      <c r="GL435" s="273"/>
      <c r="GM435" s="273"/>
      <c r="GN435" s="273"/>
      <c r="GO435" s="273"/>
      <c r="GP435" s="273"/>
      <c r="GQ435" s="273"/>
      <c r="GR435" s="273"/>
      <c r="GS435" s="273"/>
      <c r="GT435" s="273"/>
      <c r="GU435" s="273"/>
      <c r="GV435" s="273"/>
      <c r="GW435" s="273"/>
      <c r="GX435" s="273"/>
      <c r="GY435" s="273"/>
      <c r="GZ435" s="273"/>
      <c r="HA435" s="273"/>
      <c r="HB435" s="273"/>
      <c r="HC435" s="273"/>
      <c r="HD435" s="273"/>
      <c r="HE435" s="273"/>
      <c r="HF435" s="273"/>
      <c r="HG435" s="273"/>
      <c r="HH435" s="273"/>
      <c r="HI435" s="273"/>
      <c r="HJ435" s="273"/>
      <c r="HK435" s="273"/>
      <c r="HL435" s="273"/>
      <c r="HM435" s="273"/>
      <c r="HN435" s="273"/>
      <c r="HO435" s="273"/>
      <c r="HP435" s="273"/>
      <c r="HQ435" s="273"/>
      <c r="HR435" s="273"/>
      <c r="HS435" s="273"/>
      <c r="HT435" s="273"/>
      <c r="HU435" s="273"/>
      <c r="HV435" s="273"/>
      <c r="HW435" s="273"/>
      <c r="HX435" s="273"/>
      <c r="HY435" s="273"/>
      <c r="HZ435" s="273"/>
      <c r="IA435" s="273"/>
      <c r="IB435" s="273"/>
      <c r="IC435" s="273"/>
      <c r="ID435" s="273"/>
      <c r="IE435" s="273"/>
      <c r="IF435" s="273"/>
      <c r="IG435" s="273"/>
      <c r="IH435" s="273"/>
      <c r="II435" s="273"/>
      <c r="IJ435" s="273"/>
      <c r="IK435" s="273"/>
      <c r="IL435" s="273"/>
      <c r="IM435" s="273"/>
      <c r="IN435" s="273"/>
      <c r="IO435" s="273"/>
      <c r="IP435" s="273"/>
      <c r="IQ435" s="273"/>
      <c r="IR435" s="273"/>
      <c r="IS435" s="273"/>
      <c r="IT435" s="273"/>
      <c r="IU435" s="273"/>
      <c r="IV435" s="273"/>
      <c r="IW435" s="273"/>
      <c r="IX435" s="273"/>
      <c r="IY435" s="273"/>
      <c r="IZ435" s="273"/>
      <c r="JA435" s="273"/>
      <c r="JB435" s="273"/>
      <c r="JC435" s="273"/>
      <c r="JD435" s="273"/>
      <c r="JE435" s="273"/>
      <c r="JF435" s="273"/>
      <c r="JG435" s="273"/>
      <c r="JH435" s="273"/>
      <c r="JI435" s="273"/>
      <c r="JJ435" s="273"/>
      <c r="JK435" s="273"/>
      <c r="JL435" s="273"/>
      <c r="JM435" s="273"/>
      <c r="JN435" s="273"/>
      <c r="JO435" s="273"/>
      <c r="JP435" s="273"/>
      <c r="JQ435" s="273"/>
      <c r="JR435" s="273"/>
      <c r="JS435" s="273"/>
      <c r="JT435" s="273"/>
      <c r="JU435" s="273"/>
      <c r="JV435" s="273"/>
      <c r="JW435" s="273"/>
      <c r="JX435" s="273"/>
      <c r="JY435" s="273"/>
      <c r="JZ435" s="273"/>
      <c r="KA435" s="273"/>
      <c r="KB435" s="273"/>
      <c r="KC435" s="273"/>
      <c r="KD435" s="273"/>
      <c r="KE435" s="273"/>
      <c r="KF435" s="273"/>
      <c r="KG435" s="273"/>
      <c r="KH435" s="273"/>
      <c r="KI435" s="273"/>
      <c r="KJ435" s="273"/>
      <c r="KK435" s="273"/>
      <c r="KL435" s="273"/>
      <c r="KM435" s="273"/>
      <c r="KN435" s="273"/>
      <c r="KO435" s="273"/>
      <c r="KP435" s="273"/>
      <c r="KQ435" s="273"/>
      <c r="KR435" s="273"/>
      <c r="KS435" s="273"/>
      <c r="KT435" s="273"/>
      <c r="KU435" s="273"/>
      <c r="KV435" s="273"/>
      <c r="KW435" s="273"/>
      <c r="KX435" s="273"/>
      <c r="KY435" s="273"/>
      <c r="KZ435" s="273"/>
      <c r="LA435" s="273"/>
      <c r="LB435" s="273"/>
      <c r="LC435" s="273"/>
      <c r="LD435" s="273"/>
      <c r="LE435" s="273"/>
      <c r="LF435" s="273"/>
      <c r="LG435" s="273"/>
      <c r="LH435" s="273"/>
      <c r="LI435" s="273"/>
      <c r="LJ435" s="273"/>
      <c r="LK435" s="273"/>
      <c r="LL435" s="273"/>
      <c r="LM435" s="273"/>
      <c r="LN435" s="273"/>
      <c r="LO435" s="273"/>
      <c r="LP435" s="273"/>
      <c r="LQ435" s="273"/>
      <c r="LR435" s="273"/>
      <c r="LS435" s="273"/>
      <c r="LT435" s="273"/>
      <c r="LU435" s="273"/>
      <c r="LV435" s="273"/>
      <c r="LW435" s="273"/>
      <c r="LX435" s="273"/>
      <c r="LY435" s="273"/>
      <c r="LZ435" s="273"/>
      <c r="MA435" s="273"/>
      <c r="MB435" s="273"/>
      <c r="MC435" s="273"/>
      <c r="MD435" s="273"/>
      <c r="ME435" s="273"/>
      <c r="MF435" s="273"/>
      <c r="MG435" s="273"/>
      <c r="MH435" s="273"/>
      <c r="MI435" s="273"/>
      <c r="MJ435" s="273"/>
      <c r="MK435" s="273"/>
      <c r="ML435" s="273"/>
      <c r="MM435" s="273"/>
      <c r="MN435" s="273"/>
      <c r="MO435" s="273"/>
      <c r="MP435" s="273"/>
      <c r="MQ435" s="273"/>
      <c r="MR435" s="273"/>
      <c r="MS435" s="273"/>
      <c r="MT435" s="273"/>
      <c r="MU435" s="273"/>
      <c r="MV435" s="273"/>
      <c r="MW435" s="273"/>
      <c r="MX435" s="273"/>
      <c r="MY435" s="273"/>
      <c r="MZ435" s="273"/>
      <c r="NA435" s="273"/>
      <c r="NB435" s="273"/>
      <c r="NC435" s="273"/>
      <c r="ND435" s="273"/>
      <c r="NE435" s="273"/>
      <c r="NF435" s="273"/>
      <c r="NG435" s="273"/>
      <c r="NH435" s="273"/>
      <c r="NI435" s="273"/>
      <c r="NJ435" s="273"/>
      <c r="NK435" s="273"/>
      <c r="NL435" s="273"/>
      <c r="NM435" s="273"/>
      <c r="NN435" s="273"/>
      <c r="NO435" s="273"/>
      <c r="NP435" s="273"/>
      <c r="NQ435" s="273"/>
      <c r="NR435" s="273"/>
      <c r="NS435" s="273"/>
      <c r="NT435" s="273"/>
      <c r="NU435" s="273"/>
      <c r="NV435" s="273"/>
      <c r="NW435" s="273"/>
      <c r="NX435" s="273"/>
      <c r="NY435" s="273"/>
      <c r="NZ435" s="273"/>
      <c r="OA435" s="273"/>
      <c r="OB435" s="273"/>
      <c r="OC435" s="273"/>
      <c r="OD435" s="273"/>
      <c r="OE435" s="273"/>
      <c r="OF435" s="273"/>
      <c r="OG435" s="273"/>
      <c r="OH435" s="273"/>
      <c r="OI435" s="273"/>
      <c r="OJ435" s="273"/>
      <c r="OK435" s="273"/>
      <c r="OL435" s="273"/>
      <c r="OM435" s="273"/>
      <c r="ON435" s="273"/>
      <c r="OO435" s="273"/>
      <c r="OP435" s="273"/>
      <c r="OQ435" s="273"/>
      <c r="OR435" s="273"/>
      <c r="OS435" s="273"/>
      <c r="OT435" s="273"/>
      <c r="OU435" s="273"/>
      <c r="OV435" s="273"/>
      <c r="OW435" s="273"/>
      <c r="OX435" s="273"/>
      <c r="OY435" s="273"/>
      <c r="OZ435" s="273"/>
      <c r="PA435" s="273"/>
      <c r="PB435" s="273"/>
      <c r="PC435" s="273"/>
      <c r="PD435" s="273"/>
      <c r="PE435" s="273"/>
      <c r="PF435" s="273"/>
      <c r="PG435" s="273"/>
      <c r="PH435" s="273"/>
      <c r="PI435" s="273"/>
      <c r="PJ435" s="273"/>
      <c r="PK435" s="273"/>
      <c r="PL435" s="273"/>
      <c r="PM435" s="273"/>
      <c r="PN435" s="273"/>
      <c r="PO435" s="273"/>
      <c r="PP435" s="273"/>
      <c r="PQ435" s="273"/>
      <c r="PR435" s="273"/>
      <c r="PS435" s="273"/>
      <c r="PT435" s="273"/>
      <c r="PU435" s="273"/>
      <c r="PV435" s="273"/>
      <c r="PW435" s="273"/>
      <c r="PX435" s="273"/>
      <c r="PY435" s="273"/>
      <c r="PZ435" s="273"/>
      <c r="QA435" s="273"/>
      <c r="QB435" s="273"/>
      <c r="QC435" s="273"/>
      <c r="QD435" s="273"/>
      <c r="QE435" s="273"/>
      <c r="QF435" s="273"/>
      <c r="QG435" s="273"/>
      <c r="QH435" s="273"/>
      <c r="QI435" s="273"/>
      <c r="QJ435" s="273"/>
      <c r="QK435" s="273"/>
      <c r="QL435" s="273"/>
      <c r="QM435" s="273"/>
      <c r="QN435" s="273"/>
      <c r="QO435" s="273"/>
      <c r="QP435" s="273"/>
      <c r="QQ435" s="273"/>
      <c r="QR435" s="273"/>
      <c r="QS435" s="273"/>
      <c r="QT435" s="273"/>
      <c r="QU435" s="273"/>
      <c r="QV435" s="273"/>
      <c r="QW435" s="273"/>
      <c r="QX435" s="273"/>
      <c r="QY435" s="273"/>
      <c r="QZ435" s="273"/>
      <c r="RA435" s="273"/>
      <c r="RB435" s="273"/>
      <c r="RC435" s="273"/>
      <c r="RD435" s="273"/>
      <c r="RE435" s="273"/>
      <c r="RF435" s="273"/>
      <c r="RG435" s="273"/>
      <c r="RH435" s="273"/>
      <c r="RI435" s="273"/>
      <c r="RJ435" s="273"/>
      <c r="RK435" s="273"/>
      <c r="RL435" s="273"/>
      <c r="RM435" s="273"/>
      <c r="RN435" s="273"/>
      <c r="RO435" s="273"/>
      <c r="RP435" s="273"/>
      <c r="RQ435" s="273"/>
    </row>
    <row r="436" spans="1:485" s="450" customFormat="1" ht="65" x14ac:dyDescent="0.25">
      <c r="A436" s="2995"/>
      <c r="B436" s="595" t="s">
        <v>971</v>
      </c>
      <c r="C436" s="266" t="s">
        <v>48</v>
      </c>
      <c r="D436" s="467" t="s">
        <v>955</v>
      </c>
      <c r="E436" s="468">
        <v>1</v>
      </c>
      <c r="F436" s="468">
        <v>1251.1111111111111</v>
      </c>
      <c r="G436" s="467">
        <v>9</v>
      </c>
      <c r="H436" s="451">
        <f t="shared" si="200"/>
        <v>11260</v>
      </c>
      <c r="I436" s="675">
        <v>0.97</v>
      </c>
      <c r="J436" s="451">
        <v>0</v>
      </c>
      <c r="K436" s="451">
        <v>1325</v>
      </c>
      <c r="L436" s="451">
        <v>12</v>
      </c>
      <c r="M436" s="1834">
        <f t="shared" si="201"/>
        <v>0</v>
      </c>
      <c r="N436" s="697">
        <v>0.97</v>
      </c>
      <c r="O436" s="696">
        <f t="shared" si="202"/>
        <v>11260</v>
      </c>
      <c r="P436" s="675">
        <v>0.97</v>
      </c>
      <c r="Q436" s="451">
        <f t="shared" si="203"/>
        <v>10922.199999999999</v>
      </c>
      <c r="R436" s="522" t="s">
        <v>973</v>
      </c>
      <c r="S436" s="452">
        <f>COOPI!S29</f>
        <v>10480</v>
      </c>
      <c r="T436" s="591">
        <f t="shared" si="204"/>
        <v>0.93072824156305511</v>
      </c>
      <c r="U436" s="522" t="s">
        <v>606</v>
      </c>
      <c r="V436" s="591">
        <f t="shared" si="205"/>
        <v>0.93072824156305523</v>
      </c>
      <c r="W436" s="452">
        <f t="shared" si="206"/>
        <v>10165.6</v>
      </c>
      <c r="X436" s="453" t="s">
        <v>606</v>
      </c>
      <c r="Y436" s="273"/>
      <c r="Z436" s="273"/>
      <c r="AA436" s="273"/>
      <c r="AB436" s="273"/>
      <c r="AC436" s="273"/>
      <c r="AD436" s="273"/>
      <c r="AE436" s="273"/>
      <c r="AF436" s="273"/>
      <c r="AG436" s="273"/>
      <c r="AH436" s="273"/>
      <c r="AI436" s="273"/>
      <c r="AJ436" s="273"/>
      <c r="AK436" s="273"/>
      <c r="AL436" s="273"/>
      <c r="AM436" s="273"/>
      <c r="AN436" s="273"/>
      <c r="AO436" s="273"/>
      <c r="AP436" s="273"/>
      <c r="AQ436" s="273"/>
      <c r="AR436" s="273"/>
      <c r="AS436" s="273"/>
      <c r="AT436" s="273"/>
      <c r="AU436" s="273"/>
      <c r="AV436" s="273"/>
      <c r="AW436" s="273"/>
      <c r="AX436" s="273"/>
      <c r="AY436" s="273"/>
      <c r="AZ436" s="273"/>
      <c r="BA436" s="273"/>
      <c r="BB436" s="273"/>
      <c r="BC436" s="273"/>
      <c r="BD436" s="273"/>
      <c r="BE436" s="273"/>
      <c r="BF436" s="273"/>
      <c r="BG436" s="273"/>
      <c r="BH436" s="273"/>
      <c r="BI436" s="273"/>
      <c r="BJ436" s="273"/>
      <c r="BK436" s="273"/>
      <c r="BL436" s="273"/>
      <c r="BM436" s="273"/>
      <c r="BN436" s="273"/>
      <c r="BO436" s="273"/>
      <c r="BP436" s="273"/>
      <c r="BQ436" s="273"/>
      <c r="BR436" s="273"/>
      <c r="BS436" s="273"/>
      <c r="BT436" s="273"/>
      <c r="BU436" s="273"/>
      <c r="BV436" s="273"/>
      <c r="BW436" s="273"/>
      <c r="BX436" s="273"/>
      <c r="BY436" s="273"/>
      <c r="BZ436" s="273"/>
      <c r="CA436" s="273"/>
      <c r="CB436" s="273"/>
      <c r="CC436" s="273"/>
      <c r="CD436" s="273"/>
      <c r="CE436" s="273"/>
      <c r="CF436" s="273"/>
      <c r="CG436" s="273"/>
      <c r="CH436" s="273"/>
      <c r="CI436" s="273"/>
      <c r="CJ436" s="273"/>
      <c r="CK436" s="273"/>
      <c r="CL436" s="273"/>
      <c r="CM436" s="273"/>
      <c r="CN436" s="273"/>
      <c r="CO436" s="273"/>
      <c r="CP436" s="273"/>
      <c r="CQ436" s="273"/>
      <c r="CR436" s="273"/>
      <c r="CS436" s="273"/>
      <c r="CT436" s="273"/>
      <c r="CU436" s="273"/>
      <c r="CV436" s="273"/>
      <c r="CW436" s="273"/>
      <c r="CX436" s="273"/>
      <c r="CY436" s="273"/>
      <c r="CZ436" s="273"/>
      <c r="DA436" s="273"/>
      <c r="DB436" s="273"/>
      <c r="DC436" s="273"/>
      <c r="DD436" s="273"/>
      <c r="DE436" s="273"/>
      <c r="DF436" s="273"/>
      <c r="DG436" s="273"/>
      <c r="DH436" s="273"/>
      <c r="DI436" s="273"/>
      <c r="DJ436" s="273"/>
      <c r="DK436" s="273"/>
      <c r="DL436" s="273"/>
      <c r="DM436" s="273"/>
      <c r="DN436" s="273"/>
      <c r="DO436" s="273"/>
      <c r="DP436" s="273"/>
      <c r="DQ436" s="273"/>
      <c r="DR436" s="273"/>
      <c r="DS436" s="273"/>
      <c r="DT436" s="273"/>
      <c r="DU436" s="273"/>
      <c r="DV436" s="273"/>
      <c r="DW436" s="273"/>
      <c r="DX436" s="273"/>
      <c r="DY436" s="273"/>
      <c r="DZ436" s="273"/>
      <c r="EA436" s="273"/>
      <c r="EB436" s="273"/>
      <c r="EC436" s="273"/>
      <c r="ED436" s="273"/>
      <c r="EE436" s="273"/>
      <c r="EF436" s="273"/>
      <c r="EG436" s="273"/>
      <c r="EH436" s="273"/>
      <c r="EI436" s="273"/>
      <c r="EJ436" s="273"/>
      <c r="EK436" s="273"/>
      <c r="EL436" s="273"/>
      <c r="EM436" s="273"/>
      <c r="EN436" s="273"/>
      <c r="EO436" s="273"/>
      <c r="EP436" s="273"/>
      <c r="EQ436" s="273"/>
      <c r="ER436" s="273"/>
      <c r="ES436" s="273"/>
      <c r="ET436" s="273"/>
      <c r="EU436" s="273"/>
      <c r="EV436" s="273"/>
      <c r="EW436" s="273"/>
      <c r="EX436" s="273"/>
      <c r="EY436" s="273"/>
      <c r="EZ436" s="273"/>
      <c r="FA436" s="273"/>
      <c r="FB436" s="273"/>
      <c r="FC436" s="273"/>
      <c r="FD436" s="273"/>
      <c r="FE436" s="273"/>
      <c r="FF436" s="273"/>
      <c r="FG436" s="273"/>
      <c r="FH436" s="273"/>
      <c r="FI436" s="273"/>
      <c r="FJ436" s="273"/>
      <c r="FK436" s="273"/>
      <c r="FL436" s="273"/>
      <c r="FM436" s="273"/>
      <c r="FN436" s="273"/>
      <c r="FO436" s="273"/>
      <c r="FP436" s="273"/>
      <c r="FQ436" s="273"/>
      <c r="FR436" s="273"/>
      <c r="FS436" s="273"/>
      <c r="FT436" s="273"/>
      <c r="FU436" s="273"/>
      <c r="FV436" s="273"/>
      <c r="FW436" s="273"/>
      <c r="FX436" s="273"/>
      <c r="FY436" s="273"/>
      <c r="FZ436" s="273"/>
      <c r="GA436" s="273"/>
      <c r="GB436" s="273"/>
      <c r="GC436" s="273"/>
      <c r="GD436" s="273"/>
      <c r="GE436" s="273"/>
      <c r="GF436" s="273"/>
      <c r="GG436" s="273"/>
      <c r="GH436" s="273"/>
      <c r="GI436" s="273"/>
      <c r="GJ436" s="273"/>
      <c r="GK436" s="273"/>
      <c r="GL436" s="273"/>
      <c r="GM436" s="273"/>
      <c r="GN436" s="273"/>
      <c r="GO436" s="273"/>
      <c r="GP436" s="273"/>
      <c r="GQ436" s="273"/>
      <c r="GR436" s="273"/>
      <c r="GS436" s="273"/>
      <c r="GT436" s="273"/>
      <c r="GU436" s="273"/>
      <c r="GV436" s="273"/>
      <c r="GW436" s="273"/>
      <c r="GX436" s="273"/>
      <c r="GY436" s="273"/>
      <c r="GZ436" s="273"/>
      <c r="HA436" s="273"/>
      <c r="HB436" s="273"/>
      <c r="HC436" s="273"/>
      <c r="HD436" s="273"/>
      <c r="HE436" s="273"/>
      <c r="HF436" s="273"/>
      <c r="HG436" s="273"/>
      <c r="HH436" s="273"/>
      <c r="HI436" s="273"/>
      <c r="HJ436" s="273"/>
      <c r="HK436" s="273"/>
      <c r="HL436" s="273"/>
      <c r="HM436" s="273"/>
      <c r="HN436" s="273"/>
      <c r="HO436" s="273"/>
      <c r="HP436" s="273"/>
      <c r="HQ436" s="273"/>
      <c r="HR436" s="273"/>
      <c r="HS436" s="273"/>
      <c r="HT436" s="273"/>
      <c r="HU436" s="273"/>
      <c r="HV436" s="273"/>
      <c r="HW436" s="273"/>
      <c r="HX436" s="273"/>
      <c r="HY436" s="273"/>
      <c r="HZ436" s="273"/>
      <c r="IA436" s="273"/>
      <c r="IB436" s="273"/>
      <c r="IC436" s="273"/>
      <c r="ID436" s="273"/>
      <c r="IE436" s="273"/>
      <c r="IF436" s="273"/>
      <c r="IG436" s="273"/>
      <c r="IH436" s="273"/>
      <c r="II436" s="273"/>
      <c r="IJ436" s="273"/>
      <c r="IK436" s="273"/>
      <c r="IL436" s="273"/>
      <c r="IM436" s="273"/>
      <c r="IN436" s="273"/>
      <c r="IO436" s="273"/>
      <c r="IP436" s="273"/>
      <c r="IQ436" s="273"/>
      <c r="IR436" s="273"/>
      <c r="IS436" s="273"/>
      <c r="IT436" s="273"/>
      <c r="IU436" s="273"/>
      <c r="IV436" s="273"/>
      <c r="IW436" s="273"/>
      <c r="IX436" s="273"/>
      <c r="IY436" s="273"/>
      <c r="IZ436" s="273"/>
      <c r="JA436" s="273"/>
      <c r="JB436" s="273"/>
      <c r="JC436" s="273"/>
      <c r="JD436" s="273"/>
      <c r="JE436" s="273"/>
      <c r="JF436" s="273"/>
      <c r="JG436" s="273"/>
      <c r="JH436" s="273"/>
      <c r="JI436" s="273"/>
      <c r="JJ436" s="273"/>
      <c r="JK436" s="273"/>
      <c r="JL436" s="273"/>
      <c r="JM436" s="273"/>
      <c r="JN436" s="273"/>
      <c r="JO436" s="273"/>
      <c r="JP436" s="273"/>
      <c r="JQ436" s="273"/>
      <c r="JR436" s="273"/>
      <c r="JS436" s="273"/>
      <c r="JT436" s="273"/>
      <c r="JU436" s="273"/>
      <c r="JV436" s="273"/>
      <c r="JW436" s="273"/>
      <c r="JX436" s="273"/>
      <c r="JY436" s="273"/>
      <c r="JZ436" s="273"/>
      <c r="KA436" s="273"/>
      <c r="KB436" s="273"/>
      <c r="KC436" s="273"/>
      <c r="KD436" s="273"/>
      <c r="KE436" s="273"/>
      <c r="KF436" s="273"/>
      <c r="KG436" s="273"/>
      <c r="KH436" s="273"/>
      <c r="KI436" s="273"/>
      <c r="KJ436" s="273"/>
      <c r="KK436" s="273"/>
      <c r="KL436" s="273"/>
      <c r="KM436" s="273"/>
      <c r="KN436" s="273"/>
      <c r="KO436" s="273"/>
      <c r="KP436" s="273"/>
      <c r="KQ436" s="273"/>
      <c r="KR436" s="273"/>
      <c r="KS436" s="273"/>
      <c r="KT436" s="273"/>
      <c r="KU436" s="273"/>
      <c r="KV436" s="273"/>
      <c r="KW436" s="273"/>
      <c r="KX436" s="273"/>
      <c r="KY436" s="273"/>
      <c r="KZ436" s="273"/>
      <c r="LA436" s="273"/>
      <c r="LB436" s="273"/>
      <c r="LC436" s="273"/>
      <c r="LD436" s="273"/>
      <c r="LE436" s="273"/>
      <c r="LF436" s="273"/>
      <c r="LG436" s="273"/>
      <c r="LH436" s="273"/>
      <c r="LI436" s="273"/>
      <c r="LJ436" s="273"/>
      <c r="LK436" s="273"/>
      <c r="LL436" s="273"/>
      <c r="LM436" s="273"/>
      <c r="LN436" s="273"/>
      <c r="LO436" s="273"/>
      <c r="LP436" s="273"/>
      <c r="LQ436" s="273"/>
      <c r="LR436" s="273"/>
      <c r="LS436" s="273"/>
      <c r="LT436" s="273"/>
      <c r="LU436" s="273"/>
      <c r="LV436" s="273"/>
      <c r="LW436" s="273"/>
      <c r="LX436" s="273"/>
      <c r="LY436" s="273"/>
      <c r="LZ436" s="273"/>
      <c r="MA436" s="273"/>
      <c r="MB436" s="273"/>
      <c r="MC436" s="273"/>
      <c r="MD436" s="273"/>
      <c r="ME436" s="273"/>
      <c r="MF436" s="273"/>
      <c r="MG436" s="273"/>
      <c r="MH436" s="273"/>
      <c r="MI436" s="273"/>
      <c r="MJ436" s="273"/>
      <c r="MK436" s="273"/>
      <c r="ML436" s="273"/>
      <c r="MM436" s="273"/>
      <c r="MN436" s="273"/>
      <c r="MO436" s="273"/>
      <c r="MP436" s="273"/>
      <c r="MQ436" s="273"/>
      <c r="MR436" s="273"/>
      <c r="MS436" s="273"/>
      <c r="MT436" s="273"/>
      <c r="MU436" s="273"/>
      <c r="MV436" s="273"/>
      <c r="MW436" s="273"/>
      <c r="MX436" s="273"/>
      <c r="MY436" s="273"/>
      <c r="MZ436" s="273"/>
      <c r="NA436" s="273"/>
      <c r="NB436" s="273"/>
      <c r="NC436" s="273"/>
      <c r="ND436" s="273"/>
      <c r="NE436" s="273"/>
      <c r="NF436" s="273"/>
      <c r="NG436" s="273"/>
      <c r="NH436" s="273"/>
      <c r="NI436" s="273"/>
      <c r="NJ436" s="273"/>
      <c r="NK436" s="273"/>
      <c r="NL436" s="273"/>
      <c r="NM436" s="273"/>
      <c r="NN436" s="273"/>
      <c r="NO436" s="273"/>
      <c r="NP436" s="273"/>
      <c r="NQ436" s="273"/>
      <c r="NR436" s="273"/>
      <c r="NS436" s="273"/>
      <c r="NT436" s="273"/>
      <c r="NU436" s="273"/>
      <c r="NV436" s="273"/>
      <c r="NW436" s="273"/>
      <c r="NX436" s="273"/>
      <c r="NY436" s="273"/>
      <c r="NZ436" s="273"/>
      <c r="OA436" s="273"/>
      <c r="OB436" s="273"/>
      <c r="OC436" s="273"/>
      <c r="OD436" s="273"/>
      <c r="OE436" s="273"/>
      <c r="OF436" s="273"/>
      <c r="OG436" s="273"/>
      <c r="OH436" s="273"/>
      <c r="OI436" s="273"/>
      <c r="OJ436" s="273"/>
      <c r="OK436" s="273"/>
      <c r="OL436" s="273"/>
      <c r="OM436" s="273"/>
      <c r="ON436" s="273"/>
      <c r="OO436" s="273"/>
      <c r="OP436" s="273"/>
      <c r="OQ436" s="273"/>
      <c r="OR436" s="273"/>
      <c r="OS436" s="273"/>
      <c r="OT436" s="273"/>
      <c r="OU436" s="273"/>
      <c r="OV436" s="273"/>
      <c r="OW436" s="273"/>
      <c r="OX436" s="273"/>
      <c r="OY436" s="273"/>
      <c r="OZ436" s="273"/>
      <c r="PA436" s="273"/>
      <c r="PB436" s="273"/>
      <c r="PC436" s="273"/>
      <c r="PD436" s="273"/>
      <c r="PE436" s="273"/>
      <c r="PF436" s="273"/>
      <c r="PG436" s="273"/>
      <c r="PH436" s="273"/>
      <c r="PI436" s="273"/>
      <c r="PJ436" s="273"/>
      <c r="PK436" s="273"/>
      <c r="PL436" s="273"/>
      <c r="PM436" s="273"/>
      <c r="PN436" s="273"/>
      <c r="PO436" s="273"/>
      <c r="PP436" s="273"/>
      <c r="PQ436" s="273"/>
      <c r="PR436" s="273"/>
      <c r="PS436" s="273"/>
      <c r="PT436" s="273"/>
      <c r="PU436" s="273"/>
      <c r="PV436" s="273"/>
      <c r="PW436" s="273"/>
      <c r="PX436" s="273"/>
      <c r="PY436" s="273"/>
      <c r="PZ436" s="273"/>
      <c r="QA436" s="273"/>
      <c r="QB436" s="273"/>
      <c r="QC436" s="273"/>
      <c r="QD436" s="273"/>
      <c r="QE436" s="273"/>
      <c r="QF436" s="273"/>
      <c r="QG436" s="273"/>
      <c r="QH436" s="273"/>
      <c r="QI436" s="273"/>
      <c r="QJ436" s="273"/>
      <c r="QK436" s="273"/>
      <c r="QL436" s="273"/>
      <c r="QM436" s="273"/>
      <c r="QN436" s="273"/>
      <c r="QO436" s="273"/>
      <c r="QP436" s="273"/>
      <c r="QQ436" s="273"/>
      <c r="QR436" s="273"/>
      <c r="QS436" s="273"/>
      <c r="QT436" s="273"/>
      <c r="QU436" s="273"/>
      <c r="QV436" s="273"/>
      <c r="QW436" s="273"/>
      <c r="QX436" s="273"/>
      <c r="QY436" s="273"/>
      <c r="QZ436" s="273"/>
      <c r="RA436" s="273"/>
      <c r="RB436" s="273"/>
      <c r="RC436" s="273"/>
      <c r="RD436" s="273"/>
      <c r="RE436" s="273"/>
      <c r="RF436" s="273"/>
      <c r="RG436" s="273"/>
      <c r="RH436" s="273"/>
      <c r="RI436" s="273"/>
      <c r="RJ436" s="273"/>
      <c r="RK436" s="273"/>
      <c r="RL436" s="273"/>
      <c r="RM436" s="273"/>
      <c r="RN436" s="273"/>
      <c r="RO436" s="273"/>
      <c r="RP436" s="273"/>
      <c r="RQ436" s="273"/>
    </row>
    <row r="437" spans="1:485" s="450" customFormat="1" ht="26" x14ac:dyDescent="0.25">
      <c r="A437" s="2995"/>
      <c r="B437" s="595" t="s">
        <v>974</v>
      </c>
      <c r="C437" s="266" t="s">
        <v>15</v>
      </c>
      <c r="D437" s="467" t="s">
        <v>955</v>
      </c>
      <c r="E437" s="468">
        <v>9</v>
      </c>
      <c r="F437" s="468">
        <v>76.111111111111114</v>
      </c>
      <c r="G437" s="467">
        <v>1</v>
      </c>
      <c r="H437" s="451">
        <f t="shared" si="200"/>
        <v>685</v>
      </c>
      <c r="I437" s="675">
        <v>1</v>
      </c>
      <c r="J437" s="451">
        <v>16</v>
      </c>
      <c r="K437" s="451">
        <v>85</v>
      </c>
      <c r="L437" s="451">
        <v>1</v>
      </c>
      <c r="M437" s="1834">
        <f t="shared" si="201"/>
        <v>1360</v>
      </c>
      <c r="N437" s="697">
        <v>1</v>
      </c>
      <c r="O437" s="696">
        <f t="shared" si="202"/>
        <v>2045</v>
      </c>
      <c r="P437" s="675">
        <v>1</v>
      </c>
      <c r="Q437" s="451">
        <f t="shared" si="203"/>
        <v>2045</v>
      </c>
      <c r="R437" s="522" t="s">
        <v>975</v>
      </c>
      <c r="S437" s="452">
        <f>COOPI!S30</f>
        <v>1148</v>
      </c>
      <c r="T437" s="591">
        <f t="shared" si="204"/>
        <v>0.56136919315403422</v>
      </c>
      <c r="U437" s="522" t="s">
        <v>606</v>
      </c>
      <c r="V437" s="591">
        <f t="shared" si="205"/>
        <v>0.56136919315403422</v>
      </c>
      <c r="W437" s="452">
        <f t="shared" si="206"/>
        <v>1148</v>
      </c>
      <c r="X437" s="453" t="s">
        <v>606</v>
      </c>
      <c r="Y437" s="273"/>
      <c r="Z437" s="273"/>
      <c r="AA437" s="273"/>
      <c r="AB437" s="273"/>
      <c r="AC437" s="273"/>
      <c r="AD437" s="273"/>
      <c r="AE437" s="273"/>
      <c r="AF437" s="273"/>
      <c r="AG437" s="273"/>
      <c r="AH437" s="273"/>
      <c r="AI437" s="273"/>
      <c r="AJ437" s="273"/>
      <c r="AK437" s="273"/>
      <c r="AL437" s="273"/>
      <c r="AM437" s="273"/>
      <c r="AN437" s="273"/>
      <c r="AO437" s="273"/>
      <c r="AP437" s="273"/>
      <c r="AQ437" s="273"/>
      <c r="AR437" s="273"/>
      <c r="AS437" s="273"/>
      <c r="AT437" s="273"/>
      <c r="AU437" s="273"/>
      <c r="AV437" s="273"/>
      <c r="AW437" s="273"/>
      <c r="AX437" s="273"/>
      <c r="AY437" s="273"/>
      <c r="AZ437" s="273"/>
      <c r="BA437" s="273"/>
      <c r="BB437" s="273"/>
      <c r="BC437" s="273"/>
      <c r="BD437" s="273"/>
      <c r="BE437" s="273"/>
      <c r="BF437" s="273"/>
      <c r="BG437" s="273"/>
      <c r="BH437" s="273"/>
      <c r="BI437" s="273"/>
      <c r="BJ437" s="273"/>
      <c r="BK437" s="273"/>
      <c r="BL437" s="273"/>
      <c r="BM437" s="273"/>
      <c r="BN437" s="273"/>
      <c r="BO437" s="273"/>
      <c r="BP437" s="273"/>
      <c r="BQ437" s="273"/>
      <c r="BR437" s="273"/>
      <c r="BS437" s="273"/>
      <c r="BT437" s="273"/>
      <c r="BU437" s="273"/>
      <c r="BV437" s="273"/>
      <c r="BW437" s="273"/>
      <c r="BX437" s="273"/>
      <c r="BY437" s="273"/>
      <c r="BZ437" s="273"/>
      <c r="CA437" s="273"/>
      <c r="CB437" s="273"/>
      <c r="CC437" s="273"/>
      <c r="CD437" s="273"/>
      <c r="CE437" s="273"/>
      <c r="CF437" s="273"/>
      <c r="CG437" s="273"/>
      <c r="CH437" s="273"/>
      <c r="CI437" s="273"/>
      <c r="CJ437" s="273"/>
      <c r="CK437" s="273"/>
      <c r="CL437" s="273"/>
      <c r="CM437" s="273"/>
      <c r="CN437" s="273"/>
      <c r="CO437" s="273"/>
      <c r="CP437" s="273"/>
      <c r="CQ437" s="273"/>
      <c r="CR437" s="273"/>
      <c r="CS437" s="273"/>
      <c r="CT437" s="273"/>
      <c r="CU437" s="273"/>
      <c r="CV437" s="273"/>
      <c r="CW437" s="273"/>
      <c r="CX437" s="273"/>
      <c r="CY437" s="273"/>
      <c r="CZ437" s="273"/>
      <c r="DA437" s="273"/>
      <c r="DB437" s="273"/>
      <c r="DC437" s="273"/>
      <c r="DD437" s="273"/>
      <c r="DE437" s="273"/>
      <c r="DF437" s="273"/>
      <c r="DG437" s="273"/>
      <c r="DH437" s="273"/>
      <c r="DI437" s="273"/>
      <c r="DJ437" s="273"/>
      <c r="DK437" s="273"/>
      <c r="DL437" s="273"/>
      <c r="DM437" s="273"/>
      <c r="DN437" s="273"/>
      <c r="DO437" s="273"/>
      <c r="DP437" s="273"/>
      <c r="DQ437" s="273"/>
      <c r="DR437" s="273"/>
      <c r="DS437" s="273"/>
      <c r="DT437" s="273"/>
      <c r="DU437" s="273"/>
      <c r="DV437" s="273"/>
      <c r="DW437" s="273"/>
      <c r="DX437" s="273"/>
      <c r="DY437" s="273"/>
      <c r="DZ437" s="273"/>
      <c r="EA437" s="273"/>
      <c r="EB437" s="273"/>
      <c r="EC437" s="273"/>
      <c r="ED437" s="273"/>
      <c r="EE437" s="273"/>
      <c r="EF437" s="273"/>
      <c r="EG437" s="273"/>
      <c r="EH437" s="273"/>
      <c r="EI437" s="273"/>
      <c r="EJ437" s="273"/>
      <c r="EK437" s="273"/>
      <c r="EL437" s="273"/>
      <c r="EM437" s="273"/>
      <c r="EN437" s="273"/>
      <c r="EO437" s="273"/>
      <c r="EP437" s="273"/>
      <c r="EQ437" s="273"/>
      <c r="ER437" s="273"/>
      <c r="ES437" s="273"/>
      <c r="ET437" s="273"/>
      <c r="EU437" s="273"/>
      <c r="EV437" s="273"/>
      <c r="EW437" s="273"/>
      <c r="EX437" s="273"/>
      <c r="EY437" s="273"/>
      <c r="EZ437" s="273"/>
      <c r="FA437" s="273"/>
      <c r="FB437" s="273"/>
      <c r="FC437" s="273"/>
      <c r="FD437" s="273"/>
      <c r="FE437" s="273"/>
      <c r="FF437" s="273"/>
      <c r="FG437" s="273"/>
      <c r="FH437" s="273"/>
      <c r="FI437" s="273"/>
      <c r="FJ437" s="273"/>
      <c r="FK437" s="273"/>
      <c r="FL437" s="273"/>
      <c r="FM437" s="273"/>
      <c r="FN437" s="273"/>
      <c r="FO437" s="273"/>
      <c r="FP437" s="273"/>
      <c r="FQ437" s="273"/>
      <c r="FR437" s="273"/>
      <c r="FS437" s="273"/>
      <c r="FT437" s="273"/>
      <c r="FU437" s="273"/>
      <c r="FV437" s="273"/>
      <c r="FW437" s="273"/>
      <c r="FX437" s="273"/>
      <c r="FY437" s="273"/>
      <c r="FZ437" s="273"/>
      <c r="GA437" s="273"/>
      <c r="GB437" s="273"/>
      <c r="GC437" s="273"/>
      <c r="GD437" s="273"/>
      <c r="GE437" s="273"/>
      <c r="GF437" s="273"/>
      <c r="GG437" s="273"/>
      <c r="GH437" s="273"/>
      <c r="GI437" s="273"/>
      <c r="GJ437" s="273"/>
      <c r="GK437" s="273"/>
      <c r="GL437" s="273"/>
      <c r="GM437" s="273"/>
      <c r="GN437" s="273"/>
      <c r="GO437" s="273"/>
      <c r="GP437" s="273"/>
      <c r="GQ437" s="273"/>
      <c r="GR437" s="273"/>
      <c r="GS437" s="273"/>
      <c r="GT437" s="273"/>
      <c r="GU437" s="273"/>
      <c r="GV437" s="273"/>
      <c r="GW437" s="273"/>
      <c r="GX437" s="273"/>
      <c r="GY437" s="273"/>
      <c r="GZ437" s="273"/>
      <c r="HA437" s="273"/>
      <c r="HB437" s="273"/>
      <c r="HC437" s="273"/>
      <c r="HD437" s="273"/>
      <c r="HE437" s="273"/>
      <c r="HF437" s="273"/>
      <c r="HG437" s="273"/>
      <c r="HH437" s="273"/>
      <c r="HI437" s="273"/>
      <c r="HJ437" s="273"/>
      <c r="HK437" s="273"/>
      <c r="HL437" s="273"/>
      <c r="HM437" s="273"/>
      <c r="HN437" s="273"/>
      <c r="HO437" s="273"/>
      <c r="HP437" s="273"/>
      <c r="HQ437" s="273"/>
      <c r="HR437" s="273"/>
      <c r="HS437" s="273"/>
      <c r="HT437" s="273"/>
      <c r="HU437" s="273"/>
      <c r="HV437" s="273"/>
      <c r="HW437" s="273"/>
      <c r="HX437" s="273"/>
      <c r="HY437" s="273"/>
      <c r="HZ437" s="273"/>
      <c r="IA437" s="273"/>
      <c r="IB437" s="273"/>
      <c r="IC437" s="273"/>
      <c r="ID437" s="273"/>
      <c r="IE437" s="273"/>
      <c r="IF437" s="273"/>
      <c r="IG437" s="273"/>
      <c r="IH437" s="273"/>
      <c r="II437" s="273"/>
      <c r="IJ437" s="273"/>
      <c r="IK437" s="273"/>
      <c r="IL437" s="273"/>
      <c r="IM437" s="273"/>
      <c r="IN437" s="273"/>
      <c r="IO437" s="273"/>
      <c r="IP437" s="273"/>
      <c r="IQ437" s="273"/>
      <c r="IR437" s="273"/>
      <c r="IS437" s="273"/>
      <c r="IT437" s="273"/>
      <c r="IU437" s="273"/>
      <c r="IV437" s="273"/>
      <c r="IW437" s="273"/>
      <c r="IX437" s="273"/>
      <c r="IY437" s="273"/>
      <c r="IZ437" s="273"/>
      <c r="JA437" s="273"/>
      <c r="JB437" s="273"/>
      <c r="JC437" s="273"/>
      <c r="JD437" s="273"/>
      <c r="JE437" s="273"/>
      <c r="JF437" s="273"/>
      <c r="JG437" s="273"/>
      <c r="JH437" s="273"/>
      <c r="JI437" s="273"/>
      <c r="JJ437" s="273"/>
      <c r="JK437" s="273"/>
      <c r="JL437" s="273"/>
      <c r="JM437" s="273"/>
      <c r="JN437" s="273"/>
      <c r="JO437" s="273"/>
      <c r="JP437" s="273"/>
      <c r="JQ437" s="273"/>
      <c r="JR437" s="273"/>
      <c r="JS437" s="273"/>
      <c r="JT437" s="273"/>
      <c r="JU437" s="273"/>
      <c r="JV437" s="273"/>
      <c r="JW437" s="273"/>
      <c r="JX437" s="273"/>
      <c r="JY437" s="273"/>
      <c r="JZ437" s="273"/>
      <c r="KA437" s="273"/>
      <c r="KB437" s="273"/>
      <c r="KC437" s="273"/>
      <c r="KD437" s="273"/>
      <c r="KE437" s="273"/>
      <c r="KF437" s="273"/>
      <c r="KG437" s="273"/>
      <c r="KH437" s="273"/>
      <c r="KI437" s="273"/>
      <c r="KJ437" s="273"/>
      <c r="KK437" s="273"/>
      <c r="KL437" s="273"/>
      <c r="KM437" s="273"/>
      <c r="KN437" s="273"/>
      <c r="KO437" s="273"/>
      <c r="KP437" s="273"/>
      <c r="KQ437" s="273"/>
      <c r="KR437" s="273"/>
      <c r="KS437" s="273"/>
      <c r="KT437" s="273"/>
      <c r="KU437" s="273"/>
      <c r="KV437" s="273"/>
      <c r="KW437" s="273"/>
      <c r="KX437" s="273"/>
      <c r="KY437" s="273"/>
      <c r="KZ437" s="273"/>
      <c r="LA437" s="273"/>
      <c r="LB437" s="273"/>
      <c r="LC437" s="273"/>
      <c r="LD437" s="273"/>
      <c r="LE437" s="273"/>
      <c r="LF437" s="273"/>
      <c r="LG437" s="273"/>
      <c r="LH437" s="273"/>
      <c r="LI437" s="273"/>
      <c r="LJ437" s="273"/>
      <c r="LK437" s="273"/>
      <c r="LL437" s="273"/>
      <c r="LM437" s="273"/>
      <c r="LN437" s="273"/>
      <c r="LO437" s="273"/>
      <c r="LP437" s="273"/>
      <c r="LQ437" s="273"/>
      <c r="LR437" s="273"/>
      <c r="LS437" s="273"/>
      <c r="LT437" s="273"/>
      <c r="LU437" s="273"/>
      <c r="LV437" s="273"/>
      <c r="LW437" s="273"/>
      <c r="LX437" s="273"/>
      <c r="LY437" s="273"/>
      <c r="LZ437" s="273"/>
      <c r="MA437" s="273"/>
      <c r="MB437" s="273"/>
      <c r="MC437" s="273"/>
      <c r="MD437" s="273"/>
      <c r="ME437" s="273"/>
      <c r="MF437" s="273"/>
      <c r="MG437" s="273"/>
      <c r="MH437" s="273"/>
      <c r="MI437" s="273"/>
      <c r="MJ437" s="273"/>
      <c r="MK437" s="273"/>
      <c r="ML437" s="273"/>
      <c r="MM437" s="273"/>
      <c r="MN437" s="273"/>
      <c r="MO437" s="273"/>
      <c r="MP437" s="273"/>
      <c r="MQ437" s="273"/>
      <c r="MR437" s="273"/>
      <c r="MS437" s="273"/>
      <c r="MT437" s="273"/>
      <c r="MU437" s="273"/>
      <c r="MV437" s="273"/>
      <c r="MW437" s="273"/>
      <c r="MX437" s="273"/>
      <c r="MY437" s="273"/>
      <c r="MZ437" s="273"/>
      <c r="NA437" s="273"/>
      <c r="NB437" s="273"/>
      <c r="NC437" s="273"/>
      <c r="ND437" s="273"/>
      <c r="NE437" s="273"/>
      <c r="NF437" s="273"/>
      <c r="NG437" s="273"/>
      <c r="NH437" s="273"/>
      <c r="NI437" s="273"/>
      <c r="NJ437" s="273"/>
      <c r="NK437" s="273"/>
      <c r="NL437" s="273"/>
      <c r="NM437" s="273"/>
      <c r="NN437" s="273"/>
      <c r="NO437" s="273"/>
      <c r="NP437" s="273"/>
      <c r="NQ437" s="273"/>
      <c r="NR437" s="273"/>
      <c r="NS437" s="273"/>
      <c r="NT437" s="273"/>
      <c r="NU437" s="273"/>
      <c r="NV437" s="273"/>
      <c r="NW437" s="273"/>
      <c r="NX437" s="273"/>
      <c r="NY437" s="273"/>
      <c r="NZ437" s="273"/>
      <c r="OA437" s="273"/>
      <c r="OB437" s="273"/>
      <c r="OC437" s="273"/>
      <c r="OD437" s="273"/>
      <c r="OE437" s="273"/>
      <c r="OF437" s="273"/>
      <c r="OG437" s="273"/>
      <c r="OH437" s="273"/>
      <c r="OI437" s="273"/>
      <c r="OJ437" s="273"/>
      <c r="OK437" s="273"/>
      <c r="OL437" s="273"/>
      <c r="OM437" s="273"/>
      <c r="ON437" s="273"/>
      <c r="OO437" s="273"/>
      <c r="OP437" s="273"/>
      <c r="OQ437" s="273"/>
      <c r="OR437" s="273"/>
      <c r="OS437" s="273"/>
      <c r="OT437" s="273"/>
      <c r="OU437" s="273"/>
      <c r="OV437" s="273"/>
      <c r="OW437" s="273"/>
      <c r="OX437" s="273"/>
      <c r="OY437" s="273"/>
      <c r="OZ437" s="273"/>
      <c r="PA437" s="273"/>
      <c r="PB437" s="273"/>
      <c r="PC437" s="273"/>
      <c r="PD437" s="273"/>
      <c r="PE437" s="273"/>
      <c r="PF437" s="273"/>
      <c r="PG437" s="273"/>
      <c r="PH437" s="273"/>
      <c r="PI437" s="273"/>
      <c r="PJ437" s="273"/>
      <c r="PK437" s="273"/>
      <c r="PL437" s="273"/>
      <c r="PM437" s="273"/>
      <c r="PN437" s="273"/>
      <c r="PO437" s="273"/>
      <c r="PP437" s="273"/>
      <c r="PQ437" s="273"/>
      <c r="PR437" s="273"/>
      <c r="PS437" s="273"/>
      <c r="PT437" s="273"/>
      <c r="PU437" s="273"/>
      <c r="PV437" s="273"/>
      <c r="PW437" s="273"/>
      <c r="PX437" s="273"/>
      <c r="PY437" s="273"/>
      <c r="PZ437" s="273"/>
      <c r="QA437" s="273"/>
      <c r="QB437" s="273"/>
      <c r="QC437" s="273"/>
      <c r="QD437" s="273"/>
      <c r="QE437" s="273"/>
      <c r="QF437" s="273"/>
      <c r="QG437" s="273"/>
      <c r="QH437" s="273"/>
      <c r="QI437" s="273"/>
      <c r="QJ437" s="273"/>
      <c r="QK437" s="273"/>
      <c r="QL437" s="273"/>
      <c r="QM437" s="273"/>
      <c r="QN437" s="273"/>
      <c r="QO437" s="273"/>
      <c r="QP437" s="273"/>
      <c r="QQ437" s="273"/>
      <c r="QR437" s="273"/>
      <c r="QS437" s="273"/>
      <c r="QT437" s="273"/>
      <c r="QU437" s="273"/>
      <c r="QV437" s="273"/>
      <c r="QW437" s="273"/>
      <c r="QX437" s="273"/>
      <c r="QY437" s="273"/>
      <c r="QZ437" s="273"/>
      <c r="RA437" s="273"/>
      <c r="RB437" s="273"/>
      <c r="RC437" s="273"/>
      <c r="RD437" s="273"/>
      <c r="RE437" s="273"/>
      <c r="RF437" s="273"/>
      <c r="RG437" s="273"/>
      <c r="RH437" s="273"/>
      <c r="RI437" s="273"/>
      <c r="RJ437" s="273"/>
      <c r="RK437" s="273"/>
      <c r="RL437" s="273"/>
      <c r="RM437" s="273"/>
      <c r="RN437" s="273"/>
      <c r="RO437" s="273"/>
      <c r="RP437" s="273"/>
      <c r="RQ437" s="273"/>
    </row>
    <row r="438" spans="1:485" s="450" customFormat="1" ht="26" x14ac:dyDescent="0.25">
      <c r="A438" s="2995"/>
      <c r="B438" s="595" t="s">
        <v>976</v>
      </c>
      <c r="C438" s="266" t="s">
        <v>15</v>
      </c>
      <c r="D438" s="467" t="s">
        <v>955</v>
      </c>
      <c r="E438" s="468">
        <v>16</v>
      </c>
      <c r="F438" s="468">
        <v>25.171875</v>
      </c>
      <c r="G438" s="467">
        <v>1</v>
      </c>
      <c r="H438" s="451">
        <f t="shared" si="200"/>
        <v>402.75</v>
      </c>
      <c r="I438" s="675">
        <v>1</v>
      </c>
      <c r="J438" s="451">
        <v>26</v>
      </c>
      <c r="K438" s="451">
        <v>30</v>
      </c>
      <c r="L438" s="451">
        <v>1</v>
      </c>
      <c r="M438" s="1834">
        <f t="shared" si="201"/>
        <v>780</v>
      </c>
      <c r="N438" s="697">
        <v>1</v>
      </c>
      <c r="O438" s="696">
        <f t="shared" si="202"/>
        <v>1182.75</v>
      </c>
      <c r="P438" s="675">
        <v>1</v>
      </c>
      <c r="Q438" s="451">
        <f t="shared" si="203"/>
        <v>1182.75</v>
      </c>
      <c r="R438" s="522" t="s">
        <v>977</v>
      </c>
      <c r="S438" s="452">
        <f>COOPI!S31</f>
        <v>1114.75</v>
      </c>
      <c r="T438" s="591">
        <f t="shared" si="204"/>
        <v>0.94250686958359753</v>
      </c>
      <c r="U438" s="522" t="s">
        <v>944</v>
      </c>
      <c r="V438" s="591">
        <f t="shared" si="205"/>
        <v>0.94250686958359753</v>
      </c>
      <c r="W438" s="452">
        <f t="shared" si="206"/>
        <v>1114.75</v>
      </c>
      <c r="X438" s="453" t="s">
        <v>944</v>
      </c>
      <c r="Y438" s="273"/>
      <c r="Z438" s="273"/>
      <c r="AA438" s="273"/>
      <c r="AB438" s="273"/>
      <c r="AC438" s="273"/>
      <c r="AD438" s="273"/>
      <c r="AE438" s="273"/>
      <c r="AF438" s="273"/>
      <c r="AG438" s="273"/>
      <c r="AH438" s="273"/>
      <c r="AI438" s="273"/>
      <c r="AJ438" s="273"/>
      <c r="AK438" s="273"/>
      <c r="AL438" s="273"/>
      <c r="AM438" s="273"/>
      <c r="AN438" s="273"/>
      <c r="AO438" s="273"/>
      <c r="AP438" s="273"/>
      <c r="AQ438" s="273"/>
      <c r="AR438" s="273"/>
      <c r="AS438" s="273"/>
      <c r="AT438" s="273"/>
      <c r="AU438" s="273"/>
      <c r="AV438" s="273"/>
      <c r="AW438" s="273"/>
      <c r="AX438" s="273"/>
      <c r="AY438" s="273"/>
      <c r="AZ438" s="273"/>
      <c r="BA438" s="273"/>
      <c r="BB438" s="273"/>
      <c r="BC438" s="273"/>
      <c r="BD438" s="273"/>
      <c r="BE438" s="273"/>
      <c r="BF438" s="273"/>
      <c r="BG438" s="273"/>
      <c r="BH438" s="273"/>
      <c r="BI438" s="273"/>
      <c r="BJ438" s="273"/>
      <c r="BK438" s="273"/>
      <c r="BL438" s="273"/>
      <c r="BM438" s="273"/>
      <c r="BN438" s="273"/>
      <c r="BO438" s="273"/>
      <c r="BP438" s="273"/>
      <c r="BQ438" s="273"/>
      <c r="BR438" s="273"/>
      <c r="BS438" s="273"/>
      <c r="BT438" s="273"/>
      <c r="BU438" s="273"/>
      <c r="BV438" s="273"/>
      <c r="BW438" s="273"/>
      <c r="BX438" s="273"/>
      <c r="BY438" s="273"/>
      <c r="BZ438" s="273"/>
      <c r="CA438" s="273"/>
      <c r="CB438" s="273"/>
      <c r="CC438" s="273"/>
      <c r="CD438" s="273"/>
      <c r="CE438" s="273"/>
      <c r="CF438" s="273"/>
      <c r="CG438" s="273"/>
      <c r="CH438" s="273"/>
      <c r="CI438" s="273"/>
      <c r="CJ438" s="273"/>
      <c r="CK438" s="273"/>
      <c r="CL438" s="273"/>
      <c r="CM438" s="273"/>
      <c r="CN438" s="273"/>
      <c r="CO438" s="273"/>
      <c r="CP438" s="273"/>
      <c r="CQ438" s="273"/>
      <c r="CR438" s="273"/>
      <c r="CS438" s="273"/>
      <c r="CT438" s="273"/>
      <c r="CU438" s="273"/>
      <c r="CV438" s="273"/>
      <c r="CW438" s="273"/>
      <c r="CX438" s="273"/>
      <c r="CY438" s="273"/>
      <c r="CZ438" s="273"/>
      <c r="DA438" s="273"/>
      <c r="DB438" s="273"/>
      <c r="DC438" s="273"/>
      <c r="DD438" s="273"/>
      <c r="DE438" s="273"/>
      <c r="DF438" s="273"/>
      <c r="DG438" s="273"/>
      <c r="DH438" s="273"/>
      <c r="DI438" s="273"/>
      <c r="DJ438" s="273"/>
      <c r="DK438" s="273"/>
      <c r="DL438" s="273"/>
      <c r="DM438" s="273"/>
      <c r="DN438" s="273"/>
      <c r="DO438" s="273"/>
      <c r="DP438" s="273"/>
      <c r="DQ438" s="273"/>
      <c r="DR438" s="273"/>
      <c r="DS438" s="273"/>
      <c r="DT438" s="273"/>
      <c r="DU438" s="273"/>
      <c r="DV438" s="273"/>
      <c r="DW438" s="273"/>
      <c r="DX438" s="273"/>
      <c r="DY438" s="273"/>
      <c r="DZ438" s="273"/>
      <c r="EA438" s="273"/>
      <c r="EB438" s="273"/>
      <c r="EC438" s="273"/>
      <c r="ED438" s="273"/>
      <c r="EE438" s="273"/>
      <c r="EF438" s="273"/>
      <c r="EG438" s="273"/>
      <c r="EH438" s="273"/>
      <c r="EI438" s="273"/>
      <c r="EJ438" s="273"/>
      <c r="EK438" s="273"/>
      <c r="EL438" s="273"/>
      <c r="EM438" s="273"/>
      <c r="EN438" s="273"/>
      <c r="EO438" s="273"/>
      <c r="EP438" s="273"/>
      <c r="EQ438" s="273"/>
      <c r="ER438" s="273"/>
      <c r="ES438" s="273"/>
      <c r="ET438" s="273"/>
      <c r="EU438" s="273"/>
      <c r="EV438" s="273"/>
      <c r="EW438" s="273"/>
      <c r="EX438" s="273"/>
      <c r="EY438" s="273"/>
      <c r="EZ438" s="273"/>
      <c r="FA438" s="273"/>
      <c r="FB438" s="273"/>
      <c r="FC438" s="273"/>
      <c r="FD438" s="273"/>
      <c r="FE438" s="273"/>
      <c r="FF438" s="273"/>
      <c r="FG438" s="273"/>
      <c r="FH438" s="273"/>
      <c r="FI438" s="273"/>
      <c r="FJ438" s="273"/>
      <c r="FK438" s="273"/>
      <c r="FL438" s="273"/>
      <c r="FM438" s="273"/>
      <c r="FN438" s="273"/>
      <c r="FO438" s="273"/>
      <c r="FP438" s="273"/>
      <c r="FQ438" s="273"/>
      <c r="FR438" s="273"/>
      <c r="FS438" s="273"/>
      <c r="FT438" s="273"/>
      <c r="FU438" s="273"/>
      <c r="FV438" s="273"/>
      <c r="FW438" s="273"/>
      <c r="FX438" s="273"/>
      <c r="FY438" s="273"/>
      <c r="FZ438" s="273"/>
      <c r="GA438" s="273"/>
      <c r="GB438" s="273"/>
      <c r="GC438" s="273"/>
      <c r="GD438" s="273"/>
      <c r="GE438" s="273"/>
      <c r="GF438" s="273"/>
      <c r="GG438" s="273"/>
      <c r="GH438" s="273"/>
      <c r="GI438" s="273"/>
      <c r="GJ438" s="273"/>
      <c r="GK438" s="273"/>
      <c r="GL438" s="273"/>
      <c r="GM438" s="273"/>
      <c r="GN438" s="273"/>
      <c r="GO438" s="273"/>
      <c r="GP438" s="273"/>
      <c r="GQ438" s="273"/>
      <c r="GR438" s="273"/>
      <c r="GS438" s="273"/>
      <c r="GT438" s="273"/>
      <c r="GU438" s="273"/>
      <c r="GV438" s="273"/>
      <c r="GW438" s="273"/>
      <c r="GX438" s="273"/>
      <c r="GY438" s="273"/>
      <c r="GZ438" s="273"/>
      <c r="HA438" s="273"/>
      <c r="HB438" s="273"/>
      <c r="HC438" s="273"/>
      <c r="HD438" s="273"/>
      <c r="HE438" s="273"/>
      <c r="HF438" s="273"/>
      <c r="HG438" s="273"/>
      <c r="HH438" s="273"/>
      <c r="HI438" s="273"/>
      <c r="HJ438" s="273"/>
      <c r="HK438" s="273"/>
      <c r="HL438" s="273"/>
      <c r="HM438" s="273"/>
      <c r="HN438" s="273"/>
      <c r="HO438" s="273"/>
      <c r="HP438" s="273"/>
      <c r="HQ438" s="273"/>
      <c r="HR438" s="273"/>
      <c r="HS438" s="273"/>
      <c r="HT438" s="273"/>
      <c r="HU438" s="273"/>
      <c r="HV438" s="273"/>
      <c r="HW438" s="273"/>
      <c r="HX438" s="273"/>
      <c r="HY438" s="273"/>
      <c r="HZ438" s="273"/>
      <c r="IA438" s="273"/>
      <c r="IB438" s="273"/>
      <c r="IC438" s="273"/>
      <c r="ID438" s="273"/>
      <c r="IE438" s="273"/>
      <c r="IF438" s="273"/>
      <c r="IG438" s="273"/>
      <c r="IH438" s="273"/>
      <c r="II438" s="273"/>
      <c r="IJ438" s="273"/>
      <c r="IK438" s="273"/>
      <c r="IL438" s="273"/>
      <c r="IM438" s="273"/>
      <c r="IN438" s="273"/>
      <c r="IO438" s="273"/>
      <c r="IP438" s="273"/>
      <c r="IQ438" s="273"/>
      <c r="IR438" s="273"/>
      <c r="IS438" s="273"/>
      <c r="IT438" s="273"/>
      <c r="IU438" s="273"/>
      <c r="IV438" s="273"/>
      <c r="IW438" s="273"/>
      <c r="IX438" s="273"/>
      <c r="IY438" s="273"/>
      <c r="IZ438" s="273"/>
      <c r="JA438" s="273"/>
      <c r="JB438" s="273"/>
      <c r="JC438" s="273"/>
      <c r="JD438" s="273"/>
      <c r="JE438" s="273"/>
      <c r="JF438" s="273"/>
      <c r="JG438" s="273"/>
      <c r="JH438" s="273"/>
      <c r="JI438" s="273"/>
      <c r="JJ438" s="273"/>
      <c r="JK438" s="273"/>
      <c r="JL438" s="273"/>
      <c r="JM438" s="273"/>
      <c r="JN438" s="273"/>
      <c r="JO438" s="273"/>
      <c r="JP438" s="273"/>
      <c r="JQ438" s="273"/>
      <c r="JR438" s="273"/>
      <c r="JS438" s="273"/>
      <c r="JT438" s="273"/>
      <c r="JU438" s="273"/>
      <c r="JV438" s="273"/>
      <c r="JW438" s="273"/>
      <c r="JX438" s="273"/>
      <c r="JY438" s="273"/>
      <c r="JZ438" s="273"/>
      <c r="KA438" s="273"/>
      <c r="KB438" s="273"/>
      <c r="KC438" s="273"/>
      <c r="KD438" s="273"/>
      <c r="KE438" s="273"/>
      <c r="KF438" s="273"/>
      <c r="KG438" s="273"/>
      <c r="KH438" s="273"/>
      <c r="KI438" s="273"/>
      <c r="KJ438" s="273"/>
      <c r="KK438" s="273"/>
      <c r="KL438" s="273"/>
      <c r="KM438" s="273"/>
      <c r="KN438" s="273"/>
      <c r="KO438" s="273"/>
      <c r="KP438" s="273"/>
      <c r="KQ438" s="273"/>
      <c r="KR438" s="273"/>
      <c r="KS438" s="273"/>
      <c r="KT438" s="273"/>
      <c r="KU438" s="273"/>
      <c r="KV438" s="273"/>
      <c r="KW438" s="273"/>
      <c r="KX438" s="273"/>
      <c r="KY438" s="273"/>
      <c r="KZ438" s="273"/>
      <c r="LA438" s="273"/>
      <c r="LB438" s="273"/>
      <c r="LC438" s="273"/>
      <c r="LD438" s="273"/>
      <c r="LE438" s="273"/>
      <c r="LF438" s="273"/>
      <c r="LG438" s="273"/>
      <c r="LH438" s="273"/>
      <c r="LI438" s="273"/>
      <c r="LJ438" s="273"/>
      <c r="LK438" s="273"/>
      <c r="LL438" s="273"/>
      <c r="LM438" s="273"/>
      <c r="LN438" s="273"/>
      <c r="LO438" s="273"/>
      <c r="LP438" s="273"/>
      <c r="LQ438" s="273"/>
      <c r="LR438" s="273"/>
      <c r="LS438" s="273"/>
      <c r="LT438" s="273"/>
      <c r="LU438" s="273"/>
      <c r="LV438" s="273"/>
      <c r="LW438" s="273"/>
      <c r="LX438" s="273"/>
      <c r="LY438" s="273"/>
      <c r="LZ438" s="273"/>
      <c r="MA438" s="273"/>
      <c r="MB438" s="273"/>
      <c r="MC438" s="273"/>
      <c r="MD438" s="273"/>
      <c r="ME438" s="273"/>
      <c r="MF438" s="273"/>
      <c r="MG438" s="273"/>
      <c r="MH438" s="273"/>
      <c r="MI438" s="273"/>
      <c r="MJ438" s="273"/>
      <c r="MK438" s="273"/>
      <c r="ML438" s="273"/>
      <c r="MM438" s="273"/>
      <c r="MN438" s="273"/>
      <c r="MO438" s="273"/>
      <c r="MP438" s="273"/>
      <c r="MQ438" s="273"/>
      <c r="MR438" s="273"/>
      <c r="MS438" s="273"/>
      <c r="MT438" s="273"/>
      <c r="MU438" s="273"/>
      <c r="MV438" s="273"/>
      <c r="MW438" s="273"/>
      <c r="MX438" s="273"/>
      <c r="MY438" s="273"/>
      <c r="MZ438" s="273"/>
      <c r="NA438" s="273"/>
      <c r="NB438" s="273"/>
      <c r="NC438" s="273"/>
      <c r="ND438" s="273"/>
      <c r="NE438" s="273"/>
      <c r="NF438" s="273"/>
      <c r="NG438" s="273"/>
      <c r="NH438" s="273"/>
      <c r="NI438" s="273"/>
      <c r="NJ438" s="273"/>
      <c r="NK438" s="273"/>
      <c r="NL438" s="273"/>
      <c r="NM438" s="273"/>
      <c r="NN438" s="273"/>
      <c r="NO438" s="273"/>
      <c r="NP438" s="273"/>
      <c r="NQ438" s="273"/>
      <c r="NR438" s="273"/>
      <c r="NS438" s="273"/>
      <c r="NT438" s="273"/>
      <c r="NU438" s="273"/>
      <c r="NV438" s="273"/>
      <c r="NW438" s="273"/>
      <c r="NX438" s="273"/>
      <c r="NY438" s="273"/>
      <c r="NZ438" s="273"/>
      <c r="OA438" s="273"/>
      <c r="OB438" s="273"/>
      <c r="OC438" s="273"/>
      <c r="OD438" s="273"/>
      <c r="OE438" s="273"/>
      <c r="OF438" s="273"/>
      <c r="OG438" s="273"/>
      <c r="OH438" s="273"/>
      <c r="OI438" s="273"/>
      <c r="OJ438" s="273"/>
      <c r="OK438" s="273"/>
      <c r="OL438" s="273"/>
      <c r="OM438" s="273"/>
      <c r="ON438" s="273"/>
      <c r="OO438" s="273"/>
      <c r="OP438" s="273"/>
      <c r="OQ438" s="273"/>
      <c r="OR438" s="273"/>
      <c r="OS438" s="273"/>
      <c r="OT438" s="273"/>
      <c r="OU438" s="273"/>
      <c r="OV438" s="273"/>
      <c r="OW438" s="273"/>
      <c r="OX438" s="273"/>
      <c r="OY438" s="273"/>
      <c r="OZ438" s="273"/>
      <c r="PA438" s="273"/>
      <c r="PB438" s="273"/>
      <c r="PC438" s="273"/>
      <c r="PD438" s="273"/>
      <c r="PE438" s="273"/>
      <c r="PF438" s="273"/>
      <c r="PG438" s="273"/>
      <c r="PH438" s="273"/>
      <c r="PI438" s="273"/>
      <c r="PJ438" s="273"/>
      <c r="PK438" s="273"/>
      <c r="PL438" s="273"/>
      <c r="PM438" s="273"/>
      <c r="PN438" s="273"/>
      <c r="PO438" s="273"/>
      <c r="PP438" s="273"/>
      <c r="PQ438" s="273"/>
      <c r="PR438" s="273"/>
      <c r="PS438" s="273"/>
      <c r="PT438" s="273"/>
      <c r="PU438" s="273"/>
      <c r="PV438" s="273"/>
      <c r="PW438" s="273"/>
      <c r="PX438" s="273"/>
      <c r="PY438" s="273"/>
      <c r="PZ438" s="273"/>
      <c r="QA438" s="273"/>
      <c r="QB438" s="273"/>
      <c r="QC438" s="273"/>
      <c r="QD438" s="273"/>
      <c r="QE438" s="273"/>
      <c r="QF438" s="273"/>
      <c r="QG438" s="273"/>
      <c r="QH438" s="273"/>
      <c r="QI438" s="273"/>
      <c r="QJ438" s="273"/>
      <c r="QK438" s="273"/>
      <c r="QL438" s="273"/>
      <c r="QM438" s="273"/>
      <c r="QN438" s="273"/>
      <c r="QO438" s="273"/>
      <c r="QP438" s="273"/>
      <c r="QQ438" s="273"/>
      <c r="QR438" s="273"/>
      <c r="QS438" s="273"/>
      <c r="QT438" s="273"/>
      <c r="QU438" s="273"/>
      <c r="QV438" s="273"/>
      <c r="QW438" s="273"/>
      <c r="QX438" s="273"/>
      <c r="QY438" s="273"/>
      <c r="QZ438" s="273"/>
      <c r="RA438" s="273"/>
      <c r="RB438" s="273"/>
      <c r="RC438" s="273"/>
      <c r="RD438" s="273"/>
      <c r="RE438" s="273"/>
      <c r="RF438" s="273"/>
      <c r="RG438" s="273"/>
      <c r="RH438" s="273"/>
      <c r="RI438" s="273"/>
      <c r="RJ438" s="273"/>
      <c r="RK438" s="273"/>
      <c r="RL438" s="273"/>
      <c r="RM438" s="273"/>
      <c r="RN438" s="273"/>
      <c r="RO438" s="273"/>
      <c r="RP438" s="273"/>
      <c r="RQ438" s="273"/>
    </row>
    <row r="439" spans="1:485" s="450" customFormat="1" ht="39" x14ac:dyDescent="0.25">
      <c r="A439" s="2995"/>
      <c r="B439" s="595" t="s">
        <v>978</v>
      </c>
      <c r="C439" s="266" t="s">
        <v>15</v>
      </c>
      <c r="D439" s="467" t="s">
        <v>955</v>
      </c>
      <c r="E439" s="468">
        <v>2</v>
      </c>
      <c r="F439" s="468">
        <v>125</v>
      </c>
      <c r="G439" s="467">
        <v>0</v>
      </c>
      <c r="H439" s="451">
        <f t="shared" si="200"/>
        <v>0</v>
      </c>
      <c r="I439" s="675">
        <v>1</v>
      </c>
      <c r="J439" s="451">
        <v>7</v>
      </c>
      <c r="K439" s="451">
        <v>160.71428571428572</v>
      </c>
      <c r="L439" s="451">
        <v>1</v>
      </c>
      <c r="M439" s="1834">
        <f t="shared" si="201"/>
        <v>1125</v>
      </c>
      <c r="N439" s="697">
        <v>1</v>
      </c>
      <c r="O439" s="696">
        <f t="shared" si="202"/>
        <v>1125</v>
      </c>
      <c r="P439" s="675">
        <v>1</v>
      </c>
      <c r="Q439" s="451">
        <f t="shared" si="203"/>
        <v>1125</v>
      </c>
      <c r="R439" s="522" t="s">
        <v>979</v>
      </c>
      <c r="S439" s="452">
        <f>COOPI!S32</f>
        <v>758</v>
      </c>
      <c r="T439" s="591">
        <f t="shared" si="204"/>
        <v>0.67377777777777781</v>
      </c>
      <c r="U439" s="522" t="s">
        <v>944</v>
      </c>
      <c r="V439" s="591">
        <f t="shared" si="205"/>
        <v>0.67377777777777781</v>
      </c>
      <c r="W439" s="452">
        <f t="shared" si="206"/>
        <v>758</v>
      </c>
      <c r="X439" s="453" t="s">
        <v>944</v>
      </c>
      <c r="Y439" s="273"/>
      <c r="Z439" s="273"/>
      <c r="AA439" s="273"/>
      <c r="AB439" s="273"/>
      <c r="AC439" s="273"/>
      <c r="AD439" s="273"/>
      <c r="AE439" s="273"/>
      <c r="AF439" s="273"/>
      <c r="AG439" s="273"/>
      <c r="AH439" s="273"/>
      <c r="AI439" s="273"/>
      <c r="AJ439" s="273"/>
      <c r="AK439" s="273"/>
      <c r="AL439" s="273"/>
      <c r="AM439" s="273"/>
      <c r="AN439" s="273"/>
      <c r="AO439" s="273"/>
      <c r="AP439" s="273"/>
      <c r="AQ439" s="273"/>
      <c r="AR439" s="273"/>
      <c r="AS439" s="273"/>
      <c r="AT439" s="273"/>
      <c r="AU439" s="273"/>
      <c r="AV439" s="273"/>
      <c r="AW439" s="273"/>
      <c r="AX439" s="273"/>
      <c r="AY439" s="273"/>
      <c r="AZ439" s="273"/>
      <c r="BA439" s="273"/>
      <c r="BB439" s="273"/>
      <c r="BC439" s="273"/>
      <c r="BD439" s="273"/>
      <c r="BE439" s="273"/>
      <c r="BF439" s="273"/>
      <c r="BG439" s="273"/>
      <c r="BH439" s="273"/>
      <c r="BI439" s="273"/>
      <c r="BJ439" s="273"/>
      <c r="BK439" s="273"/>
      <c r="BL439" s="273"/>
      <c r="BM439" s="273"/>
      <c r="BN439" s="273"/>
      <c r="BO439" s="273"/>
      <c r="BP439" s="273"/>
      <c r="BQ439" s="273"/>
      <c r="BR439" s="273"/>
      <c r="BS439" s="273"/>
      <c r="BT439" s="273"/>
      <c r="BU439" s="273"/>
      <c r="BV439" s="273"/>
      <c r="BW439" s="273"/>
      <c r="BX439" s="273"/>
      <c r="BY439" s="273"/>
      <c r="BZ439" s="273"/>
      <c r="CA439" s="273"/>
      <c r="CB439" s="273"/>
      <c r="CC439" s="273"/>
      <c r="CD439" s="273"/>
      <c r="CE439" s="273"/>
      <c r="CF439" s="273"/>
      <c r="CG439" s="273"/>
      <c r="CH439" s="273"/>
      <c r="CI439" s="273"/>
      <c r="CJ439" s="273"/>
      <c r="CK439" s="273"/>
      <c r="CL439" s="273"/>
      <c r="CM439" s="273"/>
      <c r="CN439" s="273"/>
      <c r="CO439" s="273"/>
      <c r="CP439" s="273"/>
      <c r="CQ439" s="273"/>
      <c r="CR439" s="273"/>
      <c r="CS439" s="273"/>
      <c r="CT439" s="273"/>
      <c r="CU439" s="273"/>
      <c r="CV439" s="273"/>
      <c r="CW439" s="273"/>
      <c r="CX439" s="273"/>
      <c r="CY439" s="273"/>
      <c r="CZ439" s="273"/>
      <c r="DA439" s="273"/>
      <c r="DB439" s="273"/>
      <c r="DC439" s="273"/>
      <c r="DD439" s="273"/>
      <c r="DE439" s="273"/>
      <c r="DF439" s="273"/>
      <c r="DG439" s="273"/>
      <c r="DH439" s="273"/>
      <c r="DI439" s="273"/>
      <c r="DJ439" s="273"/>
      <c r="DK439" s="273"/>
      <c r="DL439" s="273"/>
      <c r="DM439" s="273"/>
      <c r="DN439" s="273"/>
      <c r="DO439" s="273"/>
      <c r="DP439" s="273"/>
      <c r="DQ439" s="273"/>
      <c r="DR439" s="273"/>
      <c r="DS439" s="273"/>
      <c r="DT439" s="273"/>
      <c r="DU439" s="273"/>
      <c r="DV439" s="273"/>
      <c r="DW439" s="273"/>
      <c r="DX439" s="273"/>
      <c r="DY439" s="273"/>
      <c r="DZ439" s="273"/>
      <c r="EA439" s="273"/>
      <c r="EB439" s="273"/>
      <c r="EC439" s="273"/>
      <c r="ED439" s="273"/>
      <c r="EE439" s="273"/>
      <c r="EF439" s="273"/>
      <c r="EG439" s="273"/>
      <c r="EH439" s="273"/>
      <c r="EI439" s="273"/>
      <c r="EJ439" s="273"/>
      <c r="EK439" s="273"/>
      <c r="EL439" s="273"/>
      <c r="EM439" s="273"/>
      <c r="EN439" s="273"/>
      <c r="EO439" s="273"/>
      <c r="EP439" s="273"/>
      <c r="EQ439" s="273"/>
      <c r="ER439" s="273"/>
      <c r="ES439" s="273"/>
      <c r="ET439" s="273"/>
      <c r="EU439" s="273"/>
      <c r="EV439" s="273"/>
      <c r="EW439" s="273"/>
      <c r="EX439" s="273"/>
      <c r="EY439" s="273"/>
      <c r="EZ439" s="273"/>
      <c r="FA439" s="273"/>
      <c r="FB439" s="273"/>
      <c r="FC439" s="273"/>
      <c r="FD439" s="273"/>
      <c r="FE439" s="273"/>
      <c r="FF439" s="273"/>
      <c r="FG439" s="273"/>
      <c r="FH439" s="273"/>
      <c r="FI439" s="273"/>
      <c r="FJ439" s="273"/>
      <c r="FK439" s="273"/>
      <c r="FL439" s="273"/>
      <c r="FM439" s="273"/>
      <c r="FN439" s="273"/>
      <c r="FO439" s="273"/>
      <c r="FP439" s="273"/>
      <c r="FQ439" s="273"/>
      <c r="FR439" s="273"/>
      <c r="FS439" s="273"/>
      <c r="FT439" s="273"/>
      <c r="FU439" s="273"/>
      <c r="FV439" s="273"/>
      <c r="FW439" s="273"/>
      <c r="FX439" s="273"/>
      <c r="FY439" s="273"/>
      <c r="FZ439" s="273"/>
      <c r="GA439" s="273"/>
      <c r="GB439" s="273"/>
      <c r="GC439" s="273"/>
      <c r="GD439" s="273"/>
      <c r="GE439" s="273"/>
      <c r="GF439" s="273"/>
      <c r="GG439" s="273"/>
      <c r="GH439" s="273"/>
      <c r="GI439" s="273"/>
      <c r="GJ439" s="273"/>
      <c r="GK439" s="273"/>
      <c r="GL439" s="273"/>
      <c r="GM439" s="273"/>
      <c r="GN439" s="273"/>
      <c r="GO439" s="273"/>
      <c r="GP439" s="273"/>
      <c r="GQ439" s="273"/>
      <c r="GR439" s="273"/>
      <c r="GS439" s="273"/>
      <c r="GT439" s="273"/>
      <c r="GU439" s="273"/>
      <c r="GV439" s="273"/>
      <c r="GW439" s="273"/>
      <c r="GX439" s="273"/>
      <c r="GY439" s="273"/>
      <c r="GZ439" s="273"/>
      <c r="HA439" s="273"/>
      <c r="HB439" s="273"/>
      <c r="HC439" s="273"/>
      <c r="HD439" s="273"/>
      <c r="HE439" s="273"/>
      <c r="HF439" s="273"/>
      <c r="HG439" s="273"/>
      <c r="HH439" s="273"/>
      <c r="HI439" s="273"/>
      <c r="HJ439" s="273"/>
      <c r="HK439" s="273"/>
      <c r="HL439" s="273"/>
      <c r="HM439" s="273"/>
      <c r="HN439" s="273"/>
      <c r="HO439" s="273"/>
      <c r="HP439" s="273"/>
      <c r="HQ439" s="273"/>
      <c r="HR439" s="273"/>
      <c r="HS439" s="273"/>
      <c r="HT439" s="273"/>
      <c r="HU439" s="273"/>
      <c r="HV439" s="273"/>
      <c r="HW439" s="273"/>
      <c r="HX439" s="273"/>
      <c r="HY439" s="273"/>
      <c r="HZ439" s="273"/>
      <c r="IA439" s="273"/>
      <c r="IB439" s="273"/>
      <c r="IC439" s="273"/>
      <c r="ID439" s="273"/>
      <c r="IE439" s="273"/>
      <c r="IF439" s="273"/>
      <c r="IG439" s="273"/>
      <c r="IH439" s="273"/>
      <c r="II439" s="273"/>
      <c r="IJ439" s="273"/>
      <c r="IK439" s="273"/>
      <c r="IL439" s="273"/>
      <c r="IM439" s="273"/>
      <c r="IN439" s="273"/>
      <c r="IO439" s="273"/>
      <c r="IP439" s="273"/>
      <c r="IQ439" s="273"/>
      <c r="IR439" s="273"/>
      <c r="IS439" s="273"/>
      <c r="IT439" s="273"/>
      <c r="IU439" s="273"/>
      <c r="IV439" s="273"/>
      <c r="IW439" s="273"/>
      <c r="IX439" s="273"/>
      <c r="IY439" s="273"/>
      <c r="IZ439" s="273"/>
      <c r="JA439" s="273"/>
      <c r="JB439" s="273"/>
      <c r="JC439" s="273"/>
      <c r="JD439" s="273"/>
      <c r="JE439" s="273"/>
      <c r="JF439" s="273"/>
      <c r="JG439" s="273"/>
      <c r="JH439" s="273"/>
      <c r="JI439" s="273"/>
      <c r="JJ439" s="273"/>
      <c r="JK439" s="273"/>
      <c r="JL439" s="273"/>
      <c r="JM439" s="273"/>
      <c r="JN439" s="273"/>
      <c r="JO439" s="273"/>
      <c r="JP439" s="273"/>
      <c r="JQ439" s="273"/>
      <c r="JR439" s="273"/>
      <c r="JS439" s="273"/>
      <c r="JT439" s="273"/>
      <c r="JU439" s="273"/>
      <c r="JV439" s="273"/>
      <c r="JW439" s="273"/>
      <c r="JX439" s="273"/>
      <c r="JY439" s="273"/>
      <c r="JZ439" s="273"/>
      <c r="KA439" s="273"/>
      <c r="KB439" s="273"/>
      <c r="KC439" s="273"/>
      <c r="KD439" s="273"/>
      <c r="KE439" s="273"/>
      <c r="KF439" s="273"/>
      <c r="KG439" s="273"/>
      <c r="KH439" s="273"/>
      <c r="KI439" s="273"/>
      <c r="KJ439" s="273"/>
      <c r="KK439" s="273"/>
      <c r="KL439" s="273"/>
      <c r="KM439" s="273"/>
      <c r="KN439" s="273"/>
      <c r="KO439" s="273"/>
      <c r="KP439" s="273"/>
      <c r="KQ439" s="273"/>
      <c r="KR439" s="273"/>
      <c r="KS439" s="273"/>
      <c r="KT439" s="273"/>
      <c r="KU439" s="273"/>
      <c r="KV439" s="273"/>
      <c r="KW439" s="273"/>
      <c r="KX439" s="273"/>
      <c r="KY439" s="273"/>
      <c r="KZ439" s="273"/>
      <c r="LA439" s="273"/>
      <c r="LB439" s="273"/>
      <c r="LC439" s="273"/>
      <c r="LD439" s="273"/>
      <c r="LE439" s="273"/>
      <c r="LF439" s="273"/>
      <c r="LG439" s="273"/>
      <c r="LH439" s="273"/>
      <c r="LI439" s="273"/>
      <c r="LJ439" s="273"/>
      <c r="LK439" s="273"/>
      <c r="LL439" s="273"/>
      <c r="LM439" s="273"/>
      <c r="LN439" s="273"/>
      <c r="LO439" s="273"/>
      <c r="LP439" s="273"/>
      <c r="LQ439" s="273"/>
      <c r="LR439" s="273"/>
      <c r="LS439" s="273"/>
      <c r="LT439" s="273"/>
      <c r="LU439" s="273"/>
      <c r="LV439" s="273"/>
      <c r="LW439" s="273"/>
      <c r="LX439" s="273"/>
      <c r="LY439" s="273"/>
      <c r="LZ439" s="273"/>
      <c r="MA439" s="273"/>
      <c r="MB439" s="273"/>
      <c r="MC439" s="273"/>
      <c r="MD439" s="273"/>
      <c r="ME439" s="273"/>
      <c r="MF439" s="273"/>
      <c r="MG439" s="273"/>
      <c r="MH439" s="273"/>
      <c r="MI439" s="273"/>
      <c r="MJ439" s="273"/>
      <c r="MK439" s="273"/>
      <c r="ML439" s="273"/>
      <c r="MM439" s="273"/>
      <c r="MN439" s="273"/>
      <c r="MO439" s="273"/>
      <c r="MP439" s="273"/>
      <c r="MQ439" s="273"/>
      <c r="MR439" s="273"/>
      <c r="MS439" s="273"/>
      <c r="MT439" s="273"/>
      <c r="MU439" s="273"/>
      <c r="MV439" s="273"/>
      <c r="MW439" s="273"/>
      <c r="MX439" s="273"/>
      <c r="MY439" s="273"/>
      <c r="MZ439" s="273"/>
      <c r="NA439" s="273"/>
      <c r="NB439" s="273"/>
      <c r="NC439" s="273"/>
      <c r="ND439" s="273"/>
      <c r="NE439" s="273"/>
      <c r="NF439" s="273"/>
      <c r="NG439" s="273"/>
      <c r="NH439" s="273"/>
      <c r="NI439" s="273"/>
      <c r="NJ439" s="273"/>
      <c r="NK439" s="273"/>
      <c r="NL439" s="273"/>
      <c r="NM439" s="273"/>
      <c r="NN439" s="273"/>
      <c r="NO439" s="273"/>
      <c r="NP439" s="273"/>
      <c r="NQ439" s="273"/>
      <c r="NR439" s="273"/>
      <c r="NS439" s="273"/>
      <c r="NT439" s="273"/>
      <c r="NU439" s="273"/>
      <c r="NV439" s="273"/>
      <c r="NW439" s="273"/>
      <c r="NX439" s="273"/>
      <c r="NY439" s="273"/>
      <c r="NZ439" s="273"/>
      <c r="OA439" s="273"/>
      <c r="OB439" s="273"/>
      <c r="OC439" s="273"/>
      <c r="OD439" s="273"/>
      <c r="OE439" s="273"/>
      <c r="OF439" s="273"/>
      <c r="OG439" s="273"/>
      <c r="OH439" s="273"/>
      <c r="OI439" s="273"/>
      <c r="OJ439" s="273"/>
      <c r="OK439" s="273"/>
      <c r="OL439" s="273"/>
      <c r="OM439" s="273"/>
      <c r="ON439" s="273"/>
      <c r="OO439" s="273"/>
      <c r="OP439" s="273"/>
      <c r="OQ439" s="273"/>
      <c r="OR439" s="273"/>
      <c r="OS439" s="273"/>
      <c r="OT439" s="273"/>
      <c r="OU439" s="273"/>
      <c r="OV439" s="273"/>
      <c r="OW439" s="273"/>
      <c r="OX439" s="273"/>
      <c r="OY439" s="273"/>
      <c r="OZ439" s="273"/>
      <c r="PA439" s="273"/>
      <c r="PB439" s="273"/>
      <c r="PC439" s="273"/>
      <c r="PD439" s="273"/>
      <c r="PE439" s="273"/>
      <c r="PF439" s="273"/>
      <c r="PG439" s="273"/>
      <c r="PH439" s="273"/>
      <c r="PI439" s="273"/>
      <c r="PJ439" s="273"/>
      <c r="PK439" s="273"/>
      <c r="PL439" s="273"/>
      <c r="PM439" s="273"/>
      <c r="PN439" s="273"/>
      <c r="PO439" s="273"/>
      <c r="PP439" s="273"/>
      <c r="PQ439" s="273"/>
      <c r="PR439" s="273"/>
      <c r="PS439" s="273"/>
      <c r="PT439" s="273"/>
      <c r="PU439" s="273"/>
      <c r="PV439" s="273"/>
      <c r="PW439" s="273"/>
      <c r="PX439" s="273"/>
      <c r="PY439" s="273"/>
      <c r="PZ439" s="273"/>
      <c r="QA439" s="273"/>
      <c r="QB439" s="273"/>
      <c r="QC439" s="273"/>
      <c r="QD439" s="273"/>
      <c r="QE439" s="273"/>
      <c r="QF439" s="273"/>
      <c r="QG439" s="273"/>
      <c r="QH439" s="273"/>
      <c r="QI439" s="273"/>
      <c r="QJ439" s="273"/>
      <c r="QK439" s="273"/>
      <c r="QL439" s="273"/>
      <c r="QM439" s="273"/>
      <c r="QN439" s="273"/>
      <c r="QO439" s="273"/>
      <c r="QP439" s="273"/>
      <c r="QQ439" s="273"/>
      <c r="QR439" s="273"/>
      <c r="QS439" s="273"/>
      <c r="QT439" s="273"/>
      <c r="QU439" s="273"/>
      <c r="QV439" s="273"/>
      <c r="QW439" s="273"/>
      <c r="QX439" s="273"/>
      <c r="QY439" s="273"/>
      <c r="QZ439" s="273"/>
      <c r="RA439" s="273"/>
      <c r="RB439" s="273"/>
      <c r="RC439" s="273"/>
      <c r="RD439" s="273"/>
      <c r="RE439" s="273"/>
      <c r="RF439" s="273"/>
      <c r="RG439" s="273"/>
      <c r="RH439" s="273"/>
      <c r="RI439" s="273"/>
      <c r="RJ439" s="273"/>
      <c r="RK439" s="273"/>
      <c r="RL439" s="273"/>
      <c r="RM439" s="273"/>
      <c r="RN439" s="273"/>
      <c r="RO439" s="273"/>
      <c r="RP439" s="273"/>
      <c r="RQ439" s="273"/>
    </row>
    <row r="440" spans="1:485" s="450" customFormat="1" ht="39" x14ac:dyDescent="0.25">
      <c r="A440" s="2995"/>
      <c r="B440" s="595" t="s">
        <v>980</v>
      </c>
      <c r="C440" s="266" t="s">
        <v>48</v>
      </c>
      <c r="D440" s="467" t="s">
        <v>955</v>
      </c>
      <c r="E440" s="468">
        <v>0</v>
      </c>
      <c r="F440" s="468">
        <v>0</v>
      </c>
      <c r="G440" s="467">
        <v>0</v>
      </c>
      <c r="H440" s="451">
        <f t="shared" si="200"/>
        <v>0</v>
      </c>
      <c r="I440" s="675">
        <v>1</v>
      </c>
      <c r="J440" s="451">
        <v>4</v>
      </c>
      <c r="K440" s="451">
        <v>700</v>
      </c>
      <c r="L440" s="451">
        <v>1</v>
      </c>
      <c r="M440" s="1834">
        <f t="shared" si="201"/>
        <v>2800</v>
      </c>
      <c r="N440" s="697">
        <v>1</v>
      </c>
      <c r="O440" s="696">
        <f t="shared" si="202"/>
        <v>2800</v>
      </c>
      <c r="P440" s="675">
        <v>1</v>
      </c>
      <c r="Q440" s="451">
        <f t="shared" si="203"/>
        <v>2800</v>
      </c>
      <c r="R440" s="522" t="s">
        <v>981</v>
      </c>
      <c r="S440" s="452">
        <f>COOPI!S33</f>
        <v>2920</v>
      </c>
      <c r="T440" s="591">
        <f t="shared" si="204"/>
        <v>1.0428571428571429</v>
      </c>
      <c r="U440" s="522" t="s">
        <v>1484</v>
      </c>
      <c r="V440" s="591">
        <f t="shared" si="205"/>
        <v>1.0428571428571429</v>
      </c>
      <c r="W440" s="452">
        <f t="shared" si="206"/>
        <v>2920</v>
      </c>
      <c r="X440" s="453" t="s">
        <v>1484</v>
      </c>
      <c r="Y440" s="273"/>
      <c r="Z440" s="273"/>
      <c r="AA440" s="273"/>
      <c r="AB440" s="273"/>
      <c r="AC440" s="273"/>
      <c r="AD440" s="273"/>
      <c r="AE440" s="273"/>
      <c r="AF440" s="273"/>
      <c r="AG440" s="273"/>
      <c r="AH440" s="273"/>
      <c r="AI440" s="273"/>
      <c r="AJ440" s="273"/>
      <c r="AK440" s="273"/>
      <c r="AL440" s="273"/>
      <c r="AM440" s="273"/>
      <c r="AN440" s="273"/>
      <c r="AO440" s="273"/>
      <c r="AP440" s="273"/>
      <c r="AQ440" s="273"/>
      <c r="AR440" s="273"/>
      <c r="AS440" s="273"/>
      <c r="AT440" s="273"/>
      <c r="AU440" s="273"/>
      <c r="AV440" s="273"/>
      <c r="AW440" s="273"/>
      <c r="AX440" s="273"/>
      <c r="AY440" s="273"/>
      <c r="AZ440" s="273"/>
      <c r="BA440" s="273"/>
      <c r="BB440" s="273"/>
      <c r="BC440" s="273"/>
      <c r="BD440" s="273"/>
      <c r="BE440" s="273"/>
      <c r="BF440" s="273"/>
      <c r="BG440" s="273"/>
      <c r="BH440" s="273"/>
      <c r="BI440" s="273"/>
      <c r="BJ440" s="273"/>
      <c r="BK440" s="273"/>
      <c r="BL440" s="273"/>
      <c r="BM440" s="273"/>
      <c r="BN440" s="273"/>
      <c r="BO440" s="273"/>
      <c r="BP440" s="273"/>
      <c r="BQ440" s="273"/>
      <c r="BR440" s="273"/>
      <c r="BS440" s="273"/>
      <c r="BT440" s="273"/>
      <c r="BU440" s="273"/>
      <c r="BV440" s="273"/>
      <c r="BW440" s="273"/>
      <c r="BX440" s="273"/>
      <c r="BY440" s="273"/>
      <c r="BZ440" s="273"/>
      <c r="CA440" s="273"/>
      <c r="CB440" s="273"/>
      <c r="CC440" s="273"/>
      <c r="CD440" s="273"/>
      <c r="CE440" s="273"/>
      <c r="CF440" s="273"/>
      <c r="CG440" s="273"/>
      <c r="CH440" s="273"/>
      <c r="CI440" s="273"/>
      <c r="CJ440" s="273"/>
      <c r="CK440" s="273"/>
      <c r="CL440" s="273"/>
      <c r="CM440" s="273"/>
      <c r="CN440" s="273"/>
      <c r="CO440" s="273"/>
      <c r="CP440" s="273"/>
      <c r="CQ440" s="273"/>
      <c r="CR440" s="273"/>
      <c r="CS440" s="273"/>
      <c r="CT440" s="273"/>
      <c r="CU440" s="273"/>
      <c r="CV440" s="273"/>
      <c r="CW440" s="273"/>
      <c r="CX440" s="273"/>
      <c r="CY440" s="273"/>
      <c r="CZ440" s="273"/>
      <c r="DA440" s="273"/>
      <c r="DB440" s="273"/>
      <c r="DC440" s="273"/>
      <c r="DD440" s="273"/>
      <c r="DE440" s="273"/>
      <c r="DF440" s="273"/>
      <c r="DG440" s="273"/>
      <c r="DH440" s="273"/>
      <c r="DI440" s="273"/>
      <c r="DJ440" s="273"/>
      <c r="DK440" s="273"/>
      <c r="DL440" s="273"/>
      <c r="DM440" s="273"/>
      <c r="DN440" s="273"/>
      <c r="DO440" s="273"/>
      <c r="DP440" s="273"/>
      <c r="DQ440" s="273"/>
      <c r="DR440" s="273"/>
      <c r="DS440" s="273"/>
      <c r="DT440" s="273"/>
      <c r="DU440" s="273"/>
      <c r="DV440" s="273"/>
      <c r="DW440" s="273"/>
      <c r="DX440" s="273"/>
      <c r="DY440" s="273"/>
      <c r="DZ440" s="273"/>
      <c r="EA440" s="273"/>
      <c r="EB440" s="273"/>
      <c r="EC440" s="273"/>
      <c r="ED440" s="273"/>
      <c r="EE440" s="273"/>
      <c r="EF440" s="273"/>
      <c r="EG440" s="273"/>
      <c r="EH440" s="273"/>
      <c r="EI440" s="273"/>
      <c r="EJ440" s="273"/>
      <c r="EK440" s="273"/>
      <c r="EL440" s="273"/>
      <c r="EM440" s="273"/>
      <c r="EN440" s="273"/>
      <c r="EO440" s="273"/>
      <c r="EP440" s="273"/>
      <c r="EQ440" s="273"/>
      <c r="ER440" s="273"/>
      <c r="ES440" s="273"/>
      <c r="ET440" s="273"/>
      <c r="EU440" s="273"/>
      <c r="EV440" s="273"/>
      <c r="EW440" s="273"/>
      <c r="EX440" s="273"/>
      <c r="EY440" s="273"/>
      <c r="EZ440" s="273"/>
      <c r="FA440" s="273"/>
      <c r="FB440" s="273"/>
      <c r="FC440" s="273"/>
      <c r="FD440" s="273"/>
      <c r="FE440" s="273"/>
      <c r="FF440" s="273"/>
      <c r="FG440" s="273"/>
      <c r="FH440" s="273"/>
      <c r="FI440" s="273"/>
      <c r="FJ440" s="273"/>
      <c r="FK440" s="273"/>
      <c r="FL440" s="273"/>
      <c r="FM440" s="273"/>
      <c r="FN440" s="273"/>
      <c r="FO440" s="273"/>
      <c r="FP440" s="273"/>
      <c r="FQ440" s="273"/>
      <c r="FR440" s="273"/>
      <c r="FS440" s="273"/>
      <c r="FT440" s="273"/>
      <c r="FU440" s="273"/>
      <c r="FV440" s="273"/>
      <c r="FW440" s="273"/>
      <c r="FX440" s="273"/>
      <c r="FY440" s="273"/>
      <c r="FZ440" s="273"/>
      <c r="GA440" s="273"/>
      <c r="GB440" s="273"/>
      <c r="GC440" s="273"/>
      <c r="GD440" s="273"/>
      <c r="GE440" s="273"/>
      <c r="GF440" s="273"/>
      <c r="GG440" s="273"/>
      <c r="GH440" s="273"/>
      <c r="GI440" s="273"/>
      <c r="GJ440" s="273"/>
      <c r="GK440" s="273"/>
      <c r="GL440" s="273"/>
      <c r="GM440" s="273"/>
      <c r="GN440" s="273"/>
      <c r="GO440" s="273"/>
      <c r="GP440" s="273"/>
      <c r="GQ440" s="273"/>
      <c r="GR440" s="273"/>
      <c r="GS440" s="273"/>
      <c r="GT440" s="273"/>
      <c r="GU440" s="273"/>
      <c r="GV440" s="273"/>
      <c r="GW440" s="273"/>
      <c r="GX440" s="273"/>
      <c r="GY440" s="273"/>
      <c r="GZ440" s="273"/>
      <c r="HA440" s="273"/>
      <c r="HB440" s="273"/>
      <c r="HC440" s="273"/>
      <c r="HD440" s="273"/>
      <c r="HE440" s="273"/>
      <c r="HF440" s="273"/>
      <c r="HG440" s="273"/>
      <c r="HH440" s="273"/>
      <c r="HI440" s="273"/>
      <c r="HJ440" s="273"/>
      <c r="HK440" s="273"/>
      <c r="HL440" s="273"/>
      <c r="HM440" s="273"/>
      <c r="HN440" s="273"/>
      <c r="HO440" s="273"/>
      <c r="HP440" s="273"/>
      <c r="HQ440" s="273"/>
      <c r="HR440" s="273"/>
      <c r="HS440" s="273"/>
      <c r="HT440" s="273"/>
      <c r="HU440" s="273"/>
      <c r="HV440" s="273"/>
      <c r="HW440" s="273"/>
      <c r="HX440" s="273"/>
      <c r="HY440" s="273"/>
      <c r="HZ440" s="273"/>
      <c r="IA440" s="273"/>
      <c r="IB440" s="273"/>
      <c r="IC440" s="273"/>
      <c r="ID440" s="273"/>
      <c r="IE440" s="273"/>
      <c r="IF440" s="273"/>
      <c r="IG440" s="273"/>
      <c r="IH440" s="273"/>
      <c r="II440" s="273"/>
      <c r="IJ440" s="273"/>
      <c r="IK440" s="273"/>
      <c r="IL440" s="273"/>
      <c r="IM440" s="273"/>
      <c r="IN440" s="273"/>
      <c r="IO440" s="273"/>
      <c r="IP440" s="273"/>
      <c r="IQ440" s="273"/>
      <c r="IR440" s="273"/>
      <c r="IS440" s="273"/>
      <c r="IT440" s="273"/>
      <c r="IU440" s="273"/>
      <c r="IV440" s="273"/>
      <c r="IW440" s="273"/>
      <c r="IX440" s="273"/>
      <c r="IY440" s="273"/>
      <c r="IZ440" s="273"/>
      <c r="JA440" s="273"/>
      <c r="JB440" s="273"/>
      <c r="JC440" s="273"/>
      <c r="JD440" s="273"/>
      <c r="JE440" s="273"/>
      <c r="JF440" s="273"/>
      <c r="JG440" s="273"/>
      <c r="JH440" s="273"/>
      <c r="JI440" s="273"/>
      <c r="JJ440" s="273"/>
      <c r="JK440" s="273"/>
      <c r="JL440" s="273"/>
      <c r="JM440" s="273"/>
      <c r="JN440" s="273"/>
      <c r="JO440" s="273"/>
      <c r="JP440" s="273"/>
      <c r="JQ440" s="273"/>
      <c r="JR440" s="273"/>
      <c r="JS440" s="273"/>
      <c r="JT440" s="273"/>
      <c r="JU440" s="273"/>
      <c r="JV440" s="273"/>
      <c r="JW440" s="273"/>
      <c r="JX440" s="273"/>
      <c r="JY440" s="273"/>
      <c r="JZ440" s="273"/>
      <c r="KA440" s="273"/>
      <c r="KB440" s="273"/>
      <c r="KC440" s="273"/>
      <c r="KD440" s="273"/>
      <c r="KE440" s="273"/>
      <c r="KF440" s="273"/>
      <c r="KG440" s="273"/>
      <c r="KH440" s="273"/>
      <c r="KI440" s="273"/>
      <c r="KJ440" s="273"/>
      <c r="KK440" s="273"/>
      <c r="KL440" s="273"/>
      <c r="KM440" s="273"/>
      <c r="KN440" s="273"/>
      <c r="KO440" s="273"/>
      <c r="KP440" s="273"/>
      <c r="KQ440" s="273"/>
      <c r="KR440" s="273"/>
      <c r="KS440" s="273"/>
      <c r="KT440" s="273"/>
      <c r="KU440" s="273"/>
      <c r="KV440" s="273"/>
      <c r="KW440" s="273"/>
      <c r="KX440" s="273"/>
      <c r="KY440" s="273"/>
      <c r="KZ440" s="273"/>
      <c r="LA440" s="273"/>
      <c r="LB440" s="273"/>
      <c r="LC440" s="273"/>
      <c r="LD440" s="273"/>
      <c r="LE440" s="273"/>
      <c r="LF440" s="273"/>
      <c r="LG440" s="273"/>
      <c r="LH440" s="273"/>
      <c r="LI440" s="273"/>
      <c r="LJ440" s="273"/>
      <c r="LK440" s="273"/>
      <c r="LL440" s="273"/>
      <c r="LM440" s="273"/>
      <c r="LN440" s="273"/>
      <c r="LO440" s="273"/>
      <c r="LP440" s="273"/>
      <c r="LQ440" s="273"/>
      <c r="LR440" s="273"/>
      <c r="LS440" s="273"/>
      <c r="LT440" s="273"/>
      <c r="LU440" s="273"/>
      <c r="LV440" s="273"/>
      <c r="LW440" s="273"/>
      <c r="LX440" s="273"/>
      <c r="LY440" s="273"/>
      <c r="LZ440" s="273"/>
      <c r="MA440" s="273"/>
      <c r="MB440" s="273"/>
      <c r="MC440" s="273"/>
      <c r="MD440" s="273"/>
      <c r="ME440" s="273"/>
      <c r="MF440" s="273"/>
      <c r="MG440" s="273"/>
      <c r="MH440" s="273"/>
      <c r="MI440" s="273"/>
      <c r="MJ440" s="273"/>
      <c r="MK440" s="273"/>
      <c r="ML440" s="273"/>
      <c r="MM440" s="273"/>
      <c r="MN440" s="273"/>
      <c r="MO440" s="273"/>
      <c r="MP440" s="273"/>
      <c r="MQ440" s="273"/>
      <c r="MR440" s="273"/>
      <c r="MS440" s="273"/>
      <c r="MT440" s="273"/>
      <c r="MU440" s="273"/>
      <c r="MV440" s="273"/>
      <c r="MW440" s="273"/>
      <c r="MX440" s="273"/>
      <c r="MY440" s="273"/>
      <c r="MZ440" s="273"/>
      <c r="NA440" s="273"/>
      <c r="NB440" s="273"/>
      <c r="NC440" s="273"/>
      <c r="ND440" s="273"/>
      <c r="NE440" s="273"/>
      <c r="NF440" s="273"/>
      <c r="NG440" s="273"/>
      <c r="NH440" s="273"/>
      <c r="NI440" s="273"/>
      <c r="NJ440" s="273"/>
      <c r="NK440" s="273"/>
      <c r="NL440" s="273"/>
      <c r="NM440" s="273"/>
      <c r="NN440" s="273"/>
      <c r="NO440" s="273"/>
      <c r="NP440" s="273"/>
      <c r="NQ440" s="273"/>
      <c r="NR440" s="273"/>
      <c r="NS440" s="273"/>
      <c r="NT440" s="273"/>
      <c r="NU440" s="273"/>
      <c r="NV440" s="273"/>
      <c r="NW440" s="273"/>
      <c r="NX440" s="273"/>
      <c r="NY440" s="273"/>
      <c r="NZ440" s="273"/>
      <c r="OA440" s="273"/>
      <c r="OB440" s="273"/>
      <c r="OC440" s="273"/>
      <c r="OD440" s="273"/>
      <c r="OE440" s="273"/>
      <c r="OF440" s="273"/>
      <c r="OG440" s="273"/>
      <c r="OH440" s="273"/>
      <c r="OI440" s="273"/>
      <c r="OJ440" s="273"/>
      <c r="OK440" s="273"/>
      <c r="OL440" s="273"/>
      <c r="OM440" s="273"/>
      <c r="ON440" s="273"/>
      <c r="OO440" s="273"/>
      <c r="OP440" s="273"/>
      <c r="OQ440" s="273"/>
      <c r="OR440" s="273"/>
      <c r="OS440" s="273"/>
      <c r="OT440" s="273"/>
      <c r="OU440" s="273"/>
      <c r="OV440" s="273"/>
      <c r="OW440" s="273"/>
      <c r="OX440" s="273"/>
      <c r="OY440" s="273"/>
      <c r="OZ440" s="273"/>
      <c r="PA440" s="273"/>
      <c r="PB440" s="273"/>
      <c r="PC440" s="273"/>
      <c r="PD440" s="273"/>
      <c r="PE440" s="273"/>
      <c r="PF440" s="273"/>
      <c r="PG440" s="273"/>
      <c r="PH440" s="273"/>
      <c r="PI440" s="273"/>
      <c r="PJ440" s="273"/>
      <c r="PK440" s="273"/>
      <c r="PL440" s="273"/>
      <c r="PM440" s="273"/>
      <c r="PN440" s="273"/>
      <c r="PO440" s="273"/>
      <c r="PP440" s="273"/>
      <c r="PQ440" s="273"/>
      <c r="PR440" s="273"/>
      <c r="PS440" s="273"/>
      <c r="PT440" s="273"/>
      <c r="PU440" s="273"/>
      <c r="PV440" s="273"/>
      <c r="PW440" s="273"/>
      <c r="PX440" s="273"/>
      <c r="PY440" s="273"/>
      <c r="PZ440" s="273"/>
      <c r="QA440" s="273"/>
      <c r="QB440" s="273"/>
      <c r="QC440" s="273"/>
      <c r="QD440" s="273"/>
      <c r="QE440" s="273"/>
      <c r="QF440" s="273"/>
      <c r="QG440" s="273"/>
      <c r="QH440" s="273"/>
      <c r="QI440" s="273"/>
      <c r="QJ440" s="273"/>
      <c r="QK440" s="273"/>
      <c r="QL440" s="273"/>
      <c r="QM440" s="273"/>
      <c r="QN440" s="273"/>
      <c r="QO440" s="273"/>
      <c r="QP440" s="273"/>
      <c r="QQ440" s="273"/>
      <c r="QR440" s="273"/>
      <c r="QS440" s="273"/>
      <c r="QT440" s="273"/>
      <c r="QU440" s="273"/>
      <c r="QV440" s="273"/>
      <c r="QW440" s="273"/>
      <c r="QX440" s="273"/>
      <c r="QY440" s="273"/>
      <c r="QZ440" s="273"/>
      <c r="RA440" s="273"/>
      <c r="RB440" s="273"/>
      <c r="RC440" s="273"/>
      <c r="RD440" s="273"/>
      <c r="RE440" s="273"/>
      <c r="RF440" s="273"/>
      <c r="RG440" s="273"/>
      <c r="RH440" s="273"/>
      <c r="RI440" s="273"/>
      <c r="RJ440" s="273"/>
      <c r="RK440" s="273"/>
      <c r="RL440" s="273"/>
      <c r="RM440" s="273"/>
      <c r="RN440" s="273"/>
      <c r="RO440" s="273"/>
      <c r="RP440" s="273"/>
      <c r="RQ440" s="273"/>
    </row>
    <row r="441" spans="1:485" s="450" customFormat="1" ht="26" x14ac:dyDescent="0.25">
      <c r="A441" s="2995"/>
      <c r="B441" s="595" t="s">
        <v>982</v>
      </c>
      <c r="C441" s="266" t="s">
        <v>48</v>
      </c>
      <c r="D441" s="467" t="s">
        <v>955</v>
      </c>
      <c r="E441" s="468">
        <v>0</v>
      </c>
      <c r="F441" s="468">
        <v>0</v>
      </c>
      <c r="G441" s="467">
        <v>0</v>
      </c>
      <c r="H441" s="451">
        <f t="shared" si="200"/>
        <v>0</v>
      </c>
      <c r="I441" s="675">
        <v>1</v>
      </c>
      <c r="J441" s="451">
        <v>4</v>
      </c>
      <c r="K441" s="451">
        <v>900</v>
      </c>
      <c r="L441" s="451">
        <v>1</v>
      </c>
      <c r="M441" s="1834">
        <f t="shared" si="201"/>
        <v>3600</v>
      </c>
      <c r="N441" s="697">
        <v>1</v>
      </c>
      <c r="O441" s="696">
        <f t="shared" si="202"/>
        <v>3600</v>
      </c>
      <c r="P441" s="675">
        <v>1</v>
      </c>
      <c r="Q441" s="451">
        <f t="shared" si="203"/>
        <v>3600</v>
      </c>
      <c r="R441" s="522" t="s">
        <v>983</v>
      </c>
      <c r="S441" s="452">
        <f>COOPI!S34</f>
        <v>3200</v>
      </c>
      <c r="T441" s="591">
        <f t="shared" si="204"/>
        <v>0.88888888888888884</v>
      </c>
      <c r="U441" s="522" t="s">
        <v>984</v>
      </c>
      <c r="V441" s="591">
        <f t="shared" si="205"/>
        <v>0.88888888888888884</v>
      </c>
      <c r="W441" s="452">
        <f t="shared" si="206"/>
        <v>3200</v>
      </c>
      <c r="X441" s="453" t="s">
        <v>984</v>
      </c>
      <c r="Y441" s="273"/>
      <c r="Z441" s="273"/>
      <c r="AA441" s="273"/>
      <c r="AB441" s="273"/>
      <c r="AC441" s="273"/>
      <c r="AD441" s="273"/>
      <c r="AE441" s="273"/>
      <c r="AF441" s="273"/>
      <c r="AG441" s="273"/>
      <c r="AH441" s="273"/>
      <c r="AI441" s="273"/>
      <c r="AJ441" s="273"/>
      <c r="AK441" s="273"/>
      <c r="AL441" s="273"/>
      <c r="AM441" s="273"/>
      <c r="AN441" s="273"/>
      <c r="AO441" s="273"/>
      <c r="AP441" s="273"/>
      <c r="AQ441" s="273"/>
      <c r="AR441" s="273"/>
      <c r="AS441" s="273"/>
      <c r="AT441" s="273"/>
      <c r="AU441" s="273"/>
      <c r="AV441" s="273"/>
      <c r="AW441" s="273"/>
      <c r="AX441" s="273"/>
      <c r="AY441" s="273"/>
      <c r="AZ441" s="273"/>
      <c r="BA441" s="273"/>
      <c r="BB441" s="273"/>
      <c r="BC441" s="273"/>
      <c r="BD441" s="273"/>
      <c r="BE441" s="273"/>
      <c r="BF441" s="273"/>
      <c r="BG441" s="273"/>
      <c r="BH441" s="273"/>
      <c r="BI441" s="273"/>
      <c r="BJ441" s="273"/>
      <c r="BK441" s="273"/>
      <c r="BL441" s="273"/>
      <c r="BM441" s="273"/>
      <c r="BN441" s="273"/>
      <c r="BO441" s="273"/>
      <c r="BP441" s="273"/>
      <c r="BQ441" s="273"/>
      <c r="BR441" s="273"/>
      <c r="BS441" s="273"/>
      <c r="BT441" s="273"/>
      <c r="BU441" s="273"/>
      <c r="BV441" s="273"/>
      <c r="BW441" s="273"/>
      <c r="BX441" s="273"/>
      <c r="BY441" s="273"/>
      <c r="BZ441" s="273"/>
      <c r="CA441" s="273"/>
      <c r="CB441" s="273"/>
      <c r="CC441" s="273"/>
      <c r="CD441" s="273"/>
      <c r="CE441" s="273"/>
      <c r="CF441" s="273"/>
      <c r="CG441" s="273"/>
      <c r="CH441" s="273"/>
      <c r="CI441" s="273"/>
      <c r="CJ441" s="273"/>
      <c r="CK441" s="273"/>
      <c r="CL441" s="273"/>
      <c r="CM441" s="273"/>
      <c r="CN441" s="273"/>
      <c r="CO441" s="273"/>
      <c r="CP441" s="273"/>
      <c r="CQ441" s="273"/>
      <c r="CR441" s="273"/>
      <c r="CS441" s="273"/>
      <c r="CT441" s="273"/>
      <c r="CU441" s="273"/>
      <c r="CV441" s="273"/>
      <c r="CW441" s="273"/>
      <c r="CX441" s="273"/>
      <c r="CY441" s="273"/>
      <c r="CZ441" s="273"/>
      <c r="DA441" s="273"/>
      <c r="DB441" s="273"/>
      <c r="DC441" s="273"/>
      <c r="DD441" s="273"/>
      <c r="DE441" s="273"/>
      <c r="DF441" s="273"/>
      <c r="DG441" s="273"/>
      <c r="DH441" s="273"/>
      <c r="DI441" s="273"/>
      <c r="DJ441" s="273"/>
      <c r="DK441" s="273"/>
      <c r="DL441" s="273"/>
      <c r="DM441" s="273"/>
      <c r="DN441" s="273"/>
      <c r="DO441" s="273"/>
      <c r="DP441" s="273"/>
      <c r="DQ441" s="273"/>
      <c r="DR441" s="273"/>
      <c r="DS441" s="273"/>
      <c r="DT441" s="273"/>
      <c r="DU441" s="273"/>
      <c r="DV441" s="273"/>
      <c r="DW441" s="273"/>
      <c r="DX441" s="273"/>
      <c r="DY441" s="273"/>
      <c r="DZ441" s="273"/>
      <c r="EA441" s="273"/>
      <c r="EB441" s="273"/>
      <c r="EC441" s="273"/>
      <c r="ED441" s="273"/>
      <c r="EE441" s="273"/>
      <c r="EF441" s="273"/>
      <c r="EG441" s="273"/>
      <c r="EH441" s="273"/>
      <c r="EI441" s="273"/>
      <c r="EJ441" s="273"/>
      <c r="EK441" s="273"/>
      <c r="EL441" s="273"/>
      <c r="EM441" s="273"/>
      <c r="EN441" s="273"/>
      <c r="EO441" s="273"/>
      <c r="EP441" s="273"/>
      <c r="EQ441" s="273"/>
      <c r="ER441" s="273"/>
      <c r="ES441" s="273"/>
      <c r="ET441" s="273"/>
      <c r="EU441" s="273"/>
      <c r="EV441" s="273"/>
      <c r="EW441" s="273"/>
      <c r="EX441" s="273"/>
      <c r="EY441" s="273"/>
      <c r="EZ441" s="273"/>
      <c r="FA441" s="273"/>
      <c r="FB441" s="273"/>
      <c r="FC441" s="273"/>
      <c r="FD441" s="273"/>
      <c r="FE441" s="273"/>
      <c r="FF441" s="273"/>
      <c r="FG441" s="273"/>
      <c r="FH441" s="273"/>
      <c r="FI441" s="273"/>
      <c r="FJ441" s="273"/>
      <c r="FK441" s="273"/>
      <c r="FL441" s="273"/>
      <c r="FM441" s="273"/>
      <c r="FN441" s="273"/>
      <c r="FO441" s="273"/>
      <c r="FP441" s="273"/>
      <c r="FQ441" s="273"/>
      <c r="FR441" s="273"/>
      <c r="FS441" s="273"/>
      <c r="FT441" s="273"/>
      <c r="FU441" s="273"/>
      <c r="FV441" s="273"/>
      <c r="FW441" s="273"/>
      <c r="FX441" s="273"/>
      <c r="FY441" s="273"/>
      <c r="FZ441" s="273"/>
      <c r="GA441" s="273"/>
      <c r="GB441" s="273"/>
      <c r="GC441" s="273"/>
      <c r="GD441" s="273"/>
      <c r="GE441" s="273"/>
      <c r="GF441" s="273"/>
      <c r="GG441" s="273"/>
      <c r="GH441" s="273"/>
      <c r="GI441" s="273"/>
      <c r="GJ441" s="273"/>
      <c r="GK441" s="273"/>
      <c r="GL441" s="273"/>
      <c r="GM441" s="273"/>
      <c r="GN441" s="273"/>
      <c r="GO441" s="273"/>
      <c r="GP441" s="273"/>
      <c r="GQ441" s="273"/>
      <c r="GR441" s="273"/>
      <c r="GS441" s="273"/>
      <c r="GT441" s="273"/>
      <c r="GU441" s="273"/>
      <c r="GV441" s="273"/>
      <c r="GW441" s="273"/>
      <c r="GX441" s="273"/>
      <c r="GY441" s="273"/>
      <c r="GZ441" s="273"/>
      <c r="HA441" s="273"/>
      <c r="HB441" s="273"/>
      <c r="HC441" s="273"/>
      <c r="HD441" s="273"/>
      <c r="HE441" s="273"/>
      <c r="HF441" s="273"/>
      <c r="HG441" s="273"/>
      <c r="HH441" s="273"/>
      <c r="HI441" s="273"/>
      <c r="HJ441" s="273"/>
      <c r="HK441" s="273"/>
      <c r="HL441" s="273"/>
      <c r="HM441" s="273"/>
      <c r="HN441" s="273"/>
      <c r="HO441" s="273"/>
      <c r="HP441" s="273"/>
      <c r="HQ441" s="273"/>
      <c r="HR441" s="273"/>
      <c r="HS441" s="273"/>
      <c r="HT441" s="273"/>
      <c r="HU441" s="273"/>
      <c r="HV441" s="273"/>
      <c r="HW441" s="273"/>
      <c r="HX441" s="273"/>
      <c r="HY441" s="273"/>
      <c r="HZ441" s="273"/>
      <c r="IA441" s="273"/>
      <c r="IB441" s="273"/>
      <c r="IC441" s="273"/>
      <c r="ID441" s="273"/>
      <c r="IE441" s="273"/>
      <c r="IF441" s="273"/>
      <c r="IG441" s="273"/>
      <c r="IH441" s="273"/>
      <c r="II441" s="273"/>
      <c r="IJ441" s="273"/>
      <c r="IK441" s="273"/>
      <c r="IL441" s="273"/>
      <c r="IM441" s="273"/>
      <c r="IN441" s="273"/>
      <c r="IO441" s="273"/>
      <c r="IP441" s="273"/>
      <c r="IQ441" s="273"/>
      <c r="IR441" s="273"/>
      <c r="IS441" s="273"/>
      <c r="IT441" s="273"/>
      <c r="IU441" s="273"/>
      <c r="IV441" s="273"/>
      <c r="IW441" s="273"/>
      <c r="IX441" s="273"/>
      <c r="IY441" s="273"/>
      <c r="IZ441" s="273"/>
      <c r="JA441" s="273"/>
      <c r="JB441" s="273"/>
      <c r="JC441" s="273"/>
      <c r="JD441" s="273"/>
      <c r="JE441" s="273"/>
      <c r="JF441" s="273"/>
      <c r="JG441" s="273"/>
      <c r="JH441" s="273"/>
      <c r="JI441" s="273"/>
      <c r="JJ441" s="273"/>
      <c r="JK441" s="273"/>
      <c r="JL441" s="273"/>
      <c r="JM441" s="273"/>
      <c r="JN441" s="273"/>
      <c r="JO441" s="273"/>
      <c r="JP441" s="273"/>
      <c r="JQ441" s="273"/>
      <c r="JR441" s="273"/>
      <c r="JS441" s="273"/>
      <c r="JT441" s="273"/>
      <c r="JU441" s="273"/>
      <c r="JV441" s="273"/>
      <c r="JW441" s="273"/>
      <c r="JX441" s="273"/>
      <c r="JY441" s="273"/>
      <c r="JZ441" s="273"/>
      <c r="KA441" s="273"/>
      <c r="KB441" s="273"/>
      <c r="KC441" s="273"/>
      <c r="KD441" s="273"/>
      <c r="KE441" s="273"/>
      <c r="KF441" s="273"/>
      <c r="KG441" s="273"/>
      <c r="KH441" s="273"/>
      <c r="KI441" s="273"/>
      <c r="KJ441" s="273"/>
      <c r="KK441" s="273"/>
      <c r="KL441" s="273"/>
      <c r="KM441" s="273"/>
      <c r="KN441" s="273"/>
      <c r="KO441" s="273"/>
      <c r="KP441" s="273"/>
      <c r="KQ441" s="273"/>
      <c r="KR441" s="273"/>
      <c r="KS441" s="273"/>
      <c r="KT441" s="273"/>
      <c r="KU441" s="273"/>
      <c r="KV441" s="273"/>
      <c r="KW441" s="273"/>
      <c r="KX441" s="273"/>
      <c r="KY441" s="273"/>
      <c r="KZ441" s="273"/>
      <c r="LA441" s="273"/>
      <c r="LB441" s="273"/>
      <c r="LC441" s="273"/>
      <c r="LD441" s="273"/>
      <c r="LE441" s="273"/>
      <c r="LF441" s="273"/>
      <c r="LG441" s="273"/>
      <c r="LH441" s="273"/>
      <c r="LI441" s="273"/>
      <c r="LJ441" s="273"/>
      <c r="LK441" s="273"/>
      <c r="LL441" s="273"/>
      <c r="LM441" s="273"/>
      <c r="LN441" s="273"/>
      <c r="LO441" s="273"/>
      <c r="LP441" s="273"/>
      <c r="LQ441" s="273"/>
      <c r="LR441" s="273"/>
      <c r="LS441" s="273"/>
      <c r="LT441" s="273"/>
      <c r="LU441" s="273"/>
      <c r="LV441" s="273"/>
      <c r="LW441" s="273"/>
      <c r="LX441" s="273"/>
      <c r="LY441" s="273"/>
      <c r="LZ441" s="273"/>
      <c r="MA441" s="273"/>
      <c r="MB441" s="273"/>
      <c r="MC441" s="273"/>
      <c r="MD441" s="273"/>
      <c r="ME441" s="273"/>
      <c r="MF441" s="273"/>
      <c r="MG441" s="273"/>
      <c r="MH441" s="273"/>
      <c r="MI441" s="273"/>
      <c r="MJ441" s="273"/>
      <c r="MK441" s="273"/>
      <c r="ML441" s="273"/>
      <c r="MM441" s="273"/>
      <c r="MN441" s="273"/>
      <c r="MO441" s="273"/>
      <c r="MP441" s="273"/>
      <c r="MQ441" s="273"/>
      <c r="MR441" s="273"/>
      <c r="MS441" s="273"/>
      <c r="MT441" s="273"/>
      <c r="MU441" s="273"/>
      <c r="MV441" s="273"/>
      <c r="MW441" s="273"/>
      <c r="MX441" s="273"/>
      <c r="MY441" s="273"/>
      <c r="MZ441" s="273"/>
      <c r="NA441" s="273"/>
      <c r="NB441" s="273"/>
      <c r="NC441" s="273"/>
      <c r="ND441" s="273"/>
      <c r="NE441" s="273"/>
      <c r="NF441" s="273"/>
      <c r="NG441" s="273"/>
      <c r="NH441" s="273"/>
      <c r="NI441" s="273"/>
      <c r="NJ441" s="273"/>
      <c r="NK441" s="273"/>
      <c r="NL441" s="273"/>
      <c r="NM441" s="273"/>
      <c r="NN441" s="273"/>
      <c r="NO441" s="273"/>
      <c r="NP441" s="273"/>
      <c r="NQ441" s="273"/>
      <c r="NR441" s="273"/>
      <c r="NS441" s="273"/>
      <c r="NT441" s="273"/>
      <c r="NU441" s="273"/>
      <c r="NV441" s="273"/>
      <c r="NW441" s="273"/>
      <c r="NX441" s="273"/>
      <c r="NY441" s="273"/>
      <c r="NZ441" s="273"/>
      <c r="OA441" s="273"/>
      <c r="OB441" s="273"/>
      <c r="OC441" s="273"/>
      <c r="OD441" s="273"/>
      <c r="OE441" s="273"/>
      <c r="OF441" s="273"/>
      <c r="OG441" s="273"/>
      <c r="OH441" s="273"/>
      <c r="OI441" s="273"/>
      <c r="OJ441" s="273"/>
      <c r="OK441" s="273"/>
      <c r="OL441" s="273"/>
      <c r="OM441" s="273"/>
      <c r="ON441" s="273"/>
      <c r="OO441" s="273"/>
      <c r="OP441" s="273"/>
      <c r="OQ441" s="273"/>
      <c r="OR441" s="273"/>
      <c r="OS441" s="273"/>
      <c r="OT441" s="273"/>
      <c r="OU441" s="273"/>
      <c r="OV441" s="273"/>
      <c r="OW441" s="273"/>
      <c r="OX441" s="273"/>
      <c r="OY441" s="273"/>
      <c r="OZ441" s="273"/>
      <c r="PA441" s="273"/>
      <c r="PB441" s="273"/>
      <c r="PC441" s="273"/>
      <c r="PD441" s="273"/>
      <c r="PE441" s="273"/>
      <c r="PF441" s="273"/>
      <c r="PG441" s="273"/>
      <c r="PH441" s="273"/>
      <c r="PI441" s="273"/>
      <c r="PJ441" s="273"/>
      <c r="PK441" s="273"/>
      <c r="PL441" s="273"/>
      <c r="PM441" s="273"/>
      <c r="PN441" s="273"/>
      <c r="PO441" s="273"/>
      <c r="PP441" s="273"/>
      <c r="PQ441" s="273"/>
      <c r="PR441" s="273"/>
      <c r="PS441" s="273"/>
      <c r="PT441" s="273"/>
      <c r="PU441" s="273"/>
      <c r="PV441" s="273"/>
      <c r="PW441" s="273"/>
      <c r="PX441" s="273"/>
      <c r="PY441" s="273"/>
      <c r="PZ441" s="273"/>
      <c r="QA441" s="273"/>
      <c r="QB441" s="273"/>
      <c r="QC441" s="273"/>
      <c r="QD441" s="273"/>
      <c r="QE441" s="273"/>
      <c r="QF441" s="273"/>
      <c r="QG441" s="273"/>
      <c r="QH441" s="273"/>
      <c r="QI441" s="273"/>
      <c r="QJ441" s="273"/>
      <c r="QK441" s="273"/>
      <c r="QL441" s="273"/>
      <c r="QM441" s="273"/>
      <c r="QN441" s="273"/>
      <c r="QO441" s="273"/>
      <c r="QP441" s="273"/>
      <c r="QQ441" s="273"/>
      <c r="QR441" s="273"/>
      <c r="QS441" s="273"/>
      <c r="QT441" s="273"/>
      <c r="QU441" s="273"/>
      <c r="QV441" s="273"/>
      <c r="QW441" s="273"/>
      <c r="QX441" s="273"/>
      <c r="QY441" s="273"/>
      <c r="QZ441" s="273"/>
      <c r="RA441" s="273"/>
      <c r="RB441" s="273"/>
      <c r="RC441" s="273"/>
      <c r="RD441" s="273"/>
      <c r="RE441" s="273"/>
      <c r="RF441" s="273"/>
      <c r="RG441" s="273"/>
      <c r="RH441" s="273"/>
      <c r="RI441" s="273"/>
      <c r="RJ441" s="273"/>
      <c r="RK441" s="273"/>
      <c r="RL441" s="273"/>
      <c r="RM441" s="273"/>
      <c r="RN441" s="273"/>
      <c r="RO441" s="273"/>
      <c r="RP441" s="273"/>
      <c r="RQ441" s="273"/>
    </row>
    <row r="442" spans="1:485" s="450" customFormat="1" ht="30" customHeight="1" x14ac:dyDescent="0.25">
      <c r="A442" s="2995"/>
      <c r="B442" s="595" t="s">
        <v>985</v>
      </c>
      <c r="C442" s="266" t="s">
        <v>48</v>
      </c>
      <c r="D442" s="467" t="s">
        <v>955</v>
      </c>
      <c r="E442" s="468">
        <v>0</v>
      </c>
      <c r="F442" s="468">
        <v>0</v>
      </c>
      <c r="G442" s="467">
        <v>0</v>
      </c>
      <c r="H442" s="451">
        <f t="shared" si="200"/>
        <v>0</v>
      </c>
      <c r="I442" s="675">
        <v>1</v>
      </c>
      <c r="J442" s="451">
        <v>8</v>
      </c>
      <c r="K442" s="451">
        <v>403.38541666666669</v>
      </c>
      <c r="L442" s="451">
        <v>12</v>
      </c>
      <c r="M442" s="1834">
        <f t="shared" si="201"/>
        <v>38725</v>
      </c>
      <c r="N442" s="697">
        <v>1</v>
      </c>
      <c r="O442" s="696">
        <f t="shared" si="202"/>
        <v>38725</v>
      </c>
      <c r="P442" s="675">
        <v>1</v>
      </c>
      <c r="Q442" s="451">
        <f t="shared" si="203"/>
        <v>38725</v>
      </c>
      <c r="R442" s="522" t="s">
        <v>986</v>
      </c>
      <c r="S442" s="452">
        <f>COOPI!S35</f>
        <v>28283.942779999998</v>
      </c>
      <c r="T442" s="591">
        <f t="shared" si="204"/>
        <v>0.73037941329890244</v>
      </c>
      <c r="U442" s="522" t="s">
        <v>944</v>
      </c>
      <c r="V442" s="591">
        <f t="shared" si="205"/>
        <v>0.73037941329890244</v>
      </c>
      <c r="W442" s="452">
        <f t="shared" si="206"/>
        <v>28283.942779999998</v>
      </c>
      <c r="X442" s="453" t="s">
        <v>944</v>
      </c>
      <c r="Y442" s="273"/>
      <c r="Z442" s="273"/>
      <c r="AA442" s="273"/>
      <c r="AB442" s="273"/>
      <c r="AC442" s="273"/>
      <c r="AD442" s="273"/>
      <c r="AE442" s="273"/>
      <c r="AF442" s="273"/>
      <c r="AG442" s="273"/>
      <c r="AH442" s="273"/>
      <c r="AI442" s="273"/>
      <c r="AJ442" s="273"/>
      <c r="AK442" s="273"/>
      <c r="AL442" s="273"/>
      <c r="AM442" s="273"/>
      <c r="AN442" s="273"/>
      <c r="AO442" s="273"/>
      <c r="AP442" s="273"/>
      <c r="AQ442" s="273"/>
      <c r="AR442" s="273"/>
      <c r="AS442" s="273"/>
      <c r="AT442" s="273"/>
      <c r="AU442" s="273"/>
      <c r="AV442" s="273"/>
      <c r="AW442" s="273"/>
      <c r="AX442" s="273"/>
      <c r="AY442" s="273"/>
      <c r="AZ442" s="273"/>
      <c r="BA442" s="273"/>
      <c r="BB442" s="273"/>
      <c r="BC442" s="273"/>
      <c r="BD442" s="273"/>
      <c r="BE442" s="273"/>
      <c r="BF442" s="273"/>
      <c r="BG442" s="273"/>
      <c r="BH442" s="273"/>
      <c r="BI442" s="273"/>
      <c r="BJ442" s="273"/>
      <c r="BK442" s="273"/>
      <c r="BL442" s="273"/>
      <c r="BM442" s="273"/>
      <c r="BN442" s="273"/>
      <c r="BO442" s="273"/>
      <c r="BP442" s="273"/>
      <c r="BQ442" s="273"/>
      <c r="BR442" s="273"/>
      <c r="BS442" s="273"/>
      <c r="BT442" s="273"/>
      <c r="BU442" s="273"/>
      <c r="BV442" s="273"/>
      <c r="BW442" s="273"/>
      <c r="BX442" s="273"/>
      <c r="BY442" s="273"/>
      <c r="BZ442" s="273"/>
      <c r="CA442" s="273"/>
      <c r="CB442" s="273"/>
      <c r="CC442" s="273"/>
      <c r="CD442" s="273"/>
      <c r="CE442" s="273"/>
      <c r="CF442" s="273"/>
      <c r="CG442" s="273"/>
      <c r="CH442" s="273"/>
      <c r="CI442" s="273"/>
      <c r="CJ442" s="273"/>
      <c r="CK442" s="273"/>
      <c r="CL442" s="273"/>
      <c r="CM442" s="273"/>
      <c r="CN442" s="273"/>
      <c r="CO442" s="273"/>
      <c r="CP442" s="273"/>
      <c r="CQ442" s="273"/>
      <c r="CR442" s="273"/>
      <c r="CS442" s="273"/>
      <c r="CT442" s="273"/>
      <c r="CU442" s="273"/>
      <c r="CV442" s="273"/>
      <c r="CW442" s="273"/>
      <c r="CX442" s="273"/>
      <c r="CY442" s="273"/>
      <c r="CZ442" s="273"/>
      <c r="DA442" s="273"/>
      <c r="DB442" s="273"/>
      <c r="DC442" s="273"/>
      <c r="DD442" s="273"/>
      <c r="DE442" s="273"/>
      <c r="DF442" s="273"/>
      <c r="DG442" s="273"/>
      <c r="DH442" s="273"/>
      <c r="DI442" s="273"/>
      <c r="DJ442" s="273"/>
      <c r="DK442" s="273"/>
      <c r="DL442" s="273"/>
      <c r="DM442" s="273"/>
      <c r="DN442" s="273"/>
      <c r="DO442" s="273"/>
      <c r="DP442" s="273"/>
      <c r="DQ442" s="273"/>
      <c r="DR442" s="273"/>
      <c r="DS442" s="273"/>
      <c r="DT442" s="273"/>
      <c r="DU442" s="273"/>
      <c r="DV442" s="273"/>
      <c r="DW442" s="273"/>
      <c r="DX442" s="273"/>
      <c r="DY442" s="273"/>
      <c r="DZ442" s="273"/>
      <c r="EA442" s="273"/>
      <c r="EB442" s="273"/>
      <c r="EC442" s="273"/>
      <c r="ED442" s="273"/>
      <c r="EE442" s="273"/>
      <c r="EF442" s="273"/>
      <c r="EG442" s="273"/>
      <c r="EH442" s="273"/>
      <c r="EI442" s="273"/>
      <c r="EJ442" s="273"/>
      <c r="EK442" s="273"/>
      <c r="EL442" s="273"/>
      <c r="EM442" s="273"/>
      <c r="EN442" s="273"/>
      <c r="EO442" s="273"/>
      <c r="EP442" s="273"/>
      <c r="EQ442" s="273"/>
      <c r="ER442" s="273"/>
      <c r="ES442" s="273"/>
      <c r="ET442" s="273"/>
      <c r="EU442" s="273"/>
      <c r="EV442" s="273"/>
      <c r="EW442" s="273"/>
      <c r="EX442" s="273"/>
      <c r="EY442" s="273"/>
      <c r="EZ442" s="273"/>
      <c r="FA442" s="273"/>
      <c r="FB442" s="273"/>
      <c r="FC442" s="273"/>
      <c r="FD442" s="273"/>
      <c r="FE442" s="273"/>
      <c r="FF442" s="273"/>
      <c r="FG442" s="273"/>
      <c r="FH442" s="273"/>
      <c r="FI442" s="273"/>
      <c r="FJ442" s="273"/>
      <c r="FK442" s="273"/>
      <c r="FL442" s="273"/>
      <c r="FM442" s="273"/>
      <c r="FN442" s="273"/>
      <c r="FO442" s="273"/>
      <c r="FP442" s="273"/>
      <c r="FQ442" s="273"/>
      <c r="FR442" s="273"/>
      <c r="FS442" s="273"/>
      <c r="FT442" s="273"/>
      <c r="FU442" s="273"/>
      <c r="FV442" s="273"/>
      <c r="FW442" s="273"/>
      <c r="FX442" s="273"/>
      <c r="FY442" s="273"/>
      <c r="FZ442" s="273"/>
      <c r="GA442" s="273"/>
      <c r="GB442" s="273"/>
      <c r="GC442" s="273"/>
      <c r="GD442" s="273"/>
      <c r="GE442" s="273"/>
      <c r="GF442" s="273"/>
      <c r="GG442" s="273"/>
      <c r="GH442" s="273"/>
      <c r="GI442" s="273"/>
      <c r="GJ442" s="273"/>
      <c r="GK442" s="273"/>
      <c r="GL442" s="273"/>
      <c r="GM442" s="273"/>
      <c r="GN442" s="273"/>
      <c r="GO442" s="273"/>
      <c r="GP442" s="273"/>
      <c r="GQ442" s="273"/>
      <c r="GR442" s="273"/>
      <c r="GS442" s="273"/>
      <c r="GT442" s="273"/>
      <c r="GU442" s="273"/>
      <c r="GV442" s="273"/>
      <c r="GW442" s="273"/>
      <c r="GX442" s="273"/>
      <c r="GY442" s="273"/>
      <c r="GZ442" s="273"/>
      <c r="HA442" s="273"/>
      <c r="HB442" s="273"/>
      <c r="HC442" s="273"/>
      <c r="HD442" s="273"/>
      <c r="HE442" s="273"/>
      <c r="HF442" s="273"/>
      <c r="HG442" s="273"/>
      <c r="HH442" s="273"/>
      <c r="HI442" s="273"/>
      <c r="HJ442" s="273"/>
      <c r="HK442" s="273"/>
      <c r="HL442" s="273"/>
      <c r="HM442" s="273"/>
      <c r="HN442" s="273"/>
      <c r="HO442" s="273"/>
      <c r="HP442" s="273"/>
      <c r="HQ442" s="273"/>
      <c r="HR442" s="273"/>
      <c r="HS442" s="273"/>
      <c r="HT442" s="273"/>
      <c r="HU442" s="273"/>
      <c r="HV442" s="273"/>
      <c r="HW442" s="273"/>
      <c r="HX442" s="273"/>
      <c r="HY442" s="273"/>
      <c r="HZ442" s="273"/>
      <c r="IA442" s="273"/>
      <c r="IB442" s="273"/>
      <c r="IC442" s="273"/>
      <c r="ID442" s="273"/>
      <c r="IE442" s="273"/>
      <c r="IF442" s="273"/>
      <c r="IG442" s="273"/>
      <c r="IH442" s="273"/>
      <c r="II442" s="273"/>
      <c r="IJ442" s="273"/>
      <c r="IK442" s="273"/>
      <c r="IL442" s="273"/>
      <c r="IM442" s="273"/>
      <c r="IN442" s="273"/>
      <c r="IO442" s="273"/>
      <c r="IP442" s="273"/>
      <c r="IQ442" s="273"/>
      <c r="IR442" s="273"/>
      <c r="IS442" s="273"/>
      <c r="IT442" s="273"/>
      <c r="IU442" s="273"/>
      <c r="IV442" s="273"/>
      <c r="IW442" s="273"/>
      <c r="IX442" s="273"/>
      <c r="IY442" s="273"/>
      <c r="IZ442" s="273"/>
      <c r="JA442" s="273"/>
      <c r="JB442" s="273"/>
      <c r="JC442" s="273"/>
      <c r="JD442" s="273"/>
      <c r="JE442" s="273"/>
      <c r="JF442" s="273"/>
      <c r="JG442" s="273"/>
      <c r="JH442" s="273"/>
      <c r="JI442" s="273"/>
      <c r="JJ442" s="273"/>
      <c r="JK442" s="273"/>
      <c r="JL442" s="273"/>
      <c r="JM442" s="273"/>
      <c r="JN442" s="273"/>
      <c r="JO442" s="273"/>
      <c r="JP442" s="273"/>
      <c r="JQ442" s="273"/>
      <c r="JR442" s="273"/>
      <c r="JS442" s="273"/>
      <c r="JT442" s="273"/>
      <c r="JU442" s="273"/>
      <c r="JV442" s="273"/>
      <c r="JW442" s="273"/>
      <c r="JX442" s="273"/>
      <c r="JY442" s="273"/>
      <c r="JZ442" s="273"/>
      <c r="KA442" s="273"/>
      <c r="KB442" s="273"/>
      <c r="KC442" s="273"/>
      <c r="KD442" s="273"/>
      <c r="KE442" s="273"/>
      <c r="KF442" s="273"/>
      <c r="KG442" s="273"/>
      <c r="KH442" s="273"/>
      <c r="KI442" s="273"/>
      <c r="KJ442" s="273"/>
      <c r="KK442" s="273"/>
      <c r="KL442" s="273"/>
      <c r="KM442" s="273"/>
      <c r="KN442" s="273"/>
      <c r="KO442" s="273"/>
      <c r="KP442" s="273"/>
      <c r="KQ442" s="273"/>
      <c r="KR442" s="273"/>
      <c r="KS442" s="273"/>
      <c r="KT442" s="273"/>
      <c r="KU442" s="273"/>
      <c r="KV442" s="273"/>
      <c r="KW442" s="273"/>
      <c r="KX442" s="273"/>
      <c r="KY442" s="273"/>
      <c r="KZ442" s="273"/>
      <c r="LA442" s="273"/>
      <c r="LB442" s="273"/>
      <c r="LC442" s="273"/>
      <c r="LD442" s="273"/>
      <c r="LE442" s="273"/>
      <c r="LF442" s="273"/>
      <c r="LG442" s="273"/>
      <c r="LH442" s="273"/>
      <c r="LI442" s="273"/>
      <c r="LJ442" s="273"/>
      <c r="LK442" s="273"/>
      <c r="LL442" s="273"/>
      <c r="LM442" s="273"/>
      <c r="LN442" s="273"/>
      <c r="LO442" s="273"/>
      <c r="LP442" s="273"/>
      <c r="LQ442" s="273"/>
      <c r="LR442" s="273"/>
      <c r="LS442" s="273"/>
      <c r="LT442" s="273"/>
      <c r="LU442" s="273"/>
      <c r="LV442" s="273"/>
      <c r="LW442" s="273"/>
      <c r="LX442" s="273"/>
      <c r="LY442" s="273"/>
      <c r="LZ442" s="273"/>
      <c r="MA442" s="273"/>
      <c r="MB442" s="273"/>
      <c r="MC442" s="273"/>
      <c r="MD442" s="273"/>
      <c r="ME442" s="273"/>
      <c r="MF442" s="273"/>
      <c r="MG442" s="273"/>
      <c r="MH442" s="273"/>
      <c r="MI442" s="273"/>
      <c r="MJ442" s="273"/>
      <c r="MK442" s="273"/>
      <c r="ML442" s="273"/>
      <c r="MM442" s="273"/>
      <c r="MN442" s="273"/>
      <c r="MO442" s="273"/>
      <c r="MP442" s="273"/>
      <c r="MQ442" s="273"/>
      <c r="MR442" s="273"/>
      <c r="MS442" s="273"/>
      <c r="MT442" s="273"/>
      <c r="MU442" s="273"/>
      <c r="MV442" s="273"/>
      <c r="MW442" s="273"/>
      <c r="MX442" s="273"/>
      <c r="MY442" s="273"/>
      <c r="MZ442" s="273"/>
      <c r="NA442" s="273"/>
      <c r="NB442" s="273"/>
      <c r="NC442" s="273"/>
      <c r="ND442" s="273"/>
      <c r="NE442" s="273"/>
      <c r="NF442" s="273"/>
      <c r="NG442" s="273"/>
      <c r="NH442" s="273"/>
      <c r="NI442" s="273"/>
      <c r="NJ442" s="273"/>
      <c r="NK442" s="273"/>
      <c r="NL442" s="273"/>
      <c r="NM442" s="273"/>
      <c r="NN442" s="273"/>
      <c r="NO442" s="273"/>
      <c r="NP442" s="273"/>
      <c r="NQ442" s="273"/>
      <c r="NR442" s="273"/>
      <c r="NS442" s="273"/>
      <c r="NT442" s="273"/>
      <c r="NU442" s="273"/>
      <c r="NV442" s="273"/>
      <c r="NW442" s="273"/>
      <c r="NX442" s="273"/>
      <c r="NY442" s="273"/>
      <c r="NZ442" s="273"/>
      <c r="OA442" s="273"/>
      <c r="OB442" s="273"/>
      <c r="OC442" s="273"/>
      <c r="OD442" s="273"/>
      <c r="OE442" s="273"/>
      <c r="OF442" s="273"/>
      <c r="OG442" s="273"/>
      <c r="OH442" s="273"/>
      <c r="OI442" s="273"/>
      <c r="OJ442" s="273"/>
      <c r="OK442" s="273"/>
      <c r="OL442" s="273"/>
      <c r="OM442" s="273"/>
      <c r="ON442" s="273"/>
      <c r="OO442" s="273"/>
      <c r="OP442" s="273"/>
      <c r="OQ442" s="273"/>
      <c r="OR442" s="273"/>
      <c r="OS442" s="273"/>
      <c r="OT442" s="273"/>
      <c r="OU442" s="273"/>
      <c r="OV442" s="273"/>
      <c r="OW442" s="273"/>
      <c r="OX442" s="273"/>
      <c r="OY442" s="273"/>
      <c r="OZ442" s="273"/>
      <c r="PA442" s="273"/>
      <c r="PB442" s="273"/>
      <c r="PC442" s="273"/>
      <c r="PD442" s="273"/>
      <c r="PE442" s="273"/>
      <c r="PF442" s="273"/>
      <c r="PG442" s="273"/>
      <c r="PH442" s="273"/>
      <c r="PI442" s="273"/>
      <c r="PJ442" s="273"/>
      <c r="PK442" s="273"/>
      <c r="PL442" s="273"/>
      <c r="PM442" s="273"/>
      <c r="PN442" s="273"/>
      <c r="PO442" s="273"/>
      <c r="PP442" s="273"/>
      <c r="PQ442" s="273"/>
      <c r="PR442" s="273"/>
      <c r="PS442" s="273"/>
      <c r="PT442" s="273"/>
      <c r="PU442" s="273"/>
      <c r="PV442" s="273"/>
      <c r="PW442" s="273"/>
      <c r="PX442" s="273"/>
      <c r="PY442" s="273"/>
      <c r="PZ442" s="273"/>
      <c r="QA442" s="273"/>
      <c r="QB442" s="273"/>
      <c r="QC442" s="273"/>
      <c r="QD442" s="273"/>
      <c r="QE442" s="273"/>
      <c r="QF442" s="273"/>
      <c r="QG442" s="273"/>
      <c r="QH442" s="273"/>
      <c r="QI442" s="273"/>
      <c r="QJ442" s="273"/>
      <c r="QK442" s="273"/>
      <c r="QL442" s="273"/>
      <c r="QM442" s="273"/>
      <c r="QN442" s="273"/>
      <c r="QO442" s="273"/>
      <c r="QP442" s="273"/>
      <c r="QQ442" s="273"/>
      <c r="QR442" s="273"/>
      <c r="QS442" s="273"/>
      <c r="QT442" s="273"/>
      <c r="QU442" s="273"/>
      <c r="QV442" s="273"/>
      <c r="QW442" s="273"/>
      <c r="QX442" s="273"/>
      <c r="QY442" s="273"/>
      <c r="QZ442" s="273"/>
      <c r="RA442" s="273"/>
      <c r="RB442" s="273"/>
      <c r="RC442" s="273"/>
      <c r="RD442" s="273"/>
      <c r="RE442" s="273"/>
      <c r="RF442" s="273"/>
      <c r="RG442" s="273"/>
      <c r="RH442" s="273"/>
      <c r="RI442" s="273"/>
      <c r="RJ442" s="273"/>
      <c r="RK442" s="273"/>
      <c r="RL442" s="273"/>
      <c r="RM442" s="273"/>
      <c r="RN442" s="273"/>
      <c r="RO442" s="273"/>
      <c r="RP442" s="273"/>
      <c r="RQ442" s="273"/>
    </row>
    <row r="443" spans="1:485" s="450" customFormat="1" ht="19.5" customHeight="1" x14ac:dyDescent="0.25">
      <c r="A443" s="2995"/>
      <c r="B443" s="595" t="s">
        <v>987</v>
      </c>
      <c r="C443" s="266" t="s">
        <v>48</v>
      </c>
      <c r="D443" s="467" t="s">
        <v>955</v>
      </c>
      <c r="E443" s="468">
        <v>0</v>
      </c>
      <c r="F443" s="468">
        <v>0</v>
      </c>
      <c r="G443" s="467">
        <v>0</v>
      </c>
      <c r="H443" s="451">
        <f t="shared" si="200"/>
        <v>0</v>
      </c>
      <c r="I443" s="675">
        <v>1</v>
      </c>
      <c r="J443" s="451">
        <v>1</v>
      </c>
      <c r="K443" s="451">
        <v>864</v>
      </c>
      <c r="L443" s="451">
        <v>1</v>
      </c>
      <c r="M443" s="1834">
        <f t="shared" si="201"/>
        <v>864</v>
      </c>
      <c r="N443" s="697">
        <v>1</v>
      </c>
      <c r="O443" s="696">
        <f t="shared" si="202"/>
        <v>864</v>
      </c>
      <c r="P443" s="675">
        <v>1</v>
      </c>
      <c r="Q443" s="451">
        <f t="shared" si="203"/>
        <v>864</v>
      </c>
      <c r="R443" s="522" t="s">
        <v>988</v>
      </c>
      <c r="S443" s="452">
        <f>COOPI!S36</f>
        <v>1691.04</v>
      </c>
      <c r="T443" s="591">
        <f t="shared" si="204"/>
        <v>1.9572222222222222</v>
      </c>
      <c r="U443" s="522" t="s">
        <v>1485</v>
      </c>
      <c r="V443" s="591">
        <f t="shared" si="205"/>
        <v>1.9572222222222222</v>
      </c>
      <c r="W443" s="452">
        <f t="shared" si="206"/>
        <v>1691.04</v>
      </c>
      <c r="X443" s="453" t="s">
        <v>1485</v>
      </c>
      <c r="Y443" s="273"/>
      <c r="Z443" s="273"/>
      <c r="AA443" s="273"/>
      <c r="AB443" s="273"/>
      <c r="AC443" s="273"/>
      <c r="AD443" s="273"/>
      <c r="AE443" s="273"/>
      <c r="AF443" s="273"/>
      <c r="AG443" s="273"/>
      <c r="AH443" s="273"/>
      <c r="AI443" s="273"/>
      <c r="AJ443" s="273"/>
      <c r="AK443" s="273"/>
      <c r="AL443" s="273"/>
      <c r="AM443" s="273"/>
      <c r="AN443" s="273"/>
      <c r="AO443" s="273"/>
      <c r="AP443" s="273"/>
      <c r="AQ443" s="273"/>
      <c r="AR443" s="273"/>
      <c r="AS443" s="273"/>
      <c r="AT443" s="273"/>
      <c r="AU443" s="273"/>
      <c r="AV443" s="273"/>
      <c r="AW443" s="273"/>
      <c r="AX443" s="273"/>
      <c r="AY443" s="273"/>
      <c r="AZ443" s="273"/>
      <c r="BA443" s="273"/>
      <c r="BB443" s="273"/>
      <c r="BC443" s="273"/>
      <c r="BD443" s="273"/>
      <c r="BE443" s="273"/>
      <c r="BF443" s="273"/>
      <c r="BG443" s="273"/>
      <c r="BH443" s="273"/>
      <c r="BI443" s="273"/>
      <c r="BJ443" s="273"/>
      <c r="BK443" s="273"/>
      <c r="BL443" s="273"/>
      <c r="BM443" s="273"/>
      <c r="BN443" s="273"/>
      <c r="BO443" s="273"/>
      <c r="BP443" s="273"/>
      <c r="BQ443" s="273"/>
      <c r="BR443" s="273"/>
      <c r="BS443" s="273"/>
      <c r="BT443" s="273"/>
      <c r="BU443" s="273"/>
      <c r="BV443" s="273"/>
      <c r="BW443" s="273"/>
      <c r="BX443" s="273"/>
      <c r="BY443" s="273"/>
      <c r="BZ443" s="273"/>
      <c r="CA443" s="273"/>
      <c r="CB443" s="273"/>
      <c r="CC443" s="273"/>
      <c r="CD443" s="273"/>
      <c r="CE443" s="273"/>
      <c r="CF443" s="273"/>
      <c r="CG443" s="273"/>
      <c r="CH443" s="273"/>
      <c r="CI443" s="273"/>
      <c r="CJ443" s="273"/>
      <c r="CK443" s="273"/>
      <c r="CL443" s="273"/>
      <c r="CM443" s="273"/>
      <c r="CN443" s="273"/>
      <c r="CO443" s="273"/>
      <c r="CP443" s="273"/>
      <c r="CQ443" s="273"/>
      <c r="CR443" s="273"/>
      <c r="CS443" s="273"/>
      <c r="CT443" s="273"/>
      <c r="CU443" s="273"/>
      <c r="CV443" s="273"/>
      <c r="CW443" s="273"/>
      <c r="CX443" s="273"/>
      <c r="CY443" s="273"/>
      <c r="CZ443" s="273"/>
      <c r="DA443" s="273"/>
      <c r="DB443" s="273"/>
      <c r="DC443" s="273"/>
      <c r="DD443" s="273"/>
      <c r="DE443" s="273"/>
      <c r="DF443" s="273"/>
      <c r="DG443" s="273"/>
      <c r="DH443" s="273"/>
      <c r="DI443" s="273"/>
      <c r="DJ443" s="273"/>
      <c r="DK443" s="273"/>
      <c r="DL443" s="273"/>
      <c r="DM443" s="273"/>
      <c r="DN443" s="273"/>
      <c r="DO443" s="273"/>
      <c r="DP443" s="273"/>
      <c r="DQ443" s="273"/>
      <c r="DR443" s="273"/>
      <c r="DS443" s="273"/>
      <c r="DT443" s="273"/>
      <c r="DU443" s="273"/>
      <c r="DV443" s="273"/>
      <c r="DW443" s="273"/>
      <c r="DX443" s="273"/>
      <c r="DY443" s="273"/>
      <c r="DZ443" s="273"/>
      <c r="EA443" s="273"/>
      <c r="EB443" s="273"/>
      <c r="EC443" s="273"/>
      <c r="ED443" s="273"/>
      <c r="EE443" s="273"/>
      <c r="EF443" s="273"/>
      <c r="EG443" s="273"/>
      <c r="EH443" s="273"/>
      <c r="EI443" s="273"/>
      <c r="EJ443" s="273"/>
      <c r="EK443" s="273"/>
      <c r="EL443" s="273"/>
      <c r="EM443" s="273"/>
      <c r="EN443" s="273"/>
      <c r="EO443" s="273"/>
      <c r="EP443" s="273"/>
      <c r="EQ443" s="273"/>
      <c r="ER443" s="273"/>
      <c r="ES443" s="273"/>
      <c r="ET443" s="273"/>
      <c r="EU443" s="273"/>
      <c r="EV443" s="273"/>
      <c r="EW443" s="273"/>
      <c r="EX443" s="273"/>
      <c r="EY443" s="273"/>
      <c r="EZ443" s="273"/>
      <c r="FA443" s="273"/>
      <c r="FB443" s="273"/>
      <c r="FC443" s="273"/>
      <c r="FD443" s="273"/>
      <c r="FE443" s="273"/>
      <c r="FF443" s="273"/>
      <c r="FG443" s="273"/>
      <c r="FH443" s="273"/>
      <c r="FI443" s="273"/>
      <c r="FJ443" s="273"/>
      <c r="FK443" s="273"/>
      <c r="FL443" s="273"/>
      <c r="FM443" s="273"/>
      <c r="FN443" s="273"/>
      <c r="FO443" s="273"/>
      <c r="FP443" s="273"/>
      <c r="FQ443" s="273"/>
      <c r="FR443" s="273"/>
      <c r="FS443" s="273"/>
      <c r="FT443" s="273"/>
      <c r="FU443" s="273"/>
      <c r="FV443" s="273"/>
      <c r="FW443" s="273"/>
      <c r="FX443" s="273"/>
      <c r="FY443" s="273"/>
      <c r="FZ443" s="273"/>
      <c r="GA443" s="273"/>
      <c r="GB443" s="273"/>
      <c r="GC443" s="273"/>
      <c r="GD443" s="273"/>
      <c r="GE443" s="273"/>
      <c r="GF443" s="273"/>
      <c r="GG443" s="273"/>
      <c r="GH443" s="273"/>
      <c r="GI443" s="273"/>
      <c r="GJ443" s="273"/>
      <c r="GK443" s="273"/>
      <c r="GL443" s="273"/>
      <c r="GM443" s="273"/>
      <c r="GN443" s="273"/>
      <c r="GO443" s="273"/>
      <c r="GP443" s="273"/>
      <c r="GQ443" s="273"/>
      <c r="GR443" s="273"/>
      <c r="GS443" s="273"/>
      <c r="GT443" s="273"/>
      <c r="GU443" s="273"/>
      <c r="GV443" s="273"/>
      <c r="GW443" s="273"/>
      <c r="GX443" s="273"/>
      <c r="GY443" s="273"/>
      <c r="GZ443" s="273"/>
      <c r="HA443" s="273"/>
      <c r="HB443" s="273"/>
      <c r="HC443" s="273"/>
      <c r="HD443" s="273"/>
      <c r="HE443" s="273"/>
      <c r="HF443" s="273"/>
      <c r="HG443" s="273"/>
      <c r="HH443" s="273"/>
      <c r="HI443" s="273"/>
      <c r="HJ443" s="273"/>
      <c r="HK443" s="273"/>
      <c r="HL443" s="273"/>
      <c r="HM443" s="273"/>
      <c r="HN443" s="273"/>
      <c r="HO443" s="273"/>
      <c r="HP443" s="273"/>
      <c r="HQ443" s="273"/>
      <c r="HR443" s="273"/>
      <c r="HS443" s="273"/>
      <c r="HT443" s="273"/>
      <c r="HU443" s="273"/>
      <c r="HV443" s="273"/>
      <c r="HW443" s="273"/>
      <c r="HX443" s="273"/>
      <c r="HY443" s="273"/>
      <c r="HZ443" s="273"/>
      <c r="IA443" s="273"/>
      <c r="IB443" s="273"/>
      <c r="IC443" s="273"/>
      <c r="ID443" s="273"/>
      <c r="IE443" s="273"/>
      <c r="IF443" s="273"/>
      <c r="IG443" s="273"/>
      <c r="IH443" s="273"/>
      <c r="II443" s="273"/>
      <c r="IJ443" s="273"/>
      <c r="IK443" s="273"/>
      <c r="IL443" s="273"/>
      <c r="IM443" s="273"/>
      <c r="IN443" s="273"/>
      <c r="IO443" s="273"/>
      <c r="IP443" s="273"/>
      <c r="IQ443" s="273"/>
      <c r="IR443" s="273"/>
      <c r="IS443" s="273"/>
      <c r="IT443" s="273"/>
      <c r="IU443" s="273"/>
      <c r="IV443" s="273"/>
      <c r="IW443" s="273"/>
      <c r="IX443" s="273"/>
      <c r="IY443" s="273"/>
      <c r="IZ443" s="273"/>
      <c r="JA443" s="273"/>
      <c r="JB443" s="273"/>
      <c r="JC443" s="273"/>
      <c r="JD443" s="273"/>
      <c r="JE443" s="273"/>
      <c r="JF443" s="273"/>
      <c r="JG443" s="273"/>
      <c r="JH443" s="273"/>
      <c r="JI443" s="273"/>
      <c r="JJ443" s="273"/>
      <c r="JK443" s="273"/>
      <c r="JL443" s="273"/>
      <c r="JM443" s="273"/>
      <c r="JN443" s="273"/>
      <c r="JO443" s="273"/>
      <c r="JP443" s="273"/>
      <c r="JQ443" s="273"/>
      <c r="JR443" s="273"/>
      <c r="JS443" s="273"/>
      <c r="JT443" s="273"/>
      <c r="JU443" s="273"/>
      <c r="JV443" s="273"/>
      <c r="JW443" s="273"/>
      <c r="JX443" s="273"/>
      <c r="JY443" s="273"/>
      <c r="JZ443" s="273"/>
      <c r="KA443" s="273"/>
      <c r="KB443" s="273"/>
      <c r="KC443" s="273"/>
      <c r="KD443" s="273"/>
      <c r="KE443" s="273"/>
      <c r="KF443" s="273"/>
      <c r="KG443" s="273"/>
      <c r="KH443" s="273"/>
      <c r="KI443" s="273"/>
      <c r="KJ443" s="273"/>
      <c r="KK443" s="273"/>
      <c r="KL443" s="273"/>
      <c r="KM443" s="273"/>
      <c r="KN443" s="273"/>
      <c r="KO443" s="273"/>
      <c r="KP443" s="273"/>
      <c r="KQ443" s="273"/>
      <c r="KR443" s="273"/>
      <c r="KS443" s="273"/>
      <c r="KT443" s="273"/>
      <c r="KU443" s="273"/>
      <c r="KV443" s="273"/>
      <c r="KW443" s="273"/>
      <c r="KX443" s="273"/>
      <c r="KY443" s="273"/>
      <c r="KZ443" s="273"/>
      <c r="LA443" s="273"/>
      <c r="LB443" s="273"/>
      <c r="LC443" s="273"/>
      <c r="LD443" s="273"/>
      <c r="LE443" s="273"/>
      <c r="LF443" s="273"/>
      <c r="LG443" s="273"/>
      <c r="LH443" s="273"/>
      <c r="LI443" s="273"/>
      <c r="LJ443" s="273"/>
      <c r="LK443" s="273"/>
      <c r="LL443" s="273"/>
      <c r="LM443" s="273"/>
      <c r="LN443" s="273"/>
      <c r="LO443" s="273"/>
      <c r="LP443" s="273"/>
      <c r="LQ443" s="273"/>
      <c r="LR443" s="273"/>
      <c r="LS443" s="273"/>
      <c r="LT443" s="273"/>
      <c r="LU443" s="273"/>
      <c r="LV443" s="273"/>
      <c r="LW443" s="273"/>
      <c r="LX443" s="273"/>
      <c r="LY443" s="273"/>
      <c r="LZ443" s="273"/>
      <c r="MA443" s="273"/>
      <c r="MB443" s="273"/>
      <c r="MC443" s="273"/>
      <c r="MD443" s="273"/>
      <c r="ME443" s="273"/>
      <c r="MF443" s="273"/>
      <c r="MG443" s="273"/>
      <c r="MH443" s="273"/>
      <c r="MI443" s="273"/>
      <c r="MJ443" s="273"/>
      <c r="MK443" s="273"/>
      <c r="ML443" s="273"/>
      <c r="MM443" s="273"/>
      <c r="MN443" s="273"/>
      <c r="MO443" s="273"/>
      <c r="MP443" s="273"/>
      <c r="MQ443" s="273"/>
      <c r="MR443" s="273"/>
      <c r="MS443" s="273"/>
      <c r="MT443" s="273"/>
      <c r="MU443" s="273"/>
      <c r="MV443" s="273"/>
      <c r="MW443" s="273"/>
      <c r="MX443" s="273"/>
      <c r="MY443" s="273"/>
      <c r="MZ443" s="273"/>
      <c r="NA443" s="273"/>
      <c r="NB443" s="273"/>
      <c r="NC443" s="273"/>
      <c r="ND443" s="273"/>
      <c r="NE443" s="273"/>
      <c r="NF443" s="273"/>
      <c r="NG443" s="273"/>
      <c r="NH443" s="273"/>
      <c r="NI443" s="273"/>
      <c r="NJ443" s="273"/>
      <c r="NK443" s="273"/>
      <c r="NL443" s="273"/>
      <c r="NM443" s="273"/>
      <c r="NN443" s="273"/>
      <c r="NO443" s="273"/>
      <c r="NP443" s="273"/>
      <c r="NQ443" s="273"/>
      <c r="NR443" s="273"/>
      <c r="NS443" s="273"/>
      <c r="NT443" s="273"/>
      <c r="NU443" s="273"/>
      <c r="NV443" s="273"/>
      <c r="NW443" s="273"/>
      <c r="NX443" s="273"/>
      <c r="NY443" s="273"/>
      <c r="NZ443" s="273"/>
      <c r="OA443" s="273"/>
      <c r="OB443" s="273"/>
      <c r="OC443" s="273"/>
      <c r="OD443" s="273"/>
      <c r="OE443" s="273"/>
      <c r="OF443" s="273"/>
      <c r="OG443" s="273"/>
      <c r="OH443" s="273"/>
      <c r="OI443" s="273"/>
      <c r="OJ443" s="273"/>
      <c r="OK443" s="273"/>
      <c r="OL443" s="273"/>
      <c r="OM443" s="273"/>
      <c r="ON443" s="273"/>
      <c r="OO443" s="273"/>
      <c r="OP443" s="273"/>
      <c r="OQ443" s="273"/>
      <c r="OR443" s="273"/>
      <c r="OS443" s="273"/>
      <c r="OT443" s="273"/>
      <c r="OU443" s="273"/>
      <c r="OV443" s="273"/>
      <c r="OW443" s="273"/>
      <c r="OX443" s="273"/>
      <c r="OY443" s="273"/>
      <c r="OZ443" s="273"/>
      <c r="PA443" s="273"/>
      <c r="PB443" s="273"/>
      <c r="PC443" s="273"/>
      <c r="PD443" s="273"/>
      <c r="PE443" s="273"/>
      <c r="PF443" s="273"/>
      <c r="PG443" s="273"/>
      <c r="PH443" s="273"/>
      <c r="PI443" s="273"/>
      <c r="PJ443" s="273"/>
      <c r="PK443" s="273"/>
      <c r="PL443" s="273"/>
      <c r="PM443" s="273"/>
      <c r="PN443" s="273"/>
      <c r="PO443" s="273"/>
      <c r="PP443" s="273"/>
      <c r="PQ443" s="273"/>
      <c r="PR443" s="273"/>
      <c r="PS443" s="273"/>
      <c r="PT443" s="273"/>
      <c r="PU443" s="273"/>
      <c r="PV443" s="273"/>
      <c r="PW443" s="273"/>
      <c r="PX443" s="273"/>
      <c r="PY443" s="273"/>
      <c r="PZ443" s="273"/>
      <c r="QA443" s="273"/>
      <c r="QB443" s="273"/>
      <c r="QC443" s="273"/>
      <c r="QD443" s="273"/>
      <c r="QE443" s="273"/>
      <c r="QF443" s="273"/>
      <c r="QG443" s="273"/>
      <c r="QH443" s="273"/>
      <c r="QI443" s="273"/>
      <c r="QJ443" s="273"/>
      <c r="QK443" s="273"/>
      <c r="QL443" s="273"/>
      <c r="QM443" s="273"/>
      <c r="QN443" s="273"/>
      <c r="QO443" s="273"/>
      <c r="QP443" s="273"/>
      <c r="QQ443" s="273"/>
      <c r="QR443" s="273"/>
      <c r="QS443" s="273"/>
      <c r="QT443" s="273"/>
      <c r="QU443" s="273"/>
      <c r="QV443" s="273"/>
      <c r="QW443" s="273"/>
      <c r="QX443" s="273"/>
      <c r="QY443" s="273"/>
      <c r="QZ443" s="273"/>
      <c r="RA443" s="273"/>
      <c r="RB443" s="273"/>
      <c r="RC443" s="273"/>
      <c r="RD443" s="273"/>
      <c r="RE443" s="273"/>
      <c r="RF443" s="273"/>
      <c r="RG443" s="273"/>
      <c r="RH443" s="273"/>
      <c r="RI443" s="273"/>
      <c r="RJ443" s="273"/>
      <c r="RK443" s="273"/>
      <c r="RL443" s="273"/>
      <c r="RM443" s="273"/>
      <c r="RN443" s="273"/>
      <c r="RO443" s="273"/>
      <c r="RP443" s="273"/>
      <c r="RQ443" s="273"/>
    </row>
    <row r="444" spans="1:485" s="454" customFormat="1" ht="15.65" customHeight="1" x14ac:dyDescent="0.25">
      <c r="A444" s="2996"/>
      <c r="B444" s="711" t="s">
        <v>573</v>
      </c>
      <c r="C444" s="711"/>
      <c r="D444" s="897"/>
      <c r="E444" s="712"/>
      <c r="F444" s="712"/>
      <c r="G444" s="712"/>
      <c r="H444" s="1123">
        <f>SUM(H419:H443)</f>
        <v>48501.725000000006</v>
      </c>
      <c r="I444" s="716"/>
      <c r="J444" s="1077"/>
      <c r="K444" s="1077"/>
      <c r="L444" s="1077"/>
      <c r="M444" s="2870">
        <f>SUM(M419:M443)</f>
        <v>100114</v>
      </c>
      <c r="N444" s="716"/>
      <c r="O444" s="1123">
        <f>SUM(O419:O443)</f>
        <v>148615.72500000001</v>
      </c>
      <c r="P444" s="1076"/>
      <c r="Q444" s="713">
        <f>SUM(Q419:Q443)</f>
        <v>118001.96939814815</v>
      </c>
      <c r="R444" s="1125"/>
      <c r="S444" s="1672">
        <f>SUM(S419:S443)</f>
        <v>135889.08721139401</v>
      </c>
      <c r="T444" s="1126">
        <f>S444/O444</f>
        <v>0.9143654698141398</v>
      </c>
      <c r="U444" s="715"/>
      <c r="V444" s="600">
        <f>W444/Q444</f>
        <v>0.89390711749515406</v>
      </c>
      <c r="W444" s="1127">
        <f>SUM(W419:W443)</f>
        <v>105482.80032344999</v>
      </c>
      <c r="X444" s="600"/>
      <c r="Y444" s="670"/>
      <c r="Z444" s="670"/>
      <c r="AA444" s="670"/>
      <c r="AB444" s="670"/>
      <c r="AC444" s="670"/>
      <c r="AD444" s="670"/>
      <c r="AE444" s="670"/>
      <c r="AF444" s="670"/>
      <c r="AG444" s="670"/>
      <c r="AH444" s="670"/>
      <c r="AI444" s="670"/>
      <c r="AJ444" s="670"/>
      <c r="AK444" s="670"/>
      <c r="AL444" s="670"/>
      <c r="AM444" s="670"/>
      <c r="AN444" s="670"/>
      <c r="AO444" s="670"/>
      <c r="AP444" s="670"/>
      <c r="AQ444" s="670"/>
    </row>
    <row r="445" spans="1:485" x14ac:dyDescent="0.25">
      <c r="A445" s="3000" t="s">
        <v>1348</v>
      </c>
      <c r="B445" s="3001"/>
      <c r="C445" s="3001"/>
      <c r="D445" s="3001"/>
      <c r="E445" s="3001"/>
      <c r="F445" s="3001"/>
      <c r="G445" s="3001"/>
      <c r="H445" s="3001"/>
      <c r="I445" s="3001"/>
      <c r="J445" s="3001"/>
      <c r="K445" s="3001"/>
      <c r="L445" s="3001"/>
      <c r="M445" s="3001"/>
      <c r="N445" s="3001"/>
      <c r="O445" s="3001"/>
      <c r="P445" s="3001"/>
      <c r="Q445" s="3001"/>
      <c r="R445" s="3002"/>
      <c r="S445" s="2860"/>
      <c r="T445" s="1088"/>
      <c r="U445" s="893"/>
      <c r="V445" s="1103"/>
      <c r="W445" s="1104"/>
      <c r="X445" s="1105"/>
      <c r="Y445" s="448"/>
      <c r="Z445" s="448"/>
      <c r="AA445" s="448"/>
      <c r="AB445" s="448"/>
      <c r="AC445" s="448"/>
      <c r="AD445" s="448"/>
      <c r="AE445" s="448"/>
      <c r="AF445" s="448"/>
      <c r="AG445" s="448"/>
      <c r="AH445" s="448"/>
      <c r="AI445" s="448"/>
      <c r="AJ445" s="448"/>
      <c r="AK445" s="448"/>
      <c r="AL445" s="448"/>
      <c r="AM445" s="448"/>
      <c r="AN445" s="448"/>
      <c r="AO445" s="448"/>
      <c r="AP445" s="448"/>
      <c r="AQ445" s="448"/>
    </row>
    <row r="446" spans="1:485" s="450" customFormat="1" ht="43.5" customHeight="1" x14ac:dyDescent="0.25">
      <c r="A446" s="2994" t="s">
        <v>1349</v>
      </c>
      <c r="B446" s="595" t="s">
        <v>990</v>
      </c>
      <c r="C446" s="266" t="s">
        <v>15</v>
      </c>
      <c r="D446" s="467" t="s">
        <v>955</v>
      </c>
      <c r="E446" s="468">
        <v>15</v>
      </c>
      <c r="F446" s="468">
        <v>25.783333333333335</v>
      </c>
      <c r="G446" s="467">
        <v>1</v>
      </c>
      <c r="H446" s="451">
        <f t="shared" ref="H446:H450" si="207">E446*F446*G446</f>
        <v>386.75</v>
      </c>
      <c r="I446" s="675">
        <v>1</v>
      </c>
      <c r="J446" s="451"/>
      <c r="K446" s="451"/>
      <c r="L446" s="451"/>
      <c r="M446" s="1834">
        <f>J446*K446*L446</f>
        <v>0</v>
      </c>
      <c r="N446" s="697">
        <v>1</v>
      </c>
      <c r="O446" s="696">
        <f>+H446+M446</f>
        <v>386.75</v>
      </c>
      <c r="P446" s="675">
        <v>1</v>
      </c>
      <c r="Q446" s="451">
        <f t="shared" si="203"/>
        <v>386.75</v>
      </c>
      <c r="R446" s="522" t="s">
        <v>991</v>
      </c>
      <c r="S446" s="452">
        <f>COOPI!S38</f>
        <v>508.75</v>
      </c>
      <c r="T446" s="591">
        <f>S446/O446</f>
        <v>1.3154492566257272</v>
      </c>
      <c r="U446" s="894" t="s">
        <v>1485</v>
      </c>
      <c r="V446" s="591">
        <f>W446/Q446</f>
        <v>1.3154492566257272</v>
      </c>
      <c r="W446" s="452">
        <f>P446*S446</f>
        <v>508.75</v>
      </c>
      <c r="X446" s="453" t="s">
        <v>1485</v>
      </c>
      <c r="Y446" s="273"/>
      <c r="Z446" s="273"/>
      <c r="AA446" s="273"/>
      <c r="AB446" s="273"/>
      <c r="AC446" s="273"/>
      <c r="AD446" s="273"/>
      <c r="AE446" s="273"/>
      <c r="AF446" s="273"/>
      <c r="AG446" s="273"/>
      <c r="AH446" s="273"/>
      <c r="AI446" s="273"/>
      <c r="AJ446" s="273"/>
      <c r="AK446" s="273"/>
      <c r="AL446" s="273"/>
      <c r="AM446" s="273"/>
      <c r="AN446" s="273"/>
      <c r="AO446" s="273"/>
      <c r="AP446" s="273"/>
      <c r="AQ446" s="273"/>
      <c r="AR446" s="273"/>
      <c r="AS446" s="273"/>
      <c r="AT446" s="273"/>
      <c r="AU446" s="273"/>
      <c r="AV446" s="273"/>
      <c r="AW446" s="273"/>
      <c r="AX446" s="273"/>
      <c r="AY446" s="273"/>
      <c r="AZ446" s="273"/>
      <c r="BA446" s="273"/>
      <c r="BB446" s="273"/>
      <c r="BC446" s="273"/>
      <c r="BD446" s="273"/>
      <c r="BE446" s="273"/>
      <c r="BF446" s="273"/>
      <c r="BG446" s="273"/>
      <c r="BH446" s="273"/>
      <c r="BI446" s="273"/>
      <c r="BJ446" s="273"/>
      <c r="BK446" s="273"/>
      <c r="BL446" s="273"/>
      <c r="BM446" s="273"/>
      <c r="BN446" s="273"/>
      <c r="BO446" s="273"/>
      <c r="BP446" s="273"/>
      <c r="BQ446" s="273"/>
      <c r="BR446" s="273"/>
      <c r="BS446" s="273"/>
      <c r="BT446" s="273"/>
      <c r="BU446" s="273"/>
      <c r="BV446" s="273"/>
      <c r="BW446" s="273"/>
      <c r="BX446" s="273"/>
      <c r="BY446" s="273"/>
      <c r="BZ446" s="273"/>
      <c r="CA446" s="273"/>
      <c r="CB446" s="273"/>
      <c r="CC446" s="273"/>
      <c r="CD446" s="273"/>
      <c r="CE446" s="273"/>
      <c r="CF446" s="273"/>
      <c r="CG446" s="273"/>
      <c r="CH446" s="273"/>
      <c r="CI446" s="273"/>
      <c r="CJ446" s="273"/>
      <c r="CK446" s="273"/>
      <c r="CL446" s="273"/>
      <c r="CM446" s="273"/>
      <c r="CN446" s="273"/>
      <c r="CO446" s="273"/>
      <c r="CP446" s="273"/>
      <c r="CQ446" s="273"/>
      <c r="CR446" s="273"/>
      <c r="CS446" s="273"/>
      <c r="CT446" s="273"/>
      <c r="CU446" s="273"/>
      <c r="CV446" s="273"/>
      <c r="CW446" s="273"/>
      <c r="CX446" s="273"/>
      <c r="CY446" s="273"/>
      <c r="CZ446" s="273"/>
      <c r="DA446" s="273"/>
      <c r="DB446" s="273"/>
      <c r="DC446" s="273"/>
      <c r="DD446" s="273"/>
      <c r="DE446" s="273"/>
      <c r="DF446" s="273"/>
      <c r="DG446" s="273"/>
      <c r="DH446" s="273"/>
      <c r="DI446" s="273"/>
      <c r="DJ446" s="273"/>
      <c r="DK446" s="273"/>
      <c r="DL446" s="273"/>
      <c r="DM446" s="273"/>
      <c r="DN446" s="273"/>
      <c r="DO446" s="273"/>
      <c r="DP446" s="273"/>
      <c r="DQ446" s="273"/>
      <c r="DR446" s="273"/>
      <c r="DS446" s="273"/>
      <c r="DT446" s="273"/>
      <c r="DU446" s="273"/>
      <c r="DV446" s="273"/>
      <c r="DW446" s="273"/>
      <c r="DX446" s="273"/>
      <c r="DY446" s="273"/>
      <c r="DZ446" s="273"/>
      <c r="EA446" s="273"/>
      <c r="EB446" s="273"/>
      <c r="EC446" s="273"/>
      <c r="ED446" s="273"/>
      <c r="EE446" s="273"/>
      <c r="EF446" s="273"/>
      <c r="EG446" s="273"/>
      <c r="EH446" s="273"/>
      <c r="EI446" s="273"/>
      <c r="EJ446" s="273"/>
      <c r="EK446" s="273"/>
      <c r="EL446" s="273"/>
      <c r="EM446" s="273"/>
      <c r="EN446" s="273"/>
      <c r="EO446" s="273"/>
      <c r="EP446" s="273"/>
      <c r="EQ446" s="273"/>
      <c r="ER446" s="273"/>
      <c r="ES446" s="273"/>
      <c r="ET446" s="273"/>
      <c r="EU446" s="273"/>
      <c r="EV446" s="273"/>
      <c r="EW446" s="273"/>
      <c r="EX446" s="273"/>
      <c r="EY446" s="273"/>
      <c r="EZ446" s="273"/>
      <c r="FA446" s="273"/>
      <c r="FB446" s="273"/>
      <c r="FC446" s="273"/>
      <c r="FD446" s="273"/>
      <c r="FE446" s="273"/>
      <c r="FF446" s="273"/>
      <c r="FG446" s="273"/>
      <c r="FH446" s="273"/>
      <c r="FI446" s="273"/>
      <c r="FJ446" s="273"/>
      <c r="FK446" s="273"/>
      <c r="FL446" s="273"/>
      <c r="FM446" s="273"/>
      <c r="FN446" s="273"/>
      <c r="FO446" s="273"/>
      <c r="FP446" s="273"/>
      <c r="FQ446" s="273"/>
      <c r="FR446" s="273"/>
      <c r="FS446" s="273"/>
      <c r="FT446" s="273"/>
      <c r="FU446" s="273"/>
      <c r="FV446" s="273"/>
      <c r="FW446" s="273"/>
      <c r="FX446" s="273"/>
      <c r="FY446" s="273"/>
      <c r="FZ446" s="273"/>
      <c r="GA446" s="273"/>
      <c r="GB446" s="273"/>
      <c r="GC446" s="273"/>
      <c r="GD446" s="273"/>
      <c r="GE446" s="273"/>
      <c r="GF446" s="273"/>
      <c r="GG446" s="273"/>
      <c r="GH446" s="273"/>
      <c r="GI446" s="273"/>
      <c r="GJ446" s="273"/>
      <c r="GK446" s="273"/>
      <c r="GL446" s="273"/>
      <c r="GM446" s="273"/>
      <c r="GN446" s="273"/>
      <c r="GO446" s="273"/>
      <c r="GP446" s="273"/>
      <c r="GQ446" s="273"/>
      <c r="GR446" s="273"/>
      <c r="GS446" s="273"/>
      <c r="GT446" s="273"/>
      <c r="GU446" s="273"/>
      <c r="GV446" s="273"/>
      <c r="GW446" s="273"/>
      <c r="GX446" s="273"/>
      <c r="GY446" s="273"/>
      <c r="GZ446" s="273"/>
      <c r="HA446" s="273"/>
      <c r="HB446" s="273"/>
      <c r="HC446" s="273"/>
      <c r="HD446" s="273"/>
      <c r="HE446" s="273"/>
      <c r="HF446" s="273"/>
      <c r="HG446" s="273"/>
      <c r="HH446" s="273"/>
      <c r="HI446" s="273"/>
      <c r="HJ446" s="273"/>
      <c r="HK446" s="273"/>
      <c r="HL446" s="273"/>
      <c r="HM446" s="273"/>
      <c r="HN446" s="273"/>
      <c r="HO446" s="273"/>
      <c r="HP446" s="273"/>
      <c r="HQ446" s="273"/>
      <c r="HR446" s="273"/>
      <c r="HS446" s="273"/>
      <c r="HT446" s="273"/>
      <c r="HU446" s="273"/>
      <c r="HV446" s="273"/>
      <c r="HW446" s="273"/>
      <c r="HX446" s="273"/>
      <c r="HY446" s="273"/>
      <c r="HZ446" s="273"/>
      <c r="IA446" s="273"/>
      <c r="IB446" s="273"/>
      <c r="IC446" s="273"/>
      <c r="ID446" s="273"/>
      <c r="IE446" s="273"/>
      <c r="IF446" s="273"/>
      <c r="IG446" s="273"/>
      <c r="IH446" s="273"/>
      <c r="II446" s="273"/>
      <c r="IJ446" s="273"/>
      <c r="IK446" s="273"/>
      <c r="IL446" s="273"/>
      <c r="IM446" s="273"/>
      <c r="IN446" s="273"/>
      <c r="IO446" s="273"/>
      <c r="IP446" s="273"/>
      <c r="IQ446" s="273"/>
      <c r="IR446" s="273"/>
      <c r="IS446" s="273"/>
      <c r="IT446" s="273"/>
      <c r="IU446" s="273"/>
      <c r="IV446" s="273"/>
      <c r="IW446" s="273"/>
      <c r="IX446" s="273"/>
      <c r="IY446" s="273"/>
      <c r="IZ446" s="273"/>
      <c r="JA446" s="273"/>
      <c r="JB446" s="273"/>
      <c r="JC446" s="273"/>
      <c r="JD446" s="273"/>
      <c r="JE446" s="273"/>
      <c r="JF446" s="273"/>
      <c r="JG446" s="273"/>
      <c r="JH446" s="273"/>
      <c r="JI446" s="273"/>
      <c r="JJ446" s="273"/>
      <c r="JK446" s="273"/>
      <c r="JL446" s="273"/>
      <c r="JM446" s="273"/>
      <c r="JN446" s="273"/>
      <c r="JO446" s="273"/>
      <c r="JP446" s="273"/>
      <c r="JQ446" s="273"/>
      <c r="JR446" s="273"/>
      <c r="JS446" s="273"/>
      <c r="JT446" s="273"/>
      <c r="JU446" s="273"/>
      <c r="JV446" s="273"/>
      <c r="JW446" s="273"/>
      <c r="JX446" s="273"/>
      <c r="JY446" s="273"/>
      <c r="JZ446" s="273"/>
      <c r="KA446" s="273"/>
      <c r="KB446" s="273"/>
      <c r="KC446" s="273"/>
      <c r="KD446" s="273"/>
      <c r="KE446" s="273"/>
      <c r="KF446" s="273"/>
      <c r="KG446" s="273"/>
      <c r="KH446" s="273"/>
      <c r="KI446" s="273"/>
      <c r="KJ446" s="273"/>
      <c r="KK446" s="273"/>
      <c r="KL446" s="273"/>
      <c r="KM446" s="273"/>
      <c r="KN446" s="273"/>
      <c r="KO446" s="273"/>
      <c r="KP446" s="273"/>
      <c r="KQ446" s="273"/>
      <c r="KR446" s="273"/>
      <c r="KS446" s="273"/>
      <c r="KT446" s="273"/>
      <c r="KU446" s="273"/>
      <c r="KV446" s="273"/>
      <c r="KW446" s="273"/>
      <c r="KX446" s="273"/>
      <c r="KY446" s="273"/>
      <c r="KZ446" s="273"/>
      <c r="LA446" s="273"/>
      <c r="LB446" s="273"/>
      <c r="LC446" s="273"/>
      <c r="LD446" s="273"/>
      <c r="LE446" s="273"/>
      <c r="LF446" s="273"/>
      <c r="LG446" s="273"/>
      <c r="LH446" s="273"/>
      <c r="LI446" s="273"/>
      <c r="LJ446" s="273"/>
      <c r="LK446" s="273"/>
      <c r="LL446" s="273"/>
      <c r="LM446" s="273"/>
      <c r="LN446" s="273"/>
      <c r="LO446" s="273"/>
      <c r="LP446" s="273"/>
      <c r="LQ446" s="273"/>
      <c r="LR446" s="273"/>
      <c r="LS446" s="273"/>
      <c r="LT446" s="273"/>
      <c r="LU446" s="273"/>
      <c r="LV446" s="273"/>
      <c r="LW446" s="273"/>
      <c r="LX446" s="273"/>
      <c r="LY446" s="273"/>
      <c r="LZ446" s="273"/>
      <c r="MA446" s="273"/>
      <c r="MB446" s="273"/>
      <c r="MC446" s="273"/>
      <c r="MD446" s="273"/>
      <c r="ME446" s="273"/>
      <c r="MF446" s="273"/>
      <c r="MG446" s="273"/>
      <c r="MH446" s="273"/>
      <c r="MI446" s="273"/>
      <c r="MJ446" s="273"/>
      <c r="MK446" s="273"/>
      <c r="ML446" s="273"/>
      <c r="MM446" s="273"/>
      <c r="MN446" s="273"/>
      <c r="MO446" s="273"/>
      <c r="MP446" s="273"/>
      <c r="MQ446" s="273"/>
      <c r="MR446" s="273"/>
      <c r="MS446" s="273"/>
      <c r="MT446" s="273"/>
      <c r="MU446" s="273"/>
      <c r="MV446" s="273"/>
      <c r="MW446" s="273"/>
      <c r="MX446" s="273"/>
      <c r="MY446" s="273"/>
      <c r="MZ446" s="273"/>
      <c r="NA446" s="273"/>
      <c r="NB446" s="273"/>
      <c r="NC446" s="273"/>
      <c r="ND446" s="273"/>
      <c r="NE446" s="273"/>
      <c r="NF446" s="273"/>
      <c r="NG446" s="273"/>
      <c r="NH446" s="273"/>
      <c r="NI446" s="273"/>
      <c r="NJ446" s="273"/>
      <c r="NK446" s="273"/>
      <c r="NL446" s="273"/>
      <c r="NM446" s="273"/>
      <c r="NN446" s="273"/>
      <c r="NO446" s="273"/>
      <c r="NP446" s="273"/>
      <c r="NQ446" s="273"/>
      <c r="NR446" s="273"/>
      <c r="NS446" s="273"/>
      <c r="NT446" s="273"/>
      <c r="NU446" s="273"/>
      <c r="NV446" s="273"/>
      <c r="NW446" s="273"/>
      <c r="NX446" s="273"/>
      <c r="NY446" s="273"/>
      <c r="NZ446" s="273"/>
      <c r="OA446" s="273"/>
      <c r="OB446" s="273"/>
      <c r="OC446" s="273"/>
      <c r="OD446" s="273"/>
      <c r="OE446" s="273"/>
      <c r="OF446" s="273"/>
      <c r="OG446" s="273"/>
      <c r="OH446" s="273"/>
      <c r="OI446" s="273"/>
      <c r="OJ446" s="273"/>
      <c r="OK446" s="273"/>
      <c r="OL446" s="273"/>
      <c r="OM446" s="273"/>
      <c r="ON446" s="273"/>
      <c r="OO446" s="273"/>
      <c r="OP446" s="273"/>
      <c r="OQ446" s="273"/>
      <c r="OR446" s="273"/>
      <c r="OS446" s="273"/>
      <c r="OT446" s="273"/>
      <c r="OU446" s="273"/>
      <c r="OV446" s="273"/>
      <c r="OW446" s="273"/>
      <c r="OX446" s="273"/>
      <c r="OY446" s="273"/>
      <c r="OZ446" s="273"/>
      <c r="PA446" s="273"/>
      <c r="PB446" s="273"/>
      <c r="PC446" s="273"/>
      <c r="PD446" s="273"/>
      <c r="PE446" s="273"/>
      <c r="PF446" s="273"/>
      <c r="PG446" s="273"/>
      <c r="PH446" s="273"/>
      <c r="PI446" s="273"/>
      <c r="PJ446" s="273"/>
      <c r="PK446" s="273"/>
      <c r="PL446" s="273"/>
      <c r="PM446" s="273"/>
      <c r="PN446" s="273"/>
      <c r="PO446" s="273"/>
      <c r="PP446" s="273"/>
      <c r="PQ446" s="273"/>
      <c r="PR446" s="273"/>
      <c r="PS446" s="273"/>
      <c r="PT446" s="273"/>
      <c r="PU446" s="273"/>
      <c r="PV446" s="273"/>
      <c r="PW446" s="273"/>
      <c r="PX446" s="273"/>
      <c r="PY446" s="273"/>
      <c r="PZ446" s="273"/>
      <c r="QA446" s="273"/>
      <c r="QB446" s="273"/>
      <c r="QC446" s="273"/>
      <c r="QD446" s="273"/>
      <c r="QE446" s="273"/>
      <c r="QF446" s="273"/>
      <c r="QG446" s="273"/>
      <c r="QH446" s="273"/>
      <c r="QI446" s="273"/>
      <c r="QJ446" s="273"/>
      <c r="QK446" s="273"/>
      <c r="QL446" s="273"/>
      <c r="QM446" s="273"/>
      <c r="QN446" s="273"/>
      <c r="QO446" s="273"/>
      <c r="QP446" s="273"/>
      <c r="QQ446" s="273"/>
      <c r="QR446" s="273"/>
      <c r="QS446" s="273"/>
      <c r="QT446" s="273"/>
      <c r="QU446" s="273"/>
      <c r="QV446" s="273"/>
      <c r="QW446" s="273"/>
      <c r="QX446" s="273"/>
      <c r="QY446" s="273"/>
      <c r="QZ446" s="273"/>
      <c r="RA446" s="273"/>
      <c r="RB446" s="273"/>
      <c r="RC446" s="273"/>
      <c r="RD446" s="273"/>
      <c r="RE446" s="273"/>
      <c r="RF446" s="273"/>
      <c r="RG446" s="273"/>
      <c r="RH446" s="273"/>
      <c r="RI446" s="273"/>
      <c r="RJ446" s="273"/>
      <c r="RK446" s="273"/>
      <c r="RL446" s="273"/>
      <c r="RM446" s="273"/>
      <c r="RN446" s="273"/>
      <c r="RO446" s="273"/>
      <c r="RP446" s="273"/>
      <c r="RQ446" s="273"/>
    </row>
    <row r="447" spans="1:485" s="450" customFormat="1" ht="39" x14ac:dyDescent="0.25">
      <c r="A447" s="2995"/>
      <c r="B447" s="595" t="s">
        <v>992</v>
      </c>
      <c r="C447" s="266" t="s">
        <v>15</v>
      </c>
      <c r="D447" s="467" t="s">
        <v>955</v>
      </c>
      <c r="E447" s="468">
        <v>645</v>
      </c>
      <c r="F447" s="468">
        <v>0.7317829457364341</v>
      </c>
      <c r="G447" s="467">
        <v>1</v>
      </c>
      <c r="H447" s="451">
        <f t="shared" si="207"/>
        <v>472</v>
      </c>
      <c r="I447" s="675">
        <v>1</v>
      </c>
      <c r="J447" s="451">
        <v>1155</v>
      </c>
      <c r="K447" s="451">
        <v>0.75</v>
      </c>
      <c r="L447" s="451">
        <v>1</v>
      </c>
      <c r="M447" s="1834">
        <f t="shared" ref="M447:M450" si="208">J447*K447*L447</f>
        <v>866.25</v>
      </c>
      <c r="N447" s="697">
        <v>1</v>
      </c>
      <c r="O447" s="696">
        <f>+H447+M447</f>
        <v>1338.25</v>
      </c>
      <c r="P447" s="675">
        <v>1</v>
      </c>
      <c r="Q447" s="451">
        <f t="shared" si="203"/>
        <v>1338.25</v>
      </c>
      <c r="R447" s="522" t="s">
        <v>993</v>
      </c>
      <c r="S447" s="452">
        <f>COOPI!S39</f>
        <v>910</v>
      </c>
      <c r="T447" s="591">
        <f t="shared" ref="T447:T450" si="209">S447/O447</f>
        <v>0.67999252755464223</v>
      </c>
      <c r="U447" s="894" t="s">
        <v>944</v>
      </c>
      <c r="V447" s="591">
        <f t="shared" ref="V447:V450" si="210">W447/Q447</f>
        <v>0.67999252755464223</v>
      </c>
      <c r="W447" s="452">
        <f t="shared" ref="W447:W450" si="211">P447*S447</f>
        <v>910</v>
      </c>
      <c r="X447" s="452" t="s">
        <v>944</v>
      </c>
      <c r="Y447" s="273"/>
      <c r="Z447" s="273"/>
      <c r="AA447" s="273"/>
      <c r="AB447" s="273"/>
      <c r="AC447" s="273"/>
      <c r="AD447" s="273"/>
      <c r="AE447" s="273"/>
      <c r="AF447" s="273"/>
      <c r="AG447" s="273"/>
      <c r="AH447" s="273"/>
      <c r="AI447" s="273"/>
      <c r="AJ447" s="273"/>
      <c r="AK447" s="273"/>
      <c r="AL447" s="273"/>
      <c r="AM447" s="273"/>
      <c r="AN447" s="273"/>
      <c r="AO447" s="273"/>
      <c r="AP447" s="273"/>
      <c r="AQ447" s="273"/>
      <c r="AR447" s="273"/>
      <c r="AS447" s="273"/>
      <c r="AT447" s="273"/>
      <c r="AU447" s="273"/>
      <c r="AV447" s="273"/>
      <c r="AW447" s="273"/>
      <c r="AX447" s="273"/>
      <c r="AY447" s="273"/>
      <c r="AZ447" s="273"/>
      <c r="BA447" s="273"/>
      <c r="BB447" s="273"/>
      <c r="BC447" s="273"/>
      <c r="BD447" s="273"/>
      <c r="BE447" s="273"/>
      <c r="BF447" s="273"/>
      <c r="BG447" s="273"/>
      <c r="BH447" s="273"/>
      <c r="BI447" s="273"/>
      <c r="BJ447" s="273"/>
      <c r="BK447" s="273"/>
      <c r="BL447" s="273"/>
      <c r="BM447" s="273"/>
      <c r="BN447" s="273"/>
      <c r="BO447" s="273"/>
      <c r="BP447" s="273"/>
      <c r="BQ447" s="273"/>
      <c r="BR447" s="273"/>
      <c r="BS447" s="273"/>
      <c r="BT447" s="273"/>
      <c r="BU447" s="273"/>
      <c r="BV447" s="273"/>
      <c r="BW447" s="273"/>
      <c r="BX447" s="273"/>
      <c r="BY447" s="273"/>
      <c r="BZ447" s="273"/>
      <c r="CA447" s="273"/>
      <c r="CB447" s="273"/>
      <c r="CC447" s="273"/>
      <c r="CD447" s="273"/>
      <c r="CE447" s="273"/>
      <c r="CF447" s="273"/>
      <c r="CG447" s="273"/>
      <c r="CH447" s="273"/>
      <c r="CI447" s="273"/>
      <c r="CJ447" s="273"/>
      <c r="CK447" s="273"/>
      <c r="CL447" s="273"/>
      <c r="CM447" s="273"/>
      <c r="CN447" s="273"/>
      <c r="CO447" s="273"/>
      <c r="CP447" s="273"/>
      <c r="CQ447" s="273"/>
      <c r="CR447" s="273"/>
      <c r="CS447" s="273"/>
      <c r="CT447" s="273"/>
      <c r="CU447" s="273"/>
      <c r="CV447" s="273"/>
      <c r="CW447" s="273"/>
      <c r="CX447" s="273"/>
      <c r="CY447" s="273"/>
      <c r="CZ447" s="273"/>
      <c r="DA447" s="273"/>
      <c r="DB447" s="273"/>
      <c r="DC447" s="273"/>
      <c r="DD447" s="273"/>
      <c r="DE447" s="273"/>
      <c r="DF447" s="273"/>
      <c r="DG447" s="273"/>
      <c r="DH447" s="273"/>
      <c r="DI447" s="273"/>
      <c r="DJ447" s="273"/>
      <c r="DK447" s="273"/>
      <c r="DL447" s="273"/>
      <c r="DM447" s="273"/>
      <c r="DN447" s="273"/>
      <c r="DO447" s="273"/>
      <c r="DP447" s="273"/>
      <c r="DQ447" s="273"/>
      <c r="DR447" s="273"/>
      <c r="DS447" s="273"/>
      <c r="DT447" s="273"/>
      <c r="DU447" s="273"/>
      <c r="DV447" s="273"/>
      <c r="DW447" s="273"/>
      <c r="DX447" s="273"/>
      <c r="DY447" s="273"/>
      <c r="DZ447" s="273"/>
      <c r="EA447" s="273"/>
      <c r="EB447" s="273"/>
      <c r="EC447" s="273"/>
      <c r="ED447" s="273"/>
      <c r="EE447" s="273"/>
      <c r="EF447" s="273"/>
      <c r="EG447" s="273"/>
      <c r="EH447" s="273"/>
      <c r="EI447" s="273"/>
      <c r="EJ447" s="273"/>
      <c r="EK447" s="273"/>
      <c r="EL447" s="273"/>
      <c r="EM447" s="273"/>
      <c r="EN447" s="273"/>
      <c r="EO447" s="273"/>
      <c r="EP447" s="273"/>
      <c r="EQ447" s="273"/>
      <c r="ER447" s="273"/>
      <c r="ES447" s="273"/>
      <c r="ET447" s="273"/>
      <c r="EU447" s="273"/>
      <c r="EV447" s="273"/>
      <c r="EW447" s="273"/>
      <c r="EX447" s="273"/>
      <c r="EY447" s="273"/>
      <c r="EZ447" s="273"/>
      <c r="FA447" s="273"/>
      <c r="FB447" s="273"/>
      <c r="FC447" s="273"/>
      <c r="FD447" s="273"/>
      <c r="FE447" s="273"/>
      <c r="FF447" s="273"/>
      <c r="FG447" s="273"/>
      <c r="FH447" s="273"/>
      <c r="FI447" s="273"/>
      <c r="FJ447" s="273"/>
      <c r="FK447" s="273"/>
      <c r="FL447" s="273"/>
      <c r="FM447" s="273"/>
      <c r="FN447" s="273"/>
      <c r="FO447" s="273"/>
      <c r="FP447" s="273"/>
      <c r="FQ447" s="273"/>
      <c r="FR447" s="273"/>
      <c r="FS447" s="273"/>
      <c r="FT447" s="273"/>
      <c r="FU447" s="273"/>
      <c r="FV447" s="273"/>
      <c r="FW447" s="273"/>
      <c r="FX447" s="273"/>
      <c r="FY447" s="273"/>
      <c r="FZ447" s="273"/>
      <c r="GA447" s="273"/>
      <c r="GB447" s="273"/>
      <c r="GC447" s="273"/>
      <c r="GD447" s="273"/>
      <c r="GE447" s="273"/>
      <c r="GF447" s="273"/>
      <c r="GG447" s="273"/>
      <c r="GH447" s="273"/>
      <c r="GI447" s="273"/>
      <c r="GJ447" s="273"/>
      <c r="GK447" s="273"/>
      <c r="GL447" s="273"/>
      <c r="GM447" s="273"/>
      <c r="GN447" s="273"/>
      <c r="GO447" s="273"/>
      <c r="GP447" s="273"/>
      <c r="GQ447" s="273"/>
      <c r="GR447" s="273"/>
      <c r="GS447" s="273"/>
      <c r="GT447" s="273"/>
      <c r="GU447" s="273"/>
      <c r="GV447" s="273"/>
      <c r="GW447" s="273"/>
      <c r="GX447" s="273"/>
      <c r="GY447" s="273"/>
      <c r="GZ447" s="273"/>
      <c r="HA447" s="273"/>
      <c r="HB447" s="273"/>
      <c r="HC447" s="273"/>
      <c r="HD447" s="273"/>
      <c r="HE447" s="273"/>
      <c r="HF447" s="273"/>
      <c r="HG447" s="273"/>
      <c r="HH447" s="273"/>
      <c r="HI447" s="273"/>
      <c r="HJ447" s="273"/>
      <c r="HK447" s="273"/>
      <c r="HL447" s="273"/>
      <c r="HM447" s="273"/>
      <c r="HN447" s="273"/>
      <c r="HO447" s="273"/>
      <c r="HP447" s="273"/>
      <c r="HQ447" s="273"/>
      <c r="HR447" s="273"/>
      <c r="HS447" s="273"/>
      <c r="HT447" s="273"/>
      <c r="HU447" s="273"/>
      <c r="HV447" s="273"/>
      <c r="HW447" s="273"/>
      <c r="HX447" s="273"/>
      <c r="HY447" s="273"/>
      <c r="HZ447" s="273"/>
      <c r="IA447" s="273"/>
      <c r="IB447" s="273"/>
      <c r="IC447" s="273"/>
      <c r="ID447" s="273"/>
      <c r="IE447" s="273"/>
      <c r="IF447" s="273"/>
      <c r="IG447" s="273"/>
      <c r="IH447" s="273"/>
      <c r="II447" s="273"/>
      <c r="IJ447" s="273"/>
      <c r="IK447" s="273"/>
      <c r="IL447" s="273"/>
      <c r="IM447" s="273"/>
      <c r="IN447" s="273"/>
      <c r="IO447" s="273"/>
      <c r="IP447" s="273"/>
      <c r="IQ447" s="273"/>
      <c r="IR447" s="273"/>
      <c r="IS447" s="273"/>
      <c r="IT447" s="273"/>
      <c r="IU447" s="273"/>
      <c r="IV447" s="273"/>
      <c r="IW447" s="273"/>
      <c r="IX447" s="273"/>
      <c r="IY447" s="273"/>
      <c r="IZ447" s="273"/>
      <c r="JA447" s="273"/>
      <c r="JB447" s="273"/>
      <c r="JC447" s="273"/>
      <c r="JD447" s="273"/>
      <c r="JE447" s="273"/>
      <c r="JF447" s="273"/>
      <c r="JG447" s="273"/>
      <c r="JH447" s="273"/>
      <c r="JI447" s="273"/>
      <c r="JJ447" s="273"/>
      <c r="JK447" s="273"/>
      <c r="JL447" s="273"/>
      <c r="JM447" s="273"/>
      <c r="JN447" s="273"/>
      <c r="JO447" s="273"/>
      <c r="JP447" s="273"/>
      <c r="JQ447" s="273"/>
      <c r="JR447" s="273"/>
      <c r="JS447" s="273"/>
      <c r="JT447" s="273"/>
      <c r="JU447" s="273"/>
      <c r="JV447" s="273"/>
      <c r="JW447" s="273"/>
      <c r="JX447" s="273"/>
      <c r="JY447" s="273"/>
      <c r="JZ447" s="273"/>
      <c r="KA447" s="273"/>
      <c r="KB447" s="273"/>
      <c r="KC447" s="273"/>
      <c r="KD447" s="273"/>
      <c r="KE447" s="273"/>
      <c r="KF447" s="273"/>
      <c r="KG447" s="273"/>
      <c r="KH447" s="273"/>
      <c r="KI447" s="273"/>
      <c r="KJ447" s="273"/>
      <c r="KK447" s="273"/>
      <c r="KL447" s="273"/>
      <c r="KM447" s="273"/>
      <c r="KN447" s="273"/>
      <c r="KO447" s="273"/>
      <c r="KP447" s="273"/>
      <c r="KQ447" s="273"/>
      <c r="KR447" s="273"/>
      <c r="KS447" s="273"/>
      <c r="KT447" s="273"/>
      <c r="KU447" s="273"/>
      <c r="KV447" s="273"/>
      <c r="KW447" s="273"/>
      <c r="KX447" s="273"/>
      <c r="KY447" s="273"/>
      <c r="KZ447" s="273"/>
      <c r="LA447" s="273"/>
      <c r="LB447" s="273"/>
      <c r="LC447" s="273"/>
      <c r="LD447" s="273"/>
      <c r="LE447" s="273"/>
      <c r="LF447" s="273"/>
      <c r="LG447" s="273"/>
      <c r="LH447" s="273"/>
      <c r="LI447" s="273"/>
      <c r="LJ447" s="273"/>
      <c r="LK447" s="273"/>
      <c r="LL447" s="273"/>
      <c r="LM447" s="273"/>
      <c r="LN447" s="273"/>
      <c r="LO447" s="273"/>
      <c r="LP447" s="273"/>
      <c r="LQ447" s="273"/>
      <c r="LR447" s="273"/>
      <c r="LS447" s="273"/>
      <c r="LT447" s="273"/>
      <c r="LU447" s="273"/>
      <c r="LV447" s="273"/>
      <c r="LW447" s="273"/>
      <c r="LX447" s="273"/>
      <c r="LY447" s="273"/>
      <c r="LZ447" s="273"/>
      <c r="MA447" s="273"/>
      <c r="MB447" s="273"/>
      <c r="MC447" s="273"/>
      <c r="MD447" s="273"/>
      <c r="ME447" s="273"/>
      <c r="MF447" s="273"/>
      <c r="MG447" s="273"/>
      <c r="MH447" s="273"/>
      <c r="MI447" s="273"/>
      <c r="MJ447" s="273"/>
      <c r="MK447" s="273"/>
      <c r="ML447" s="273"/>
      <c r="MM447" s="273"/>
      <c r="MN447" s="273"/>
      <c r="MO447" s="273"/>
      <c r="MP447" s="273"/>
      <c r="MQ447" s="273"/>
      <c r="MR447" s="273"/>
      <c r="MS447" s="273"/>
      <c r="MT447" s="273"/>
      <c r="MU447" s="273"/>
      <c r="MV447" s="273"/>
      <c r="MW447" s="273"/>
      <c r="MX447" s="273"/>
      <c r="MY447" s="273"/>
      <c r="MZ447" s="273"/>
      <c r="NA447" s="273"/>
      <c r="NB447" s="273"/>
      <c r="NC447" s="273"/>
      <c r="ND447" s="273"/>
      <c r="NE447" s="273"/>
      <c r="NF447" s="273"/>
      <c r="NG447" s="273"/>
      <c r="NH447" s="273"/>
      <c r="NI447" s="273"/>
      <c r="NJ447" s="273"/>
      <c r="NK447" s="273"/>
      <c r="NL447" s="273"/>
      <c r="NM447" s="273"/>
      <c r="NN447" s="273"/>
      <c r="NO447" s="273"/>
      <c r="NP447" s="273"/>
      <c r="NQ447" s="273"/>
      <c r="NR447" s="273"/>
      <c r="NS447" s="273"/>
      <c r="NT447" s="273"/>
      <c r="NU447" s="273"/>
      <c r="NV447" s="273"/>
      <c r="NW447" s="273"/>
      <c r="NX447" s="273"/>
      <c r="NY447" s="273"/>
      <c r="NZ447" s="273"/>
      <c r="OA447" s="273"/>
      <c r="OB447" s="273"/>
      <c r="OC447" s="273"/>
      <c r="OD447" s="273"/>
      <c r="OE447" s="273"/>
      <c r="OF447" s="273"/>
      <c r="OG447" s="273"/>
      <c r="OH447" s="273"/>
      <c r="OI447" s="273"/>
      <c r="OJ447" s="273"/>
      <c r="OK447" s="273"/>
      <c r="OL447" s="273"/>
      <c r="OM447" s="273"/>
      <c r="ON447" s="273"/>
      <c r="OO447" s="273"/>
      <c r="OP447" s="273"/>
      <c r="OQ447" s="273"/>
      <c r="OR447" s="273"/>
      <c r="OS447" s="273"/>
      <c r="OT447" s="273"/>
      <c r="OU447" s="273"/>
      <c r="OV447" s="273"/>
      <c r="OW447" s="273"/>
      <c r="OX447" s="273"/>
      <c r="OY447" s="273"/>
      <c r="OZ447" s="273"/>
      <c r="PA447" s="273"/>
      <c r="PB447" s="273"/>
      <c r="PC447" s="273"/>
      <c r="PD447" s="273"/>
      <c r="PE447" s="273"/>
      <c r="PF447" s="273"/>
      <c r="PG447" s="273"/>
      <c r="PH447" s="273"/>
      <c r="PI447" s="273"/>
      <c r="PJ447" s="273"/>
      <c r="PK447" s="273"/>
      <c r="PL447" s="273"/>
      <c r="PM447" s="273"/>
      <c r="PN447" s="273"/>
      <c r="PO447" s="273"/>
      <c r="PP447" s="273"/>
      <c r="PQ447" s="273"/>
      <c r="PR447" s="273"/>
      <c r="PS447" s="273"/>
      <c r="PT447" s="273"/>
      <c r="PU447" s="273"/>
      <c r="PV447" s="273"/>
      <c r="PW447" s="273"/>
      <c r="PX447" s="273"/>
      <c r="PY447" s="273"/>
      <c r="PZ447" s="273"/>
      <c r="QA447" s="273"/>
      <c r="QB447" s="273"/>
      <c r="QC447" s="273"/>
      <c r="QD447" s="273"/>
      <c r="QE447" s="273"/>
      <c r="QF447" s="273"/>
      <c r="QG447" s="273"/>
      <c r="QH447" s="273"/>
      <c r="QI447" s="273"/>
      <c r="QJ447" s="273"/>
      <c r="QK447" s="273"/>
      <c r="QL447" s="273"/>
      <c r="QM447" s="273"/>
      <c r="QN447" s="273"/>
      <c r="QO447" s="273"/>
      <c r="QP447" s="273"/>
      <c r="QQ447" s="273"/>
      <c r="QR447" s="273"/>
      <c r="QS447" s="273"/>
      <c r="QT447" s="273"/>
      <c r="QU447" s="273"/>
      <c r="QV447" s="273"/>
      <c r="QW447" s="273"/>
      <c r="QX447" s="273"/>
      <c r="QY447" s="273"/>
      <c r="QZ447" s="273"/>
      <c r="RA447" s="273"/>
      <c r="RB447" s="273"/>
      <c r="RC447" s="273"/>
      <c r="RD447" s="273"/>
      <c r="RE447" s="273"/>
      <c r="RF447" s="273"/>
      <c r="RG447" s="273"/>
      <c r="RH447" s="273"/>
      <c r="RI447" s="273"/>
      <c r="RJ447" s="273"/>
      <c r="RK447" s="273"/>
      <c r="RL447" s="273"/>
      <c r="RM447" s="273"/>
      <c r="RN447" s="273"/>
      <c r="RO447" s="273"/>
      <c r="RP447" s="273"/>
      <c r="RQ447" s="273"/>
    </row>
    <row r="448" spans="1:485" s="450" customFormat="1" ht="52" x14ac:dyDescent="0.25">
      <c r="A448" s="2995"/>
      <c r="B448" s="595" t="s">
        <v>994</v>
      </c>
      <c r="C448" s="266" t="s">
        <v>15</v>
      </c>
      <c r="D448" s="467" t="s">
        <v>955</v>
      </c>
      <c r="E448" s="468">
        <v>0</v>
      </c>
      <c r="F448" s="468">
        <v>15</v>
      </c>
      <c r="G448" s="467">
        <v>8</v>
      </c>
      <c r="H448" s="451">
        <f t="shared" si="207"/>
        <v>0</v>
      </c>
      <c r="I448" s="675">
        <v>1</v>
      </c>
      <c r="J448" s="451">
        <v>30</v>
      </c>
      <c r="K448" s="451">
        <v>15</v>
      </c>
      <c r="L448" s="451">
        <v>10</v>
      </c>
      <c r="M448" s="1834">
        <f t="shared" si="208"/>
        <v>4500</v>
      </c>
      <c r="N448" s="697">
        <v>1</v>
      </c>
      <c r="O448" s="696">
        <f>+H448+M448</f>
        <v>4500</v>
      </c>
      <c r="P448" s="675">
        <v>1</v>
      </c>
      <c r="Q448" s="451">
        <f t="shared" si="203"/>
        <v>4500</v>
      </c>
      <c r="R448" s="522" t="s">
        <v>995</v>
      </c>
      <c r="S448" s="452">
        <f>COOPI!S40</f>
        <v>0</v>
      </c>
      <c r="T448" s="591">
        <f t="shared" si="209"/>
        <v>0</v>
      </c>
      <c r="U448" s="894" t="s">
        <v>944</v>
      </c>
      <c r="V448" s="591">
        <f t="shared" si="210"/>
        <v>0</v>
      </c>
      <c r="W448" s="452">
        <f t="shared" si="211"/>
        <v>0</v>
      </c>
      <c r="X448" s="452" t="s">
        <v>944</v>
      </c>
      <c r="Y448" s="273"/>
      <c r="Z448" s="273"/>
      <c r="AA448" s="273"/>
      <c r="AB448" s="273"/>
      <c r="AC448" s="273"/>
      <c r="AD448" s="273"/>
      <c r="AE448" s="273"/>
      <c r="AF448" s="273"/>
      <c r="AG448" s="273"/>
      <c r="AH448" s="273"/>
      <c r="AI448" s="273"/>
      <c r="AJ448" s="273"/>
      <c r="AK448" s="273"/>
      <c r="AL448" s="273"/>
      <c r="AM448" s="273"/>
      <c r="AN448" s="273"/>
      <c r="AO448" s="273"/>
      <c r="AP448" s="273"/>
      <c r="AQ448" s="273"/>
      <c r="AR448" s="273"/>
      <c r="AS448" s="273"/>
      <c r="AT448" s="273"/>
      <c r="AU448" s="273"/>
      <c r="AV448" s="273"/>
      <c r="AW448" s="273"/>
      <c r="AX448" s="273"/>
      <c r="AY448" s="273"/>
      <c r="AZ448" s="273"/>
      <c r="BA448" s="273"/>
      <c r="BB448" s="273"/>
      <c r="BC448" s="273"/>
      <c r="BD448" s="273"/>
      <c r="BE448" s="273"/>
      <c r="BF448" s="273"/>
      <c r="BG448" s="273"/>
      <c r="BH448" s="273"/>
      <c r="BI448" s="273"/>
      <c r="BJ448" s="273"/>
      <c r="BK448" s="273"/>
      <c r="BL448" s="273"/>
      <c r="BM448" s="273"/>
      <c r="BN448" s="273"/>
      <c r="BO448" s="273"/>
      <c r="BP448" s="273"/>
      <c r="BQ448" s="273"/>
      <c r="BR448" s="273"/>
      <c r="BS448" s="273"/>
      <c r="BT448" s="273"/>
      <c r="BU448" s="273"/>
      <c r="BV448" s="273"/>
      <c r="BW448" s="273"/>
      <c r="BX448" s="273"/>
      <c r="BY448" s="273"/>
      <c r="BZ448" s="273"/>
      <c r="CA448" s="273"/>
      <c r="CB448" s="273"/>
      <c r="CC448" s="273"/>
      <c r="CD448" s="273"/>
      <c r="CE448" s="273"/>
      <c r="CF448" s="273"/>
      <c r="CG448" s="273"/>
      <c r="CH448" s="273"/>
      <c r="CI448" s="273"/>
      <c r="CJ448" s="273"/>
      <c r="CK448" s="273"/>
      <c r="CL448" s="273"/>
      <c r="CM448" s="273"/>
      <c r="CN448" s="273"/>
      <c r="CO448" s="273"/>
      <c r="CP448" s="273"/>
      <c r="CQ448" s="273"/>
      <c r="CR448" s="273"/>
      <c r="CS448" s="273"/>
      <c r="CT448" s="273"/>
      <c r="CU448" s="273"/>
      <c r="CV448" s="273"/>
      <c r="CW448" s="273"/>
      <c r="CX448" s="273"/>
      <c r="CY448" s="273"/>
      <c r="CZ448" s="273"/>
      <c r="DA448" s="273"/>
      <c r="DB448" s="273"/>
      <c r="DC448" s="273"/>
      <c r="DD448" s="273"/>
      <c r="DE448" s="273"/>
      <c r="DF448" s="273"/>
      <c r="DG448" s="273"/>
      <c r="DH448" s="273"/>
      <c r="DI448" s="273"/>
      <c r="DJ448" s="273"/>
      <c r="DK448" s="273"/>
      <c r="DL448" s="273"/>
      <c r="DM448" s="273"/>
      <c r="DN448" s="273"/>
      <c r="DO448" s="273"/>
      <c r="DP448" s="273"/>
      <c r="DQ448" s="273"/>
      <c r="DR448" s="273"/>
      <c r="DS448" s="273"/>
      <c r="DT448" s="273"/>
      <c r="DU448" s="273"/>
      <c r="DV448" s="273"/>
      <c r="DW448" s="273"/>
      <c r="DX448" s="273"/>
      <c r="DY448" s="273"/>
      <c r="DZ448" s="273"/>
      <c r="EA448" s="273"/>
      <c r="EB448" s="273"/>
      <c r="EC448" s="273"/>
      <c r="ED448" s="273"/>
      <c r="EE448" s="273"/>
      <c r="EF448" s="273"/>
      <c r="EG448" s="273"/>
      <c r="EH448" s="273"/>
      <c r="EI448" s="273"/>
      <c r="EJ448" s="273"/>
      <c r="EK448" s="273"/>
      <c r="EL448" s="273"/>
      <c r="EM448" s="273"/>
      <c r="EN448" s="273"/>
      <c r="EO448" s="273"/>
      <c r="EP448" s="273"/>
      <c r="EQ448" s="273"/>
      <c r="ER448" s="273"/>
      <c r="ES448" s="273"/>
      <c r="ET448" s="273"/>
      <c r="EU448" s="273"/>
      <c r="EV448" s="273"/>
      <c r="EW448" s="273"/>
      <c r="EX448" s="273"/>
      <c r="EY448" s="273"/>
      <c r="EZ448" s="273"/>
      <c r="FA448" s="273"/>
      <c r="FB448" s="273"/>
      <c r="FC448" s="273"/>
      <c r="FD448" s="273"/>
      <c r="FE448" s="273"/>
      <c r="FF448" s="273"/>
      <c r="FG448" s="273"/>
      <c r="FH448" s="273"/>
      <c r="FI448" s="273"/>
      <c r="FJ448" s="273"/>
      <c r="FK448" s="273"/>
      <c r="FL448" s="273"/>
      <c r="FM448" s="273"/>
      <c r="FN448" s="273"/>
      <c r="FO448" s="273"/>
      <c r="FP448" s="273"/>
      <c r="FQ448" s="273"/>
      <c r="FR448" s="273"/>
      <c r="FS448" s="273"/>
      <c r="FT448" s="273"/>
      <c r="FU448" s="273"/>
      <c r="FV448" s="273"/>
      <c r="FW448" s="273"/>
      <c r="FX448" s="273"/>
      <c r="FY448" s="273"/>
      <c r="FZ448" s="273"/>
      <c r="GA448" s="273"/>
      <c r="GB448" s="273"/>
      <c r="GC448" s="273"/>
      <c r="GD448" s="273"/>
      <c r="GE448" s="273"/>
      <c r="GF448" s="273"/>
      <c r="GG448" s="273"/>
      <c r="GH448" s="273"/>
      <c r="GI448" s="273"/>
      <c r="GJ448" s="273"/>
      <c r="GK448" s="273"/>
      <c r="GL448" s="273"/>
      <c r="GM448" s="273"/>
      <c r="GN448" s="273"/>
      <c r="GO448" s="273"/>
      <c r="GP448" s="273"/>
      <c r="GQ448" s="273"/>
      <c r="GR448" s="273"/>
      <c r="GS448" s="273"/>
      <c r="GT448" s="273"/>
      <c r="GU448" s="273"/>
      <c r="GV448" s="273"/>
      <c r="GW448" s="273"/>
      <c r="GX448" s="273"/>
      <c r="GY448" s="273"/>
      <c r="GZ448" s="273"/>
      <c r="HA448" s="273"/>
      <c r="HB448" s="273"/>
      <c r="HC448" s="273"/>
      <c r="HD448" s="273"/>
      <c r="HE448" s="273"/>
      <c r="HF448" s="273"/>
      <c r="HG448" s="273"/>
      <c r="HH448" s="273"/>
      <c r="HI448" s="273"/>
      <c r="HJ448" s="273"/>
      <c r="HK448" s="273"/>
      <c r="HL448" s="273"/>
      <c r="HM448" s="273"/>
      <c r="HN448" s="273"/>
      <c r="HO448" s="273"/>
      <c r="HP448" s="273"/>
      <c r="HQ448" s="273"/>
      <c r="HR448" s="273"/>
      <c r="HS448" s="273"/>
      <c r="HT448" s="273"/>
      <c r="HU448" s="273"/>
      <c r="HV448" s="273"/>
      <c r="HW448" s="273"/>
      <c r="HX448" s="273"/>
      <c r="HY448" s="273"/>
      <c r="HZ448" s="273"/>
      <c r="IA448" s="273"/>
      <c r="IB448" s="273"/>
      <c r="IC448" s="273"/>
      <c r="ID448" s="273"/>
      <c r="IE448" s="273"/>
      <c r="IF448" s="273"/>
      <c r="IG448" s="273"/>
      <c r="IH448" s="273"/>
      <c r="II448" s="273"/>
      <c r="IJ448" s="273"/>
      <c r="IK448" s="273"/>
      <c r="IL448" s="273"/>
      <c r="IM448" s="273"/>
      <c r="IN448" s="273"/>
      <c r="IO448" s="273"/>
      <c r="IP448" s="273"/>
      <c r="IQ448" s="273"/>
      <c r="IR448" s="273"/>
      <c r="IS448" s="273"/>
      <c r="IT448" s="273"/>
      <c r="IU448" s="273"/>
      <c r="IV448" s="273"/>
      <c r="IW448" s="273"/>
      <c r="IX448" s="273"/>
      <c r="IY448" s="273"/>
      <c r="IZ448" s="273"/>
      <c r="JA448" s="273"/>
      <c r="JB448" s="273"/>
      <c r="JC448" s="273"/>
      <c r="JD448" s="273"/>
      <c r="JE448" s="273"/>
      <c r="JF448" s="273"/>
      <c r="JG448" s="273"/>
      <c r="JH448" s="273"/>
      <c r="JI448" s="273"/>
      <c r="JJ448" s="273"/>
      <c r="JK448" s="273"/>
      <c r="JL448" s="273"/>
      <c r="JM448" s="273"/>
      <c r="JN448" s="273"/>
      <c r="JO448" s="273"/>
      <c r="JP448" s="273"/>
      <c r="JQ448" s="273"/>
      <c r="JR448" s="273"/>
      <c r="JS448" s="273"/>
      <c r="JT448" s="273"/>
      <c r="JU448" s="273"/>
      <c r="JV448" s="273"/>
      <c r="JW448" s="273"/>
      <c r="JX448" s="273"/>
      <c r="JY448" s="273"/>
      <c r="JZ448" s="273"/>
      <c r="KA448" s="273"/>
      <c r="KB448" s="273"/>
      <c r="KC448" s="273"/>
      <c r="KD448" s="273"/>
      <c r="KE448" s="273"/>
      <c r="KF448" s="273"/>
      <c r="KG448" s="273"/>
      <c r="KH448" s="273"/>
      <c r="KI448" s="273"/>
      <c r="KJ448" s="273"/>
      <c r="KK448" s="273"/>
      <c r="KL448" s="273"/>
      <c r="KM448" s="273"/>
      <c r="KN448" s="273"/>
      <c r="KO448" s="273"/>
      <c r="KP448" s="273"/>
      <c r="KQ448" s="273"/>
      <c r="KR448" s="273"/>
      <c r="KS448" s="273"/>
      <c r="KT448" s="273"/>
      <c r="KU448" s="273"/>
      <c r="KV448" s="273"/>
      <c r="KW448" s="273"/>
      <c r="KX448" s="273"/>
      <c r="KY448" s="273"/>
      <c r="KZ448" s="273"/>
      <c r="LA448" s="273"/>
      <c r="LB448" s="273"/>
      <c r="LC448" s="273"/>
      <c r="LD448" s="273"/>
      <c r="LE448" s="273"/>
      <c r="LF448" s="273"/>
      <c r="LG448" s="273"/>
      <c r="LH448" s="273"/>
      <c r="LI448" s="273"/>
      <c r="LJ448" s="273"/>
      <c r="LK448" s="273"/>
      <c r="LL448" s="273"/>
      <c r="LM448" s="273"/>
      <c r="LN448" s="273"/>
      <c r="LO448" s="273"/>
      <c r="LP448" s="273"/>
      <c r="LQ448" s="273"/>
      <c r="LR448" s="273"/>
      <c r="LS448" s="273"/>
      <c r="LT448" s="273"/>
      <c r="LU448" s="273"/>
      <c r="LV448" s="273"/>
      <c r="LW448" s="273"/>
      <c r="LX448" s="273"/>
      <c r="LY448" s="273"/>
      <c r="LZ448" s="273"/>
      <c r="MA448" s="273"/>
      <c r="MB448" s="273"/>
      <c r="MC448" s="273"/>
      <c r="MD448" s="273"/>
      <c r="ME448" s="273"/>
      <c r="MF448" s="273"/>
      <c r="MG448" s="273"/>
      <c r="MH448" s="273"/>
      <c r="MI448" s="273"/>
      <c r="MJ448" s="273"/>
      <c r="MK448" s="273"/>
      <c r="ML448" s="273"/>
      <c r="MM448" s="273"/>
      <c r="MN448" s="273"/>
      <c r="MO448" s="273"/>
      <c r="MP448" s="273"/>
      <c r="MQ448" s="273"/>
      <c r="MR448" s="273"/>
      <c r="MS448" s="273"/>
      <c r="MT448" s="273"/>
      <c r="MU448" s="273"/>
      <c r="MV448" s="273"/>
      <c r="MW448" s="273"/>
      <c r="MX448" s="273"/>
      <c r="MY448" s="273"/>
      <c r="MZ448" s="273"/>
      <c r="NA448" s="273"/>
      <c r="NB448" s="273"/>
      <c r="NC448" s="273"/>
      <c r="ND448" s="273"/>
      <c r="NE448" s="273"/>
      <c r="NF448" s="273"/>
      <c r="NG448" s="273"/>
      <c r="NH448" s="273"/>
      <c r="NI448" s="273"/>
      <c r="NJ448" s="273"/>
      <c r="NK448" s="273"/>
      <c r="NL448" s="273"/>
      <c r="NM448" s="273"/>
      <c r="NN448" s="273"/>
      <c r="NO448" s="273"/>
      <c r="NP448" s="273"/>
      <c r="NQ448" s="273"/>
      <c r="NR448" s="273"/>
      <c r="NS448" s="273"/>
      <c r="NT448" s="273"/>
      <c r="NU448" s="273"/>
      <c r="NV448" s="273"/>
      <c r="NW448" s="273"/>
      <c r="NX448" s="273"/>
      <c r="NY448" s="273"/>
      <c r="NZ448" s="273"/>
      <c r="OA448" s="273"/>
      <c r="OB448" s="273"/>
      <c r="OC448" s="273"/>
      <c r="OD448" s="273"/>
      <c r="OE448" s="273"/>
      <c r="OF448" s="273"/>
      <c r="OG448" s="273"/>
      <c r="OH448" s="273"/>
      <c r="OI448" s="273"/>
      <c r="OJ448" s="273"/>
      <c r="OK448" s="273"/>
      <c r="OL448" s="273"/>
      <c r="OM448" s="273"/>
      <c r="ON448" s="273"/>
      <c r="OO448" s="273"/>
      <c r="OP448" s="273"/>
      <c r="OQ448" s="273"/>
      <c r="OR448" s="273"/>
      <c r="OS448" s="273"/>
      <c r="OT448" s="273"/>
      <c r="OU448" s="273"/>
      <c r="OV448" s="273"/>
      <c r="OW448" s="273"/>
      <c r="OX448" s="273"/>
      <c r="OY448" s="273"/>
      <c r="OZ448" s="273"/>
      <c r="PA448" s="273"/>
      <c r="PB448" s="273"/>
      <c r="PC448" s="273"/>
      <c r="PD448" s="273"/>
      <c r="PE448" s="273"/>
      <c r="PF448" s="273"/>
      <c r="PG448" s="273"/>
      <c r="PH448" s="273"/>
      <c r="PI448" s="273"/>
      <c r="PJ448" s="273"/>
      <c r="PK448" s="273"/>
      <c r="PL448" s="273"/>
      <c r="PM448" s="273"/>
      <c r="PN448" s="273"/>
      <c r="PO448" s="273"/>
      <c r="PP448" s="273"/>
      <c r="PQ448" s="273"/>
      <c r="PR448" s="273"/>
      <c r="PS448" s="273"/>
      <c r="PT448" s="273"/>
      <c r="PU448" s="273"/>
      <c r="PV448" s="273"/>
      <c r="PW448" s="273"/>
      <c r="PX448" s="273"/>
      <c r="PY448" s="273"/>
      <c r="PZ448" s="273"/>
      <c r="QA448" s="273"/>
      <c r="QB448" s="273"/>
      <c r="QC448" s="273"/>
      <c r="QD448" s="273"/>
      <c r="QE448" s="273"/>
      <c r="QF448" s="273"/>
      <c r="QG448" s="273"/>
      <c r="QH448" s="273"/>
      <c r="QI448" s="273"/>
      <c r="QJ448" s="273"/>
      <c r="QK448" s="273"/>
      <c r="QL448" s="273"/>
      <c r="QM448" s="273"/>
      <c r="QN448" s="273"/>
      <c r="QO448" s="273"/>
      <c r="QP448" s="273"/>
      <c r="QQ448" s="273"/>
      <c r="QR448" s="273"/>
      <c r="QS448" s="273"/>
      <c r="QT448" s="273"/>
      <c r="QU448" s="273"/>
      <c r="QV448" s="273"/>
      <c r="QW448" s="273"/>
      <c r="QX448" s="273"/>
      <c r="QY448" s="273"/>
      <c r="QZ448" s="273"/>
      <c r="RA448" s="273"/>
      <c r="RB448" s="273"/>
      <c r="RC448" s="273"/>
      <c r="RD448" s="273"/>
      <c r="RE448" s="273"/>
      <c r="RF448" s="273"/>
      <c r="RG448" s="273"/>
      <c r="RH448" s="273"/>
      <c r="RI448" s="273"/>
      <c r="RJ448" s="273"/>
      <c r="RK448" s="273"/>
      <c r="RL448" s="273"/>
      <c r="RM448" s="273"/>
      <c r="RN448" s="273"/>
      <c r="RO448" s="273"/>
      <c r="RP448" s="273"/>
      <c r="RQ448" s="273"/>
    </row>
    <row r="449" spans="1:485" s="450" customFormat="1" ht="26" x14ac:dyDescent="0.25">
      <c r="A449" s="2995"/>
      <c r="B449" s="595" t="s">
        <v>996</v>
      </c>
      <c r="C449" s="266" t="s">
        <v>15</v>
      </c>
      <c r="D449" s="467" t="s">
        <v>955</v>
      </c>
      <c r="E449" s="468">
        <v>30</v>
      </c>
      <c r="F449" s="468">
        <v>36.666666666666664</v>
      </c>
      <c r="G449" s="467">
        <v>1</v>
      </c>
      <c r="H449" s="451">
        <f t="shared" si="207"/>
        <v>1100</v>
      </c>
      <c r="I449" s="675">
        <v>1</v>
      </c>
      <c r="J449" s="451">
        <v>0</v>
      </c>
      <c r="K449" s="451">
        <v>0</v>
      </c>
      <c r="L449" s="451">
        <v>0</v>
      </c>
      <c r="M449" s="1834">
        <f t="shared" si="208"/>
        <v>0</v>
      </c>
      <c r="N449" s="697">
        <v>1</v>
      </c>
      <c r="O449" s="696">
        <f>+H449+M449</f>
        <v>1100</v>
      </c>
      <c r="P449" s="675">
        <v>1</v>
      </c>
      <c r="Q449" s="451">
        <f t="shared" si="203"/>
        <v>1100</v>
      </c>
      <c r="R449" s="522" t="s">
        <v>997</v>
      </c>
      <c r="S449" s="452">
        <f>COOPI!S41</f>
        <v>1100</v>
      </c>
      <c r="T449" s="591">
        <f t="shared" si="209"/>
        <v>1</v>
      </c>
      <c r="U449" s="894" t="s">
        <v>606</v>
      </c>
      <c r="V449" s="591">
        <f t="shared" si="210"/>
        <v>1</v>
      </c>
      <c r="W449" s="452">
        <f t="shared" si="211"/>
        <v>1100</v>
      </c>
      <c r="X449" s="452" t="s">
        <v>606</v>
      </c>
      <c r="Y449" s="273"/>
      <c r="Z449" s="273"/>
      <c r="AA449" s="273"/>
      <c r="AB449" s="273"/>
      <c r="AC449" s="273"/>
      <c r="AD449" s="273"/>
      <c r="AE449" s="273"/>
      <c r="AF449" s="273"/>
      <c r="AG449" s="273"/>
      <c r="AH449" s="273"/>
      <c r="AI449" s="273"/>
      <c r="AJ449" s="273"/>
      <c r="AK449" s="273"/>
      <c r="AL449" s="273"/>
      <c r="AM449" s="273"/>
      <c r="AN449" s="273"/>
      <c r="AO449" s="273"/>
      <c r="AP449" s="273"/>
      <c r="AQ449" s="273"/>
      <c r="AR449" s="273"/>
      <c r="AS449" s="273"/>
      <c r="AT449" s="273"/>
      <c r="AU449" s="273"/>
      <c r="AV449" s="273"/>
      <c r="AW449" s="273"/>
      <c r="AX449" s="273"/>
      <c r="AY449" s="273"/>
      <c r="AZ449" s="273"/>
      <c r="BA449" s="273"/>
      <c r="BB449" s="273"/>
      <c r="BC449" s="273"/>
      <c r="BD449" s="273"/>
      <c r="BE449" s="273"/>
      <c r="BF449" s="273"/>
      <c r="BG449" s="273"/>
      <c r="BH449" s="273"/>
      <c r="BI449" s="273"/>
      <c r="BJ449" s="273"/>
      <c r="BK449" s="273"/>
      <c r="BL449" s="273"/>
      <c r="BM449" s="273"/>
      <c r="BN449" s="273"/>
      <c r="BO449" s="273"/>
      <c r="BP449" s="273"/>
      <c r="BQ449" s="273"/>
      <c r="BR449" s="273"/>
      <c r="BS449" s="273"/>
      <c r="BT449" s="273"/>
      <c r="BU449" s="273"/>
      <c r="BV449" s="273"/>
      <c r="BW449" s="273"/>
      <c r="BX449" s="273"/>
      <c r="BY449" s="273"/>
      <c r="BZ449" s="273"/>
      <c r="CA449" s="273"/>
      <c r="CB449" s="273"/>
      <c r="CC449" s="273"/>
      <c r="CD449" s="273"/>
      <c r="CE449" s="273"/>
      <c r="CF449" s="273"/>
      <c r="CG449" s="273"/>
      <c r="CH449" s="273"/>
      <c r="CI449" s="273"/>
      <c r="CJ449" s="273"/>
      <c r="CK449" s="273"/>
      <c r="CL449" s="273"/>
      <c r="CM449" s="273"/>
      <c r="CN449" s="273"/>
      <c r="CO449" s="273"/>
      <c r="CP449" s="273"/>
      <c r="CQ449" s="273"/>
      <c r="CR449" s="273"/>
      <c r="CS449" s="273"/>
      <c r="CT449" s="273"/>
      <c r="CU449" s="273"/>
      <c r="CV449" s="273"/>
      <c r="CW449" s="273"/>
      <c r="CX449" s="273"/>
      <c r="CY449" s="273"/>
      <c r="CZ449" s="273"/>
      <c r="DA449" s="273"/>
      <c r="DB449" s="273"/>
      <c r="DC449" s="273"/>
      <c r="DD449" s="273"/>
      <c r="DE449" s="273"/>
      <c r="DF449" s="273"/>
      <c r="DG449" s="273"/>
      <c r="DH449" s="273"/>
      <c r="DI449" s="273"/>
      <c r="DJ449" s="273"/>
      <c r="DK449" s="273"/>
      <c r="DL449" s="273"/>
      <c r="DM449" s="273"/>
      <c r="DN449" s="273"/>
      <c r="DO449" s="273"/>
      <c r="DP449" s="273"/>
      <c r="DQ449" s="273"/>
      <c r="DR449" s="273"/>
      <c r="DS449" s="273"/>
      <c r="DT449" s="273"/>
      <c r="DU449" s="273"/>
      <c r="DV449" s="273"/>
      <c r="DW449" s="273"/>
      <c r="DX449" s="273"/>
      <c r="DY449" s="273"/>
      <c r="DZ449" s="273"/>
      <c r="EA449" s="273"/>
      <c r="EB449" s="273"/>
      <c r="EC449" s="273"/>
      <c r="ED449" s="273"/>
      <c r="EE449" s="273"/>
      <c r="EF449" s="273"/>
      <c r="EG449" s="273"/>
      <c r="EH449" s="273"/>
      <c r="EI449" s="273"/>
      <c r="EJ449" s="273"/>
      <c r="EK449" s="273"/>
      <c r="EL449" s="273"/>
      <c r="EM449" s="273"/>
      <c r="EN449" s="273"/>
      <c r="EO449" s="273"/>
      <c r="EP449" s="273"/>
      <c r="EQ449" s="273"/>
      <c r="ER449" s="273"/>
      <c r="ES449" s="273"/>
      <c r="ET449" s="273"/>
      <c r="EU449" s="273"/>
      <c r="EV449" s="273"/>
      <c r="EW449" s="273"/>
      <c r="EX449" s="273"/>
      <c r="EY449" s="273"/>
      <c r="EZ449" s="273"/>
      <c r="FA449" s="273"/>
      <c r="FB449" s="273"/>
      <c r="FC449" s="273"/>
      <c r="FD449" s="273"/>
      <c r="FE449" s="273"/>
      <c r="FF449" s="273"/>
      <c r="FG449" s="273"/>
      <c r="FH449" s="273"/>
      <c r="FI449" s="273"/>
      <c r="FJ449" s="273"/>
      <c r="FK449" s="273"/>
      <c r="FL449" s="273"/>
      <c r="FM449" s="273"/>
      <c r="FN449" s="273"/>
      <c r="FO449" s="273"/>
      <c r="FP449" s="273"/>
      <c r="FQ449" s="273"/>
      <c r="FR449" s="273"/>
      <c r="FS449" s="273"/>
      <c r="FT449" s="273"/>
      <c r="FU449" s="273"/>
      <c r="FV449" s="273"/>
      <c r="FW449" s="273"/>
      <c r="FX449" s="273"/>
      <c r="FY449" s="273"/>
      <c r="FZ449" s="273"/>
      <c r="GA449" s="273"/>
      <c r="GB449" s="273"/>
      <c r="GC449" s="273"/>
      <c r="GD449" s="273"/>
      <c r="GE449" s="273"/>
      <c r="GF449" s="273"/>
      <c r="GG449" s="273"/>
      <c r="GH449" s="273"/>
      <c r="GI449" s="273"/>
      <c r="GJ449" s="273"/>
      <c r="GK449" s="273"/>
      <c r="GL449" s="273"/>
      <c r="GM449" s="273"/>
      <c r="GN449" s="273"/>
      <c r="GO449" s="273"/>
      <c r="GP449" s="273"/>
      <c r="GQ449" s="273"/>
      <c r="GR449" s="273"/>
      <c r="GS449" s="273"/>
      <c r="GT449" s="273"/>
      <c r="GU449" s="273"/>
      <c r="GV449" s="273"/>
      <c r="GW449" s="273"/>
      <c r="GX449" s="273"/>
      <c r="GY449" s="273"/>
      <c r="GZ449" s="273"/>
      <c r="HA449" s="273"/>
      <c r="HB449" s="273"/>
      <c r="HC449" s="273"/>
      <c r="HD449" s="273"/>
      <c r="HE449" s="273"/>
      <c r="HF449" s="273"/>
      <c r="HG449" s="273"/>
      <c r="HH449" s="273"/>
      <c r="HI449" s="273"/>
      <c r="HJ449" s="273"/>
      <c r="HK449" s="273"/>
      <c r="HL449" s="273"/>
      <c r="HM449" s="273"/>
      <c r="HN449" s="273"/>
      <c r="HO449" s="273"/>
      <c r="HP449" s="273"/>
      <c r="HQ449" s="273"/>
      <c r="HR449" s="273"/>
      <c r="HS449" s="273"/>
      <c r="HT449" s="273"/>
      <c r="HU449" s="273"/>
      <c r="HV449" s="273"/>
      <c r="HW449" s="273"/>
      <c r="HX449" s="273"/>
      <c r="HY449" s="273"/>
      <c r="HZ449" s="273"/>
      <c r="IA449" s="273"/>
      <c r="IB449" s="273"/>
      <c r="IC449" s="273"/>
      <c r="ID449" s="273"/>
      <c r="IE449" s="273"/>
      <c r="IF449" s="273"/>
      <c r="IG449" s="273"/>
      <c r="IH449" s="273"/>
      <c r="II449" s="273"/>
      <c r="IJ449" s="273"/>
      <c r="IK449" s="273"/>
      <c r="IL449" s="273"/>
      <c r="IM449" s="273"/>
      <c r="IN449" s="273"/>
      <c r="IO449" s="273"/>
      <c r="IP449" s="273"/>
      <c r="IQ449" s="273"/>
      <c r="IR449" s="273"/>
      <c r="IS449" s="273"/>
      <c r="IT449" s="273"/>
      <c r="IU449" s="273"/>
      <c r="IV449" s="273"/>
      <c r="IW449" s="273"/>
      <c r="IX449" s="273"/>
      <c r="IY449" s="273"/>
      <c r="IZ449" s="273"/>
      <c r="JA449" s="273"/>
      <c r="JB449" s="273"/>
      <c r="JC449" s="273"/>
      <c r="JD449" s="273"/>
      <c r="JE449" s="273"/>
      <c r="JF449" s="273"/>
      <c r="JG449" s="273"/>
      <c r="JH449" s="273"/>
      <c r="JI449" s="273"/>
      <c r="JJ449" s="273"/>
      <c r="JK449" s="273"/>
      <c r="JL449" s="273"/>
      <c r="JM449" s="273"/>
      <c r="JN449" s="273"/>
      <c r="JO449" s="273"/>
      <c r="JP449" s="273"/>
      <c r="JQ449" s="273"/>
      <c r="JR449" s="273"/>
      <c r="JS449" s="273"/>
      <c r="JT449" s="273"/>
      <c r="JU449" s="273"/>
      <c r="JV449" s="273"/>
      <c r="JW449" s="273"/>
      <c r="JX449" s="273"/>
      <c r="JY449" s="273"/>
      <c r="JZ449" s="273"/>
      <c r="KA449" s="273"/>
      <c r="KB449" s="273"/>
      <c r="KC449" s="273"/>
      <c r="KD449" s="273"/>
      <c r="KE449" s="273"/>
      <c r="KF449" s="273"/>
      <c r="KG449" s="273"/>
      <c r="KH449" s="273"/>
      <c r="KI449" s="273"/>
      <c r="KJ449" s="273"/>
      <c r="KK449" s="273"/>
      <c r="KL449" s="273"/>
      <c r="KM449" s="273"/>
      <c r="KN449" s="273"/>
      <c r="KO449" s="273"/>
      <c r="KP449" s="273"/>
      <c r="KQ449" s="273"/>
      <c r="KR449" s="273"/>
      <c r="KS449" s="273"/>
      <c r="KT449" s="273"/>
      <c r="KU449" s="273"/>
      <c r="KV449" s="273"/>
      <c r="KW449" s="273"/>
      <c r="KX449" s="273"/>
      <c r="KY449" s="273"/>
      <c r="KZ449" s="273"/>
      <c r="LA449" s="273"/>
      <c r="LB449" s="273"/>
      <c r="LC449" s="273"/>
      <c r="LD449" s="273"/>
      <c r="LE449" s="273"/>
      <c r="LF449" s="273"/>
      <c r="LG449" s="273"/>
      <c r="LH449" s="273"/>
      <c r="LI449" s="273"/>
      <c r="LJ449" s="273"/>
      <c r="LK449" s="273"/>
      <c r="LL449" s="273"/>
      <c r="LM449" s="273"/>
      <c r="LN449" s="273"/>
      <c r="LO449" s="273"/>
      <c r="LP449" s="273"/>
      <c r="LQ449" s="273"/>
      <c r="LR449" s="273"/>
      <c r="LS449" s="273"/>
      <c r="LT449" s="273"/>
      <c r="LU449" s="273"/>
      <c r="LV449" s="273"/>
      <c r="LW449" s="273"/>
      <c r="LX449" s="273"/>
      <c r="LY449" s="273"/>
      <c r="LZ449" s="273"/>
      <c r="MA449" s="273"/>
      <c r="MB449" s="273"/>
      <c r="MC449" s="273"/>
      <c r="MD449" s="273"/>
      <c r="ME449" s="273"/>
      <c r="MF449" s="273"/>
      <c r="MG449" s="273"/>
      <c r="MH449" s="273"/>
      <c r="MI449" s="273"/>
      <c r="MJ449" s="273"/>
      <c r="MK449" s="273"/>
      <c r="ML449" s="273"/>
      <c r="MM449" s="273"/>
      <c r="MN449" s="273"/>
      <c r="MO449" s="273"/>
      <c r="MP449" s="273"/>
      <c r="MQ449" s="273"/>
      <c r="MR449" s="273"/>
      <c r="MS449" s="273"/>
      <c r="MT449" s="273"/>
      <c r="MU449" s="273"/>
      <c r="MV449" s="273"/>
      <c r="MW449" s="273"/>
      <c r="MX449" s="273"/>
      <c r="MY449" s="273"/>
      <c r="MZ449" s="273"/>
      <c r="NA449" s="273"/>
      <c r="NB449" s="273"/>
      <c r="NC449" s="273"/>
      <c r="ND449" s="273"/>
      <c r="NE449" s="273"/>
      <c r="NF449" s="273"/>
      <c r="NG449" s="273"/>
      <c r="NH449" s="273"/>
      <c r="NI449" s="273"/>
      <c r="NJ449" s="273"/>
      <c r="NK449" s="273"/>
      <c r="NL449" s="273"/>
      <c r="NM449" s="273"/>
      <c r="NN449" s="273"/>
      <c r="NO449" s="273"/>
      <c r="NP449" s="273"/>
      <c r="NQ449" s="273"/>
      <c r="NR449" s="273"/>
      <c r="NS449" s="273"/>
      <c r="NT449" s="273"/>
      <c r="NU449" s="273"/>
      <c r="NV449" s="273"/>
      <c r="NW449" s="273"/>
      <c r="NX449" s="273"/>
      <c r="NY449" s="273"/>
      <c r="NZ449" s="273"/>
      <c r="OA449" s="273"/>
      <c r="OB449" s="273"/>
      <c r="OC449" s="273"/>
      <c r="OD449" s="273"/>
      <c r="OE449" s="273"/>
      <c r="OF449" s="273"/>
      <c r="OG449" s="273"/>
      <c r="OH449" s="273"/>
      <c r="OI449" s="273"/>
      <c r="OJ449" s="273"/>
      <c r="OK449" s="273"/>
      <c r="OL449" s="273"/>
      <c r="OM449" s="273"/>
      <c r="ON449" s="273"/>
      <c r="OO449" s="273"/>
      <c r="OP449" s="273"/>
      <c r="OQ449" s="273"/>
      <c r="OR449" s="273"/>
      <c r="OS449" s="273"/>
      <c r="OT449" s="273"/>
      <c r="OU449" s="273"/>
      <c r="OV449" s="273"/>
      <c r="OW449" s="273"/>
      <c r="OX449" s="273"/>
      <c r="OY449" s="273"/>
      <c r="OZ449" s="273"/>
      <c r="PA449" s="273"/>
      <c r="PB449" s="273"/>
      <c r="PC449" s="273"/>
      <c r="PD449" s="273"/>
      <c r="PE449" s="273"/>
      <c r="PF449" s="273"/>
      <c r="PG449" s="273"/>
      <c r="PH449" s="273"/>
      <c r="PI449" s="273"/>
      <c r="PJ449" s="273"/>
      <c r="PK449" s="273"/>
      <c r="PL449" s="273"/>
      <c r="PM449" s="273"/>
      <c r="PN449" s="273"/>
      <c r="PO449" s="273"/>
      <c r="PP449" s="273"/>
      <c r="PQ449" s="273"/>
      <c r="PR449" s="273"/>
      <c r="PS449" s="273"/>
      <c r="PT449" s="273"/>
      <c r="PU449" s="273"/>
      <c r="PV449" s="273"/>
      <c r="PW449" s="273"/>
      <c r="PX449" s="273"/>
      <c r="PY449" s="273"/>
      <c r="PZ449" s="273"/>
      <c r="QA449" s="273"/>
      <c r="QB449" s="273"/>
      <c r="QC449" s="273"/>
      <c r="QD449" s="273"/>
      <c r="QE449" s="273"/>
      <c r="QF449" s="273"/>
      <c r="QG449" s="273"/>
      <c r="QH449" s="273"/>
      <c r="QI449" s="273"/>
      <c r="QJ449" s="273"/>
      <c r="QK449" s="273"/>
      <c r="QL449" s="273"/>
      <c r="QM449" s="273"/>
      <c r="QN449" s="273"/>
      <c r="QO449" s="273"/>
      <c r="QP449" s="273"/>
      <c r="QQ449" s="273"/>
      <c r="QR449" s="273"/>
      <c r="QS449" s="273"/>
      <c r="QT449" s="273"/>
      <c r="QU449" s="273"/>
      <c r="QV449" s="273"/>
      <c r="QW449" s="273"/>
      <c r="QX449" s="273"/>
      <c r="QY449" s="273"/>
      <c r="QZ449" s="273"/>
      <c r="RA449" s="273"/>
      <c r="RB449" s="273"/>
      <c r="RC449" s="273"/>
      <c r="RD449" s="273"/>
      <c r="RE449" s="273"/>
      <c r="RF449" s="273"/>
      <c r="RG449" s="273"/>
      <c r="RH449" s="273"/>
      <c r="RI449" s="273"/>
      <c r="RJ449" s="273"/>
      <c r="RK449" s="273"/>
      <c r="RL449" s="273"/>
      <c r="RM449" s="273"/>
      <c r="RN449" s="273"/>
      <c r="RO449" s="273"/>
      <c r="RP449" s="273"/>
      <c r="RQ449" s="273"/>
    </row>
    <row r="450" spans="1:485" s="450" customFormat="1" ht="26" x14ac:dyDescent="0.25">
      <c r="A450" s="2995"/>
      <c r="B450" s="595" t="s">
        <v>998</v>
      </c>
      <c r="C450" s="266" t="s">
        <v>15</v>
      </c>
      <c r="D450" s="467" t="s">
        <v>955</v>
      </c>
      <c r="E450" s="468">
        <v>7</v>
      </c>
      <c r="F450" s="468">
        <v>75</v>
      </c>
      <c r="G450" s="467">
        <v>1</v>
      </c>
      <c r="H450" s="451">
        <f t="shared" si="207"/>
        <v>525</v>
      </c>
      <c r="I450" s="675">
        <v>1</v>
      </c>
      <c r="J450" s="451">
        <v>7</v>
      </c>
      <c r="K450" s="451">
        <v>150</v>
      </c>
      <c r="L450" s="451">
        <v>1</v>
      </c>
      <c r="M450" s="1834">
        <f t="shared" si="208"/>
        <v>1050</v>
      </c>
      <c r="N450" s="697">
        <v>1</v>
      </c>
      <c r="O450" s="696">
        <f>+H450+M450</f>
        <v>1575</v>
      </c>
      <c r="P450" s="675">
        <v>1</v>
      </c>
      <c r="Q450" s="451">
        <f t="shared" si="203"/>
        <v>1575</v>
      </c>
      <c r="R450" s="522" t="s">
        <v>999</v>
      </c>
      <c r="S450" s="452">
        <f>COOPI!S42</f>
        <v>999</v>
      </c>
      <c r="T450" s="591">
        <f t="shared" si="209"/>
        <v>0.63428571428571423</v>
      </c>
      <c r="U450" s="894" t="s">
        <v>944</v>
      </c>
      <c r="V450" s="591">
        <f t="shared" si="210"/>
        <v>0.63428571428571423</v>
      </c>
      <c r="W450" s="452">
        <f t="shared" si="211"/>
        <v>999</v>
      </c>
      <c r="X450" s="452" t="s">
        <v>944</v>
      </c>
      <c r="Y450" s="273"/>
      <c r="Z450" s="273"/>
      <c r="AA450" s="273"/>
      <c r="AB450" s="273"/>
      <c r="AC450" s="273"/>
      <c r="AD450" s="273"/>
      <c r="AE450" s="273"/>
      <c r="AF450" s="273"/>
      <c r="AG450" s="273"/>
      <c r="AH450" s="273"/>
      <c r="AI450" s="273"/>
      <c r="AJ450" s="273"/>
      <c r="AK450" s="273"/>
      <c r="AL450" s="273"/>
      <c r="AM450" s="273"/>
      <c r="AN450" s="273"/>
      <c r="AO450" s="273"/>
      <c r="AP450" s="273"/>
      <c r="AQ450" s="273"/>
      <c r="AR450" s="273"/>
      <c r="AS450" s="273"/>
      <c r="AT450" s="273"/>
      <c r="AU450" s="273"/>
      <c r="AV450" s="273"/>
      <c r="AW450" s="273"/>
      <c r="AX450" s="273"/>
      <c r="AY450" s="273"/>
      <c r="AZ450" s="273"/>
      <c r="BA450" s="273"/>
      <c r="BB450" s="273"/>
      <c r="BC450" s="273"/>
      <c r="BD450" s="273"/>
      <c r="BE450" s="273"/>
      <c r="BF450" s="273"/>
      <c r="BG450" s="273"/>
      <c r="BH450" s="273"/>
      <c r="BI450" s="273"/>
      <c r="BJ450" s="273"/>
      <c r="BK450" s="273"/>
      <c r="BL450" s="273"/>
      <c r="BM450" s="273"/>
      <c r="BN450" s="273"/>
      <c r="BO450" s="273"/>
      <c r="BP450" s="273"/>
      <c r="BQ450" s="273"/>
      <c r="BR450" s="273"/>
      <c r="BS450" s="273"/>
      <c r="BT450" s="273"/>
      <c r="BU450" s="273"/>
      <c r="BV450" s="273"/>
      <c r="BW450" s="273"/>
      <c r="BX450" s="273"/>
      <c r="BY450" s="273"/>
      <c r="BZ450" s="273"/>
      <c r="CA450" s="273"/>
      <c r="CB450" s="273"/>
      <c r="CC450" s="273"/>
      <c r="CD450" s="273"/>
      <c r="CE450" s="273"/>
      <c r="CF450" s="273"/>
      <c r="CG450" s="273"/>
      <c r="CH450" s="273"/>
      <c r="CI450" s="273"/>
      <c r="CJ450" s="273"/>
      <c r="CK450" s="273"/>
      <c r="CL450" s="273"/>
      <c r="CM450" s="273"/>
      <c r="CN450" s="273"/>
      <c r="CO450" s="273"/>
      <c r="CP450" s="273"/>
      <c r="CQ450" s="273"/>
      <c r="CR450" s="273"/>
      <c r="CS450" s="273"/>
      <c r="CT450" s="273"/>
      <c r="CU450" s="273"/>
      <c r="CV450" s="273"/>
      <c r="CW450" s="273"/>
      <c r="CX450" s="273"/>
      <c r="CY450" s="273"/>
      <c r="CZ450" s="273"/>
      <c r="DA450" s="273"/>
      <c r="DB450" s="273"/>
      <c r="DC450" s="273"/>
      <c r="DD450" s="273"/>
      <c r="DE450" s="273"/>
      <c r="DF450" s="273"/>
      <c r="DG450" s="273"/>
      <c r="DH450" s="273"/>
      <c r="DI450" s="273"/>
      <c r="DJ450" s="273"/>
      <c r="DK450" s="273"/>
      <c r="DL450" s="273"/>
      <c r="DM450" s="273"/>
      <c r="DN450" s="273"/>
      <c r="DO450" s="273"/>
      <c r="DP450" s="273"/>
      <c r="DQ450" s="273"/>
      <c r="DR450" s="273"/>
      <c r="DS450" s="273"/>
      <c r="DT450" s="273"/>
      <c r="DU450" s="273"/>
      <c r="DV450" s="273"/>
      <c r="DW450" s="273"/>
      <c r="DX450" s="273"/>
      <c r="DY450" s="273"/>
      <c r="DZ450" s="273"/>
      <c r="EA450" s="273"/>
      <c r="EB450" s="273"/>
      <c r="EC450" s="273"/>
      <c r="ED450" s="273"/>
      <c r="EE450" s="273"/>
      <c r="EF450" s="273"/>
      <c r="EG450" s="273"/>
      <c r="EH450" s="273"/>
      <c r="EI450" s="273"/>
      <c r="EJ450" s="273"/>
      <c r="EK450" s="273"/>
      <c r="EL450" s="273"/>
      <c r="EM450" s="273"/>
      <c r="EN450" s="273"/>
      <c r="EO450" s="273"/>
      <c r="EP450" s="273"/>
      <c r="EQ450" s="273"/>
      <c r="ER450" s="273"/>
      <c r="ES450" s="273"/>
      <c r="ET450" s="273"/>
      <c r="EU450" s="273"/>
      <c r="EV450" s="273"/>
      <c r="EW450" s="273"/>
      <c r="EX450" s="273"/>
      <c r="EY450" s="273"/>
      <c r="EZ450" s="273"/>
      <c r="FA450" s="273"/>
      <c r="FB450" s="273"/>
      <c r="FC450" s="273"/>
      <c r="FD450" s="273"/>
      <c r="FE450" s="273"/>
      <c r="FF450" s="273"/>
      <c r="FG450" s="273"/>
      <c r="FH450" s="273"/>
      <c r="FI450" s="273"/>
      <c r="FJ450" s="273"/>
      <c r="FK450" s="273"/>
      <c r="FL450" s="273"/>
      <c r="FM450" s="273"/>
      <c r="FN450" s="273"/>
      <c r="FO450" s="273"/>
      <c r="FP450" s="273"/>
      <c r="FQ450" s="273"/>
      <c r="FR450" s="273"/>
      <c r="FS450" s="273"/>
      <c r="FT450" s="273"/>
      <c r="FU450" s="273"/>
      <c r="FV450" s="273"/>
      <c r="FW450" s="273"/>
      <c r="FX450" s="273"/>
      <c r="FY450" s="273"/>
      <c r="FZ450" s="273"/>
      <c r="GA450" s="273"/>
      <c r="GB450" s="273"/>
      <c r="GC450" s="273"/>
      <c r="GD450" s="273"/>
      <c r="GE450" s="273"/>
      <c r="GF450" s="273"/>
      <c r="GG450" s="273"/>
      <c r="GH450" s="273"/>
      <c r="GI450" s="273"/>
      <c r="GJ450" s="273"/>
      <c r="GK450" s="273"/>
      <c r="GL450" s="273"/>
      <c r="GM450" s="273"/>
      <c r="GN450" s="273"/>
      <c r="GO450" s="273"/>
      <c r="GP450" s="273"/>
      <c r="GQ450" s="273"/>
      <c r="GR450" s="273"/>
      <c r="GS450" s="273"/>
      <c r="GT450" s="273"/>
      <c r="GU450" s="273"/>
      <c r="GV450" s="273"/>
      <c r="GW450" s="273"/>
      <c r="GX450" s="273"/>
      <c r="GY450" s="273"/>
      <c r="GZ450" s="273"/>
      <c r="HA450" s="273"/>
      <c r="HB450" s="273"/>
      <c r="HC450" s="273"/>
      <c r="HD450" s="273"/>
      <c r="HE450" s="273"/>
      <c r="HF450" s="273"/>
      <c r="HG450" s="273"/>
      <c r="HH450" s="273"/>
      <c r="HI450" s="273"/>
      <c r="HJ450" s="273"/>
      <c r="HK450" s="273"/>
      <c r="HL450" s="273"/>
      <c r="HM450" s="273"/>
      <c r="HN450" s="273"/>
      <c r="HO450" s="273"/>
      <c r="HP450" s="273"/>
      <c r="HQ450" s="273"/>
      <c r="HR450" s="273"/>
      <c r="HS450" s="273"/>
      <c r="HT450" s="273"/>
      <c r="HU450" s="273"/>
      <c r="HV450" s="273"/>
      <c r="HW450" s="273"/>
      <c r="HX450" s="273"/>
      <c r="HY450" s="273"/>
      <c r="HZ450" s="273"/>
      <c r="IA450" s="273"/>
      <c r="IB450" s="273"/>
      <c r="IC450" s="273"/>
      <c r="ID450" s="273"/>
      <c r="IE450" s="273"/>
      <c r="IF450" s="273"/>
      <c r="IG450" s="273"/>
      <c r="IH450" s="273"/>
      <c r="II450" s="273"/>
      <c r="IJ450" s="273"/>
      <c r="IK450" s="273"/>
      <c r="IL450" s="273"/>
      <c r="IM450" s="273"/>
      <c r="IN450" s="273"/>
      <c r="IO450" s="273"/>
      <c r="IP450" s="273"/>
      <c r="IQ450" s="273"/>
      <c r="IR450" s="273"/>
      <c r="IS450" s="273"/>
      <c r="IT450" s="273"/>
      <c r="IU450" s="273"/>
      <c r="IV450" s="273"/>
      <c r="IW450" s="273"/>
      <c r="IX450" s="273"/>
      <c r="IY450" s="273"/>
      <c r="IZ450" s="273"/>
      <c r="JA450" s="273"/>
      <c r="JB450" s="273"/>
      <c r="JC450" s="273"/>
      <c r="JD450" s="273"/>
      <c r="JE450" s="273"/>
      <c r="JF450" s="273"/>
      <c r="JG450" s="273"/>
      <c r="JH450" s="273"/>
      <c r="JI450" s="273"/>
      <c r="JJ450" s="273"/>
      <c r="JK450" s="273"/>
      <c r="JL450" s="273"/>
      <c r="JM450" s="273"/>
      <c r="JN450" s="273"/>
      <c r="JO450" s="273"/>
      <c r="JP450" s="273"/>
      <c r="JQ450" s="273"/>
      <c r="JR450" s="273"/>
      <c r="JS450" s="273"/>
      <c r="JT450" s="273"/>
      <c r="JU450" s="273"/>
      <c r="JV450" s="273"/>
      <c r="JW450" s="273"/>
      <c r="JX450" s="273"/>
      <c r="JY450" s="273"/>
      <c r="JZ450" s="273"/>
      <c r="KA450" s="273"/>
      <c r="KB450" s="273"/>
      <c r="KC450" s="273"/>
      <c r="KD450" s="273"/>
      <c r="KE450" s="273"/>
      <c r="KF450" s="273"/>
      <c r="KG450" s="273"/>
      <c r="KH450" s="273"/>
      <c r="KI450" s="273"/>
      <c r="KJ450" s="273"/>
      <c r="KK450" s="273"/>
      <c r="KL450" s="273"/>
      <c r="KM450" s="273"/>
      <c r="KN450" s="273"/>
      <c r="KO450" s="273"/>
      <c r="KP450" s="273"/>
      <c r="KQ450" s="273"/>
      <c r="KR450" s="273"/>
      <c r="KS450" s="273"/>
      <c r="KT450" s="273"/>
      <c r="KU450" s="273"/>
      <c r="KV450" s="273"/>
      <c r="KW450" s="273"/>
      <c r="KX450" s="273"/>
      <c r="KY450" s="273"/>
      <c r="KZ450" s="273"/>
      <c r="LA450" s="273"/>
      <c r="LB450" s="273"/>
      <c r="LC450" s="273"/>
      <c r="LD450" s="273"/>
      <c r="LE450" s="273"/>
      <c r="LF450" s="273"/>
      <c r="LG450" s="273"/>
      <c r="LH450" s="273"/>
      <c r="LI450" s="273"/>
      <c r="LJ450" s="273"/>
      <c r="LK450" s="273"/>
      <c r="LL450" s="273"/>
      <c r="LM450" s="273"/>
      <c r="LN450" s="273"/>
      <c r="LO450" s="273"/>
      <c r="LP450" s="273"/>
      <c r="LQ450" s="273"/>
      <c r="LR450" s="273"/>
      <c r="LS450" s="273"/>
      <c r="LT450" s="273"/>
      <c r="LU450" s="273"/>
      <c r="LV450" s="273"/>
      <c r="LW450" s="273"/>
      <c r="LX450" s="273"/>
      <c r="LY450" s="273"/>
      <c r="LZ450" s="273"/>
      <c r="MA450" s="273"/>
      <c r="MB450" s="273"/>
      <c r="MC450" s="273"/>
      <c r="MD450" s="273"/>
      <c r="ME450" s="273"/>
      <c r="MF450" s="273"/>
      <c r="MG450" s="273"/>
      <c r="MH450" s="273"/>
      <c r="MI450" s="273"/>
      <c r="MJ450" s="273"/>
      <c r="MK450" s="273"/>
      <c r="ML450" s="273"/>
      <c r="MM450" s="273"/>
      <c r="MN450" s="273"/>
      <c r="MO450" s="273"/>
      <c r="MP450" s="273"/>
      <c r="MQ450" s="273"/>
      <c r="MR450" s="273"/>
      <c r="MS450" s="273"/>
      <c r="MT450" s="273"/>
      <c r="MU450" s="273"/>
      <c r="MV450" s="273"/>
      <c r="MW450" s="273"/>
      <c r="MX450" s="273"/>
      <c r="MY450" s="273"/>
      <c r="MZ450" s="273"/>
      <c r="NA450" s="273"/>
      <c r="NB450" s="273"/>
      <c r="NC450" s="273"/>
      <c r="ND450" s="273"/>
      <c r="NE450" s="273"/>
      <c r="NF450" s="273"/>
      <c r="NG450" s="273"/>
      <c r="NH450" s="273"/>
      <c r="NI450" s="273"/>
      <c r="NJ450" s="273"/>
      <c r="NK450" s="273"/>
      <c r="NL450" s="273"/>
      <c r="NM450" s="273"/>
      <c r="NN450" s="273"/>
      <c r="NO450" s="273"/>
      <c r="NP450" s="273"/>
      <c r="NQ450" s="273"/>
      <c r="NR450" s="273"/>
      <c r="NS450" s="273"/>
      <c r="NT450" s="273"/>
      <c r="NU450" s="273"/>
      <c r="NV450" s="273"/>
      <c r="NW450" s="273"/>
      <c r="NX450" s="273"/>
      <c r="NY450" s="273"/>
      <c r="NZ450" s="273"/>
      <c r="OA450" s="273"/>
      <c r="OB450" s="273"/>
      <c r="OC450" s="273"/>
      <c r="OD450" s="273"/>
      <c r="OE450" s="273"/>
      <c r="OF450" s="273"/>
      <c r="OG450" s="273"/>
      <c r="OH450" s="273"/>
      <c r="OI450" s="273"/>
      <c r="OJ450" s="273"/>
      <c r="OK450" s="273"/>
      <c r="OL450" s="273"/>
      <c r="OM450" s="273"/>
      <c r="ON450" s="273"/>
      <c r="OO450" s="273"/>
      <c r="OP450" s="273"/>
      <c r="OQ450" s="273"/>
      <c r="OR450" s="273"/>
      <c r="OS450" s="273"/>
      <c r="OT450" s="273"/>
      <c r="OU450" s="273"/>
      <c r="OV450" s="273"/>
      <c r="OW450" s="273"/>
      <c r="OX450" s="273"/>
      <c r="OY450" s="273"/>
      <c r="OZ450" s="273"/>
      <c r="PA450" s="273"/>
      <c r="PB450" s="273"/>
      <c r="PC450" s="273"/>
      <c r="PD450" s="273"/>
      <c r="PE450" s="273"/>
      <c r="PF450" s="273"/>
      <c r="PG450" s="273"/>
      <c r="PH450" s="273"/>
      <c r="PI450" s="273"/>
      <c r="PJ450" s="273"/>
      <c r="PK450" s="273"/>
      <c r="PL450" s="273"/>
      <c r="PM450" s="273"/>
      <c r="PN450" s="273"/>
      <c r="PO450" s="273"/>
      <c r="PP450" s="273"/>
      <c r="PQ450" s="273"/>
      <c r="PR450" s="273"/>
      <c r="PS450" s="273"/>
      <c r="PT450" s="273"/>
      <c r="PU450" s="273"/>
      <c r="PV450" s="273"/>
      <c r="PW450" s="273"/>
      <c r="PX450" s="273"/>
      <c r="PY450" s="273"/>
      <c r="PZ450" s="273"/>
      <c r="QA450" s="273"/>
      <c r="QB450" s="273"/>
      <c r="QC450" s="273"/>
      <c r="QD450" s="273"/>
      <c r="QE450" s="273"/>
      <c r="QF450" s="273"/>
      <c r="QG450" s="273"/>
      <c r="QH450" s="273"/>
      <c r="QI450" s="273"/>
      <c r="QJ450" s="273"/>
      <c r="QK450" s="273"/>
      <c r="QL450" s="273"/>
      <c r="QM450" s="273"/>
      <c r="QN450" s="273"/>
      <c r="QO450" s="273"/>
      <c r="QP450" s="273"/>
      <c r="QQ450" s="273"/>
      <c r="QR450" s="273"/>
      <c r="QS450" s="273"/>
      <c r="QT450" s="273"/>
      <c r="QU450" s="273"/>
      <c r="QV450" s="273"/>
      <c r="QW450" s="273"/>
      <c r="QX450" s="273"/>
      <c r="QY450" s="273"/>
      <c r="QZ450" s="273"/>
      <c r="RA450" s="273"/>
      <c r="RB450" s="273"/>
      <c r="RC450" s="273"/>
      <c r="RD450" s="273"/>
      <c r="RE450" s="273"/>
      <c r="RF450" s="273"/>
      <c r="RG450" s="273"/>
      <c r="RH450" s="273"/>
      <c r="RI450" s="273"/>
      <c r="RJ450" s="273"/>
      <c r="RK450" s="273"/>
      <c r="RL450" s="273"/>
      <c r="RM450" s="273"/>
      <c r="RN450" s="273"/>
      <c r="RO450" s="273"/>
      <c r="RP450" s="273"/>
      <c r="RQ450" s="273"/>
    </row>
    <row r="451" spans="1:485" s="454" customFormat="1" ht="15.65" customHeight="1" x14ac:dyDescent="0.25">
      <c r="A451" s="2996"/>
      <c r="B451" s="711" t="s">
        <v>573</v>
      </c>
      <c r="C451" s="711"/>
      <c r="D451" s="897"/>
      <c r="E451" s="712"/>
      <c r="F451" s="712"/>
      <c r="G451" s="712"/>
      <c r="H451" s="1123">
        <f>SUM(H446:H450)</f>
        <v>2483.75</v>
      </c>
      <c r="I451" s="716"/>
      <c r="J451" s="1077"/>
      <c r="K451" s="1077"/>
      <c r="L451" s="1077"/>
      <c r="M451" s="2870">
        <f>SUM(M446:M450)</f>
        <v>6416.25</v>
      </c>
      <c r="N451" s="716"/>
      <c r="O451" s="1123">
        <f>SUM(O446:O450)</f>
        <v>8900</v>
      </c>
      <c r="P451" s="1076"/>
      <c r="Q451" s="713">
        <f>SUM(Q446:Q450)</f>
        <v>8900</v>
      </c>
      <c r="R451" s="1125"/>
      <c r="S451" s="1672">
        <f>SUM(S446:S450)</f>
        <v>3517.75</v>
      </c>
      <c r="T451" s="1126">
        <f>S451/O451</f>
        <v>0.39525280898876403</v>
      </c>
      <c r="U451" s="715"/>
      <c r="V451" s="600">
        <f>W451/Q451</f>
        <v>0.39525280898876403</v>
      </c>
      <c r="W451" s="1127">
        <f>SUM(W446:W450)</f>
        <v>3517.75</v>
      </c>
      <c r="X451" s="600"/>
      <c r="Y451" s="670"/>
      <c r="Z451" s="670"/>
      <c r="AA451" s="670"/>
      <c r="AB451" s="670"/>
      <c r="AC451" s="670"/>
      <c r="AD451" s="670"/>
      <c r="AE451" s="670"/>
      <c r="AF451" s="670"/>
      <c r="AG451" s="670"/>
      <c r="AH451" s="670"/>
      <c r="AI451" s="670"/>
      <c r="AJ451" s="670"/>
      <c r="AK451" s="670"/>
      <c r="AL451" s="670"/>
      <c r="AM451" s="670"/>
      <c r="AN451" s="670"/>
      <c r="AO451" s="670"/>
      <c r="AP451" s="670"/>
      <c r="AQ451" s="670"/>
    </row>
    <row r="452" spans="1:485" s="450" customFormat="1" ht="39" x14ac:dyDescent="0.25">
      <c r="A452" s="3026" t="s">
        <v>1350</v>
      </c>
      <c r="B452" s="595" t="s">
        <v>1001</v>
      </c>
      <c r="C452" s="266" t="s">
        <v>48</v>
      </c>
      <c r="D452" s="467" t="s">
        <v>955</v>
      </c>
      <c r="E452" s="468">
        <v>8</v>
      </c>
      <c r="F452" s="468">
        <v>7.5</v>
      </c>
      <c r="G452" s="467">
        <v>8</v>
      </c>
      <c r="H452" s="451">
        <f t="shared" ref="H452:H468" si="212">E452*F452*G452</f>
        <v>480</v>
      </c>
      <c r="I452" s="675">
        <v>0.75</v>
      </c>
      <c r="J452" s="451">
        <v>8</v>
      </c>
      <c r="K452" s="451">
        <v>40</v>
      </c>
      <c r="L452" s="451">
        <v>10</v>
      </c>
      <c r="M452" s="1834">
        <f>J452*K452*L452</f>
        <v>3200</v>
      </c>
      <c r="N452" s="697">
        <v>0.75</v>
      </c>
      <c r="O452" s="696">
        <f t="shared" ref="O452:O477" si="213">+H452+M452</f>
        <v>3680</v>
      </c>
      <c r="P452" s="675">
        <v>0.75</v>
      </c>
      <c r="Q452" s="451">
        <f t="shared" si="203"/>
        <v>2760</v>
      </c>
      <c r="R452" s="522" t="s">
        <v>1002</v>
      </c>
      <c r="S452" s="452">
        <f>COOPI!S44</f>
        <v>1268</v>
      </c>
      <c r="T452" s="591">
        <f>S452/O452</f>
        <v>0.34456521739130436</v>
      </c>
      <c r="U452" s="894" t="s">
        <v>606</v>
      </c>
      <c r="V452" s="591">
        <f>W452/Q452</f>
        <v>0.34456521739130436</v>
      </c>
      <c r="W452" s="452">
        <f>P452*S452</f>
        <v>951</v>
      </c>
      <c r="X452" s="452" t="s">
        <v>606</v>
      </c>
      <c r="Y452" s="273"/>
      <c r="Z452" s="273"/>
      <c r="AA452" s="273"/>
      <c r="AB452" s="273"/>
      <c r="AC452" s="273"/>
      <c r="AD452" s="273"/>
      <c r="AE452" s="273"/>
      <c r="AF452" s="273"/>
      <c r="AG452" s="273"/>
      <c r="AH452" s="273"/>
      <c r="AI452" s="273"/>
      <c r="AJ452" s="273"/>
      <c r="AK452" s="273"/>
      <c r="AL452" s="273"/>
      <c r="AM452" s="273"/>
      <c r="AN452" s="273"/>
      <c r="AO452" s="273"/>
      <c r="AP452" s="273"/>
      <c r="AQ452" s="273"/>
      <c r="AR452" s="273"/>
      <c r="AS452" s="273"/>
      <c r="AT452" s="273"/>
      <c r="AU452" s="273"/>
      <c r="AV452" s="273"/>
      <c r="AW452" s="273"/>
      <c r="AX452" s="273"/>
      <c r="AY452" s="273"/>
      <c r="AZ452" s="273"/>
      <c r="BA452" s="273"/>
      <c r="BB452" s="273"/>
      <c r="BC452" s="273"/>
      <c r="BD452" s="273"/>
      <c r="BE452" s="273"/>
      <c r="BF452" s="273"/>
      <c r="BG452" s="273"/>
      <c r="BH452" s="273"/>
      <c r="BI452" s="273"/>
      <c r="BJ452" s="273"/>
      <c r="BK452" s="273"/>
      <c r="BL452" s="273"/>
      <c r="BM452" s="273"/>
      <c r="BN452" s="273"/>
      <c r="BO452" s="273"/>
      <c r="BP452" s="273"/>
      <c r="BQ452" s="273"/>
      <c r="BR452" s="273"/>
      <c r="BS452" s="273"/>
      <c r="BT452" s="273"/>
      <c r="BU452" s="273"/>
      <c r="BV452" s="273"/>
      <c r="BW452" s="273"/>
      <c r="BX452" s="273"/>
      <c r="BY452" s="273"/>
      <c r="BZ452" s="273"/>
      <c r="CA452" s="273"/>
      <c r="CB452" s="273"/>
      <c r="CC452" s="273"/>
      <c r="CD452" s="273"/>
      <c r="CE452" s="273"/>
      <c r="CF452" s="273"/>
      <c r="CG452" s="273"/>
      <c r="CH452" s="273"/>
      <c r="CI452" s="273"/>
      <c r="CJ452" s="273"/>
      <c r="CK452" s="273"/>
      <c r="CL452" s="273"/>
      <c r="CM452" s="273"/>
      <c r="CN452" s="273"/>
      <c r="CO452" s="273"/>
      <c r="CP452" s="273"/>
      <c r="CQ452" s="273"/>
      <c r="CR452" s="273"/>
      <c r="CS452" s="273"/>
      <c r="CT452" s="273"/>
      <c r="CU452" s="273"/>
      <c r="CV452" s="273"/>
      <c r="CW452" s="273"/>
      <c r="CX452" s="273"/>
      <c r="CY452" s="273"/>
      <c r="CZ452" s="273"/>
      <c r="DA452" s="273"/>
      <c r="DB452" s="273"/>
      <c r="DC452" s="273"/>
      <c r="DD452" s="273"/>
      <c r="DE452" s="273"/>
      <c r="DF452" s="273"/>
      <c r="DG452" s="273"/>
      <c r="DH452" s="273"/>
      <c r="DI452" s="273"/>
      <c r="DJ452" s="273"/>
      <c r="DK452" s="273"/>
      <c r="DL452" s="273"/>
      <c r="DM452" s="273"/>
      <c r="DN452" s="273"/>
      <c r="DO452" s="273"/>
      <c r="DP452" s="273"/>
      <c r="DQ452" s="273"/>
      <c r="DR452" s="273"/>
      <c r="DS452" s="273"/>
      <c r="DT452" s="273"/>
      <c r="DU452" s="273"/>
      <c r="DV452" s="273"/>
      <c r="DW452" s="273"/>
      <c r="DX452" s="273"/>
      <c r="DY452" s="273"/>
      <c r="DZ452" s="273"/>
      <c r="EA452" s="273"/>
      <c r="EB452" s="273"/>
      <c r="EC452" s="273"/>
      <c r="ED452" s="273"/>
      <c r="EE452" s="273"/>
      <c r="EF452" s="273"/>
      <c r="EG452" s="273"/>
      <c r="EH452" s="273"/>
      <c r="EI452" s="273"/>
      <c r="EJ452" s="273"/>
      <c r="EK452" s="273"/>
      <c r="EL452" s="273"/>
      <c r="EM452" s="273"/>
      <c r="EN452" s="273"/>
      <c r="EO452" s="273"/>
      <c r="EP452" s="273"/>
      <c r="EQ452" s="273"/>
      <c r="ER452" s="273"/>
      <c r="ES452" s="273"/>
      <c r="ET452" s="273"/>
      <c r="EU452" s="273"/>
      <c r="EV452" s="273"/>
      <c r="EW452" s="273"/>
      <c r="EX452" s="273"/>
      <c r="EY452" s="273"/>
      <c r="EZ452" s="273"/>
      <c r="FA452" s="273"/>
      <c r="FB452" s="273"/>
      <c r="FC452" s="273"/>
      <c r="FD452" s="273"/>
      <c r="FE452" s="273"/>
      <c r="FF452" s="273"/>
      <c r="FG452" s="273"/>
      <c r="FH452" s="273"/>
      <c r="FI452" s="273"/>
      <c r="FJ452" s="273"/>
      <c r="FK452" s="273"/>
      <c r="FL452" s="273"/>
      <c r="FM452" s="273"/>
      <c r="FN452" s="273"/>
      <c r="FO452" s="273"/>
      <c r="FP452" s="273"/>
      <c r="FQ452" s="273"/>
      <c r="FR452" s="273"/>
      <c r="FS452" s="273"/>
      <c r="FT452" s="273"/>
      <c r="FU452" s="273"/>
      <c r="FV452" s="273"/>
      <c r="FW452" s="273"/>
      <c r="FX452" s="273"/>
      <c r="FY452" s="273"/>
      <c r="FZ452" s="273"/>
      <c r="GA452" s="273"/>
      <c r="GB452" s="273"/>
      <c r="GC452" s="273"/>
      <c r="GD452" s="273"/>
      <c r="GE452" s="273"/>
      <c r="GF452" s="273"/>
      <c r="GG452" s="273"/>
      <c r="GH452" s="273"/>
      <c r="GI452" s="273"/>
      <c r="GJ452" s="273"/>
      <c r="GK452" s="273"/>
      <c r="GL452" s="273"/>
      <c r="GM452" s="273"/>
      <c r="GN452" s="273"/>
      <c r="GO452" s="273"/>
      <c r="GP452" s="273"/>
      <c r="GQ452" s="273"/>
      <c r="GR452" s="273"/>
      <c r="GS452" s="273"/>
      <c r="GT452" s="273"/>
      <c r="GU452" s="273"/>
      <c r="GV452" s="273"/>
      <c r="GW452" s="273"/>
      <c r="GX452" s="273"/>
      <c r="GY452" s="273"/>
      <c r="GZ452" s="273"/>
      <c r="HA452" s="273"/>
      <c r="HB452" s="273"/>
      <c r="HC452" s="273"/>
      <c r="HD452" s="273"/>
      <c r="HE452" s="273"/>
      <c r="HF452" s="273"/>
      <c r="HG452" s="273"/>
      <c r="HH452" s="273"/>
      <c r="HI452" s="273"/>
      <c r="HJ452" s="273"/>
      <c r="HK452" s="273"/>
      <c r="HL452" s="273"/>
      <c r="HM452" s="273"/>
      <c r="HN452" s="273"/>
      <c r="HO452" s="273"/>
      <c r="HP452" s="273"/>
      <c r="HQ452" s="273"/>
      <c r="HR452" s="273"/>
      <c r="HS452" s="273"/>
      <c r="HT452" s="273"/>
      <c r="HU452" s="273"/>
      <c r="HV452" s="273"/>
      <c r="HW452" s="273"/>
      <c r="HX452" s="273"/>
      <c r="HY452" s="273"/>
      <c r="HZ452" s="273"/>
      <c r="IA452" s="273"/>
      <c r="IB452" s="273"/>
      <c r="IC452" s="273"/>
      <c r="ID452" s="273"/>
      <c r="IE452" s="273"/>
      <c r="IF452" s="273"/>
      <c r="IG452" s="273"/>
      <c r="IH452" s="273"/>
      <c r="II452" s="273"/>
      <c r="IJ452" s="273"/>
      <c r="IK452" s="273"/>
      <c r="IL452" s="273"/>
      <c r="IM452" s="273"/>
      <c r="IN452" s="273"/>
      <c r="IO452" s="273"/>
      <c r="IP452" s="273"/>
      <c r="IQ452" s="273"/>
      <c r="IR452" s="273"/>
      <c r="IS452" s="273"/>
      <c r="IT452" s="273"/>
      <c r="IU452" s="273"/>
      <c r="IV452" s="273"/>
      <c r="IW452" s="273"/>
      <c r="IX452" s="273"/>
      <c r="IY452" s="273"/>
      <c r="IZ452" s="273"/>
      <c r="JA452" s="273"/>
      <c r="JB452" s="273"/>
      <c r="JC452" s="273"/>
      <c r="JD452" s="273"/>
      <c r="JE452" s="273"/>
      <c r="JF452" s="273"/>
      <c r="JG452" s="273"/>
      <c r="JH452" s="273"/>
      <c r="JI452" s="273"/>
      <c r="JJ452" s="273"/>
      <c r="JK452" s="273"/>
      <c r="JL452" s="273"/>
      <c r="JM452" s="273"/>
      <c r="JN452" s="273"/>
      <c r="JO452" s="273"/>
      <c r="JP452" s="273"/>
      <c r="JQ452" s="273"/>
      <c r="JR452" s="273"/>
      <c r="JS452" s="273"/>
      <c r="JT452" s="273"/>
      <c r="JU452" s="273"/>
      <c r="JV452" s="273"/>
      <c r="JW452" s="273"/>
      <c r="JX452" s="273"/>
      <c r="JY452" s="273"/>
      <c r="JZ452" s="273"/>
      <c r="KA452" s="273"/>
      <c r="KB452" s="273"/>
      <c r="KC452" s="273"/>
      <c r="KD452" s="273"/>
      <c r="KE452" s="273"/>
      <c r="KF452" s="273"/>
      <c r="KG452" s="273"/>
      <c r="KH452" s="273"/>
      <c r="KI452" s="273"/>
      <c r="KJ452" s="273"/>
      <c r="KK452" s="273"/>
      <c r="KL452" s="273"/>
      <c r="KM452" s="273"/>
      <c r="KN452" s="273"/>
      <c r="KO452" s="273"/>
      <c r="KP452" s="273"/>
      <c r="KQ452" s="273"/>
      <c r="KR452" s="273"/>
      <c r="KS452" s="273"/>
      <c r="KT452" s="273"/>
      <c r="KU452" s="273"/>
      <c r="KV452" s="273"/>
      <c r="KW452" s="273"/>
      <c r="KX452" s="273"/>
      <c r="KY452" s="273"/>
      <c r="KZ452" s="273"/>
      <c r="LA452" s="273"/>
      <c r="LB452" s="273"/>
      <c r="LC452" s="273"/>
      <c r="LD452" s="273"/>
      <c r="LE452" s="273"/>
      <c r="LF452" s="273"/>
      <c r="LG452" s="273"/>
      <c r="LH452" s="273"/>
      <c r="LI452" s="273"/>
      <c r="LJ452" s="273"/>
      <c r="LK452" s="273"/>
      <c r="LL452" s="273"/>
      <c r="LM452" s="273"/>
      <c r="LN452" s="273"/>
      <c r="LO452" s="273"/>
      <c r="LP452" s="273"/>
      <c r="LQ452" s="273"/>
      <c r="LR452" s="273"/>
      <c r="LS452" s="273"/>
      <c r="LT452" s="273"/>
      <c r="LU452" s="273"/>
      <c r="LV452" s="273"/>
      <c r="LW452" s="273"/>
      <c r="LX452" s="273"/>
      <c r="LY452" s="273"/>
      <c r="LZ452" s="273"/>
      <c r="MA452" s="273"/>
      <c r="MB452" s="273"/>
      <c r="MC452" s="273"/>
      <c r="MD452" s="273"/>
      <c r="ME452" s="273"/>
      <c r="MF452" s="273"/>
      <c r="MG452" s="273"/>
      <c r="MH452" s="273"/>
      <c r="MI452" s="273"/>
      <c r="MJ452" s="273"/>
      <c r="MK452" s="273"/>
      <c r="ML452" s="273"/>
      <c r="MM452" s="273"/>
      <c r="MN452" s="273"/>
      <c r="MO452" s="273"/>
      <c r="MP452" s="273"/>
      <c r="MQ452" s="273"/>
      <c r="MR452" s="273"/>
      <c r="MS452" s="273"/>
      <c r="MT452" s="273"/>
      <c r="MU452" s="273"/>
      <c r="MV452" s="273"/>
      <c r="MW452" s="273"/>
      <c r="MX452" s="273"/>
      <c r="MY452" s="273"/>
      <c r="MZ452" s="273"/>
      <c r="NA452" s="273"/>
      <c r="NB452" s="273"/>
      <c r="NC452" s="273"/>
      <c r="ND452" s="273"/>
      <c r="NE452" s="273"/>
      <c r="NF452" s="273"/>
      <c r="NG452" s="273"/>
      <c r="NH452" s="273"/>
      <c r="NI452" s="273"/>
      <c r="NJ452" s="273"/>
      <c r="NK452" s="273"/>
      <c r="NL452" s="273"/>
      <c r="NM452" s="273"/>
      <c r="NN452" s="273"/>
      <c r="NO452" s="273"/>
      <c r="NP452" s="273"/>
      <c r="NQ452" s="273"/>
      <c r="NR452" s="273"/>
      <c r="NS452" s="273"/>
      <c r="NT452" s="273"/>
      <c r="NU452" s="273"/>
      <c r="NV452" s="273"/>
      <c r="NW452" s="273"/>
      <c r="NX452" s="273"/>
      <c r="NY452" s="273"/>
      <c r="NZ452" s="273"/>
      <c r="OA452" s="273"/>
      <c r="OB452" s="273"/>
      <c r="OC452" s="273"/>
      <c r="OD452" s="273"/>
      <c r="OE452" s="273"/>
      <c r="OF452" s="273"/>
      <c r="OG452" s="273"/>
      <c r="OH452" s="273"/>
      <c r="OI452" s="273"/>
      <c r="OJ452" s="273"/>
      <c r="OK452" s="273"/>
      <c r="OL452" s="273"/>
      <c r="OM452" s="273"/>
      <c r="ON452" s="273"/>
      <c r="OO452" s="273"/>
      <c r="OP452" s="273"/>
      <c r="OQ452" s="273"/>
      <c r="OR452" s="273"/>
      <c r="OS452" s="273"/>
      <c r="OT452" s="273"/>
      <c r="OU452" s="273"/>
      <c r="OV452" s="273"/>
      <c r="OW452" s="273"/>
      <c r="OX452" s="273"/>
      <c r="OY452" s="273"/>
      <c r="OZ452" s="273"/>
      <c r="PA452" s="273"/>
      <c r="PB452" s="273"/>
      <c r="PC452" s="273"/>
      <c r="PD452" s="273"/>
      <c r="PE452" s="273"/>
      <c r="PF452" s="273"/>
      <c r="PG452" s="273"/>
      <c r="PH452" s="273"/>
      <c r="PI452" s="273"/>
      <c r="PJ452" s="273"/>
      <c r="PK452" s="273"/>
      <c r="PL452" s="273"/>
      <c r="PM452" s="273"/>
      <c r="PN452" s="273"/>
      <c r="PO452" s="273"/>
      <c r="PP452" s="273"/>
      <c r="PQ452" s="273"/>
      <c r="PR452" s="273"/>
      <c r="PS452" s="273"/>
      <c r="PT452" s="273"/>
      <c r="PU452" s="273"/>
      <c r="PV452" s="273"/>
      <c r="PW452" s="273"/>
      <c r="PX452" s="273"/>
      <c r="PY452" s="273"/>
      <c r="PZ452" s="273"/>
      <c r="QA452" s="273"/>
      <c r="QB452" s="273"/>
      <c r="QC452" s="273"/>
      <c r="QD452" s="273"/>
      <c r="QE452" s="273"/>
      <c r="QF452" s="273"/>
      <c r="QG452" s="273"/>
      <c r="QH452" s="273"/>
      <c r="QI452" s="273"/>
      <c r="QJ452" s="273"/>
      <c r="QK452" s="273"/>
      <c r="QL452" s="273"/>
      <c r="QM452" s="273"/>
      <c r="QN452" s="273"/>
      <c r="QO452" s="273"/>
      <c r="QP452" s="273"/>
      <c r="QQ452" s="273"/>
      <c r="QR452" s="273"/>
      <c r="QS452" s="273"/>
      <c r="QT452" s="273"/>
      <c r="QU452" s="273"/>
      <c r="QV452" s="273"/>
      <c r="QW452" s="273"/>
      <c r="QX452" s="273"/>
      <c r="QY452" s="273"/>
      <c r="QZ452" s="273"/>
      <c r="RA452" s="273"/>
      <c r="RB452" s="273"/>
      <c r="RC452" s="273"/>
      <c r="RD452" s="273"/>
      <c r="RE452" s="273"/>
      <c r="RF452" s="273"/>
      <c r="RG452" s="273"/>
      <c r="RH452" s="273"/>
      <c r="RI452" s="273"/>
      <c r="RJ452" s="273"/>
      <c r="RK452" s="273"/>
      <c r="RL452" s="273"/>
      <c r="RM452" s="273"/>
      <c r="RN452" s="273"/>
      <c r="RO452" s="273"/>
      <c r="RP452" s="273"/>
      <c r="RQ452" s="273"/>
    </row>
    <row r="453" spans="1:485" s="450" customFormat="1" ht="52" x14ac:dyDescent="0.25">
      <c r="A453" s="3027"/>
      <c r="B453" s="595" t="s">
        <v>1003</v>
      </c>
      <c r="C453" s="266" t="s">
        <v>15</v>
      </c>
      <c r="D453" s="467" t="s">
        <v>955</v>
      </c>
      <c r="E453" s="468">
        <v>1</v>
      </c>
      <c r="F453" s="468">
        <v>1681</v>
      </c>
      <c r="G453" s="467">
        <v>1</v>
      </c>
      <c r="H453" s="451">
        <f t="shared" si="212"/>
        <v>1681</v>
      </c>
      <c r="I453" s="675">
        <v>1</v>
      </c>
      <c r="J453" s="451">
        <v>1</v>
      </c>
      <c r="K453" s="451">
        <v>2000</v>
      </c>
      <c r="L453" s="451">
        <v>1</v>
      </c>
      <c r="M453" s="1834">
        <f t="shared" ref="M453:M477" si="214">J453*K453*L453</f>
        <v>2000</v>
      </c>
      <c r="N453" s="697">
        <v>1</v>
      </c>
      <c r="O453" s="696">
        <f t="shared" si="213"/>
        <v>3681</v>
      </c>
      <c r="P453" s="675">
        <v>1</v>
      </c>
      <c r="Q453" s="451">
        <f t="shared" si="203"/>
        <v>3681</v>
      </c>
      <c r="R453" s="522" t="s">
        <v>1004</v>
      </c>
      <c r="S453" s="452">
        <f>COOPI!S45</f>
        <v>5062</v>
      </c>
      <c r="T453" s="591">
        <f t="shared" ref="T453:T468" si="215">S453/O453</f>
        <v>1.3751697908177125</v>
      </c>
      <c r="U453" s="894" t="s">
        <v>606</v>
      </c>
      <c r="V453" s="591">
        <f t="shared" ref="V453:V468" si="216">W453/Q453</f>
        <v>1.3751697908177125</v>
      </c>
      <c r="W453" s="452">
        <f t="shared" ref="W453:W468" si="217">P453*S453</f>
        <v>5062</v>
      </c>
      <c r="X453" s="452" t="s">
        <v>606</v>
      </c>
      <c r="Y453" s="273"/>
      <c r="Z453" s="273"/>
      <c r="AA453" s="273"/>
      <c r="AB453" s="273"/>
      <c r="AC453" s="273"/>
      <c r="AD453" s="273"/>
      <c r="AE453" s="273"/>
      <c r="AF453" s="273"/>
      <c r="AG453" s="273"/>
      <c r="AH453" s="273"/>
      <c r="AI453" s="273"/>
      <c r="AJ453" s="273"/>
      <c r="AK453" s="273"/>
      <c r="AL453" s="273"/>
      <c r="AM453" s="273"/>
      <c r="AN453" s="273"/>
      <c r="AO453" s="273"/>
      <c r="AP453" s="273"/>
      <c r="AQ453" s="273"/>
      <c r="AR453" s="273"/>
      <c r="AS453" s="273"/>
      <c r="AT453" s="273"/>
      <c r="AU453" s="273"/>
      <c r="AV453" s="273"/>
      <c r="AW453" s="273"/>
      <c r="AX453" s="273"/>
      <c r="AY453" s="273"/>
      <c r="AZ453" s="273"/>
      <c r="BA453" s="273"/>
      <c r="BB453" s="273"/>
      <c r="BC453" s="273"/>
      <c r="BD453" s="273"/>
      <c r="BE453" s="273"/>
      <c r="BF453" s="273"/>
      <c r="BG453" s="273"/>
      <c r="BH453" s="273"/>
      <c r="BI453" s="273"/>
      <c r="BJ453" s="273"/>
      <c r="BK453" s="273"/>
      <c r="BL453" s="273"/>
      <c r="BM453" s="273"/>
      <c r="BN453" s="273"/>
      <c r="BO453" s="273"/>
      <c r="BP453" s="273"/>
      <c r="BQ453" s="273"/>
      <c r="BR453" s="273"/>
      <c r="BS453" s="273"/>
      <c r="BT453" s="273"/>
      <c r="BU453" s="273"/>
      <c r="BV453" s="273"/>
      <c r="BW453" s="273"/>
      <c r="BX453" s="273"/>
      <c r="BY453" s="273"/>
      <c r="BZ453" s="273"/>
      <c r="CA453" s="273"/>
      <c r="CB453" s="273"/>
      <c r="CC453" s="273"/>
      <c r="CD453" s="273"/>
      <c r="CE453" s="273"/>
      <c r="CF453" s="273"/>
      <c r="CG453" s="273"/>
      <c r="CH453" s="273"/>
      <c r="CI453" s="273"/>
      <c r="CJ453" s="273"/>
      <c r="CK453" s="273"/>
      <c r="CL453" s="273"/>
      <c r="CM453" s="273"/>
      <c r="CN453" s="273"/>
      <c r="CO453" s="273"/>
      <c r="CP453" s="273"/>
      <c r="CQ453" s="273"/>
      <c r="CR453" s="273"/>
      <c r="CS453" s="273"/>
      <c r="CT453" s="273"/>
      <c r="CU453" s="273"/>
      <c r="CV453" s="273"/>
      <c r="CW453" s="273"/>
      <c r="CX453" s="273"/>
      <c r="CY453" s="273"/>
      <c r="CZ453" s="273"/>
      <c r="DA453" s="273"/>
      <c r="DB453" s="273"/>
      <c r="DC453" s="273"/>
      <c r="DD453" s="273"/>
      <c r="DE453" s="273"/>
      <c r="DF453" s="273"/>
      <c r="DG453" s="273"/>
      <c r="DH453" s="273"/>
      <c r="DI453" s="273"/>
      <c r="DJ453" s="273"/>
      <c r="DK453" s="273"/>
      <c r="DL453" s="273"/>
      <c r="DM453" s="273"/>
      <c r="DN453" s="273"/>
      <c r="DO453" s="273"/>
      <c r="DP453" s="273"/>
      <c r="DQ453" s="273"/>
      <c r="DR453" s="273"/>
      <c r="DS453" s="273"/>
      <c r="DT453" s="273"/>
      <c r="DU453" s="273"/>
      <c r="DV453" s="273"/>
      <c r="DW453" s="273"/>
      <c r="DX453" s="273"/>
      <c r="DY453" s="273"/>
      <c r="DZ453" s="273"/>
      <c r="EA453" s="273"/>
      <c r="EB453" s="273"/>
      <c r="EC453" s="273"/>
      <c r="ED453" s="273"/>
      <c r="EE453" s="273"/>
      <c r="EF453" s="273"/>
      <c r="EG453" s="273"/>
      <c r="EH453" s="273"/>
      <c r="EI453" s="273"/>
      <c r="EJ453" s="273"/>
      <c r="EK453" s="273"/>
      <c r="EL453" s="273"/>
      <c r="EM453" s="273"/>
      <c r="EN453" s="273"/>
      <c r="EO453" s="273"/>
      <c r="EP453" s="273"/>
      <c r="EQ453" s="273"/>
      <c r="ER453" s="273"/>
      <c r="ES453" s="273"/>
      <c r="ET453" s="273"/>
      <c r="EU453" s="273"/>
      <c r="EV453" s="273"/>
      <c r="EW453" s="273"/>
      <c r="EX453" s="273"/>
      <c r="EY453" s="273"/>
      <c r="EZ453" s="273"/>
      <c r="FA453" s="273"/>
      <c r="FB453" s="273"/>
      <c r="FC453" s="273"/>
      <c r="FD453" s="273"/>
      <c r="FE453" s="273"/>
      <c r="FF453" s="273"/>
      <c r="FG453" s="273"/>
      <c r="FH453" s="273"/>
      <c r="FI453" s="273"/>
      <c r="FJ453" s="273"/>
      <c r="FK453" s="273"/>
      <c r="FL453" s="273"/>
      <c r="FM453" s="273"/>
      <c r="FN453" s="273"/>
      <c r="FO453" s="273"/>
      <c r="FP453" s="273"/>
      <c r="FQ453" s="273"/>
      <c r="FR453" s="273"/>
      <c r="FS453" s="273"/>
      <c r="FT453" s="273"/>
      <c r="FU453" s="273"/>
      <c r="FV453" s="273"/>
      <c r="FW453" s="273"/>
      <c r="FX453" s="273"/>
      <c r="FY453" s="273"/>
      <c r="FZ453" s="273"/>
      <c r="GA453" s="273"/>
      <c r="GB453" s="273"/>
      <c r="GC453" s="273"/>
      <c r="GD453" s="273"/>
      <c r="GE453" s="273"/>
      <c r="GF453" s="273"/>
      <c r="GG453" s="273"/>
      <c r="GH453" s="273"/>
      <c r="GI453" s="273"/>
      <c r="GJ453" s="273"/>
      <c r="GK453" s="273"/>
      <c r="GL453" s="273"/>
      <c r="GM453" s="273"/>
      <c r="GN453" s="273"/>
      <c r="GO453" s="273"/>
      <c r="GP453" s="273"/>
      <c r="GQ453" s="273"/>
      <c r="GR453" s="273"/>
      <c r="GS453" s="273"/>
      <c r="GT453" s="273"/>
      <c r="GU453" s="273"/>
      <c r="GV453" s="273"/>
      <c r="GW453" s="273"/>
      <c r="GX453" s="273"/>
      <c r="GY453" s="273"/>
      <c r="GZ453" s="273"/>
      <c r="HA453" s="273"/>
      <c r="HB453" s="273"/>
      <c r="HC453" s="273"/>
      <c r="HD453" s="273"/>
      <c r="HE453" s="273"/>
      <c r="HF453" s="273"/>
      <c r="HG453" s="273"/>
      <c r="HH453" s="273"/>
      <c r="HI453" s="273"/>
      <c r="HJ453" s="273"/>
      <c r="HK453" s="273"/>
      <c r="HL453" s="273"/>
      <c r="HM453" s="273"/>
      <c r="HN453" s="273"/>
      <c r="HO453" s="273"/>
      <c r="HP453" s="273"/>
      <c r="HQ453" s="273"/>
      <c r="HR453" s="273"/>
      <c r="HS453" s="273"/>
      <c r="HT453" s="273"/>
      <c r="HU453" s="273"/>
      <c r="HV453" s="273"/>
      <c r="HW453" s="273"/>
      <c r="HX453" s="273"/>
      <c r="HY453" s="273"/>
      <c r="HZ453" s="273"/>
      <c r="IA453" s="273"/>
      <c r="IB453" s="273"/>
      <c r="IC453" s="273"/>
      <c r="ID453" s="273"/>
      <c r="IE453" s="273"/>
      <c r="IF453" s="273"/>
      <c r="IG453" s="273"/>
      <c r="IH453" s="273"/>
      <c r="II453" s="273"/>
      <c r="IJ453" s="273"/>
      <c r="IK453" s="273"/>
      <c r="IL453" s="273"/>
      <c r="IM453" s="273"/>
      <c r="IN453" s="273"/>
      <c r="IO453" s="273"/>
      <c r="IP453" s="273"/>
      <c r="IQ453" s="273"/>
      <c r="IR453" s="273"/>
      <c r="IS453" s="273"/>
      <c r="IT453" s="273"/>
      <c r="IU453" s="273"/>
      <c r="IV453" s="273"/>
      <c r="IW453" s="273"/>
      <c r="IX453" s="273"/>
      <c r="IY453" s="273"/>
      <c r="IZ453" s="273"/>
      <c r="JA453" s="273"/>
      <c r="JB453" s="273"/>
      <c r="JC453" s="273"/>
      <c r="JD453" s="273"/>
      <c r="JE453" s="273"/>
      <c r="JF453" s="273"/>
      <c r="JG453" s="273"/>
      <c r="JH453" s="273"/>
      <c r="JI453" s="273"/>
      <c r="JJ453" s="273"/>
      <c r="JK453" s="273"/>
      <c r="JL453" s="273"/>
      <c r="JM453" s="273"/>
      <c r="JN453" s="273"/>
      <c r="JO453" s="273"/>
      <c r="JP453" s="273"/>
      <c r="JQ453" s="273"/>
      <c r="JR453" s="273"/>
      <c r="JS453" s="273"/>
      <c r="JT453" s="273"/>
      <c r="JU453" s="273"/>
      <c r="JV453" s="273"/>
      <c r="JW453" s="273"/>
      <c r="JX453" s="273"/>
      <c r="JY453" s="273"/>
      <c r="JZ453" s="273"/>
      <c r="KA453" s="273"/>
      <c r="KB453" s="273"/>
      <c r="KC453" s="273"/>
      <c r="KD453" s="273"/>
      <c r="KE453" s="273"/>
      <c r="KF453" s="273"/>
      <c r="KG453" s="273"/>
      <c r="KH453" s="273"/>
      <c r="KI453" s="273"/>
      <c r="KJ453" s="273"/>
      <c r="KK453" s="273"/>
      <c r="KL453" s="273"/>
      <c r="KM453" s="273"/>
      <c r="KN453" s="273"/>
      <c r="KO453" s="273"/>
      <c r="KP453" s="273"/>
      <c r="KQ453" s="273"/>
      <c r="KR453" s="273"/>
      <c r="KS453" s="273"/>
      <c r="KT453" s="273"/>
      <c r="KU453" s="273"/>
      <c r="KV453" s="273"/>
      <c r="KW453" s="273"/>
      <c r="KX453" s="273"/>
      <c r="KY453" s="273"/>
      <c r="KZ453" s="273"/>
      <c r="LA453" s="273"/>
      <c r="LB453" s="273"/>
      <c r="LC453" s="273"/>
      <c r="LD453" s="273"/>
      <c r="LE453" s="273"/>
      <c r="LF453" s="273"/>
      <c r="LG453" s="273"/>
      <c r="LH453" s="273"/>
      <c r="LI453" s="273"/>
      <c r="LJ453" s="273"/>
      <c r="LK453" s="273"/>
      <c r="LL453" s="273"/>
      <c r="LM453" s="273"/>
      <c r="LN453" s="273"/>
      <c r="LO453" s="273"/>
      <c r="LP453" s="273"/>
      <c r="LQ453" s="273"/>
      <c r="LR453" s="273"/>
      <c r="LS453" s="273"/>
      <c r="LT453" s="273"/>
      <c r="LU453" s="273"/>
      <c r="LV453" s="273"/>
      <c r="LW453" s="273"/>
      <c r="LX453" s="273"/>
      <c r="LY453" s="273"/>
      <c r="LZ453" s="273"/>
      <c r="MA453" s="273"/>
      <c r="MB453" s="273"/>
      <c r="MC453" s="273"/>
      <c r="MD453" s="273"/>
      <c r="ME453" s="273"/>
      <c r="MF453" s="273"/>
      <c r="MG453" s="273"/>
      <c r="MH453" s="273"/>
      <c r="MI453" s="273"/>
      <c r="MJ453" s="273"/>
      <c r="MK453" s="273"/>
      <c r="ML453" s="273"/>
      <c r="MM453" s="273"/>
      <c r="MN453" s="273"/>
      <c r="MO453" s="273"/>
      <c r="MP453" s="273"/>
      <c r="MQ453" s="273"/>
      <c r="MR453" s="273"/>
      <c r="MS453" s="273"/>
      <c r="MT453" s="273"/>
      <c r="MU453" s="273"/>
      <c r="MV453" s="273"/>
      <c r="MW453" s="273"/>
      <c r="MX453" s="273"/>
      <c r="MY453" s="273"/>
      <c r="MZ453" s="273"/>
      <c r="NA453" s="273"/>
      <c r="NB453" s="273"/>
      <c r="NC453" s="273"/>
      <c r="ND453" s="273"/>
      <c r="NE453" s="273"/>
      <c r="NF453" s="273"/>
      <c r="NG453" s="273"/>
      <c r="NH453" s="273"/>
      <c r="NI453" s="273"/>
      <c r="NJ453" s="273"/>
      <c r="NK453" s="273"/>
      <c r="NL453" s="273"/>
      <c r="NM453" s="273"/>
      <c r="NN453" s="273"/>
      <c r="NO453" s="273"/>
      <c r="NP453" s="273"/>
      <c r="NQ453" s="273"/>
      <c r="NR453" s="273"/>
      <c r="NS453" s="273"/>
      <c r="NT453" s="273"/>
      <c r="NU453" s="273"/>
      <c r="NV453" s="273"/>
      <c r="NW453" s="273"/>
      <c r="NX453" s="273"/>
      <c r="NY453" s="273"/>
      <c r="NZ453" s="273"/>
      <c r="OA453" s="273"/>
      <c r="OB453" s="273"/>
      <c r="OC453" s="273"/>
      <c r="OD453" s="273"/>
      <c r="OE453" s="273"/>
      <c r="OF453" s="273"/>
      <c r="OG453" s="273"/>
      <c r="OH453" s="273"/>
      <c r="OI453" s="273"/>
      <c r="OJ453" s="273"/>
      <c r="OK453" s="273"/>
      <c r="OL453" s="273"/>
      <c r="OM453" s="273"/>
      <c r="ON453" s="273"/>
      <c r="OO453" s="273"/>
      <c r="OP453" s="273"/>
      <c r="OQ453" s="273"/>
      <c r="OR453" s="273"/>
      <c r="OS453" s="273"/>
      <c r="OT453" s="273"/>
      <c r="OU453" s="273"/>
      <c r="OV453" s="273"/>
      <c r="OW453" s="273"/>
      <c r="OX453" s="273"/>
      <c r="OY453" s="273"/>
      <c r="OZ453" s="273"/>
      <c r="PA453" s="273"/>
      <c r="PB453" s="273"/>
      <c r="PC453" s="273"/>
      <c r="PD453" s="273"/>
      <c r="PE453" s="273"/>
      <c r="PF453" s="273"/>
      <c r="PG453" s="273"/>
      <c r="PH453" s="273"/>
      <c r="PI453" s="273"/>
      <c r="PJ453" s="273"/>
      <c r="PK453" s="273"/>
      <c r="PL453" s="273"/>
      <c r="PM453" s="273"/>
      <c r="PN453" s="273"/>
      <c r="PO453" s="273"/>
      <c r="PP453" s="273"/>
      <c r="PQ453" s="273"/>
      <c r="PR453" s="273"/>
      <c r="PS453" s="273"/>
      <c r="PT453" s="273"/>
      <c r="PU453" s="273"/>
      <c r="PV453" s="273"/>
      <c r="PW453" s="273"/>
      <c r="PX453" s="273"/>
      <c r="PY453" s="273"/>
      <c r="PZ453" s="273"/>
      <c r="QA453" s="273"/>
      <c r="QB453" s="273"/>
      <c r="QC453" s="273"/>
      <c r="QD453" s="273"/>
      <c r="QE453" s="273"/>
      <c r="QF453" s="273"/>
      <c r="QG453" s="273"/>
      <c r="QH453" s="273"/>
      <c r="QI453" s="273"/>
      <c r="QJ453" s="273"/>
      <c r="QK453" s="273"/>
      <c r="QL453" s="273"/>
      <c r="QM453" s="273"/>
      <c r="QN453" s="273"/>
      <c r="QO453" s="273"/>
      <c r="QP453" s="273"/>
      <c r="QQ453" s="273"/>
      <c r="QR453" s="273"/>
      <c r="QS453" s="273"/>
      <c r="QT453" s="273"/>
      <c r="QU453" s="273"/>
      <c r="QV453" s="273"/>
      <c r="QW453" s="273"/>
      <c r="QX453" s="273"/>
      <c r="QY453" s="273"/>
      <c r="QZ453" s="273"/>
      <c r="RA453" s="273"/>
      <c r="RB453" s="273"/>
      <c r="RC453" s="273"/>
      <c r="RD453" s="273"/>
      <c r="RE453" s="273"/>
      <c r="RF453" s="273"/>
      <c r="RG453" s="273"/>
      <c r="RH453" s="273"/>
      <c r="RI453" s="273"/>
      <c r="RJ453" s="273"/>
      <c r="RK453" s="273"/>
      <c r="RL453" s="273"/>
      <c r="RM453" s="273"/>
      <c r="RN453" s="273"/>
      <c r="RO453" s="273"/>
      <c r="RP453" s="273"/>
      <c r="RQ453" s="273"/>
    </row>
    <row r="454" spans="1:485" s="450" customFormat="1" ht="26" x14ac:dyDescent="0.25">
      <c r="A454" s="3027"/>
      <c r="B454" s="595" t="s">
        <v>1005</v>
      </c>
      <c r="C454" s="266" t="s">
        <v>47</v>
      </c>
      <c r="D454" s="467" t="s">
        <v>955</v>
      </c>
      <c r="E454" s="468">
        <v>7</v>
      </c>
      <c r="F454" s="468">
        <v>764.28571428571433</v>
      </c>
      <c r="G454" s="467">
        <v>1</v>
      </c>
      <c r="H454" s="451">
        <f t="shared" si="212"/>
        <v>5350</v>
      </c>
      <c r="I454" s="675">
        <v>1</v>
      </c>
      <c r="J454" s="451"/>
      <c r="K454" s="451"/>
      <c r="L454" s="451"/>
      <c r="M454" s="1834">
        <f t="shared" si="214"/>
        <v>0</v>
      </c>
      <c r="N454" s="697">
        <v>1</v>
      </c>
      <c r="O454" s="696">
        <f t="shared" si="213"/>
        <v>5350</v>
      </c>
      <c r="P454" s="675">
        <v>1</v>
      </c>
      <c r="Q454" s="451">
        <f t="shared" si="203"/>
        <v>5350</v>
      </c>
      <c r="R454" s="522" t="s">
        <v>1006</v>
      </c>
      <c r="S454" s="452">
        <f>COOPI!S46</f>
        <v>4100</v>
      </c>
      <c r="T454" s="591">
        <f t="shared" si="215"/>
        <v>0.76635514018691586</v>
      </c>
      <c r="U454" s="894" t="s">
        <v>606</v>
      </c>
      <c r="V454" s="591">
        <f t="shared" si="216"/>
        <v>0.76635514018691586</v>
      </c>
      <c r="W454" s="452">
        <f t="shared" si="217"/>
        <v>4100</v>
      </c>
      <c r="X454" s="452" t="s">
        <v>606</v>
      </c>
      <c r="Y454" s="273"/>
      <c r="Z454" s="273"/>
      <c r="AA454" s="273"/>
      <c r="AB454" s="273"/>
      <c r="AC454" s="273"/>
      <c r="AD454" s="273"/>
      <c r="AE454" s="273"/>
      <c r="AF454" s="273"/>
      <c r="AG454" s="273"/>
      <c r="AH454" s="273"/>
      <c r="AI454" s="273"/>
      <c r="AJ454" s="273"/>
      <c r="AK454" s="273"/>
      <c r="AL454" s="273"/>
      <c r="AM454" s="273"/>
      <c r="AN454" s="273"/>
      <c r="AO454" s="273"/>
      <c r="AP454" s="273"/>
      <c r="AQ454" s="273"/>
      <c r="AR454" s="273"/>
      <c r="AS454" s="273"/>
      <c r="AT454" s="273"/>
      <c r="AU454" s="273"/>
      <c r="AV454" s="273"/>
      <c r="AW454" s="273"/>
      <c r="AX454" s="273"/>
      <c r="AY454" s="273"/>
      <c r="AZ454" s="273"/>
      <c r="BA454" s="273"/>
      <c r="BB454" s="273"/>
      <c r="BC454" s="273"/>
      <c r="BD454" s="273"/>
      <c r="BE454" s="273"/>
      <c r="BF454" s="273"/>
      <c r="BG454" s="273"/>
      <c r="BH454" s="273"/>
      <c r="BI454" s="273"/>
      <c r="BJ454" s="273"/>
      <c r="BK454" s="273"/>
      <c r="BL454" s="273"/>
      <c r="BM454" s="273"/>
      <c r="BN454" s="273"/>
      <c r="BO454" s="273"/>
      <c r="BP454" s="273"/>
      <c r="BQ454" s="273"/>
      <c r="BR454" s="273"/>
      <c r="BS454" s="273"/>
      <c r="BT454" s="273"/>
      <c r="BU454" s="273"/>
      <c r="BV454" s="273"/>
      <c r="BW454" s="273"/>
      <c r="BX454" s="273"/>
      <c r="BY454" s="273"/>
      <c r="BZ454" s="273"/>
      <c r="CA454" s="273"/>
      <c r="CB454" s="273"/>
      <c r="CC454" s="273"/>
      <c r="CD454" s="273"/>
      <c r="CE454" s="273"/>
      <c r="CF454" s="273"/>
      <c r="CG454" s="273"/>
      <c r="CH454" s="273"/>
      <c r="CI454" s="273"/>
      <c r="CJ454" s="273"/>
      <c r="CK454" s="273"/>
      <c r="CL454" s="273"/>
      <c r="CM454" s="273"/>
      <c r="CN454" s="273"/>
      <c r="CO454" s="273"/>
      <c r="CP454" s="273"/>
      <c r="CQ454" s="273"/>
      <c r="CR454" s="273"/>
      <c r="CS454" s="273"/>
      <c r="CT454" s="273"/>
      <c r="CU454" s="273"/>
      <c r="CV454" s="273"/>
      <c r="CW454" s="273"/>
      <c r="CX454" s="273"/>
      <c r="CY454" s="273"/>
      <c r="CZ454" s="273"/>
      <c r="DA454" s="273"/>
      <c r="DB454" s="273"/>
      <c r="DC454" s="273"/>
      <c r="DD454" s="273"/>
      <c r="DE454" s="273"/>
      <c r="DF454" s="273"/>
      <c r="DG454" s="273"/>
      <c r="DH454" s="273"/>
      <c r="DI454" s="273"/>
      <c r="DJ454" s="273"/>
      <c r="DK454" s="273"/>
      <c r="DL454" s="273"/>
      <c r="DM454" s="273"/>
      <c r="DN454" s="273"/>
      <c r="DO454" s="273"/>
      <c r="DP454" s="273"/>
      <c r="DQ454" s="273"/>
      <c r="DR454" s="273"/>
      <c r="DS454" s="273"/>
      <c r="DT454" s="273"/>
      <c r="DU454" s="273"/>
      <c r="DV454" s="273"/>
      <c r="DW454" s="273"/>
      <c r="DX454" s="273"/>
      <c r="DY454" s="273"/>
      <c r="DZ454" s="273"/>
      <c r="EA454" s="273"/>
      <c r="EB454" s="273"/>
      <c r="EC454" s="273"/>
      <c r="ED454" s="273"/>
      <c r="EE454" s="273"/>
      <c r="EF454" s="273"/>
      <c r="EG454" s="273"/>
      <c r="EH454" s="273"/>
      <c r="EI454" s="273"/>
      <c r="EJ454" s="273"/>
      <c r="EK454" s="273"/>
      <c r="EL454" s="273"/>
      <c r="EM454" s="273"/>
      <c r="EN454" s="273"/>
      <c r="EO454" s="273"/>
      <c r="EP454" s="273"/>
      <c r="EQ454" s="273"/>
      <c r="ER454" s="273"/>
      <c r="ES454" s="273"/>
      <c r="ET454" s="273"/>
      <c r="EU454" s="273"/>
      <c r="EV454" s="273"/>
      <c r="EW454" s="273"/>
      <c r="EX454" s="273"/>
      <c r="EY454" s="273"/>
      <c r="EZ454" s="273"/>
      <c r="FA454" s="273"/>
      <c r="FB454" s="273"/>
      <c r="FC454" s="273"/>
      <c r="FD454" s="273"/>
      <c r="FE454" s="273"/>
      <c r="FF454" s="273"/>
      <c r="FG454" s="273"/>
      <c r="FH454" s="273"/>
      <c r="FI454" s="273"/>
      <c r="FJ454" s="273"/>
      <c r="FK454" s="273"/>
      <c r="FL454" s="273"/>
      <c r="FM454" s="273"/>
      <c r="FN454" s="273"/>
      <c r="FO454" s="273"/>
      <c r="FP454" s="273"/>
      <c r="FQ454" s="273"/>
      <c r="FR454" s="273"/>
      <c r="FS454" s="273"/>
      <c r="FT454" s="273"/>
      <c r="FU454" s="273"/>
      <c r="FV454" s="273"/>
      <c r="FW454" s="273"/>
      <c r="FX454" s="273"/>
      <c r="FY454" s="273"/>
      <c r="FZ454" s="273"/>
      <c r="GA454" s="273"/>
      <c r="GB454" s="273"/>
      <c r="GC454" s="273"/>
      <c r="GD454" s="273"/>
      <c r="GE454" s="273"/>
      <c r="GF454" s="273"/>
      <c r="GG454" s="273"/>
      <c r="GH454" s="273"/>
      <c r="GI454" s="273"/>
      <c r="GJ454" s="273"/>
      <c r="GK454" s="273"/>
      <c r="GL454" s="273"/>
      <c r="GM454" s="273"/>
      <c r="GN454" s="273"/>
      <c r="GO454" s="273"/>
      <c r="GP454" s="273"/>
      <c r="GQ454" s="273"/>
      <c r="GR454" s="273"/>
      <c r="GS454" s="273"/>
      <c r="GT454" s="273"/>
      <c r="GU454" s="273"/>
      <c r="GV454" s="273"/>
      <c r="GW454" s="273"/>
      <c r="GX454" s="273"/>
      <c r="GY454" s="273"/>
      <c r="GZ454" s="273"/>
      <c r="HA454" s="273"/>
      <c r="HB454" s="273"/>
      <c r="HC454" s="273"/>
      <c r="HD454" s="273"/>
      <c r="HE454" s="273"/>
      <c r="HF454" s="273"/>
      <c r="HG454" s="273"/>
      <c r="HH454" s="273"/>
      <c r="HI454" s="273"/>
      <c r="HJ454" s="273"/>
      <c r="HK454" s="273"/>
      <c r="HL454" s="273"/>
      <c r="HM454" s="273"/>
      <c r="HN454" s="273"/>
      <c r="HO454" s="273"/>
      <c r="HP454" s="273"/>
      <c r="HQ454" s="273"/>
      <c r="HR454" s="273"/>
      <c r="HS454" s="273"/>
      <c r="HT454" s="273"/>
      <c r="HU454" s="273"/>
      <c r="HV454" s="273"/>
      <c r="HW454" s="273"/>
      <c r="HX454" s="273"/>
      <c r="HY454" s="273"/>
      <c r="HZ454" s="273"/>
      <c r="IA454" s="273"/>
      <c r="IB454" s="273"/>
      <c r="IC454" s="273"/>
      <c r="ID454" s="273"/>
      <c r="IE454" s="273"/>
      <c r="IF454" s="273"/>
      <c r="IG454" s="273"/>
      <c r="IH454" s="273"/>
      <c r="II454" s="273"/>
      <c r="IJ454" s="273"/>
      <c r="IK454" s="273"/>
      <c r="IL454" s="273"/>
      <c r="IM454" s="273"/>
      <c r="IN454" s="273"/>
      <c r="IO454" s="273"/>
      <c r="IP454" s="273"/>
      <c r="IQ454" s="273"/>
      <c r="IR454" s="273"/>
      <c r="IS454" s="273"/>
      <c r="IT454" s="273"/>
      <c r="IU454" s="273"/>
      <c r="IV454" s="273"/>
      <c r="IW454" s="273"/>
      <c r="IX454" s="273"/>
      <c r="IY454" s="273"/>
      <c r="IZ454" s="273"/>
      <c r="JA454" s="273"/>
      <c r="JB454" s="273"/>
      <c r="JC454" s="273"/>
      <c r="JD454" s="273"/>
      <c r="JE454" s="273"/>
      <c r="JF454" s="273"/>
      <c r="JG454" s="273"/>
      <c r="JH454" s="273"/>
      <c r="JI454" s="273"/>
      <c r="JJ454" s="273"/>
      <c r="JK454" s="273"/>
      <c r="JL454" s="273"/>
      <c r="JM454" s="273"/>
      <c r="JN454" s="273"/>
      <c r="JO454" s="273"/>
      <c r="JP454" s="273"/>
      <c r="JQ454" s="273"/>
      <c r="JR454" s="273"/>
      <c r="JS454" s="273"/>
      <c r="JT454" s="273"/>
      <c r="JU454" s="273"/>
      <c r="JV454" s="273"/>
      <c r="JW454" s="273"/>
      <c r="JX454" s="273"/>
      <c r="JY454" s="273"/>
      <c r="JZ454" s="273"/>
      <c r="KA454" s="273"/>
      <c r="KB454" s="273"/>
      <c r="KC454" s="273"/>
      <c r="KD454" s="273"/>
      <c r="KE454" s="273"/>
      <c r="KF454" s="273"/>
      <c r="KG454" s="273"/>
      <c r="KH454" s="273"/>
      <c r="KI454" s="273"/>
      <c r="KJ454" s="273"/>
      <c r="KK454" s="273"/>
      <c r="KL454" s="273"/>
      <c r="KM454" s="273"/>
      <c r="KN454" s="273"/>
      <c r="KO454" s="273"/>
      <c r="KP454" s="273"/>
      <c r="KQ454" s="273"/>
      <c r="KR454" s="273"/>
      <c r="KS454" s="273"/>
      <c r="KT454" s="273"/>
      <c r="KU454" s="273"/>
      <c r="KV454" s="273"/>
      <c r="KW454" s="273"/>
      <c r="KX454" s="273"/>
      <c r="KY454" s="273"/>
      <c r="KZ454" s="273"/>
      <c r="LA454" s="273"/>
      <c r="LB454" s="273"/>
      <c r="LC454" s="273"/>
      <c r="LD454" s="273"/>
      <c r="LE454" s="273"/>
      <c r="LF454" s="273"/>
      <c r="LG454" s="273"/>
      <c r="LH454" s="273"/>
      <c r="LI454" s="273"/>
      <c r="LJ454" s="273"/>
      <c r="LK454" s="273"/>
      <c r="LL454" s="273"/>
      <c r="LM454" s="273"/>
      <c r="LN454" s="273"/>
      <c r="LO454" s="273"/>
      <c r="LP454" s="273"/>
      <c r="LQ454" s="273"/>
      <c r="LR454" s="273"/>
      <c r="LS454" s="273"/>
      <c r="LT454" s="273"/>
      <c r="LU454" s="273"/>
      <c r="LV454" s="273"/>
      <c r="LW454" s="273"/>
      <c r="LX454" s="273"/>
      <c r="LY454" s="273"/>
      <c r="LZ454" s="273"/>
      <c r="MA454" s="273"/>
      <c r="MB454" s="273"/>
      <c r="MC454" s="273"/>
      <c r="MD454" s="273"/>
      <c r="ME454" s="273"/>
      <c r="MF454" s="273"/>
      <c r="MG454" s="273"/>
      <c r="MH454" s="273"/>
      <c r="MI454" s="273"/>
      <c r="MJ454" s="273"/>
      <c r="MK454" s="273"/>
      <c r="ML454" s="273"/>
      <c r="MM454" s="273"/>
      <c r="MN454" s="273"/>
      <c r="MO454" s="273"/>
      <c r="MP454" s="273"/>
      <c r="MQ454" s="273"/>
      <c r="MR454" s="273"/>
      <c r="MS454" s="273"/>
      <c r="MT454" s="273"/>
      <c r="MU454" s="273"/>
      <c r="MV454" s="273"/>
      <c r="MW454" s="273"/>
      <c r="MX454" s="273"/>
      <c r="MY454" s="273"/>
      <c r="MZ454" s="273"/>
      <c r="NA454" s="273"/>
      <c r="NB454" s="273"/>
      <c r="NC454" s="273"/>
      <c r="ND454" s="273"/>
      <c r="NE454" s="273"/>
      <c r="NF454" s="273"/>
      <c r="NG454" s="273"/>
      <c r="NH454" s="273"/>
      <c r="NI454" s="273"/>
      <c r="NJ454" s="273"/>
      <c r="NK454" s="273"/>
      <c r="NL454" s="273"/>
      <c r="NM454" s="273"/>
      <c r="NN454" s="273"/>
      <c r="NO454" s="273"/>
      <c r="NP454" s="273"/>
      <c r="NQ454" s="273"/>
      <c r="NR454" s="273"/>
      <c r="NS454" s="273"/>
      <c r="NT454" s="273"/>
      <c r="NU454" s="273"/>
      <c r="NV454" s="273"/>
      <c r="NW454" s="273"/>
      <c r="NX454" s="273"/>
      <c r="NY454" s="273"/>
      <c r="NZ454" s="273"/>
      <c r="OA454" s="273"/>
      <c r="OB454" s="273"/>
      <c r="OC454" s="273"/>
      <c r="OD454" s="273"/>
      <c r="OE454" s="273"/>
      <c r="OF454" s="273"/>
      <c r="OG454" s="273"/>
      <c r="OH454" s="273"/>
      <c r="OI454" s="273"/>
      <c r="OJ454" s="273"/>
      <c r="OK454" s="273"/>
      <c r="OL454" s="273"/>
      <c r="OM454" s="273"/>
      <c r="ON454" s="273"/>
      <c r="OO454" s="273"/>
      <c r="OP454" s="273"/>
      <c r="OQ454" s="273"/>
      <c r="OR454" s="273"/>
      <c r="OS454" s="273"/>
      <c r="OT454" s="273"/>
      <c r="OU454" s="273"/>
      <c r="OV454" s="273"/>
      <c r="OW454" s="273"/>
      <c r="OX454" s="273"/>
      <c r="OY454" s="273"/>
      <c r="OZ454" s="273"/>
      <c r="PA454" s="273"/>
      <c r="PB454" s="273"/>
      <c r="PC454" s="273"/>
      <c r="PD454" s="273"/>
      <c r="PE454" s="273"/>
      <c r="PF454" s="273"/>
      <c r="PG454" s="273"/>
      <c r="PH454" s="273"/>
      <c r="PI454" s="273"/>
      <c r="PJ454" s="273"/>
      <c r="PK454" s="273"/>
      <c r="PL454" s="273"/>
      <c r="PM454" s="273"/>
      <c r="PN454" s="273"/>
      <c r="PO454" s="273"/>
      <c r="PP454" s="273"/>
      <c r="PQ454" s="273"/>
      <c r="PR454" s="273"/>
      <c r="PS454" s="273"/>
      <c r="PT454" s="273"/>
      <c r="PU454" s="273"/>
      <c r="PV454" s="273"/>
      <c r="PW454" s="273"/>
      <c r="PX454" s="273"/>
      <c r="PY454" s="273"/>
      <c r="PZ454" s="273"/>
      <c r="QA454" s="273"/>
      <c r="QB454" s="273"/>
      <c r="QC454" s="273"/>
      <c r="QD454" s="273"/>
      <c r="QE454" s="273"/>
      <c r="QF454" s="273"/>
      <c r="QG454" s="273"/>
      <c r="QH454" s="273"/>
      <c r="QI454" s="273"/>
      <c r="QJ454" s="273"/>
      <c r="QK454" s="273"/>
      <c r="QL454" s="273"/>
      <c r="QM454" s="273"/>
      <c r="QN454" s="273"/>
      <c r="QO454" s="273"/>
      <c r="QP454" s="273"/>
      <c r="QQ454" s="273"/>
      <c r="QR454" s="273"/>
      <c r="QS454" s="273"/>
      <c r="QT454" s="273"/>
      <c r="QU454" s="273"/>
      <c r="QV454" s="273"/>
      <c r="QW454" s="273"/>
      <c r="QX454" s="273"/>
      <c r="QY454" s="273"/>
      <c r="QZ454" s="273"/>
      <c r="RA454" s="273"/>
      <c r="RB454" s="273"/>
      <c r="RC454" s="273"/>
      <c r="RD454" s="273"/>
      <c r="RE454" s="273"/>
      <c r="RF454" s="273"/>
      <c r="RG454" s="273"/>
      <c r="RH454" s="273"/>
      <c r="RI454" s="273"/>
      <c r="RJ454" s="273"/>
      <c r="RK454" s="273"/>
      <c r="RL454" s="273"/>
      <c r="RM454" s="273"/>
      <c r="RN454" s="273"/>
      <c r="RO454" s="273"/>
      <c r="RP454" s="273"/>
      <c r="RQ454" s="273"/>
    </row>
    <row r="455" spans="1:485" s="450" customFormat="1" ht="52" x14ac:dyDescent="0.25">
      <c r="A455" s="3027"/>
      <c r="B455" s="595" t="s">
        <v>1007</v>
      </c>
      <c r="C455" s="266" t="s">
        <v>15</v>
      </c>
      <c r="D455" s="467" t="s">
        <v>955</v>
      </c>
      <c r="E455" s="468">
        <v>7</v>
      </c>
      <c r="F455" s="468">
        <v>181.83673469387756</v>
      </c>
      <c r="G455" s="467">
        <v>7</v>
      </c>
      <c r="H455" s="451">
        <f t="shared" si="212"/>
        <v>8910</v>
      </c>
      <c r="I455" s="675">
        <v>1</v>
      </c>
      <c r="J455" s="451">
        <v>7</v>
      </c>
      <c r="K455" s="451">
        <v>90</v>
      </c>
      <c r="L455" s="451">
        <v>12</v>
      </c>
      <c r="M455" s="1834">
        <f t="shared" si="214"/>
        <v>7560</v>
      </c>
      <c r="N455" s="697">
        <v>1</v>
      </c>
      <c r="O455" s="696">
        <f t="shared" si="213"/>
        <v>16470</v>
      </c>
      <c r="P455" s="675">
        <v>1</v>
      </c>
      <c r="Q455" s="451">
        <f t="shared" si="203"/>
        <v>16470</v>
      </c>
      <c r="R455" s="522" t="s">
        <v>1008</v>
      </c>
      <c r="S455" s="452">
        <f>COOPI!S47</f>
        <v>22107</v>
      </c>
      <c r="T455" s="591">
        <f t="shared" si="215"/>
        <v>1.3422586520947177</v>
      </c>
      <c r="U455" s="894" t="s">
        <v>944</v>
      </c>
      <c r="V455" s="591">
        <f t="shared" si="216"/>
        <v>1.3422586520947177</v>
      </c>
      <c r="W455" s="452">
        <f t="shared" si="217"/>
        <v>22107</v>
      </c>
      <c r="X455" s="452" t="s">
        <v>944</v>
      </c>
      <c r="Y455" s="273"/>
      <c r="Z455" s="273"/>
      <c r="AA455" s="273"/>
      <c r="AB455" s="273"/>
      <c r="AC455" s="273"/>
      <c r="AD455" s="273"/>
      <c r="AE455" s="273"/>
      <c r="AF455" s="273"/>
      <c r="AG455" s="273"/>
      <c r="AH455" s="273"/>
      <c r="AI455" s="273"/>
      <c r="AJ455" s="273"/>
      <c r="AK455" s="273"/>
      <c r="AL455" s="273"/>
      <c r="AM455" s="273"/>
      <c r="AN455" s="273"/>
      <c r="AO455" s="273"/>
      <c r="AP455" s="273"/>
      <c r="AQ455" s="273"/>
      <c r="AR455" s="273"/>
      <c r="AS455" s="273"/>
      <c r="AT455" s="273"/>
      <c r="AU455" s="273"/>
      <c r="AV455" s="273"/>
      <c r="AW455" s="273"/>
      <c r="AX455" s="273"/>
      <c r="AY455" s="273"/>
      <c r="AZ455" s="273"/>
      <c r="BA455" s="273"/>
      <c r="BB455" s="273"/>
      <c r="BC455" s="273"/>
      <c r="BD455" s="273"/>
      <c r="BE455" s="273"/>
      <c r="BF455" s="273"/>
      <c r="BG455" s="273"/>
      <c r="BH455" s="273"/>
      <c r="BI455" s="273"/>
      <c r="BJ455" s="273"/>
      <c r="BK455" s="273"/>
      <c r="BL455" s="273"/>
      <c r="BM455" s="273"/>
      <c r="BN455" s="273"/>
      <c r="BO455" s="273"/>
      <c r="BP455" s="273"/>
      <c r="BQ455" s="273"/>
      <c r="BR455" s="273"/>
      <c r="BS455" s="273"/>
      <c r="BT455" s="273"/>
      <c r="BU455" s="273"/>
      <c r="BV455" s="273"/>
      <c r="BW455" s="273"/>
      <c r="BX455" s="273"/>
      <c r="BY455" s="273"/>
      <c r="BZ455" s="273"/>
      <c r="CA455" s="273"/>
      <c r="CB455" s="273"/>
      <c r="CC455" s="273"/>
      <c r="CD455" s="273"/>
      <c r="CE455" s="273"/>
      <c r="CF455" s="273"/>
      <c r="CG455" s="273"/>
      <c r="CH455" s="273"/>
      <c r="CI455" s="273"/>
      <c r="CJ455" s="273"/>
      <c r="CK455" s="273"/>
      <c r="CL455" s="273"/>
      <c r="CM455" s="273"/>
      <c r="CN455" s="273"/>
      <c r="CO455" s="273"/>
      <c r="CP455" s="273"/>
      <c r="CQ455" s="273"/>
      <c r="CR455" s="273"/>
      <c r="CS455" s="273"/>
      <c r="CT455" s="273"/>
      <c r="CU455" s="273"/>
      <c r="CV455" s="273"/>
      <c r="CW455" s="273"/>
      <c r="CX455" s="273"/>
      <c r="CY455" s="273"/>
      <c r="CZ455" s="273"/>
      <c r="DA455" s="273"/>
      <c r="DB455" s="273"/>
      <c r="DC455" s="273"/>
      <c r="DD455" s="273"/>
      <c r="DE455" s="273"/>
      <c r="DF455" s="273"/>
      <c r="DG455" s="273"/>
      <c r="DH455" s="273"/>
      <c r="DI455" s="273"/>
      <c r="DJ455" s="273"/>
      <c r="DK455" s="273"/>
      <c r="DL455" s="273"/>
      <c r="DM455" s="273"/>
      <c r="DN455" s="273"/>
      <c r="DO455" s="273"/>
      <c r="DP455" s="273"/>
      <c r="DQ455" s="273"/>
      <c r="DR455" s="273"/>
      <c r="DS455" s="273"/>
      <c r="DT455" s="273"/>
      <c r="DU455" s="273"/>
      <c r="DV455" s="273"/>
      <c r="DW455" s="273"/>
      <c r="DX455" s="273"/>
      <c r="DY455" s="273"/>
      <c r="DZ455" s="273"/>
      <c r="EA455" s="273"/>
      <c r="EB455" s="273"/>
      <c r="EC455" s="273"/>
      <c r="ED455" s="273"/>
      <c r="EE455" s="273"/>
      <c r="EF455" s="273"/>
      <c r="EG455" s="273"/>
      <c r="EH455" s="273"/>
      <c r="EI455" s="273"/>
      <c r="EJ455" s="273"/>
      <c r="EK455" s="273"/>
      <c r="EL455" s="273"/>
      <c r="EM455" s="273"/>
      <c r="EN455" s="273"/>
      <c r="EO455" s="273"/>
      <c r="EP455" s="273"/>
      <c r="EQ455" s="273"/>
      <c r="ER455" s="273"/>
      <c r="ES455" s="273"/>
      <c r="ET455" s="273"/>
      <c r="EU455" s="273"/>
      <c r="EV455" s="273"/>
      <c r="EW455" s="273"/>
      <c r="EX455" s="273"/>
      <c r="EY455" s="273"/>
      <c r="EZ455" s="273"/>
      <c r="FA455" s="273"/>
      <c r="FB455" s="273"/>
      <c r="FC455" s="273"/>
      <c r="FD455" s="273"/>
      <c r="FE455" s="273"/>
      <c r="FF455" s="273"/>
      <c r="FG455" s="273"/>
      <c r="FH455" s="273"/>
      <c r="FI455" s="273"/>
      <c r="FJ455" s="273"/>
      <c r="FK455" s="273"/>
      <c r="FL455" s="273"/>
      <c r="FM455" s="273"/>
      <c r="FN455" s="273"/>
      <c r="FO455" s="273"/>
      <c r="FP455" s="273"/>
      <c r="FQ455" s="273"/>
      <c r="FR455" s="273"/>
      <c r="FS455" s="273"/>
      <c r="FT455" s="273"/>
      <c r="FU455" s="273"/>
      <c r="FV455" s="273"/>
      <c r="FW455" s="273"/>
      <c r="FX455" s="273"/>
      <c r="FY455" s="273"/>
      <c r="FZ455" s="273"/>
      <c r="GA455" s="273"/>
      <c r="GB455" s="273"/>
      <c r="GC455" s="273"/>
      <c r="GD455" s="273"/>
      <c r="GE455" s="273"/>
      <c r="GF455" s="273"/>
      <c r="GG455" s="273"/>
      <c r="GH455" s="273"/>
      <c r="GI455" s="273"/>
      <c r="GJ455" s="273"/>
      <c r="GK455" s="273"/>
      <c r="GL455" s="273"/>
      <c r="GM455" s="273"/>
      <c r="GN455" s="273"/>
      <c r="GO455" s="273"/>
      <c r="GP455" s="273"/>
      <c r="GQ455" s="273"/>
      <c r="GR455" s="273"/>
      <c r="GS455" s="273"/>
      <c r="GT455" s="273"/>
      <c r="GU455" s="273"/>
      <c r="GV455" s="273"/>
      <c r="GW455" s="273"/>
      <c r="GX455" s="273"/>
      <c r="GY455" s="273"/>
      <c r="GZ455" s="273"/>
      <c r="HA455" s="273"/>
      <c r="HB455" s="273"/>
      <c r="HC455" s="273"/>
      <c r="HD455" s="273"/>
      <c r="HE455" s="273"/>
      <c r="HF455" s="273"/>
      <c r="HG455" s="273"/>
      <c r="HH455" s="273"/>
      <c r="HI455" s="273"/>
      <c r="HJ455" s="273"/>
      <c r="HK455" s="273"/>
      <c r="HL455" s="273"/>
      <c r="HM455" s="273"/>
      <c r="HN455" s="273"/>
      <c r="HO455" s="273"/>
      <c r="HP455" s="273"/>
      <c r="HQ455" s="273"/>
      <c r="HR455" s="273"/>
      <c r="HS455" s="273"/>
      <c r="HT455" s="273"/>
      <c r="HU455" s="273"/>
      <c r="HV455" s="273"/>
      <c r="HW455" s="273"/>
      <c r="HX455" s="273"/>
      <c r="HY455" s="273"/>
      <c r="HZ455" s="273"/>
      <c r="IA455" s="273"/>
      <c r="IB455" s="273"/>
      <c r="IC455" s="273"/>
      <c r="ID455" s="273"/>
      <c r="IE455" s="273"/>
      <c r="IF455" s="273"/>
      <c r="IG455" s="273"/>
      <c r="IH455" s="273"/>
      <c r="II455" s="273"/>
      <c r="IJ455" s="273"/>
      <c r="IK455" s="273"/>
      <c r="IL455" s="273"/>
      <c r="IM455" s="273"/>
      <c r="IN455" s="273"/>
      <c r="IO455" s="273"/>
      <c r="IP455" s="273"/>
      <c r="IQ455" s="273"/>
      <c r="IR455" s="273"/>
      <c r="IS455" s="273"/>
      <c r="IT455" s="273"/>
      <c r="IU455" s="273"/>
      <c r="IV455" s="273"/>
      <c r="IW455" s="273"/>
      <c r="IX455" s="273"/>
      <c r="IY455" s="273"/>
      <c r="IZ455" s="273"/>
      <c r="JA455" s="273"/>
      <c r="JB455" s="273"/>
      <c r="JC455" s="273"/>
      <c r="JD455" s="273"/>
      <c r="JE455" s="273"/>
      <c r="JF455" s="273"/>
      <c r="JG455" s="273"/>
      <c r="JH455" s="273"/>
      <c r="JI455" s="273"/>
      <c r="JJ455" s="273"/>
      <c r="JK455" s="273"/>
      <c r="JL455" s="273"/>
      <c r="JM455" s="273"/>
      <c r="JN455" s="273"/>
      <c r="JO455" s="273"/>
      <c r="JP455" s="273"/>
      <c r="JQ455" s="273"/>
      <c r="JR455" s="273"/>
      <c r="JS455" s="273"/>
      <c r="JT455" s="273"/>
      <c r="JU455" s="273"/>
      <c r="JV455" s="273"/>
      <c r="JW455" s="273"/>
      <c r="JX455" s="273"/>
      <c r="JY455" s="273"/>
      <c r="JZ455" s="273"/>
      <c r="KA455" s="273"/>
      <c r="KB455" s="273"/>
      <c r="KC455" s="273"/>
      <c r="KD455" s="273"/>
      <c r="KE455" s="273"/>
      <c r="KF455" s="273"/>
      <c r="KG455" s="273"/>
      <c r="KH455" s="273"/>
      <c r="KI455" s="273"/>
      <c r="KJ455" s="273"/>
      <c r="KK455" s="273"/>
      <c r="KL455" s="273"/>
      <c r="KM455" s="273"/>
      <c r="KN455" s="273"/>
      <c r="KO455" s="273"/>
      <c r="KP455" s="273"/>
      <c r="KQ455" s="273"/>
      <c r="KR455" s="273"/>
      <c r="KS455" s="273"/>
      <c r="KT455" s="273"/>
      <c r="KU455" s="273"/>
      <c r="KV455" s="273"/>
      <c r="KW455" s="273"/>
      <c r="KX455" s="273"/>
      <c r="KY455" s="273"/>
      <c r="KZ455" s="273"/>
      <c r="LA455" s="273"/>
      <c r="LB455" s="273"/>
      <c r="LC455" s="273"/>
      <c r="LD455" s="273"/>
      <c r="LE455" s="273"/>
      <c r="LF455" s="273"/>
      <c r="LG455" s="273"/>
      <c r="LH455" s="273"/>
      <c r="LI455" s="273"/>
      <c r="LJ455" s="273"/>
      <c r="LK455" s="273"/>
      <c r="LL455" s="273"/>
      <c r="LM455" s="273"/>
      <c r="LN455" s="273"/>
      <c r="LO455" s="273"/>
      <c r="LP455" s="273"/>
      <c r="LQ455" s="273"/>
      <c r="LR455" s="273"/>
      <c r="LS455" s="273"/>
      <c r="LT455" s="273"/>
      <c r="LU455" s="273"/>
      <c r="LV455" s="273"/>
      <c r="LW455" s="273"/>
      <c r="LX455" s="273"/>
      <c r="LY455" s="273"/>
      <c r="LZ455" s="273"/>
      <c r="MA455" s="273"/>
      <c r="MB455" s="273"/>
      <c r="MC455" s="273"/>
      <c r="MD455" s="273"/>
      <c r="ME455" s="273"/>
      <c r="MF455" s="273"/>
      <c r="MG455" s="273"/>
      <c r="MH455" s="273"/>
      <c r="MI455" s="273"/>
      <c r="MJ455" s="273"/>
      <c r="MK455" s="273"/>
      <c r="ML455" s="273"/>
      <c r="MM455" s="273"/>
      <c r="MN455" s="273"/>
      <c r="MO455" s="273"/>
      <c r="MP455" s="273"/>
      <c r="MQ455" s="273"/>
      <c r="MR455" s="273"/>
      <c r="MS455" s="273"/>
      <c r="MT455" s="273"/>
      <c r="MU455" s="273"/>
      <c r="MV455" s="273"/>
      <c r="MW455" s="273"/>
      <c r="MX455" s="273"/>
      <c r="MY455" s="273"/>
      <c r="MZ455" s="273"/>
      <c r="NA455" s="273"/>
      <c r="NB455" s="273"/>
      <c r="NC455" s="273"/>
      <c r="ND455" s="273"/>
      <c r="NE455" s="273"/>
      <c r="NF455" s="273"/>
      <c r="NG455" s="273"/>
      <c r="NH455" s="273"/>
      <c r="NI455" s="273"/>
      <c r="NJ455" s="273"/>
      <c r="NK455" s="273"/>
      <c r="NL455" s="273"/>
      <c r="NM455" s="273"/>
      <c r="NN455" s="273"/>
      <c r="NO455" s="273"/>
      <c r="NP455" s="273"/>
      <c r="NQ455" s="273"/>
      <c r="NR455" s="273"/>
      <c r="NS455" s="273"/>
      <c r="NT455" s="273"/>
      <c r="NU455" s="273"/>
      <c r="NV455" s="273"/>
      <c r="NW455" s="273"/>
      <c r="NX455" s="273"/>
      <c r="NY455" s="273"/>
      <c r="NZ455" s="273"/>
      <c r="OA455" s="273"/>
      <c r="OB455" s="273"/>
      <c r="OC455" s="273"/>
      <c r="OD455" s="273"/>
      <c r="OE455" s="273"/>
      <c r="OF455" s="273"/>
      <c r="OG455" s="273"/>
      <c r="OH455" s="273"/>
      <c r="OI455" s="273"/>
      <c r="OJ455" s="273"/>
      <c r="OK455" s="273"/>
      <c r="OL455" s="273"/>
      <c r="OM455" s="273"/>
      <c r="ON455" s="273"/>
      <c r="OO455" s="273"/>
      <c r="OP455" s="273"/>
      <c r="OQ455" s="273"/>
      <c r="OR455" s="273"/>
      <c r="OS455" s="273"/>
      <c r="OT455" s="273"/>
      <c r="OU455" s="273"/>
      <c r="OV455" s="273"/>
      <c r="OW455" s="273"/>
      <c r="OX455" s="273"/>
      <c r="OY455" s="273"/>
      <c r="OZ455" s="273"/>
      <c r="PA455" s="273"/>
      <c r="PB455" s="273"/>
      <c r="PC455" s="273"/>
      <c r="PD455" s="273"/>
      <c r="PE455" s="273"/>
      <c r="PF455" s="273"/>
      <c r="PG455" s="273"/>
      <c r="PH455" s="273"/>
      <c r="PI455" s="273"/>
      <c r="PJ455" s="273"/>
      <c r="PK455" s="273"/>
      <c r="PL455" s="273"/>
      <c r="PM455" s="273"/>
      <c r="PN455" s="273"/>
      <c r="PO455" s="273"/>
      <c r="PP455" s="273"/>
      <c r="PQ455" s="273"/>
      <c r="PR455" s="273"/>
      <c r="PS455" s="273"/>
      <c r="PT455" s="273"/>
      <c r="PU455" s="273"/>
      <c r="PV455" s="273"/>
      <c r="PW455" s="273"/>
      <c r="PX455" s="273"/>
      <c r="PY455" s="273"/>
      <c r="PZ455" s="273"/>
      <c r="QA455" s="273"/>
      <c r="QB455" s="273"/>
      <c r="QC455" s="273"/>
      <c r="QD455" s="273"/>
      <c r="QE455" s="273"/>
      <c r="QF455" s="273"/>
      <c r="QG455" s="273"/>
      <c r="QH455" s="273"/>
      <c r="QI455" s="273"/>
      <c r="QJ455" s="273"/>
      <c r="QK455" s="273"/>
      <c r="QL455" s="273"/>
      <c r="QM455" s="273"/>
      <c r="QN455" s="273"/>
      <c r="QO455" s="273"/>
      <c r="QP455" s="273"/>
      <c r="QQ455" s="273"/>
      <c r="QR455" s="273"/>
      <c r="QS455" s="273"/>
      <c r="QT455" s="273"/>
      <c r="QU455" s="273"/>
      <c r="QV455" s="273"/>
      <c r="QW455" s="273"/>
      <c r="QX455" s="273"/>
      <c r="QY455" s="273"/>
      <c r="QZ455" s="273"/>
      <c r="RA455" s="273"/>
      <c r="RB455" s="273"/>
      <c r="RC455" s="273"/>
      <c r="RD455" s="273"/>
      <c r="RE455" s="273"/>
      <c r="RF455" s="273"/>
      <c r="RG455" s="273"/>
      <c r="RH455" s="273"/>
      <c r="RI455" s="273"/>
      <c r="RJ455" s="273"/>
      <c r="RK455" s="273"/>
      <c r="RL455" s="273"/>
      <c r="RM455" s="273"/>
      <c r="RN455" s="273"/>
      <c r="RO455" s="273"/>
      <c r="RP455" s="273"/>
      <c r="RQ455" s="273"/>
    </row>
    <row r="456" spans="1:485" s="450" customFormat="1" ht="26" x14ac:dyDescent="0.25">
      <c r="A456" s="3027"/>
      <c r="B456" s="595" t="s">
        <v>1009</v>
      </c>
      <c r="C456" s="266" t="s">
        <v>15</v>
      </c>
      <c r="D456" s="467" t="s">
        <v>955</v>
      </c>
      <c r="E456" s="468">
        <v>120</v>
      </c>
      <c r="F456" s="468">
        <v>30</v>
      </c>
      <c r="G456" s="467">
        <v>0</v>
      </c>
      <c r="H456" s="451">
        <f t="shared" si="212"/>
        <v>0</v>
      </c>
      <c r="I456" s="675">
        <v>0.98</v>
      </c>
      <c r="J456" s="451">
        <v>240</v>
      </c>
      <c r="K456" s="451">
        <v>30</v>
      </c>
      <c r="L456" s="451">
        <v>1</v>
      </c>
      <c r="M456" s="1834">
        <f t="shared" si="214"/>
        <v>7200</v>
      </c>
      <c r="N456" s="697">
        <v>0.98</v>
      </c>
      <c r="O456" s="696">
        <f t="shared" si="213"/>
        <v>7200</v>
      </c>
      <c r="P456" s="675">
        <v>0.98</v>
      </c>
      <c r="Q456" s="451">
        <f t="shared" si="203"/>
        <v>7056</v>
      </c>
      <c r="R456" s="522" t="s">
        <v>1010</v>
      </c>
      <c r="S456" s="452">
        <f>COOPI!S48</f>
        <v>7470</v>
      </c>
      <c r="T456" s="591">
        <f t="shared" si="215"/>
        <v>1.0375000000000001</v>
      </c>
      <c r="U456" s="894" t="s">
        <v>606</v>
      </c>
      <c r="V456" s="591">
        <f t="shared" si="216"/>
        <v>1.0374999999999999</v>
      </c>
      <c r="W456" s="452">
        <f t="shared" si="217"/>
        <v>7320.5999999999995</v>
      </c>
      <c r="X456" s="453" t="s">
        <v>606</v>
      </c>
      <c r="Y456" s="273"/>
      <c r="Z456" s="273"/>
      <c r="AA456" s="273"/>
      <c r="AB456" s="273"/>
      <c r="AC456" s="273"/>
      <c r="AD456" s="273"/>
      <c r="AE456" s="273"/>
      <c r="AF456" s="273"/>
      <c r="AG456" s="273"/>
      <c r="AH456" s="273"/>
      <c r="AI456" s="273"/>
      <c r="AJ456" s="273"/>
      <c r="AK456" s="273"/>
      <c r="AL456" s="273"/>
      <c r="AM456" s="273"/>
      <c r="AN456" s="273"/>
      <c r="AO456" s="273"/>
      <c r="AP456" s="273"/>
      <c r="AQ456" s="273"/>
      <c r="AR456" s="273"/>
      <c r="AS456" s="273"/>
      <c r="AT456" s="273"/>
      <c r="AU456" s="273"/>
      <c r="AV456" s="273"/>
      <c r="AW456" s="273"/>
      <c r="AX456" s="273"/>
      <c r="AY456" s="273"/>
      <c r="AZ456" s="273"/>
      <c r="BA456" s="273"/>
      <c r="BB456" s="273"/>
      <c r="BC456" s="273"/>
      <c r="BD456" s="273"/>
      <c r="BE456" s="273"/>
      <c r="BF456" s="273"/>
      <c r="BG456" s="273"/>
      <c r="BH456" s="273"/>
      <c r="BI456" s="273"/>
      <c r="BJ456" s="273"/>
      <c r="BK456" s="273"/>
      <c r="BL456" s="273"/>
      <c r="BM456" s="273"/>
      <c r="BN456" s="273"/>
      <c r="BO456" s="273"/>
      <c r="BP456" s="273"/>
      <c r="BQ456" s="273"/>
      <c r="BR456" s="273"/>
      <c r="BS456" s="273"/>
      <c r="BT456" s="273"/>
      <c r="BU456" s="273"/>
      <c r="BV456" s="273"/>
      <c r="BW456" s="273"/>
      <c r="BX456" s="273"/>
      <c r="BY456" s="273"/>
      <c r="BZ456" s="273"/>
      <c r="CA456" s="273"/>
      <c r="CB456" s="273"/>
      <c r="CC456" s="273"/>
      <c r="CD456" s="273"/>
      <c r="CE456" s="273"/>
      <c r="CF456" s="273"/>
      <c r="CG456" s="273"/>
      <c r="CH456" s="273"/>
      <c r="CI456" s="273"/>
      <c r="CJ456" s="273"/>
      <c r="CK456" s="273"/>
      <c r="CL456" s="273"/>
      <c r="CM456" s="273"/>
      <c r="CN456" s="273"/>
      <c r="CO456" s="273"/>
      <c r="CP456" s="273"/>
      <c r="CQ456" s="273"/>
      <c r="CR456" s="273"/>
      <c r="CS456" s="273"/>
      <c r="CT456" s="273"/>
      <c r="CU456" s="273"/>
      <c r="CV456" s="273"/>
      <c r="CW456" s="273"/>
      <c r="CX456" s="273"/>
      <c r="CY456" s="273"/>
      <c r="CZ456" s="273"/>
      <c r="DA456" s="273"/>
      <c r="DB456" s="273"/>
      <c r="DC456" s="273"/>
      <c r="DD456" s="273"/>
      <c r="DE456" s="273"/>
      <c r="DF456" s="273"/>
      <c r="DG456" s="273"/>
      <c r="DH456" s="273"/>
      <c r="DI456" s="273"/>
      <c r="DJ456" s="273"/>
      <c r="DK456" s="273"/>
      <c r="DL456" s="273"/>
      <c r="DM456" s="273"/>
      <c r="DN456" s="273"/>
      <c r="DO456" s="273"/>
      <c r="DP456" s="273"/>
      <c r="DQ456" s="273"/>
      <c r="DR456" s="273"/>
      <c r="DS456" s="273"/>
      <c r="DT456" s="273"/>
      <c r="DU456" s="273"/>
      <c r="DV456" s="273"/>
      <c r="DW456" s="273"/>
      <c r="DX456" s="273"/>
      <c r="DY456" s="273"/>
      <c r="DZ456" s="273"/>
      <c r="EA456" s="273"/>
      <c r="EB456" s="273"/>
      <c r="EC456" s="273"/>
      <c r="ED456" s="273"/>
      <c r="EE456" s="273"/>
      <c r="EF456" s="273"/>
      <c r="EG456" s="273"/>
      <c r="EH456" s="273"/>
      <c r="EI456" s="273"/>
      <c r="EJ456" s="273"/>
      <c r="EK456" s="273"/>
      <c r="EL456" s="273"/>
      <c r="EM456" s="273"/>
      <c r="EN456" s="273"/>
      <c r="EO456" s="273"/>
      <c r="EP456" s="273"/>
      <c r="EQ456" s="273"/>
      <c r="ER456" s="273"/>
      <c r="ES456" s="273"/>
      <c r="ET456" s="273"/>
      <c r="EU456" s="273"/>
      <c r="EV456" s="273"/>
      <c r="EW456" s="273"/>
      <c r="EX456" s="273"/>
      <c r="EY456" s="273"/>
      <c r="EZ456" s="273"/>
      <c r="FA456" s="273"/>
      <c r="FB456" s="273"/>
      <c r="FC456" s="273"/>
      <c r="FD456" s="273"/>
      <c r="FE456" s="273"/>
      <c r="FF456" s="273"/>
      <c r="FG456" s="273"/>
      <c r="FH456" s="273"/>
      <c r="FI456" s="273"/>
      <c r="FJ456" s="273"/>
      <c r="FK456" s="273"/>
      <c r="FL456" s="273"/>
      <c r="FM456" s="273"/>
      <c r="FN456" s="273"/>
      <c r="FO456" s="273"/>
      <c r="FP456" s="273"/>
      <c r="FQ456" s="273"/>
      <c r="FR456" s="273"/>
      <c r="FS456" s="273"/>
      <c r="FT456" s="273"/>
      <c r="FU456" s="273"/>
      <c r="FV456" s="273"/>
      <c r="FW456" s="273"/>
      <c r="FX456" s="273"/>
      <c r="FY456" s="273"/>
      <c r="FZ456" s="273"/>
      <c r="GA456" s="273"/>
      <c r="GB456" s="273"/>
      <c r="GC456" s="273"/>
      <c r="GD456" s="273"/>
      <c r="GE456" s="273"/>
      <c r="GF456" s="273"/>
      <c r="GG456" s="273"/>
      <c r="GH456" s="273"/>
      <c r="GI456" s="273"/>
      <c r="GJ456" s="273"/>
      <c r="GK456" s="273"/>
      <c r="GL456" s="273"/>
      <c r="GM456" s="273"/>
      <c r="GN456" s="273"/>
      <c r="GO456" s="273"/>
      <c r="GP456" s="273"/>
      <c r="GQ456" s="273"/>
      <c r="GR456" s="273"/>
      <c r="GS456" s="273"/>
      <c r="GT456" s="273"/>
      <c r="GU456" s="273"/>
      <c r="GV456" s="273"/>
      <c r="GW456" s="273"/>
      <c r="GX456" s="273"/>
      <c r="GY456" s="273"/>
      <c r="GZ456" s="273"/>
      <c r="HA456" s="273"/>
      <c r="HB456" s="273"/>
      <c r="HC456" s="273"/>
      <c r="HD456" s="273"/>
      <c r="HE456" s="273"/>
      <c r="HF456" s="273"/>
      <c r="HG456" s="273"/>
      <c r="HH456" s="273"/>
      <c r="HI456" s="273"/>
      <c r="HJ456" s="273"/>
      <c r="HK456" s="273"/>
      <c r="HL456" s="273"/>
      <c r="HM456" s="273"/>
      <c r="HN456" s="273"/>
      <c r="HO456" s="273"/>
      <c r="HP456" s="273"/>
      <c r="HQ456" s="273"/>
      <c r="HR456" s="273"/>
      <c r="HS456" s="273"/>
      <c r="HT456" s="273"/>
      <c r="HU456" s="273"/>
      <c r="HV456" s="273"/>
      <c r="HW456" s="273"/>
      <c r="HX456" s="273"/>
      <c r="HY456" s="273"/>
      <c r="HZ456" s="273"/>
      <c r="IA456" s="273"/>
      <c r="IB456" s="273"/>
      <c r="IC456" s="273"/>
      <c r="ID456" s="273"/>
      <c r="IE456" s="273"/>
      <c r="IF456" s="273"/>
      <c r="IG456" s="273"/>
      <c r="IH456" s="273"/>
      <c r="II456" s="273"/>
      <c r="IJ456" s="273"/>
      <c r="IK456" s="273"/>
      <c r="IL456" s="273"/>
      <c r="IM456" s="273"/>
      <c r="IN456" s="273"/>
      <c r="IO456" s="273"/>
      <c r="IP456" s="273"/>
      <c r="IQ456" s="273"/>
      <c r="IR456" s="273"/>
      <c r="IS456" s="273"/>
      <c r="IT456" s="273"/>
      <c r="IU456" s="273"/>
      <c r="IV456" s="273"/>
      <c r="IW456" s="273"/>
      <c r="IX456" s="273"/>
      <c r="IY456" s="273"/>
      <c r="IZ456" s="273"/>
      <c r="JA456" s="273"/>
      <c r="JB456" s="273"/>
      <c r="JC456" s="273"/>
      <c r="JD456" s="273"/>
      <c r="JE456" s="273"/>
      <c r="JF456" s="273"/>
      <c r="JG456" s="273"/>
      <c r="JH456" s="273"/>
      <c r="JI456" s="273"/>
      <c r="JJ456" s="273"/>
      <c r="JK456" s="273"/>
      <c r="JL456" s="273"/>
      <c r="JM456" s="273"/>
      <c r="JN456" s="273"/>
      <c r="JO456" s="273"/>
      <c r="JP456" s="273"/>
      <c r="JQ456" s="273"/>
      <c r="JR456" s="273"/>
      <c r="JS456" s="273"/>
      <c r="JT456" s="273"/>
      <c r="JU456" s="273"/>
      <c r="JV456" s="273"/>
      <c r="JW456" s="273"/>
      <c r="JX456" s="273"/>
      <c r="JY456" s="273"/>
      <c r="JZ456" s="273"/>
      <c r="KA456" s="273"/>
      <c r="KB456" s="273"/>
      <c r="KC456" s="273"/>
      <c r="KD456" s="273"/>
      <c r="KE456" s="273"/>
      <c r="KF456" s="273"/>
      <c r="KG456" s="273"/>
      <c r="KH456" s="273"/>
      <c r="KI456" s="273"/>
      <c r="KJ456" s="273"/>
      <c r="KK456" s="273"/>
      <c r="KL456" s="273"/>
      <c r="KM456" s="273"/>
      <c r="KN456" s="273"/>
      <c r="KO456" s="273"/>
      <c r="KP456" s="273"/>
      <c r="KQ456" s="273"/>
      <c r="KR456" s="273"/>
      <c r="KS456" s="273"/>
      <c r="KT456" s="273"/>
      <c r="KU456" s="273"/>
      <c r="KV456" s="273"/>
      <c r="KW456" s="273"/>
      <c r="KX456" s="273"/>
      <c r="KY456" s="273"/>
      <c r="KZ456" s="273"/>
      <c r="LA456" s="273"/>
      <c r="LB456" s="273"/>
      <c r="LC456" s="273"/>
      <c r="LD456" s="273"/>
      <c r="LE456" s="273"/>
      <c r="LF456" s="273"/>
      <c r="LG456" s="273"/>
      <c r="LH456" s="273"/>
      <c r="LI456" s="273"/>
      <c r="LJ456" s="273"/>
      <c r="LK456" s="273"/>
      <c r="LL456" s="273"/>
      <c r="LM456" s="273"/>
      <c r="LN456" s="273"/>
      <c r="LO456" s="273"/>
      <c r="LP456" s="273"/>
      <c r="LQ456" s="273"/>
      <c r="LR456" s="273"/>
      <c r="LS456" s="273"/>
      <c r="LT456" s="273"/>
      <c r="LU456" s="273"/>
      <c r="LV456" s="273"/>
      <c r="LW456" s="273"/>
      <c r="LX456" s="273"/>
      <c r="LY456" s="273"/>
      <c r="LZ456" s="273"/>
      <c r="MA456" s="273"/>
      <c r="MB456" s="273"/>
      <c r="MC456" s="273"/>
      <c r="MD456" s="273"/>
      <c r="ME456" s="273"/>
      <c r="MF456" s="273"/>
      <c r="MG456" s="273"/>
      <c r="MH456" s="273"/>
      <c r="MI456" s="273"/>
      <c r="MJ456" s="273"/>
      <c r="MK456" s="273"/>
      <c r="ML456" s="273"/>
      <c r="MM456" s="273"/>
      <c r="MN456" s="273"/>
      <c r="MO456" s="273"/>
      <c r="MP456" s="273"/>
      <c r="MQ456" s="273"/>
      <c r="MR456" s="273"/>
      <c r="MS456" s="273"/>
      <c r="MT456" s="273"/>
      <c r="MU456" s="273"/>
      <c r="MV456" s="273"/>
      <c r="MW456" s="273"/>
      <c r="MX456" s="273"/>
      <c r="MY456" s="273"/>
      <c r="MZ456" s="273"/>
      <c r="NA456" s="273"/>
      <c r="NB456" s="273"/>
      <c r="NC456" s="273"/>
      <c r="ND456" s="273"/>
      <c r="NE456" s="273"/>
      <c r="NF456" s="273"/>
      <c r="NG456" s="273"/>
      <c r="NH456" s="273"/>
      <c r="NI456" s="273"/>
      <c r="NJ456" s="273"/>
      <c r="NK456" s="273"/>
      <c r="NL456" s="273"/>
      <c r="NM456" s="273"/>
      <c r="NN456" s="273"/>
      <c r="NO456" s="273"/>
      <c r="NP456" s="273"/>
      <c r="NQ456" s="273"/>
      <c r="NR456" s="273"/>
      <c r="NS456" s="273"/>
      <c r="NT456" s="273"/>
      <c r="NU456" s="273"/>
      <c r="NV456" s="273"/>
      <c r="NW456" s="273"/>
      <c r="NX456" s="273"/>
      <c r="NY456" s="273"/>
      <c r="NZ456" s="273"/>
      <c r="OA456" s="273"/>
      <c r="OB456" s="273"/>
      <c r="OC456" s="273"/>
      <c r="OD456" s="273"/>
      <c r="OE456" s="273"/>
      <c r="OF456" s="273"/>
      <c r="OG456" s="273"/>
      <c r="OH456" s="273"/>
      <c r="OI456" s="273"/>
      <c r="OJ456" s="273"/>
      <c r="OK456" s="273"/>
      <c r="OL456" s="273"/>
      <c r="OM456" s="273"/>
      <c r="ON456" s="273"/>
      <c r="OO456" s="273"/>
      <c r="OP456" s="273"/>
      <c r="OQ456" s="273"/>
      <c r="OR456" s="273"/>
      <c r="OS456" s="273"/>
      <c r="OT456" s="273"/>
      <c r="OU456" s="273"/>
      <c r="OV456" s="273"/>
      <c r="OW456" s="273"/>
      <c r="OX456" s="273"/>
      <c r="OY456" s="273"/>
      <c r="OZ456" s="273"/>
      <c r="PA456" s="273"/>
      <c r="PB456" s="273"/>
      <c r="PC456" s="273"/>
      <c r="PD456" s="273"/>
      <c r="PE456" s="273"/>
      <c r="PF456" s="273"/>
      <c r="PG456" s="273"/>
      <c r="PH456" s="273"/>
      <c r="PI456" s="273"/>
      <c r="PJ456" s="273"/>
      <c r="PK456" s="273"/>
      <c r="PL456" s="273"/>
      <c r="PM456" s="273"/>
      <c r="PN456" s="273"/>
      <c r="PO456" s="273"/>
      <c r="PP456" s="273"/>
      <c r="PQ456" s="273"/>
      <c r="PR456" s="273"/>
      <c r="PS456" s="273"/>
      <c r="PT456" s="273"/>
      <c r="PU456" s="273"/>
      <c r="PV456" s="273"/>
      <c r="PW456" s="273"/>
      <c r="PX456" s="273"/>
      <c r="PY456" s="273"/>
      <c r="PZ456" s="273"/>
      <c r="QA456" s="273"/>
      <c r="QB456" s="273"/>
      <c r="QC456" s="273"/>
      <c r="QD456" s="273"/>
      <c r="QE456" s="273"/>
      <c r="QF456" s="273"/>
      <c r="QG456" s="273"/>
      <c r="QH456" s="273"/>
      <c r="QI456" s="273"/>
      <c r="QJ456" s="273"/>
      <c r="QK456" s="273"/>
      <c r="QL456" s="273"/>
      <c r="QM456" s="273"/>
      <c r="QN456" s="273"/>
      <c r="QO456" s="273"/>
      <c r="QP456" s="273"/>
      <c r="QQ456" s="273"/>
      <c r="QR456" s="273"/>
      <c r="QS456" s="273"/>
      <c r="QT456" s="273"/>
      <c r="QU456" s="273"/>
      <c r="QV456" s="273"/>
      <c r="QW456" s="273"/>
      <c r="QX456" s="273"/>
      <c r="QY456" s="273"/>
      <c r="QZ456" s="273"/>
      <c r="RA456" s="273"/>
      <c r="RB456" s="273"/>
      <c r="RC456" s="273"/>
      <c r="RD456" s="273"/>
      <c r="RE456" s="273"/>
      <c r="RF456" s="273"/>
      <c r="RG456" s="273"/>
      <c r="RH456" s="273"/>
      <c r="RI456" s="273"/>
      <c r="RJ456" s="273"/>
      <c r="RK456" s="273"/>
      <c r="RL456" s="273"/>
      <c r="RM456" s="273"/>
      <c r="RN456" s="273"/>
      <c r="RO456" s="273"/>
      <c r="RP456" s="273"/>
      <c r="RQ456" s="273"/>
    </row>
    <row r="457" spans="1:485" s="450" customFormat="1" ht="26" x14ac:dyDescent="0.25">
      <c r="A457" s="3027"/>
      <c r="B457" s="595" t="s">
        <v>1011</v>
      </c>
      <c r="C457" s="266" t="s">
        <v>15</v>
      </c>
      <c r="D457" s="467" t="s">
        <v>955</v>
      </c>
      <c r="E457" s="468">
        <v>22</v>
      </c>
      <c r="F457" s="468">
        <v>8.0757575757575761</v>
      </c>
      <c r="G457" s="467">
        <v>3</v>
      </c>
      <c r="H457" s="451">
        <f t="shared" si="212"/>
        <v>533</v>
      </c>
      <c r="I457" s="675">
        <v>0.6</v>
      </c>
      <c r="J457" s="451">
        <v>1</v>
      </c>
      <c r="K457" s="451">
        <v>457</v>
      </c>
      <c r="L457" s="451">
        <v>1</v>
      </c>
      <c r="M457" s="1834">
        <f t="shared" si="214"/>
        <v>457</v>
      </c>
      <c r="N457" s="697">
        <v>0.6</v>
      </c>
      <c r="O457" s="696">
        <f t="shared" si="213"/>
        <v>990</v>
      </c>
      <c r="P457" s="675">
        <v>0.6</v>
      </c>
      <c r="Q457" s="451">
        <f t="shared" si="203"/>
        <v>594</v>
      </c>
      <c r="R457" s="522" t="s">
        <v>1012</v>
      </c>
      <c r="S457" s="452">
        <f>COOPI!S49</f>
        <v>1371</v>
      </c>
      <c r="T457" s="591">
        <f t="shared" si="215"/>
        <v>1.3848484848484848</v>
      </c>
      <c r="U457" s="894" t="s">
        <v>606</v>
      </c>
      <c r="V457" s="591">
        <f t="shared" si="216"/>
        <v>1.384848484848485</v>
      </c>
      <c r="W457" s="452">
        <f t="shared" si="217"/>
        <v>822.6</v>
      </c>
      <c r="X457" s="452" t="s">
        <v>606</v>
      </c>
      <c r="Y457" s="273"/>
      <c r="Z457" s="273"/>
      <c r="AA457" s="273"/>
      <c r="AB457" s="273"/>
      <c r="AC457" s="273"/>
      <c r="AD457" s="273"/>
      <c r="AE457" s="273"/>
      <c r="AF457" s="273"/>
      <c r="AG457" s="273"/>
      <c r="AH457" s="273"/>
      <c r="AI457" s="273"/>
      <c r="AJ457" s="273"/>
      <c r="AK457" s="273"/>
      <c r="AL457" s="273"/>
      <c r="AM457" s="273"/>
      <c r="AN457" s="273"/>
      <c r="AO457" s="273"/>
      <c r="AP457" s="273"/>
      <c r="AQ457" s="273"/>
      <c r="AR457" s="273"/>
      <c r="AS457" s="273"/>
      <c r="AT457" s="273"/>
      <c r="AU457" s="273"/>
      <c r="AV457" s="273"/>
      <c r="AW457" s="273"/>
      <c r="AX457" s="273"/>
      <c r="AY457" s="273"/>
      <c r="AZ457" s="273"/>
      <c r="BA457" s="273"/>
      <c r="BB457" s="273"/>
      <c r="BC457" s="273"/>
      <c r="BD457" s="273"/>
      <c r="BE457" s="273"/>
      <c r="BF457" s="273"/>
      <c r="BG457" s="273"/>
      <c r="BH457" s="273"/>
      <c r="BI457" s="273"/>
      <c r="BJ457" s="273"/>
      <c r="BK457" s="273"/>
      <c r="BL457" s="273"/>
      <c r="BM457" s="273"/>
      <c r="BN457" s="273"/>
      <c r="BO457" s="273"/>
      <c r="BP457" s="273"/>
      <c r="BQ457" s="273"/>
      <c r="BR457" s="273"/>
      <c r="BS457" s="273"/>
      <c r="BT457" s="273"/>
      <c r="BU457" s="273"/>
      <c r="BV457" s="273"/>
      <c r="BW457" s="273"/>
      <c r="BX457" s="273"/>
      <c r="BY457" s="273"/>
      <c r="BZ457" s="273"/>
      <c r="CA457" s="273"/>
      <c r="CB457" s="273"/>
      <c r="CC457" s="273"/>
      <c r="CD457" s="273"/>
      <c r="CE457" s="273"/>
      <c r="CF457" s="273"/>
      <c r="CG457" s="273"/>
      <c r="CH457" s="273"/>
      <c r="CI457" s="273"/>
      <c r="CJ457" s="273"/>
      <c r="CK457" s="273"/>
      <c r="CL457" s="273"/>
      <c r="CM457" s="273"/>
      <c r="CN457" s="273"/>
      <c r="CO457" s="273"/>
      <c r="CP457" s="273"/>
      <c r="CQ457" s="273"/>
      <c r="CR457" s="273"/>
      <c r="CS457" s="273"/>
      <c r="CT457" s="273"/>
      <c r="CU457" s="273"/>
      <c r="CV457" s="273"/>
      <c r="CW457" s="273"/>
      <c r="CX457" s="273"/>
      <c r="CY457" s="273"/>
      <c r="CZ457" s="273"/>
      <c r="DA457" s="273"/>
      <c r="DB457" s="273"/>
      <c r="DC457" s="273"/>
      <c r="DD457" s="273"/>
      <c r="DE457" s="273"/>
      <c r="DF457" s="273"/>
      <c r="DG457" s="273"/>
      <c r="DH457" s="273"/>
      <c r="DI457" s="273"/>
      <c r="DJ457" s="273"/>
      <c r="DK457" s="273"/>
      <c r="DL457" s="273"/>
      <c r="DM457" s="273"/>
      <c r="DN457" s="273"/>
      <c r="DO457" s="273"/>
      <c r="DP457" s="273"/>
      <c r="DQ457" s="273"/>
      <c r="DR457" s="273"/>
      <c r="DS457" s="273"/>
      <c r="DT457" s="273"/>
      <c r="DU457" s="273"/>
      <c r="DV457" s="273"/>
      <c r="DW457" s="273"/>
      <c r="DX457" s="273"/>
      <c r="DY457" s="273"/>
      <c r="DZ457" s="273"/>
      <c r="EA457" s="273"/>
      <c r="EB457" s="273"/>
      <c r="EC457" s="273"/>
      <c r="ED457" s="273"/>
      <c r="EE457" s="273"/>
      <c r="EF457" s="273"/>
      <c r="EG457" s="273"/>
      <c r="EH457" s="273"/>
      <c r="EI457" s="273"/>
      <c r="EJ457" s="273"/>
      <c r="EK457" s="273"/>
      <c r="EL457" s="273"/>
      <c r="EM457" s="273"/>
      <c r="EN457" s="273"/>
      <c r="EO457" s="273"/>
      <c r="EP457" s="273"/>
      <c r="EQ457" s="273"/>
      <c r="ER457" s="273"/>
      <c r="ES457" s="273"/>
      <c r="ET457" s="273"/>
      <c r="EU457" s="273"/>
      <c r="EV457" s="273"/>
      <c r="EW457" s="273"/>
      <c r="EX457" s="273"/>
      <c r="EY457" s="273"/>
      <c r="EZ457" s="273"/>
      <c r="FA457" s="273"/>
      <c r="FB457" s="273"/>
      <c r="FC457" s="273"/>
      <c r="FD457" s="273"/>
      <c r="FE457" s="273"/>
      <c r="FF457" s="273"/>
      <c r="FG457" s="273"/>
      <c r="FH457" s="273"/>
      <c r="FI457" s="273"/>
      <c r="FJ457" s="273"/>
      <c r="FK457" s="273"/>
      <c r="FL457" s="273"/>
      <c r="FM457" s="273"/>
      <c r="FN457" s="273"/>
      <c r="FO457" s="273"/>
      <c r="FP457" s="273"/>
      <c r="FQ457" s="273"/>
      <c r="FR457" s="273"/>
      <c r="FS457" s="273"/>
      <c r="FT457" s="273"/>
      <c r="FU457" s="273"/>
      <c r="FV457" s="273"/>
      <c r="FW457" s="273"/>
      <c r="FX457" s="273"/>
      <c r="FY457" s="273"/>
      <c r="FZ457" s="273"/>
      <c r="GA457" s="273"/>
      <c r="GB457" s="273"/>
      <c r="GC457" s="273"/>
      <c r="GD457" s="273"/>
      <c r="GE457" s="273"/>
      <c r="GF457" s="273"/>
      <c r="GG457" s="273"/>
      <c r="GH457" s="273"/>
      <c r="GI457" s="273"/>
      <c r="GJ457" s="273"/>
      <c r="GK457" s="273"/>
      <c r="GL457" s="273"/>
      <c r="GM457" s="273"/>
      <c r="GN457" s="273"/>
      <c r="GO457" s="273"/>
      <c r="GP457" s="273"/>
      <c r="GQ457" s="273"/>
      <c r="GR457" s="273"/>
      <c r="GS457" s="273"/>
      <c r="GT457" s="273"/>
      <c r="GU457" s="273"/>
      <c r="GV457" s="273"/>
      <c r="GW457" s="273"/>
      <c r="GX457" s="273"/>
      <c r="GY457" s="273"/>
      <c r="GZ457" s="273"/>
      <c r="HA457" s="273"/>
      <c r="HB457" s="273"/>
      <c r="HC457" s="273"/>
      <c r="HD457" s="273"/>
      <c r="HE457" s="273"/>
      <c r="HF457" s="273"/>
      <c r="HG457" s="273"/>
      <c r="HH457" s="273"/>
      <c r="HI457" s="273"/>
      <c r="HJ457" s="273"/>
      <c r="HK457" s="273"/>
      <c r="HL457" s="273"/>
      <c r="HM457" s="273"/>
      <c r="HN457" s="273"/>
      <c r="HO457" s="273"/>
      <c r="HP457" s="273"/>
      <c r="HQ457" s="273"/>
      <c r="HR457" s="273"/>
      <c r="HS457" s="273"/>
      <c r="HT457" s="273"/>
      <c r="HU457" s="273"/>
      <c r="HV457" s="273"/>
      <c r="HW457" s="273"/>
      <c r="HX457" s="273"/>
      <c r="HY457" s="273"/>
      <c r="HZ457" s="273"/>
      <c r="IA457" s="273"/>
      <c r="IB457" s="273"/>
      <c r="IC457" s="273"/>
      <c r="ID457" s="273"/>
      <c r="IE457" s="273"/>
      <c r="IF457" s="273"/>
      <c r="IG457" s="273"/>
      <c r="IH457" s="273"/>
      <c r="II457" s="273"/>
      <c r="IJ457" s="273"/>
      <c r="IK457" s="273"/>
      <c r="IL457" s="273"/>
      <c r="IM457" s="273"/>
      <c r="IN457" s="273"/>
      <c r="IO457" s="273"/>
      <c r="IP457" s="273"/>
      <c r="IQ457" s="273"/>
      <c r="IR457" s="273"/>
      <c r="IS457" s="273"/>
      <c r="IT457" s="273"/>
      <c r="IU457" s="273"/>
      <c r="IV457" s="273"/>
      <c r="IW457" s="273"/>
      <c r="IX457" s="273"/>
      <c r="IY457" s="273"/>
      <c r="IZ457" s="273"/>
      <c r="JA457" s="273"/>
      <c r="JB457" s="273"/>
      <c r="JC457" s="273"/>
      <c r="JD457" s="273"/>
      <c r="JE457" s="273"/>
      <c r="JF457" s="273"/>
      <c r="JG457" s="273"/>
      <c r="JH457" s="273"/>
      <c r="JI457" s="273"/>
      <c r="JJ457" s="273"/>
      <c r="JK457" s="273"/>
      <c r="JL457" s="273"/>
      <c r="JM457" s="273"/>
      <c r="JN457" s="273"/>
      <c r="JO457" s="273"/>
      <c r="JP457" s="273"/>
      <c r="JQ457" s="273"/>
      <c r="JR457" s="273"/>
      <c r="JS457" s="273"/>
      <c r="JT457" s="273"/>
      <c r="JU457" s="273"/>
      <c r="JV457" s="273"/>
      <c r="JW457" s="273"/>
      <c r="JX457" s="273"/>
      <c r="JY457" s="273"/>
      <c r="JZ457" s="273"/>
      <c r="KA457" s="273"/>
      <c r="KB457" s="273"/>
      <c r="KC457" s="273"/>
      <c r="KD457" s="273"/>
      <c r="KE457" s="273"/>
      <c r="KF457" s="273"/>
      <c r="KG457" s="273"/>
      <c r="KH457" s="273"/>
      <c r="KI457" s="273"/>
      <c r="KJ457" s="273"/>
      <c r="KK457" s="273"/>
      <c r="KL457" s="273"/>
      <c r="KM457" s="273"/>
      <c r="KN457" s="273"/>
      <c r="KO457" s="273"/>
      <c r="KP457" s="273"/>
      <c r="KQ457" s="273"/>
      <c r="KR457" s="273"/>
      <c r="KS457" s="273"/>
      <c r="KT457" s="273"/>
      <c r="KU457" s="273"/>
      <c r="KV457" s="273"/>
      <c r="KW457" s="273"/>
      <c r="KX457" s="273"/>
      <c r="KY457" s="273"/>
      <c r="KZ457" s="273"/>
      <c r="LA457" s="273"/>
      <c r="LB457" s="273"/>
      <c r="LC457" s="273"/>
      <c r="LD457" s="273"/>
      <c r="LE457" s="273"/>
      <c r="LF457" s="273"/>
      <c r="LG457" s="273"/>
      <c r="LH457" s="273"/>
      <c r="LI457" s="273"/>
      <c r="LJ457" s="273"/>
      <c r="LK457" s="273"/>
      <c r="LL457" s="273"/>
      <c r="LM457" s="273"/>
      <c r="LN457" s="273"/>
      <c r="LO457" s="273"/>
      <c r="LP457" s="273"/>
      <c r="LQ457" s="273"/>
      <c r="LR457" s="273"/>
      <c r="LS457" s="273"/>
      <c r="LT457" s="273"/>
      <c r="LU457" s="273"/>
      <c r="LV457" s="273"/>
      <c r="LW457" s="273"/>
      <c r="LX457" s="273"/>
      <c r="LY457" s="273"/>
      <c r="LZ457" s="273"/>
      <c r="MA457" s="273"/>
      <c r="MB457" s="273"/>
      <c r="MC457" s="273"/>
      <c r="MD457" s="273"/>
      <c r="ME457" s="273"/>
      <c r="MF457" s="273"/>
      <c r="MG457" s="273"/>
      <c r="MH457" s="273"/>
      <c r="MI457" s="273"/>
      <c r="MJ457" s="273"/>
      <c r="MK457" s="273"/>
      <c r="ML457" s="273"/>
      <c r="MM457" s="273"/>
      <c r="MN457" s="273"/>
      <c r="MO457" s="273"/>
      <c r="MP457" s="273"/>
      <c r="MQ457" s="273"/>
      <c r="MR457" s="273"/>
      <c r="MS457" s="273"/>
      <c r="MT457" s="273"/>
      <c r="MU457" s="273"/>
      <c r="MV457" s="273"/>
      <c r="MW457" s="273"/>
      <c r="MX457" s="273"/>
      <c r="MY457" s="273"/>
      <c r="MZ457" s="273"/>
      <c r="NA457" s="273"/>
      <c r="NB457" s="273"/>
      <c r="NC457" s="273"/>
      <c r="ND457" s="273"/>
      <c r="NE457" s="273"/>
      <c r="NF457" s="273"/>
      <c r="NG457" s="273"/>
      <c r="NH457" s="273"/>
      <c r="NI457" s="273"/>
      <c r="NJ457" s="273"/>
      <c r="NK457" s="273"/>
      <c r="NL457" s="273"/>
      <c r="NM457" s="273"/>
      <c r="NN457" s="273"/>
      <c r="NO457" s="273"/>
      <c r="NP457" s="273"/>
      <c r="NQ457" s="273"/>
      <c r="NR457" s="273"/>
      <c r="NS457" s="273"/>
      <c r="NT457" s="273"/>
      <c r="NU457" s="273"/>
      <c r="NV457" s="273"/>
      <c r="NW457" s="273"/>
      <c r="NX457" s="273"/>
      <c r="NY457" s="273"/>
      <c r="NZ457" s="273"/>
      <c r="OA457" s="273"/>
      <c r="OB457" s="273"/>
      <c r="OC457" s="273"/>
      <c r="OD457" s="273"/>
      <c r="OE457" s="273"/>
      <c r="OF457" s="273"/>
      <c r="OG457" s="273"/>
      <c r="OH457" s="273"/>
      <c r="OI457" s="273"/>
      <c r="OJ457" s="273"/>
      <c r="OK457" s="273"/>
      <c r="OL457" s="273"/>
      <c r="OM457" s="273"/>
      <c r="ON457" s="273"/>
      <c r="OO457" s="273"/>
      <c r="OP457" s="273"/>
      <c r="OQ457" s="273"/>
      <c r="OR457" s="273"/>
      <c r="OS457" s="273"/>
      <c r="OT457" s="273"/>
      <c r="OU457" s="273"/>
      <c r="OV457" s="273"/>
      <c r="OW457" s="273"/>
      <c r="OX457" s="273"/>
      <c r="OY457" s="273"/>
      <c r="OZ457" s="273"/>
      <c r="PA457" s="273"/>
      <c r="PB457" s="273"/>
      <c r="PC457" s="273"/>
      <c r="PD457" s="273"/>
      <c r="PE457" s="273"/>
      <c r="PF457" s="273"/>
      <c r="PG457" s="273"/>
      <c r="PH457" s="273"/>
      <c r="PI457" s="273"/>
      <c r="PJ457" s="273"/>
      <c r="PK457" s="273"/>
      <c r="PL457" s="273"/>
      <c r="PM457" s="273"/>
      <c r="PN457" s="273"/>
      <c r="PO457" s="273"/>
      <c r="PP457" s="273"/>
      <c r="PQ457" s="273"/>
      <c r="PR457" s="273"/>
      <c r="PS457" s="273"/>
      <c r="PT457" s="273"/>
      <c r="PU457" s="273"/>
      <c r="PV457" s="273"/>
      <c r="PW457" s="273"/>
      <c r="PX457" s="273"/>
      <c r="PY457" s="273"/>
      <c r="PZ457" s="273"/>
      <c r="QA457" s="273"/>
      <c r="QB457" s="273"/>
      <c r="QC457" s="273"/>
      <c r="QD457" s="273"/>
      <c r="QE457" s="273"/>
      <c r="QF457" s="273"/>
      <c r="QG457" s="273"/>
      <c r="QH457" s="273"/>
      <c r="QI457" s="273"/>
      <c r="QJ457" s="273"/>
      <c r="QK457" s="273"/>
      <c r="QL457" s="273"/>
      <c r="QM457" s="273"/>
      <c r="QN457" s="273"/>
      <c r="QO457" s="273"/>
      <c r="QP457" s="273"/>
      <c r="QQ457" s="273"/>
      <c r="QR457" s="273"/>
      <c r="QS457" s="273"/>
      <c r="QT457" s="273"/>
      <c r="QU457" s="273"/>
      <c r="QV457" s="273"/>
      <c r="QW457" s="273"/>
      <c r="QX457" s="273"/>
      <c r="QY457" s="273"/>
      <c r="QZ457" s="273"/>
      <c r="RA457" s="273"/>
      <c r="RB457" s="273"/>
      <c r="RC457" s="273"/>
      <c r="RD457" s="273"/>
      <c r="RE457" s="273"/>
      <c r="RF457" s="273"/>
      <c r="RG457" s="273"/>
      <c r="RH457" s="273"/>
      <c r="RI457" s="273"/>
      <c r="RJ457" s="273"/>
      <c r="RK457" s="273"/>
      <c r="RL457" s="273"/>
      <c r="RM457" s="273"/>
      <c r="RN457" s="273"/>
      <c r="RO457" s="273"/>
      <c r="RP457" s="273"/>
      <c r="RQ457" s="273"/>
    </row>
    <row r="458" spans="1:485" s="450" customFormat="1" x14ac:dyDescent="0.25">
      <c r="A458" s="3027"/>
      <c r="B458" s="595" t="s">
        <v>1013</v>
      </c>
      <c r="C458" s="266" t="s">
        <v>47</v>
      </c>
      <c r="D458" s="467" t="s">
        <v>955</v>
      </c>
      <c r="E458" s="468">
        <v>1</v>
      </c>
      <c r="F458" s="468">
        <v>84.5</v>
      </c>
      <c r="G458" s="467">
        <v>4</v>
      </c>
      <c r="H458" s="451">
        <f t="shared" si="212"/>
        <v>338</v>
      </c>
      <c r="I458" s="675">
        <v>1</v>
      </c>
      <c r="J458" s="451"/>
      <c r="K458" s="451"/>
      <c r="L458" s="451"/>
      <c r="M458" s="1834">
        <f t="shared" si="214"/>
        <v>0</v>
      </c>
      <c r="N458" s="697">
        <v>1</v>
      </c>
      <c r="O458" s="696">
        <f t="shared" si="213"/>
        <v>338</v>
      </c>
      <c r="P458" s="675">
        <v>1</v>
      </c>
      <c r="Q458" s="451">
        <f t="shared" si="203"/>
        <v>338</v>
      </c>
      <c r="R458" s="522" t="s">
        <v>1014</v>
      </c>
      <c r="S458" s="452">
        <f>COOPI!S50</f>
        <v>338</v>
      </c>
      <c r="T458" s="591">
        <f t="shared" si="215"/>
        <v>1</v>
      </c>
      <c r="U458" s="894" t="s">
        <v>606</v>
      </c>
      <c r="V458" s="591">
        <f t="shared" si="216"/>
        <v>1</v>
      </c>
      <c r="W458" s="452">
        <f t="shared" si="217"/>
        <v>338</v>
      </c>
      <c r="X458" s="452" t="s">
        <v>606</v>
      </c>
      <c r="Y458" s="273"/>
      <c r="Z458" s="273"/>
      <c r="AA458" s="273"/>
      <c r="AB458" s="273"/>
      <c r="AC458" s="273"/>
      <c r="AD458" s="273"/>
      <c r="AE458" s="273"/>
      <c r="AF458" s="273"/>
      <c r="AG458" s="273"/>
      <c r="AH458" s="273"/>
      <c r="AI458" s="273"/>
      <c r="AJ458" s="273"/>
      <c r="AK458" s="273"/>
      <c r="AL458" s="273"/>
      <c r="AM458" s="273"/>
      <c r="AN458" s="273"/>
      <c r="AO458" s="273"/>
      <c r="AP458" s="273"/>
      <c r="AQ458" s="273"/>
      <c r="AR458" s="273"/>
      <c r="AS458" s="273"/>
      <c r="AT458" s="273"/>
      <c r="AU458" s="273"/>
      <c r="AV458" s="273"/>
      <c r="AW458" s="273"/>
      <c r="AX458" s="273"/>
      <c r="AY458" s="273"/>
      <c r="AZ458" s="273"/>
      <c r="BA458" s="273"/>
      <c r="BB458" s="273"/>
      <c r="BC458" s="273"/>
      <c r="BD458" s="273"/>
      <c r="BE458" s="273"/>
      <c r="BF458" s="273"/>
      <c r="BG458" s="273"/>
      <c r="BH458" s="273"/>
      <c r="BI458" s="273"/>
      <c r="BJ458" s="273"/>
      <c r="BK458" s="273"/>
      <c r="BL458" s="273"/>
      <c r="BM458" s="273"/>
      <c r="BN458" s="273"/>
      <c r="BO458" s="273"/>
      <c r="BP458" s="273"/>
      <c r="BQ458" s="273"/>
      <c r="BR458" s="273"/>
      <c r="BS458" s="273"/>
      <c r="BT458" s="273"/>
      <c r="BU458" s="273"/>
      <c r="BV458" s="273"/>
      <c r="BW458" s="273"/>
      <c r="BX458" s="273"/>
      <c r="BY458" s="273"/>
      <c r="BZ458" s="273"/>
      <c r="CA458" s="273"/>
      <c r="CB458" s="273"/>
      <c r="CC458" s="273"/>
      <c r="CD458" s="273"/>
      <c r="CE458" s="273"/>
      <c r="CF458" s="273"/>
      <c r="CG458" s="273"/>
      <c r="CH458" s="273"/>
      <c r="CI458" s="273"/>
      <c r="CJ458" s="273"/>
      <c r="CK458" s="273"/>
      <c r="CL458" s="273"/>
      <c r="CM458" s="273"/>
      <c r="CN458" s="273"/>
      <c r="CO458" s="273"/>
      <c r="CP458" s="273"/>
      <c r="CQ458" s="273"/>
      <c r="CR458" s="273"/>
      <c r="CS458" s="273"/>
      <c r="CT458" s="273"/>
      <c r="CU458" s="273"/>
      <c r="CV458" s="273"/>
      <c r="CW458" s="273"/>
      <c r="CX458" s="273"/>
      <c r="CY458" s="273"/>
      <c r="CZ458" s="273"/>
      <c r="DA458" s="273"/>
      <c r="DB458" s="273"/>
      <c r="DC458" s="273"/>
      <c r="DD458" s="273"/>
      <c r="DE458" s="273"/>
      <c r="DF458" s="273"/>
      <c r="DG458" s="273"/>
      <c r="DH458" s="273"/>
      <c r="DI458" s="273"/>
      <c r="DJ458" s="273"/>
      <c r="DK458" s="273"/>
      <c r="DL458" s="273"/>
      <c r="DM458" s="273"/>
      <c r="DN458" s="273"/>
      <c r="DO458" s="273"/>
      <c r="DP458" s="273"/>
      <c r="DQ458" s="273"/>
      <c r="DR458" s="273"/>
      <c r="DS458" s="273"/>
      <c r="DT458" s="273"/>
      <c r="DU458" s="273"/>
      <c r="DV458" s="273"/>
      <c r="DW458" s="273"/>
      <c r="DX458" s="273"/>
      <c r="DY458" s="273"/>
      <c r="DZ458" s="273"/>
      <c r="EA458" s="273"/>
      <c r="EB458" s="273"/>
      <c r="EC458" s="273"/>
      <c r="ED458" s="273"/>
      <c r="EE458" s="273"/>
      <c r="EF458" s="273"/>
      <c r="EG458" s="273"/>
      <c r="EH458" s="273"/>
      <c r="EI458" s="273"/>
      <c r="EJ458" s="273"/>
      <c r="EK458" s="273"/>
      <c r="EL458" s="273"/>
      <c r="EM458" s="273"/>
      <c r="EN458" s="273"/>
      <c r="EO458" s="273"/>
      <c r="EP458" s="273"/>
      <c r="EQ458" s="273"/>
      <c r="ER458" s="273"/>
      <c r="ES458" s="273"/>
      <c r="ET458" s="273"/>
      <c r="EU458" s="273"/>
      <c r="EV458" s="273"/>
      <c r="EW458" s="273"/>
      <c r="EX458" s="273"/>
      <c r="EY458" s="273"/>
      <c r="EZ458" s="273"/>
      <c r="FA458" s="273"/>
      <c r="FB458" s="273"/>
      <c r="FC458" s="273"/>
      <c r="FD458" s="273"/>
      <c r="FE458" s="273"/>
      <c r="FF458" s="273"/>
      <c r="FG458" s="273"/>
      <c r="FH458" s="273"/>
      <c r="FI458" s="273"/>
      <c r="FJ458" s="273"/>
      <c r="FK458" s="273"/>
      <c r="FL458" s="273"/>
      <c r="FM458" s="273"/>
      <c r="FN458" s="273"/>
      <c r="FO458" s="273"/>
      <c r="FP458" s="273"/>
      <c r="FQ458" s="273"/>
      <c r="FR458" s="273"/>
      <c r="FS458" s="273"/>
      <c r="FT458" s="273"/>
      <c r="FU458" s="273"/>
      <c r="FV458" s="273"/>
      <c r="FW458" s="273"/>
      <c r="FX458" s="273"/>
      <c r="FY458" s="273"/>
      <c r="FZ458" s="273"/>
      <c r="GA458" s="273"/>
      <c r="GB458" s="273"/>
      <c r="GC458" s="273"/>
      <c r="GD458" s="273"/>
      <c r="GE458" s="273"/>
      <c r="GF458" s="273"/>
      <c r="GG458" s="273"/>
      <c r="GH458" s="273"/>
      <c r="GI458" s="273"/>
      <c r="GJ458" s="273"/>
      <c r="GK458" s="273"/>
      <c r="GL458" s="273"/>
      <c r="GM458" s="273"/>
      <c r="GN458" s="273"/>
      <c r="GO458" s="273"/>
      <c r="GP458" s="273"/>
      <c r="GQ458" s="273"/>
      <c r="GR458" s="273"/>
      <c r="GS458" s="273"/>
      <c r="GT458" s="273"/>
      <c r="GU458" s="273"/>
      <c r="GV458" s="273"/>
      <c r="GW458" s="273"/>
      <c r="GX458" s="273"/>
      <c r="GY458" s="273"/>
      <c r="GZ458" s="273"/>
      <c r="HA458" s="273"/>
      <c r="HB458" s="273"/>
      <c r="HC458" s="273"/>
      <c r="HD458" s="273"/>
      <c r="HE458" s="273"/>
      <c r="HF458" s="273"/>
      <c r="HG458" s="273"/>
      <c r="HH458" s="273"/>
      <c r="HI458" s="273"/>
      <c r="HJ458" s="273"/>
      <c r="HK458" s="273"/>
      <c r="HL458" s="273"/>
      <c r="HM458" s="273"/>
      <c r="HN458" s="273"/>
      <c r="HO458" s="273"/>
      <c r="HP458" s="273"/>
      <c r="HQ458" s="273"/>
      <c r="HR458" s="273"/>
      <c r="HS458" s="273"/>
      <c r="HT458" s="273"/>
      <c r="HU458" s="273"/>
      <c r="HV458" s="273"/>
      <c r="HW458" s="273"/>
      <c r="HX458" s="273"/>
      <c r="HY458" s="273"/>
      <c r="HZ458" s="273"/>
      <c r="IA458" s="273"/>
      <c r="IB458" s="273"/>
      <c r="IC458" s="273"/>
      <c r="ID458" s="273"/>
      <c r="IE458" s="273"/>
      <c r="IF458" s="273"/>
      <c r="IG458" s="273"/>
      <c r="IH458" s="273"/>
      <c r="II458" s="273"/>
      <c r="IJ458" s="273"/>
      <c r="IK458" s="273"/>
      <c r="IL458" s="273"/>
      <c r="IM458" s="273"/>
      <c r="IN458" s="273"/>
      <c r="IO458" s="273"/>
      <c r="IP458" s="273"/>
      <c r="IQ458" s="273"/>
      <c r="IR458" s="273"/>
      <c r="IS458" s="273"/>
      <c r="IT458" s="273"/>
      <c r="IU458" s="273"/>
      <c r="IV458" s="273"/>
      <c r="IW458" s="273"/>
      <c r="IX458" s="273"/>
      <c r="IY458" s="273"/>
      <c r="IZ458" s="273"/>
      <c r="JA458" s="273"/>
      <c r="JB458" s="273"/>
      <c r="JC458" s="273"/>
      <c r="JD458" s="273"/>
      <c r="JE458" s="273"/>
      <c r="JF458" s="273"/>
      <c r="JG458" s="273"/>
      <c r="JH458" s="273"/>
      <c r="JI458" s="273"/>
      <c r="JJ458" s="273"/>
      <c r="JK458" s="273"/>
      <c r="JL458" s="273"/>
      <c r="JM458" s="273"/>
      <c r="JN458" s="273"/>
      <c r="JO458" s="273"/>
      <c r="JP458" s="273"/>
      <c r="JQ458" s="273"/>
      <c r="JR458" s="273"/>
      <c r="JS458" s="273"/>
      <c r="JT458" s="273"/>
      <c r="JU458" s="273"/>
      <c r="JV458" s="273"/>
      <c r="JW458" s="273"/>
      <c r="JX458" s="273"/>
      <c r="JY458" s="273"/>
      <c r="JZ458" s="273"/>
      <c r="KA458" s="273"/>
      <c r="KB458" s="273"/>
      <c r="KC458" s="273"/>
      <c r="KD458" s="273"/>
      <c r="KE458" s="273"/>
      <c r="KF458" s="273"/>
      <c r="KG458" s="273"/>
      <c r="KH458" s="273"/>
      <c r="KI458" s="273"/>
      <c r="KJ458" s="273"/>
      <c r="KK458" s="273"/>
      <c r="KL458" s="273"/>
      <c r="KM458" s="273"/>
      <c r="KN458" s="273"/>
      <c r="KO458" s="273"/>
      <c r="KP458" s="273"/>
      <c r="KQ458" s="273"/>
      <c r="KR458" s="273"/>
      <c r="KS458" s="273"/>
      <c r="KT458" s="273"/>
      <c r="KU458" s="273"/>
      <c r="KV458" s="273"/>
      <c r="KW458" s="273"/>
      <c r="KX458" s="273"/>
      <c r="KY458" s="273"/>
      <c r="KZ458" s="273"/>
      <c r="LA458" s="273"/>
      <c r="LB458" s="273"/>
      <c r="LC458" s="273"/>
      <c r="LD458" s="273"/>
      <c r="LE458" s="273"/>
      <c r="LF458" s="273"/>
      <c r="LG458" s="273"/>
      <c r="LH458" s="273"/>
      <c r="LI458" s="273"/>
      <c r="LJ458" s="273"/>
      <c r="LK458" s="273"/>
      <c r="LL458" s="273"/>
      <c r="LM458" s="273"/>
      <c r="LN458" s="273"/>
      <c r="LO458" s="273"/>
      <c r="LP458" s="273"/>
      <c r="LQ458" s="273"/>
      <c r="LR458" s="273"/>
      <c r="LS458" s="273"/>
      <c r="LT458" s="273"/>
      <c r="LU458" s="273"/>
      <c r="LV458" s="273"/>
      <c r="LW458" s="273"/>
      <c r="LX458" s="273"/>
      <c r="LY458" s="273"/>
      <c r="LZ458" s="273"/>
      <c r="MA458" s="273"/>
      <c r="MB458" s="273"/>
      <c r="MC458" s="273"/>
      <c r="MD458" s="273"/>
      <c r="ME458" s="273"/>
      <c r="MF458" s="273"/>
      <c r="MG458" s="273"/>
      <c r="MH458" s="273"/>
      <c r="MI458" s="273"/>
      <c r="MJ458" s="273"/>
      <c r="MK458" s="273"/>
      <c r="ML458" s="273"/>
      <c r="MM458" s="273"/>
      <c r="MN458" s="273"/>
      <c r="MO458" s="273"/>
      <c r="MP458" s="273"/>
      <c r="MQ458" s="273"/>
      <c r="MR458" s="273"/>
      <c r="MS458" s="273"/>
      <c r="MT458" s="273"/>
      <c r="MU458" s="273"/>
      <c r="MV458" s="273"/>
      <c r="MW458" s="273"/>
      <c r="MX458" s="273"/>
      <c r="MY458" s="273"/>
      <c r="MZ458" s="273"/>
      <c r="NA458" s="273"/>
      <c r="NB458" s="273"/>
      <c r="NC458" s="273"/>
      <c r="ND458" s="273"/>
      <c r="NE458" s="273"/>
      <c r="NF458" s="273"/>
      <c r="NG458" s="273"/>
      <c r="NH458" s="273"/>
      <c r="NI458" s="273"/>
      <c r="NJ458" s="273"/>
      <c r="NK458" s="273"/>
      <c r="NL458" s="273"/>
      <c r="NM458" s="273"/>
      <c r="NN458" s="273"/>
      <c r="NO458" s="273"/>
      <c r="NP458" s="273"/>
      <c r="NQ458" s="273"/>
      <c r="NR458" s="273"/>
      <c r="NS458" s="273"/>
      <c r="NT458" s="273"/>
      <c r="NU458" s="273"/>
      <c r="NV458" s="273"/>
      <c r="NW458" s="273"/>
      <c r="NX458" s="273"/>
      <c r="NY458" s="273"/>
      <c r="NZ458" s="273"/>
      <c r="OA458" s="273"/>
      <c r="OB458" s="273"/>
      <c r="OC458" s="273"/>
      <c r="OD458" s="273"/>
      <c r="OE458" s="273"/>
      <c r="OF458" s="273"/>
      <c r="OG458" s="273"/>
      <c r="OH458" s="273"/>
      <c r="OI458" s="273"/>
      <c r="OJ458" s="273"/>
      <c r="OK458" s="273"/>
      <c r="OL458" s="273"/>
      <c r="OM458" s="273"/>
      <c r="ON458" s="273"/>
      <c r="OO458" s="273"/>
      <c r="OP458" s="273"/>
      <c r="OQ458" s="273"/>
      <c r="OR458" s="273"/>
      <c r="OS458" s="273"/>
      <c r="OT458" s="273"/>
      <c r="OU458" s="273"/>
      <c r="OV458" s="273"/>
      <c r="OW458" s="273"/>
      <c r="OX458" s="273"/>
      <c r="OY458" s="273"/>
      <c r="OZ458" s="273"/>
      <c r="PA458" s="273"/>
      <c r="PB458" s="273"/>
      <c r="PC458" s="273"/>
      <c r="PD458" s="273"/>
      <c r="PE458" s="273"/>
      <c r="PF458" s="273"/>
      <c r="PG458" s="273"/>
      <c r="PH458" s="273"/>
      <c r="PI458" s="273"/>
      <c r="PJ458" s="273"/>
      <c r="PK458" s="273"/>
      <c r="PL458" s="273"/>
      <c r="PM458" s="273"/>
      <c r="PN458" s="273"/>
      <c r="PO458" s="273"/>
      <c r="PP458" s="273"/>
      <c r="PQ458" s="273"/>
      <c r="PR458" s="273"/>
      <c r="PS458" s="273"/>
      <c r="PT458" s="273"/>
      <c r="PU458" s="273"/>
      <c r="PV458" s="273"/>
      <c r="PW458" s="273"/>
      <c r="PX458" s="273"/>
      <c r="PY458" s="273"/>
      <c r="PZ458" s="273"/>
      <c r="QA458" s="273"/>
      <c r="QB458" s="273"/>
      <c r="QC458" s="273"/>
      <c r="QD458" s="273"/>
      <c r="QE458" s="273"/>
      <c r="QF458" s="273"/>
      <c r="QG458" s="273"/>
      <c r="QH458" s="273"/>
      <c r="QI458" s="273"/>
      <c r="QJ458" s="273"/>
      <c r="QK458" s="273"/>
      <c r="QL458" s="273"/>
      <c r="QM458" s="273"/>
      <c r="QN458" s="273"/>
      <c r="QO458" s="273"/>
      <c r="QP458" s="273"/>
      <c r="QQ458" s="273"/>
      <c r="QR458" s="273"/>
      <c r="QS458" s="273"/>
      <c r="QT458" s="273"/>
      <c r="QU458" s="273"/>
      <c r="QV458" s="273"/>
      <c r="QW458" s="273"/>
      <c r="QX458" s="273"/>
      <c r="QY458" s="273"/>
      <c r="QZ458" s="273"/>
      <c r="RA458" s="273"/>
      <c r="RB458" s="273"/>
      <c r="RC458" s="273"/>
      <c r="RD458" s="273"/>
      <c r="RE458" s="273"/>
      <c r="RF458" s="273"/>
      <c r="RG458" s="273"/>
      <c r="RH458" s="273"/>
      <c r="RI458" s="273"/>
      <c r="RJ458" s="273"/>
      <c r="RK458" s="273"/>
      <c r="RL458" s="273"/>
      <c r="RM458" s="273"/>
      <c r="RN458" s="273"/>
      <c r="RO458" s="273"/>
      <c r="RP458" s="273"/>
      <c r="RQ458" s="273"/>
    </row>
    <row r="459" spans="1:485" s="450" customFormat="1" ht="26" x14ac:dyDescent="0.25">
      <c r="A459" s="3027"/>
      <c r="B459" s="595" t="s">
        <v>1015</v>
      </c>
      <c r="C459" s="266" t="s">
        <v>14</v>
      </c>
      <c r="D459" s="467" t="s">
        <v>955</v>
      </c>
      <c r="E459" s="468">
        <v>1</v>
      </c>
      <c r="F459" s="468">
        <v>624.63555555555558</v>
      </c>
      <c r="G459" s="467">
        <v>9</v>
      </c>
      <c r="H459" s="451">
        <f t="shared" si="212"/>
        <v>5621.72</v>
      </c>
      <c r="I459" s="675">
        <v>1</v>
      </c>
      <c r="J459" s="451">
        <v>1</v>
      </c>
      <c r="K459" s="451">
        <v>740</v>
      </c>
      <c r="L459" s="451">
        <v>12</v>
      </c>
      <c r="M459" s="1834">
        <f t="shared" si="214"/>
        <v>8880</v>
      </c>
      <c r="N459" s="697">
        <v>1</v>
      </c>
      <c r="O459" s="696">
        <f t="shared" si="213"/>
        <v>14501.720000000001</v>
      </c>
      <c r="P459" s="675">
        <v>1</v>
      </c>
      <c r="Q459" s="451">
        <f>O459*P459</f>
        <v>14501.720000000001</v>
      </c>
      <c r="R459" s="522" t="s">
        <v>1016</v>
      </c>
      <c r="S459" s="452">
        <f>COOPI!S51</f>
        <v>14130.26062525491</v>
      </c>
      <c r="T459" s="591">
        <f t="shared" si="215"/>
        <v>0.97438515053765407</v>
      </c>
      <c r="U459" s="894" t="s">
        <v>606</v>
      </c>
      <c r="V459" s="591">
        <f t="shared" si="216"/>
        <v>0.97438515053765407</v>
      </c>
      <c r="W459" s="452">
        <f t="shared" si="217"/>
        <v>14130.26062525491</v>
      </c>
      <c r="X459" s="452" t="s">
        <v>606</v>
      </c>
      <c r="Y459" s="273"/>
      <c r="Z459" s="273"/>
      <c r="AA459" s="273"/>
      <c r="AB459" s="273"/>
      <c r="AC459" s="273"/>
      <c r="AD459" s="273"/>
      <c r="AE459" s="273"/>
      <c r="AF459" s="273"/>
      <c r="AG459" s="273"/>
      <c r="AH459" s="273"/>
      <c r="AI459" s="273"/>
      <c r="AJ459" s="273"/>
      <c r="AK459" s="273"/>
      <c r="AL459" s="273"/>
      <c r="AM459" s="273"/>
      <c r="AN459" s="273"/>
      <c r="AO459" s="273"/>
      <c r="AP459" s="273"/>
      <c r="AQ459" s="273"/>
      <c r="AR459" s="273"/>
      <c r="AS459" s="273"/>
      <c r="AT459" s="273"/>
      <c r="AU459" s="273"/>
      <c r="AV459" s="273"/>
      <c r="AW459" s="273"/>
      <c r="AX459" s="273"/>
      <c r="AY459" s="273"/>
      <c r="AZ459" s="273"/>
      <c r="BA459" s="273"/>
      <c r="BB459" s="273"/>
      <c r="BC459" s="273"/>
      <c r="BD459" s="273"/>
      <c r="BE459" s="273"/>
      <c r="BF459" s="273"/>
      <c r="BG459" s="273"/>
      <c r="BH459" s="273"/>
      <c r="BI459" s="273"/>
      <c r="BJ459" s="273"/>
      <c r="BK459" s="273"/>
      <c r="BL459" s="273"/>
      <c r="BM459" s="273"/>
      <c r="BN459" s="273"/>
      <c r="BO459" s="273"/>
      <c r="BP459" s="273"/>
      <c r="BQ459" s="273"/>
      <c r="BR459" s="273"/>
      <c r="BS459" s="273"/>
      <c r="BT459" s="273"/>
      <c r="BU459" s="273"/>
      <c r="BV459" s="273"/>
      <c r="BW459" s="273"/>
      <c r="BX459" s="273"/>
      <c r="BY459" s="273"/>
      <c r="BZ459" s="273"/>
      <c r="CA459" s="273"/>
      <c r="CB459" s="273"/>
      <c r="CC459" s="273"/>
      <c r="CD459" s="273"/>
      <c r="CE459" s="273"/>
      <c r="CF459" s="273"/>
      <c r="CG459" s="273"/>
      <c r="CH459" s="273"/>
      <c r="CI459" s="273"/>
      <c r="CJ459" s="273"/>
      <c r="CK459" s="273"/>
      <c r="CL459" s="273"/>
      <c r="CM459" s="273"/>
      <c r="CN459" s="273"/>
      <c r="CO459" s="273"/>
      <c r="CP459" s="273"/>
      <c r="CQ459" s="273"/>
      <c r="CR459" s="273"/>
      <c r="CS459" s="273"/>
      <c r="CT459" s="273"/>
      <c r="CU459" s="273"/>
      <c r="CV459" s="273"/>
      <c r="CW459" s="273"/>
      <c r="CX459" s="273"/>
      <c r="CY459" s="273"/>
      <c r="CZ459" s="273"/>
      <c r="DA459" s="273"/>
      <c r="DB459" s="273"/>
      <c r="DC459" s="273"/>
      <c r="DD459" s="273"/>
      <c r="DE459" s="273"/>
      <c r="DF459" s="273"/>
      <c r="DG459" s="273"/>
      <c r="DH459" s="273"/>
      <c r="DI459" s="273"/>
      <c r="DJ459" s="273"/>
      <c r="DK459" s="273"/>
      <c r="DL459" s="273"/>
      <c r="DM459" s="273"/>
      <c r="DN459" s="273"/>
      <c r="DO459" s="273"/>
      <c r="DP459" s="273"/>
      <c r="DQ459" s="273"/>
      <c r="DR459" s="273"/>
      <c r="DS459" s="273"/>
      <c r="DT459" s="273"/>
      <c r="DU459" s="273"/>
      <c r="DV459" s="273"/>
      <c r="DW459" s="273"/>
      <c r="DX459" s="273"/>
      <c r="DY459" s="273"/>
      <c r="DZ459" s="273"/>
      <c r="EA459" s="273"/>
      <c r="EB459" s="273"/>
      <c r="EC459" s="273"/>
      <c r="ED459" s="273"/>
      <c r="EE459" s="273"/>
      <c r="EF459" s="273"/>
      <c r="EG459" s="273"/>
      <c r="EH459" s="273"/>
      <c r="EI459" s="273"/>
      <c r="EJ459" s="273"/>
      <c r="EK459" s="273"/>
      <c r="EL459" s="273"/>
      <c r="EM459" s="273"/>
      <c r="EN459" s="273"/>
      <c r="EO459" s="273"/>
      <c r="EP459" s="273"/>
      <c r="EQ459" s="273"/>
      <c r="ER459" s="273"/>
      <c r="ES459" s="273"/>
      <c r="ET459" s="273"/>
      <c r="EU459" s="273"/>
      <c r="EV459" s="273"/>
      <c r="EW459" s="273"/>
      <c r="EX459" s="273"/>
      <c r="EY459" s="273"/>
      <c r="EZ459" s="273"/>
      <c r="FA459" s="273"/>
      <c r="FB459" s="273"/>
      <c r="FC459" s="273"/>
      <c r="FD459" s="273"/>
      <c r="FE459" s="273"/>
      <c r="FF459" s="273"/>
      <c r="FG459" s="273"/>
      <c r="FH459" s="273"/>
      <c r="FI459" s="273"/>
      <c r="FJ459" s="273"/>
      <c r="FK459" s="273"/>
      <c r="FL459" s="273"/>
      <c r="FM459" s="273"/>
      <c r="FN459" s="273"/>
      <c r="FO459" s="273"/>
      <c r="FP459" s="273"/>
      <c r="FQ459" s="273"/>
      <c r="FR459" s="273"/>
      <c r="FS459" s="273"/>
      <c r="FT459" s="273"/>
      <c r="FU459" s="273"/>
      <c r="FV459" s="273"/>
      <c r="FW459" s="273"/>
      <c r="FX459" s="273"/>
      <c r="FY459" s="273"/>
      <c r="FZ459" s="273"/>
      <c r="GA459" s="273"/>
      <c r="GB459" s="273"/>
      <c r="GC459" s="273"/>
      <c r="GD459" s="273"/>
      <c r="GE459" s="273"/>
      <c r="GF459" s="273"/>
      <c r="GG459" s="273"/>
      <c r="GH459" s="273"/>
      <c r="GI459" s="273"/>
      <c r="GJ459" s="273"/>
      <c r="GK459" s="273"/>
      <c r="GL459" s="273"/>
      <c r="GM459" s="273"/>
      <c r="GN459" s="273"/>
      <c r="GO459" s="273"/>
      <c r="GP459" s="273"/>
      <c r="GQ459" s="273"/>
      <c r="GR459" s="273"/>
      <c r="GS459" s="273"/>
      <c r="GT459" s="273"/>
      <c r="GU459" s="273"/>
      <c r="GV459" s="273"/>
      <c r="GW459" s="273"/>
      <c r="GX459" s="273"/>
      <c r="GY459" s="273"/>
      <c r="GZ459" s="273"/>
      <c r="HA459" s="273"/>
      <c r="HB459" s="273"/>
      <c r="HC459" s="273"/>
      <c r="HD459" s="273"/>
      <c r="HE459" s="273"/>
      <c r="HF459" s="273"/>
      <c r="HG459" s="273"/>
      <c r="HH459" s="273"/>
      <c r="HI459" s="273"/>
      <c r="HJ459" s="273"/>
      <c r="HK459" s="273"/>
      <c r="HL459" s="273"/>
      <c r="HM459" s="273"/>
      <c r="HN459" s="273"/>
      <c r="HO459" s="273"/>
      <c r="HP459" s="273"/>
      <c r="HQ459" s="273"/>
      <c r="HR459" s="273"/>
      <c r="HS459" s="273"/>
      <c r="HT459" s="273"/>
      <c r="HU459" s="273"/>
      <c r="HV459" s="273"/>
      <c r="HW459" s="273"/>
      <c r="HX459" s="273"/>
      <c r="HY459" s="273"/>
      <c r="HZ459" s="273"/>
      <c r="IA459" s="273"/>
      <c r="IB459" s="273"/>
      <c r="IC459" s="273"/>
      <c r="ID459" s="273"/>
      <c r="IE459" s="273"/>
      <c r="IF459" s="273"/>
      <c r="IG459" s="273"/>
      <c r="IH459" s="273"/>
      <c r="II459" s="273"/>
      <c r="IJ459" s="273"/>
      <c r="IK459" s="273"/>
      <c r="IL459" s="273"/>
      <c r="IM459" s="273"/>
      <c r="IN459" s="273"/>
      <c r="IO459" s="273"/>
      <c r="IP459" s="273"/>
      <c r="IQ459" s="273"/>
      <c r="IR459" s="273"/>
      <c r="IS459" s="273"/>
      <c r="IT459" s="273"/>
      <c r="IU459" s="273"/>
      <c r="IV459" s="273"/>
      <c r="IW459" s="273"/>
      <c r="IX459" s="273"/>
      <c r="IY459" s="273"/>
      <c r="IZ459" s="273"/>
      <c r="JA459" s="273"/>
      <c r="JB459" s="273"/>
      <c r="JC459" s="273"/>
      <c r="JD459" s="273"/>
      <c r="JE459" s="273"/>
      <c r="JF459" s="273"/>
      <c r="JG459" s="273"/>
      <c r="JH459" s="273"/>
      <c r="JI459" s="273"/>
      <c r="JJ459" s="273"/>
      <c r="JK459" s="273"/>
      <c r="JL459" s="273"/>
      <c r="JM459" s="273"/>
      <c r="JN459" s="273"/>
      <c r="JO459" s="273"/>
      <c r="JP459" s="273"/>
      <c r="JQ459" s="273"/>
      <c r="JR459" s="273"/>
      <c r="JS459" s="273"/>
      <c r="JT459" s="273"/>
      <c r="JU459" s="273"/>
      <c r="JV459" s="273"/>
      <c r="JW459" s="273"/>
      <c r="JX459" s="273"/>
      <c r="JY459" s="273"/>
      <c r="JZ459" s="273"/>
      <c r="KA459" s="273"/>
      <c r="KB459" s="273"/>
      <c r="KC459" s="273"/>
      <c r="KD459" s="273"/>
      <c r="KE459" s="273"/>
      <c r="KF459" s="273"/>
      <c r="KG459" s="273"/>
      <c r="KH459" s="273"/>
      <c r="KI459" s="273"/>
      <c r="KJ459" s="273"/>
      <c r="KK459" s="273"/>
      <c r="KL459" s="273"/>
      <c r="KM459" s="273"/>
      <c r="KN459" s="273"/>
      <c r="KO459" s="273"/>
      <c r="KP459" s="273"/>
      <c r="KQ459" s="273"/>
      <c r="KR459" s="273"/>
      <c r="KS459" s="273"/>
      <c r="KT459" s="273"/>
      <c r="KU459" s="273"/>
      <c r="KV459" s="273"/>
      <c r="KW459" s="273"/>
      <c r="KX459" s="273"/>
      <c r="KY459" s="273"/>
      <c r="KZ459" s="273"/>
      <c r="LA459" s="273"/>
      <c r="LB459" s="273"/>
      <c r="LC459" s="273"/>
      <c r="LD459" s="273"/>
      <c r="LE459" s="273"/>
      <c r="LF459" s="273"/>
      <c r="LG459" s="273"/>
      <c r="LH459" s="273"/>
      <c r="LI459" s="273"/>
      <c r="LJ459" s="273"/>
      <c r="LK459" s="273"/>
      <c r="LL459" s="273"/>
      <c r="LM459" s="273"/>
      <c r="LN459" s="273"/>
      <c r="LO459" s="273"/>
      <c r="LP459" s="273"/>
      <c r="LQ459" s="273"/>
      <c r="LR459" s="273"/>
      <c r="LS459" s="273"/>
      <c r="LT459" s="273"/>
      <c r="LU459" s="273"/>
      <c r="LV459" s="273"/>
      <c r="LW459" s="273"/>
      <c r="LX459" s="273"/>
      <c r="LY459" s="273"/>
      <c r="LZ459" s="273"/>
      <c r="MA459" s="273"/>
      <c r="MB459" s="273"/>
      <c r="MC459" s="273"/>
      <c r="MD459" s="273"/>
      <c r="ME459" s="273"/>
      <c r="MF459" s="273"/>
      <c r="MG459" s="273"/>
      <c r="MH459" s="273"/>
      <c r="MI459" s="273"/>
      <c r="MJ459" s="273"/>
      <c r="MK459" s="273"/>
      <c r="ML459" s="273"/>
      <c r="MM459" s="273"/>
      <c r="MN459" s="273"/>
      <c r="MO459" s="273"/>
      <c r="MP459" s="273"/>
      <c r="MQ459" s="273"/>
      <c r="MR459" s="273"/>
      <c r="MS459" s="273"/>
      <c r="MT459" s="273"/>
      <c r="MU459" s="273"/>
      <c r="MV459" s="273"/>
      <c r="MW459" s="273"/>
      <c r="MX459" s="273"/>
      <c r="MY459" s="273"/>
      <c r="MZ459" s="273"/>
      <c r="NA459" s="273"/>
      <c r="NB459" s="273"/>
      <c r="NC459" s="273"/>
      <c r="ND459" s="273"/>
      <c r="NE459" s="273"/>
      <c r="NF459" s="273"/>
      <c r="NG459" s="273"/>
      <c r="NH459" s="273"/>
      <c r="NI459" s="273"/>
      <c r="NJ459" s="273"/>
      <c r="NK459" s="273"/>
      <c r="NL459" s="273"/>
      <c r="NM459" s="273"/>
      <c r="NN459" s="273"/>
      <c r="NO459" s="273"/>
      <c r="NP459" s="273"/>
      <c r="NQ459" s="273"/>
      <c r="NR459" s="273"/>
      <c r="NS459" s="273"/>
      <c r="NT459" s="273"/>
      <c r="NU459" s="273"/>
      <c r="NV459" s="273"/>
      <c r="NW459" s="273"/>
      <c r="NX459" s="273"/>
      <c r="NY459" s="273"/>
      <c r="NZ459" s="273"/>
      <c r="OA459" s="273"/>
      <c r="OB459" s="273"/>
      <c r="OC459" s="273"/>
      <c r="OD459" s="273"/>
      <c r="OE459" s="273"/>
      <c r="OF459" s="273"/>
      <c r="OG459" s="273"/>
      <c r="OH459" s="273"/>
      <c r="OI459" s="273"/>
      <c r="OJ459" s="273"/>
      <c r="OK459" s="273"/>
      <c r="OL459" s="273"/>
      <c r="OM459" s="273"/>
      <c r="ON459" s="273"/>
      <c r="OO459" s="273"/>
      <c r="OP459" s="273"/>
      <c r="OQ459" s="273"/>
      <c r="OR459" s="273"/>
      <c r="OS459" s="273"/>
      <c r="OT459" s="273"/>
      <c r="OU459" s="273"/>
      <c r="OV459" s="273"/>
      <c r="OW459" s="273"/>
      <c r="OX459" s="273"/>
      <c r="OY459" s="273"/>
      <c r="OZ459" s="273"/>
      <c r="PA459" s="273"/>
      <c r="PB459" s="273"/>
      <c r="PC459" s="273"/>
      <c r="PD459" s="273"/>
      <c r="PE459" s="273"/>
      <c r="PF459" s="273"/>
      <c r="PG459" s="273"/>
      <c r="PH459" s="273"/>
      <c r="PI459" s="273"/>
      <c r="PJ459" s="273"/>
      <c r="PK459" s="273"/>
      <c r="PL459" s="273"/>
      <c r="PM459" s="273"/>
      <c r="PN459" s="273"/>
      <c r="PO459" s="273"/>
      <c r="PP459" s="273"/>
      <c r="PQ459" s="273"/>
      <c r="PR459" s="273"/>
      <c r="PS459" s="273"/>
      <c r="PT459" s="273"/>
      <c r="PU459" s="273"/>
      <c r="PV459" s="273"/>
      <c r="PW459" s="273"/>
      <c r="PX459" s="273"/>
      <c r="PY459" s="273"/>
      <c r="PZ459" s="273"/>
      <c r="QA459" s="273"/>
      <c r="QB459" s="273"/>
      <c r="QC459" s="273"/>
      <c r="QD459" s="273"/>
      <c r="QE459" s="273"/>
      <c r="QF459" s="273"/>
      <c r="QG459" s="273"/>
      <c r="QH459" s="273"/>
      <c r="QI459" s="273"/>
      <c r="QJ459" s="273"/>
      <c r="QK459" s="273"/>
      <c r="QL459" s="273"/>
      <c r="QM459" s="273"/>
      <c r="QN459" s="273"/>
      <c r="QO459" s="273"/>
      <c r="QP459" s="273"/>
      <c r="QQ459" s="273"/>
      <c r="QR459" s="273"/>
      <c r="QS459" s="273"/>
      <c r="QT459" s="273"/>
      <c r="QU459" s="273"/>
      <c r="QV459" s="273"/>
      <c r="QW459" s="273"/>
      <c r="QX459" s="273"/>
      <c r="QY459" s="273"/>
      <c r="QZ459" s="273"/>
      <c r="RA459" s="273"/>
      <c r="RB459" s="273"/>
      <c r="RC459" s="273"/>
      <c r="RD459" s="273"/>
      <c r="RE459" s="273"/>
      <c r="RF459" s="273"/>
      <c r="RG459" s="273"/>
      <c r="RH459" s="273"/>
      <c r="RI459" s="273"/>
      <c r="RJ459" s="273"/>
      <c r="RK459" s="273"/>
      <c r="RL459" s="273"/>
      <c r="RM459" s="273"/>
      <c r="RN459" s="273"/>
      <c r="RO459" s="273"/>
      <c r="RP459" s="273"/>
      <c r="RQ459" s="273"/>
    </row>
    <row r="460" spans="1:485" s="450" customFormat="1" ht="26" x14ac:dyDescent="0.25">
      <c r="A460" s="3027"/>
      <c r="B460" s="595" t="s">
        <v>1017</v>
      </c>
      <c r="C460" s="266" t="s">
        <v>14</v>
      </c>
      <c r="D460" s="467" t="s">
        <v>955</v>
      </c>
      <c r="E460" s="468">
        <v>1</v>
      </c>
      <c r="F460" s="468">
        <v>1439.169523809524</v>
      </c>
      <c r="G460" s="467">
        <v>10.5</v>
      </c>
      <c r="H460" s="451">
        <f t="shared" si="212"/>
        <v>15111.280000000002</v>
      </c>
      <c r="I460" s="675"/>
      <c r="J460" s="451">
        <v>1</v>
      </c>
      <c r="K460" s="451">
        <v>1500</v>
      </c>
      <c r="L460" s="451">
        <v>12</v>
      </c>
      <c r="M460" s="1834">
        <f t="shared" si="214"/>
        <v>18000</v>
      </c>
      <c r="N460" s="697"/>
      <c r="O460" s="696">
        <f t="shared" si="213"/>
        <v>33111.279999999999</v>
      </c>
      <c r="P460" s="675">
        <v>0</v>
      </c>
      <c r="Q460" s="451">
        <f t="shared" si="203"/>
        <v>0</v>
      </c>
      <c r="R460" s="522" t="s">
        <v>1018</v>
      </c>
      <c r="S460" s="452">
        <f>COOPI!S52</f>
        <v>38317.044860717302</v>
      </c>
      <c r="T460" s="591">
        <f t="shared" si="215"/>
        <v>1.1572202844685346</v>
      </c>
      <c r="U460" s="894" t="s">
        <v>606</v>
      </c>
      <c r="V460" s="591">
        <v>0</v>
      </c>
      <c r="W460" s="452">
        <f t="shared" si="217"/>
        <v>0</v>
      </c>
      <c r="X460" s="452" t="s">
        <v>606</v>
      </c>
      <c r="Y460" s="273"/>
      <c r="Z460" s="273"/>
      <c r="AA460" s="273"/>
      <c r="AB460" s="273"/>
      <c r="AC460" s="273"/>
      <c r="AD460" s="273"/>
      <c r="AE460" s="273"/>
      <c r="AF460" s="273"/>
      <c r="AG460" s="273"/>
      <c r="AH460" s="273"/>
      <c r="AI460" s="273"/>
      <c r="AJ460" s="273"/>
      <c r="AK460" s="273"/>
      <c r="AL460" s="273"/>
      <c r="AM460" s="273"/>
      <c r="AN460" s="273"/>
      <c r="AO460" s="273"/>
      <c r="AP460" s="273"/>
      <c r="AQ460" s="273"/>
      <c r="AR460" s="273"/>
      <c r="AS460" s="273"/>
      <c r="AT460" s="273"/>
      <c r="AU460" s="273"/>
      <c r="AV460" s="273"/>
      <c r="AW460" s="273"/>
      <c r="AX460" s="273"/>
      <c r="AY460" s="273"/>
      <c r="AZ460" s="273"/>
      <c r="BA460" s="273"/>
      <c r="BB460" s="273"/>
      <c r="BC460" s="273"/>
      <c r="BD460" s="273"/>
      <c r="BE460" s="273"/>
      <c r="BF460" s="273"/>
      <c r="BG460" s="273"/>
      <c r="BH460" s="273"/>
      <c r="BI460" s="273"/>
      <c r="BJ460" s="273"/>
      <c r="BK460" s="273"/>
      <c r="BL460" s="273"/>
      <c r="BM460" s="273"/>
      <c r="BN460" s="273"/>
      <c r="BO460" s="273"/>
      <c r="BP460" s="273"/>
      <c r="BQ460" s="273"/>
      <c r="BR460" s="273"/>
      <c r="BS460" s="273"/>
      <c r="BT460" s="273"/>
      <c r="BU460" s="273"/>
      <c r="BV460" s="273"/>
      <c r="BW460" s="273"/>
      <c r="BX460" s="273"/>
      <c r="BY460" s="273"/>
      <c r="BZ460" s="273"/>
      <c r="CA460" s="273"/>
      <c r="CB460" s="273"/>
      <c r="CC460" s="273"/>
      <c r="CD460" s="273"/>
      <c r="CE460" s="273"/>
      <c r="CF460" s="273"/>
      <c r="CG460" s="273"/>
      <c r="CH460" s="273"/>
      <c r="CI460" s="273"/>
      <c r="CJ460" s="273"/>
      <c r="CK460" s="273"/>
      <c r="CL460" s="273"/>
      <c r="CM460" s="273"/>
      <c r="CN460" s="273"/>
      <c r="CO460" s="273"/>
      <c r="CP460" s="273"/>
      <c r="CQ460" s="273"/>
      <c r="CR460" s="273"/>
      <c r="CS460" s="273"/>
      <c r="CT460" s="273"/>
      <c r="CU460" s="273"/>
      <c r="CV460" s="273"/>
      <c r="CW460" s="273"/>
      <c r="CX460" s="273"/>
      <c r="CY460" s="273"/>
      <c r="CZ460" s="273"/>
      <c r="DA460" s="273"/>
      <c r="DB460" s="273"/>
      <c r="DC460" s="273"/>
      <c r="DD460" s="273"/>
      <c r="DE460" s="273"/>
      <c r="DF460" s="273"/>
      <c r="DG460" s="273"/>
      <c r="DH460" s="273"/>
      <c r="DI460" s="273"/>
      <c r="DJ460" s="273"/>
      <c r="DK460" s="273"/>
      <c r="DL460" s="273"/>
      <c r="DM460" s="273"/>
      <c r="DN460" s="273"/>
      <c r="DO460" s="273"/>
      <c r="DP460" s="273"/>
      <c r="DQ460" s="273"/>
      <c r="DR460" s="273"/>
      <c r="DS460" s="273"/>
      <c r="DT460" s="273"/>
      <c r="DU460" s="273"/>
      <c r="DV460" s="273"/>
      <c r="DW460" s="273"/>
      <c r="DX460" s="273"/>
      <c r="DY460" s="273"/>
      <c r="DZ460" s="273"/>
      <c r="EA460" s="273"/>
      <c r="EB460" s="273"/>
      <c r="EC460" s="273"/>
      <c r="ED460" s="273"/>
      <c r="EE460" s="273"/>
      <c r="EF460" s="273"/>
      <c r="EG460" s="273"/>
      <c r="EH460" s="273"/>
      <c r="EI460" s="273"/>
      <c r="EJ460" s="273"/>
      <c r="EK460" s="273"/>
      <c r="EL460" s="273"/>
      <c r="EM460" s="273"/>
      <c r="EN460" s="273"/>
      <c r="EO460" s="273"/>
      <c r="EP460" s="273"/>
      <c r="EQ460" s="273"/>
      <c r="ER460" s="273"/>
      <c r="ES460" s="273"/>
      <c r="ET460" s="273"/>
      <c r="EU460" s="273"/>
      <c r="EV460" s="273"/>
      <c r="EW460" s="273"/>
      <c r="EX460" s="273"/>
      <c r="EY460" s="273"/>
      <c r="EZ460" s="273"/>
      <c r="FA460" s="273"/>
      <c r="FB460" s="273"/>
      <c r="FC460" s="273"/>
      <c r="FD460" s="273"/>
      <c r="FE460" s="273"/>
      <c r="FF460" s="273"/>
      <c r="FG460" s="273"/>
      <c r="FH460" s="273"/>
      <c r="FI460" s="273"/>
      <c r="FJ460" s="273"/>
      <c r="FK460" s="273"/>
      <c r="FL460" s="273"/>
      <c r="FM460" s="273"/>
      <c r="FN460" s="273"/>
      <c r="FO460" s="273"/>
      <c r="FP460" s="273"/>
      <c r="FQ460" s="273"/>
      <c r="FR460" s="273"/>
      <c r="FS460" s="273"/>
      <c r="FT460" s="273"/>
      <c r="FU460" s="273"/>
      <c r="FV460" s="273"/>
      <c r="FW460" s="273"/>
      <c r="FX460" s="273"/>
      <c r="FY460" s="273"/>
      <c r="FZ460" s="273"/>
      <c r="GA460" s="273"/>
      <c r="GB460" s="273"/>
      <c r="GC460" s="273"/>
      <c r="GD460" s="273"/>
      <c r="GE460" s="273"/>
      <c r="GF460" s="273"/>
      <c r="GG460" s="273"/>
      <c r="GH460" s="273"/>
      <c r="GI460" s="273"/>
      <c r="GJ460" s="273"/>
      <c r="GK460" s="273"/>
      <c r="GL460" s="273"/>
      <c r="GM460" s="273"/>
      <c r="GN460" s="273"/>
      <c r="GO460" s="273"/>
      <c r="GP460" s="273"/>
      <c r="GQ460" s="273"/>
      <c r="GR460" s="273"/>
      <c r="GS460" s="273"/>
      <c r="GT460" s="273"/>
      <c r="GU460" s="273"/>
      <c r="GV460" s="273"/>
      <c r="GW460" s="273"/>
      <c r="GX460" s="273"/>
      <c r="GY460" s="273"/>
      <c r="GZ460" s="273"/>
      <c r="HA460" s="273"/>
      <c r="HB460" s="273"/>
      <c r="HC460" s="273"/>
      <c r="HD460" s="273"/>
      <c r="HE460" s="273"/>
      <c r="HF460" s="273"/>
      <c r="HG460" s="273"/>
      <c r="HH460" s="273"/>
      <c r="HI460" s="273"/>
      <c r="HJ460" s="273"/>
      <c r="HK460" s="273"/>
      <c r="HL460" s="273"/>
      <c r="HM460" s="273"/>
      <c r="HN460" s="273"/>
      <c r="HO460" s="273"/>
      <c r="HP460" s="273"/>
      <c r="HQ460" s="273"/>
      <c r="HR460" s="273"/>
      <c r="HS460" s="273"/>
      <c r="HT460" s="273"/>
      <c r="HU460" s="273"/>
      <c r="HV460" s="273"/>
      <c r="HW460" s="273"/>
      <c r="HX460" s="273"/>
      <c r="HY460" s="273"/>
      <c r="HZ460" s="273"/>
      <c r="IA460" s="273"/>
      <c r="IB460" s="273"/>
      <c r="IC460" s="273"/>
      <c r="ID460" s="273"/>
      <c r="IE460" s="273"/>
      <c r="IF460" s="273"/>
      <c r="IG460" s="273"/>
      <c r="IH460" s="273"/>
      <c r="II460" s="273"/>
      <c r="IJ460" s="273"/>
      <c r="IK460" s="273"/>
      <c r="IL460" s="273"/>
      <c r="IM460" s="273"/>
      <c r="IN460" s="273"/>
      <c r="IO460" s="273"/>
      <c r="IP460" s="273"/>
      <c r="IQ460" s="273"/>
      <c r="IR460" s="273"/>
      <c r="IS460" s="273"/>
      <c r="IT460" s="273"/>
      <c r="IU460" s="273"/>
      <c r="IV460" s="273"/>
      <c r="IW460" s="273"/>
      <c r="IX460" s="273"/>
      <c r="IY460" s="273"/>
      <c r="IZ460" s="273"/>
      <c r="JA460" s="273"/>
      <c r="JB460" s="273"/>
      <c r="JC460" s="273"/>
      <c r="JD460" s="273"/>
      <c r="JE460" s="273"/>
      <c r="JF460" s="273"/>
      <c r="JG460" s="273"/>
      <c r="JH460" s="273"/>
      <c r="JI460" s="273"/>
      <c r="JJ460" s="273"/>
      <c r="JK460" s="273"/>
      <c r="JL460" s="273"/>
      <c r="JM460" s="273"/>
      <c r="JN460" s="273"/>
      <c r="JO460" s="273"/>
      <c r="JP460" s="273"/>
      <c r="JQ460" s="273"/>
      <c r="JR460" s="273"/>
      <c r="JS460" s="273"/>
      <c r="JT460" s="273"/>
      <c r="JU460" s="273"/>
      <c r="JV460" s="273"/>
      <c r="JW460" s="273"/>
      <c r="JX460" s="273"/>
      <c r="JY460" s="273"/>
      <c r="JZ460" s="273"/>
      <c r="KA460" s="273"/>
      <c r="KB460" s="273"/>
      <c r="KC460" s="273"/>
      <c r="KD460" s="273"/>
      <c r="KE460" s="273"/>
      <c r="KF460" s="273"/>
      <c r="KG460" s="273"/>
      <c r="KH460" s="273"/>
      <c r="KI460" s="273"/>
      <c r="KJ460" s="273"/>
      <c r="KK460" s="273"/>
      <c r="KL460" s="273"/>
      <c r="KM460" s="273"/>
      <c r="KN460" s="273"/>
      <c r="KO460" s="273"/>
      <c r="KP460" s="273"/>
      <c r="KQ460" s="273"/>
      <c r="KR460" s="273"/>
      <c r="KS460" s="273"/>
      <c r="KT460" s="273"/>
      <c r="KU460" s="273"/>
      <c r="KV460" s="273"/>
      <c r="KW460" s="273"/>
      <c r="KX460" s="273"/>
      <c r="KY460" s="273"/>
      <c r="KZ460" s="273"/>
      <c r="LA460" s="273"/>
      <c r="LB460" s="273"/>
      <c r="LC460" s="273"/>
      <c r="LD460" s="273"/>
      <c r="LE460" s="273"/>
      <c r="LF460" s="273"/>
      <c r="LG460" s="273"/>
      <c r="LH460" s="273"/>
      <c r="LI460" s="273"/>
      <c r="LJ460" s="273"/>
      <c r="LK460" s="273"/>
      <c r="LL460" s="273"/>
      <c r="LM460" s="273"/>
      <c r="LN460" s="273"/>
      <c r="LO460" s="273"/>
      <c r="LP460" s="273"/>
      <c r="LQ460" s="273"/>
      <c r="LR460" s="273"/>
      <c r="LS460" s="273"/>
      <c r="LT460" s="273"/>
      <c r="LU460" s="273"/>
      <c r="LV460" s="273"/>
      <c r="LW460" s="273"/>
      <c r="LX460" s="273"/>
      <c r="LY460" s="273"/>
      <c r="LZ460" s="273"/>
      <c r="MA460" s="273"/>
      <c r="MB460" s="273"/>
      <c r="MC460" s="273"/>
      <c r="MD460" s="273"/>
      <c r="ME460" s="273"/>
      <c r="MF460" s="273"/>
      <c r="MG460" s="273"/>
      <c r="MH460" s="273"/>
      <c r="MI460" s="273"/>
      <c r="MJ460" s="273"/>
      <c r="MK460" s="273"/>
      <c r="ML460" s="273"/>
      <c r="MM460" s="273"/>
      <c r="MN460" s="273"/>
      <c r="MO460" s="273"/>
      <c r="MP460" s="273"/>
      <c r="MQ460" s="273"/>
      <c r="MR460" s="273"/>
      <c r="MS460" s="273"/>
      <c r="MT460" s="273"/>
      <c r="MU460" s="273"/>
      <c r="MV460" s="273"/>
      <c r="MW460" s="273"/>
      <c r="MX460" s="273"/>
      <c r="MY460" s="273"/>
      <c r="MZ460" s="273"/>
      <c r="NA460" s="273"/>
      <c r="NB460" s="273"/>
      <c r="NC460" s="273"/>
      <c r="ND460" s="273"/>
      <c r="NE460" s="273"/>
      <c r="NF460" s="273"/>
      <c r="NG460" s="273"/>
      <c r="NH460" s="273"/>
      <c r="NI460" s="273"/>
      <c r="NJ460" s="273"/>
      <c r="NK460" s="273"/>
      <c r="NL460" s="273"/>
      <c r="NM460" s="273"/>
      <c r="NN460" s="273"/>
      <c r="NO460" s="273"/>
      <c r="NP460" s="273"/>
      <c r="NQ460" s="273"/>
      <c r="NR460" s="273"/>
      <c r="NS460" s="273"/>
      <c r="NT460" s="273"/>
      <c r="NU460" s="273"/>
      <c r="NV460" s="273"/>
      <c r="NW460" s="273"/>
      <c r="NX460" s="273"/>
      <c r="NY460" s="273"/>
      <c r="NZ460" s="273"/>
      <c r="OA460" s="273"/>
      <c r="OB460" s="273"/>
      <c r="OC460" s="273"/>
      <c r="OD460" s="273"/>
      <c r="OE460" s="273"/>
      <c r="OF460" s="273"/>
      <c r="OG460" s="273"/>
      <c r="OH460" s="273"/>
      <c r="OI460" s="273"/>
      <c r="OJ460" s="273"/>
      <c r="OK460" s="273"/>
      <c r="OL460" s="273"/>
      <c r="OM460" s="273"/>
      <c r="ON460" s="273"/>
      <c r="OO460" s="273"/>
      <c r="OP460" s="273"/>
      <c r="OQ460" s="273"/>
      <c r="OR460" s="273"/>
      <c r="OS460" s="273"/>
      <c r="OT460" s="273"/>
      <c r="OU460" s="273"/>
      <c r="OV460" s="273"/>
      <c r="OW460" s="273"/>
      <c r="OX460" s="273"/>
      <c r="OY460" s="273"/>
      <c r="OZ460" s="273"/>
      <c r="PA460" s="273"/>
      <c r="PB460" s="273"/>
      <c r="PC460" s="273"/>
      <c r="PD460" s="273"/>
      <c r="PE460" s="273"/>
      <c r="PF460" s="273"/>
      <c r="PG460" s="273"/>
      <c r="PH460" s="273"/>
      <c r="PI460" s="273"/>
      <c r="PJ460" s="273"/>
      <c r="PK460" s="273"/>
      <c r="PL460" s="273"/>
      <c r="PM460" s="273"/>
      <c r="PN460" s="273"/>
      <c r="PO460" s="273"/>
      <c r="PP460" s="273"/>
      <c r="PQ460" s="273"/>
      <c r="PR460" s="273"/>
      <c r="PS460" s="273"/>
      <c r="PT460" s="273"/>
      <c r="PU460" s="273"/>
      <c r="PV460" s="273"/>
      <c r="PW460" s="273"/>
      <c r="PX460" s="273"/>
      <c r="PY460" s="273"/>
      <c r="PZ460" s="273"/>
      <c r="QA460" s="273"/>
      <c r="QB460" s="273"/>
      <c r="QC460" s="273"/>
      <c r="QD460" s="273"/>
      <c r="QE460" s="273"/>
      <c r="QF460" s="273"/>
      <c r="QG460" s="273"/>
      <c r="QH460" s="273"/>
      <c r="QI460" s="273"/>
      <c r="QJ460" s="273"/>
      <c r="QK460" s="273"/>
      <c r="QL460" s="273"/>
      <c r="QM460" s="273"/>
      <c r="QN460" s="273"/>
      <c r="QO460" s="273"/>
      <c r="QP460" s="273"/>
      <c r="QQ460" s="273"/>
      <c r="QR460" s="273"/>
      <c r="QS460" s="273"/>
      <c r="QT460" s="273"/>
      <c r="QU460" s="273"/>
      <c r="QV460" s="273"/>
      <c r="QW460" s="273"/>
      <c r="QX460" s="273"/>
      <c r="QY460" s="273"/>
      <c r="QZ460" s="273"/>
      <c r="RA460" s="273"/>
      <c r="RB460" s="273"/>
      <c r="RC460" s="273"/>
      <c r="RD460" s="273"/>
      <c r="RE460" s="273"/>
      <c r="RF460" s="273"/>
      <c r="RG460" s="273"/>
      <c r="RH460" s="273"/>
      <c r="RI460" s="273"/>
      <c r="RJ460" s="273"/>
      <c r="RK460" s="273"/>
      <c r="RL460" s="273"/>
      <c r="RM460" s="273"/>
      <c r="RN460" s="273"/>
      <c r="RO460" s="273"/>
      <c r="RP460" s="273"/>
      <c r="RQ460" s="273"/>
    </row>
    <row r="461" spans="1:485" s="450" customFormat="1" ht="41.25" customHeight="1" x14ac:dyDescent="0.25">
      <c r="A461" s="3027"/>
      <c r="B461" s="595" t="s">
        <v>1019</v>
      </c>
      <c r="C461" s="266" t="s">
        <v>48</v>
      </c>
      <c r="D461" s="467" t="s">
        <v>955</v>
      </c>
      <c r="E461" s="468">
        <v>1</v>
      </c>
      <c r="F461" s="468">
        <v>2610</v>
      </c>
      <c r="G461" s="467">
        <v>9</v>
      </c>
      <c r="H461" s="451">
        <f t="shared" si="212"/>
        <v>23490</v>
      </c>
      <c r="I461" s="675">
        <v>0.97</v>
      </c>
      <c r="J461" s="451">
        <v>0</v>
      </c>
      <c r="K461" s="451">
        <v>2800</v>
      </c>
      <c r="L461" s="451">
        <v>12</v>
      </c>
      <c r="M461" s="1834">
        <f t="shared" si="214"/>
        <v>0</v>
      </c>
      <c r="N461" s="697">
        <v>0.97</v>
      </c>
      <c r="O461" s="696">
        <f t="shared" si="213"/>
        <v>23490</v>
      </c>
      <c r="P461" s="675">
        <v>0.97</v>
      </c>
      <c r="Q461" s="451">
        <f t="shared" si="203"/>
        <v>22785.3</v>
      </c>
      <c r="R461" s="522" t="s">
        <v>1020</v>
      </c>
      <c r="S461" s="452">
        <f>COOPI!S53</f>
        <v>23445</v>
      </c>
      <c r="T461" s="591">
        <f t="shared" si="215"/>
        <v>0.99808429118773945</v>
      </c>
      <c r="U461" s="894" t="s">
        <v>606</v>
      </c>
      <c r="V461" s="591">
        <f t="shared" si="216"/>
        <v>0.99808429118773945</v>
      </c>
      <c r="W461" s="452">
        <f t="shared" si="217"/>
        <v>22741.649999999998</v>
      </c>
      <c r="X461" s="452" t="s">
        <v>606</v>
      </c>
      <c r="Y461" s="273">
        <v>-800</v>
      </c>
      <c r="Z461" s="273" t="s">
        <v>1346</v>
      </c>
      <c r="AA461" s="273"/>
      <c r="AB461" s="273"/>
      <c r="AC461" s="273"/>
      <c r="AD461" s="273"/>
      <c r="AE461" s="273"/>
      <c r="AF461" s="273"/>
      <c r="AG461" s="273"/>
      <c r="AH461" s="273"/>
      <c r="AI461" s="273"/>
      <c r="AJ461" s="273"/>
      <c r="AK461" s="273"/>
      <c r="AL461" s="273"/>
      <c r="AM461" s="273"/>
      <c r="AN461" s="273"/>
      <c r="AO461" s="273"/>
      <c r="AP461" s="273"/>
      <c r="AQ461" s="273"/>
      <c r="AR461" s="273"/>
      <c r="AS461" s="273"/>
      <c r="AT461" s="273"/>
      <c r="AU461" s="273"/>
      <c r="AV461" s="273"/>
      <c r="AW461" s="273"/>
      <c r="AX461" s="273"/>
      <c r="AY461" s="273"/>
      <c r="AZ461" s="273"/>
      <c r="BA461" s="273"/>
      <c r="BB461" s="273"/>
      <c r="BC461" s="273"/>
      <c r="BD461" s="273"/>
      <c r="BE461" s="273"/>
      <c r="BF461" s="273"/>
      <c r="BG461" s="273"/>
      <c r="BH461" s="273"/>
      <c r="BI461" s="273"/>
      <c r="BJ461" s="273"/>
      <c r="BK461" s="273"/>
      <c r="BL461" s="273"/>
      <c r="BM461" s="273"/>
      <c r="BN461" s="273"/>
      <c r="BO461" s="273"/>
      <c r="BP461" s="273"/>
      <c r="BQ461" s="273"/>
      <c r="BR461" s="273"/>
      <c r="BS461" s="273"/>
      <c r="BT461" s="273"/>
      <c r="BU461" s="273"/>
      <c r="BV461" s="273"/>
      <c r="BW461" s="273"/>
      <c r="BX461" s="273"/>
      <c r="BY461" s="273"/>
      <c r="BZ461" s="273"/>
      <c r="CA461" s="273"/>
      <c r="CB461" s="273"/>
      <c r="CC461" s="273"/>
      <c r="CD461" s="273"/>
      <c r="CE461" s="273"/>
      <c r="CF461" s="273"/>
      <c r="CG461" s="273"/>
      <c r="CH461" s="273"/>
      <c r="CI461" s="273"/>
      <c r="CJ461" s="273"/>
      <c r="CK461" s="273"/>
      <c r="CL461" s="273"/>
      <c r="CM461" s="273"/>
      <c r="CN461" s="273"/>
      <c r="CO461" s="273"/>
      <c r="CP461" s="273"/>
      <c r="CQ461" s="273"/>
      <c r="CR461" s="273"/>
      <c r="CS461" s="273"/>
      <c r="CT461" s="273"/>
      <c r="CU461" s="273"/>
      <c r="CV461" s="273"/>
      <c r="CW461" s="273"/>
      <c r="CX461" s="273"/>
      <c r="CY461" s="273"/>
      <c r="CZ461" s="273"/>
      <c r="DA461" s="273"/>
      <c r="DB461" s="273"/>
      <c r="DC461" s="273"/>
      <c r="DD461" s="273"/>
      <c r="DE461" s="273"/>
      <c r="DF461" s="273"/>
      <c r="DG461" s="273"/>
      <c r="DH461" s="273"/>
      <c r="DI461" s="273"/>
      <c r="DJ461" s="273"/>
      <c r="DK461" s="273"/>
      <c r="DL461" s="273"/>
      <c r="DM461" s="273"/>
      <c r="DN461" s="273"/>
      <c r="DO461" s="273"/>
      <c r="DP461" s="273"/>
      <c r="DQ461" s="273"/>
      <c r="DR461" s="273"/>
      <c r="DS461" s="273"/>
      <c r="DT461" s="273"/>
      <c r="DU461" s="273"/>
      <c r="DV461" s="273"/>
      <c r="DW461" s="273"/>
      <c r="DX461" s="273"/>
      <c r="DY461" s="273"/>
      <c r="DZ461" s="273"/>
      <c r="EA461" s="273"/>
      <c r="EB461" s="273"/>
      <c r="EC461" s="273"/>
      <c r="ED461" s="273"/>
      <c r="EE461" s="273"/>
      <c r="EF461" s="273"/>
      <c r="EG461" s="273"/>
      <c r="EH461" s="273"/>
      <c r="EI461" s="273"/>
      <c r="EJ461" s="273"/>
      <c r="EK461" s="273"/>
      <c r="EL461" s="273"/>
      <c r="EM461" s="273"/>
      <c r="EN461" s="273"/>
      <c r="EO461" s="273"/>
      <c r="EP461" s="273"/>
      <c r="EQ461" s="273"/>
      <c r="ER461" s="273"/>
      <c r="ES461" s="273"/>
      <c r="ET461" s="273"/>
      <c r="EU461" s="273"/>
      <c r="EV461" s="273"/>
      <c r="EW461" s="273"/>
      <c r="EX461" s="273"/>
      <c r="EY461" s="273"/>
      <c r="EZ461" s="273"/>
      <c r="FA461" s="273"/>
      <c r="FB461" s="273"/>
      <c r="FC461" s="273"/>
      <c r="FD461" s="273"/>
      <c r="FE461" s="273"/>
      <c r="FF461" s="273"/>
      <c r="FG461" s="273"/>
      <c r="FH461" s="273"/>
      <c r="FI461" s="273"/>
      <c r="FJ461" s="273"/>
      <c r="FK461" s="273"/>
      <c r="FL461" s="273"/>
      <c r="FM461" s="273"/>
      <c r="FN461" s="273"/>
      <c r="FO461" s="273"/>
      <c r="FP461" s="273"/>
      <c r="FQ461" s="273"/>
      <c r="FR461" s="273"/>
      <c r="FS461" s="273"/>
      <c r="FT461" s="273"/>
      <c r="FU461" s="273"/>
      <c r="FV461" s="273"/>
      <c r="FW461" s="273"/>
      <c r="FX461" s="273"/>
      <c r="FY461" s="273"/>
      <c r="FZ461" s="273"/>
      <c r="GA461" s="273"/>
      <c r="GB461" s="273"/>
      <c r="GC461" s="273"/>
      <c r="GD461" s="273"/>
      <c r="GE461" s="273"/>
      <c r="GF461" s="273"/>
      <c r="GG461" s="273"/>
      <c r="GH461" s="273"/>
      <c r="GI461" s="273"/>
      <c r="GJ461" s="273"/>
      <c r="GK461" s="273"/>
      <c r="GL461" s="273"/>
      <c r="GM461" s="273"/>
      <c r="GN461" s="273"/>
      <c r="GO461" s="273"/>
      <c r="GP461" s="273"/>
      <c r="GQ461" s="273"/>
      <c r="GR461" s="273"/>
      <c r="GS461" s="273"/>
      <c r="GT461" s="273"/>
      <c r="GU461" s="273"/>
      <c r="GV461" s="273"/>
      <c r="GW461" s="273"/>
      <c r="GX461" s="273"/>
      <c r="GY461" s="273"/>
      <c r="GZ461" s="273"/>
      <c r="HA461" s="273"/>
      <c r="HB461" s="273"/>
      <c r="HC461" s="273"/>
      <c r="HD461" s="273"/>
      <c r="HE461" s="273"/>
      <c r="HF461" s="273"/>
      <c r="HG461" s="273"/>
      <c r="HH461" s="273"/>
      <c r="HI461" s="273"/>
      <c r="HJ461" s="273"/>
      <c r="HK461" s="273"/>
      <c r="HL461" s="273"/>
      <c r="HM461" s="273"/>
      <c r="HN461" s="273"/>
      <c r="HO461" s="273"/>
      <c r="HP461" s="273"/>
      <c r="HQ461" s="273"/>
      <c r="HR461" s="273"/>
      <c r="HS461" s="273"/>
      <c r="HT461" s="273"/>
      <c r="HU461" s="273"/>
      <c r="HV461" s="273"/>
      <c r="HW461" s="273"/>
      <c r="HX461" s="273"/>
      <c r="HY461" s="273"/>
      <c r="HZ461" s="273"/>
      <c r="IA461" s="273"/>
      <c r="IB461" s="273"/>
      <c r="IC461" s="273"/>
      <c r="ID461" s="273"/>
      <c r="IE461" s="273"/>
      <c r="IF461" s="273"/>
      <c r="IG461" s="273"/>
      <c r="IH461" s="273"/>
      <c r="II461" s="273"/>
      <c r="IJ461" s="273"/>
      <c r="IK461" s="273"/>
      <c r="IL461" s="273"/>
      <c r="IM461" s="273"/>
      <c r="IN461" s="273"/>
      <c r="IO461" s="273"/>
      <c r="IP461" s="273"/>
      <c r="IQ461" s="273"/>
      <c r="IR461" s="273"/>
      <c r="IS461" s="273"/>
      <c r="IT461" s="273"/>
      <c r="IU461" s="273"/>
      <c r="IV461" s="273"/>
      <c r="IW461" s="273"/>
      <c r="IX461" s="273"/>
      <c r="IY461" s="273"/>
      <c r="IZ461" s="273"/>
      <c r="JA461" s="273"/>
      <c r="JB461" s="273"/>
      <c r="JC461" s="273"/>
      <c r="JD461" s="273"/>
      <c r="JE461" s="273"/>
      <c r="JF461" s="273"/>
      <c r="JG461" s="273"/>
      <c r="JH461" s="273"/>
      <c r="JI461" s="273"/>
      <c r="JJ461" s="273"/>
      <c r="JK461" s="273"/>
      <c r="JL461" s="273"/>
      <c r="JM461" s="273"/>
      <c r="JN461" s="273"/>
      <c r="JO461" s="273"/>
      <c r="JP461" s="273"/>
      <c r="JQ461" s="273"/>
      <c r="JR461" s="273"/>
      <c r="JS461" s="273"/>
      <c r="JT461" s="273"/>
      <c r="JU461" s="273"/>
      <c r="JV461" s="273"/>
      <c r="JW461" s="273"/>
      <c r="JX461" s="273"/>
      <c r="JY461" s="273"/>
      <c r="JZ461" s="273"/>
      <c r="KA461" s="273"/>
      <c r="KB461" s="273"/>
      <c r="KC461" s="273"/>
      <c r="KD461" s="273"/>
      <c r="KE461" s="273"/>
      <c r="KF461" s="273"/>
      <c r="KG461" s="273"/>
      <c r="KH461" s="273"/>
      <c r="KI461" s="273"/>
      <c r="KJ461" s="273"/>
      <c r="KK461" s="273"/>
      <c r="KL461" s="273"/>
      <c r="KM461" s="273"/>
      <c r="KN461" s="273"/>
      <c r="KO461" s="273"/>
      <c r="KP461" s="273"/>
      <c r="KQ461" s="273"/>
      <c r="KR461" s="273"/>
      <c r="KS461" s="273"/>
      <c r="KT461" s="273"/>
      <c r="KU461" s="273"/>
      <c r="KV461" s="273"/>
      <c r="KW461" s="273"/>
      <c r="KX461" s="273"/>
      <c r="KY461" s="273"/>
      <c r="KZ461" s="273"/>
      <c r="LA461" s="273"/>
      <c r="LB461" s="273"/>
      <c r="LC461" s="273"/>
      <c r="LD461" s="273"/>
      <c r="LE461" s="273"/>
      <c r="LF461" s="273"/>
      <c r="LG461" s="273"/>
      <c r="LH461" s="273"/>
      <c r="LI461" s="273"/>
      <c r="LJ461" s="273"/>
      <c r="LK461" s="273"/>
      <c r="LL461" s="273"/>
      <c r="LM461" s="273"/>
      <c r="LN461" s="273"/>
      <c r="LO461" s="273"/>
      <c r="LP461" s="273"/>
      <c r="LQ461" s="273"/>
      <c r="LR461" s="273"/>
      <c r="LS461" s="273"/>
      <c r="LT461" s="273"/>
      <c r="LU461" s="273"/>
      <c r="LV461" s="273"/>
      <c r="LW461" s="273"/>
      <c r="LX461" s="273"/>
      <c r="LY461" s="273"/>
      <c r="LZ461" s="273"/>
      <c r="MA461" s="273"/>
      <c r="MB461" s="273"/>
      <c r="MC461" s="273"/>
      <c r="MD461" s="273"/>
      <c r="ME461" s="273"/>
      <c r="MF461" s="273"/>
      <c r="MG461" s="273"/>
      <c r="MH461" s="273"/>
      <c r="MI461" s="273"/>
      <c r="MJ461" s="273"/>
      <c r="MK461" s="273"/>
      <c r="ML461" s="273"/>
      <c r="MM461" s="273"/>
      <c r="MN461" s="273"/>
      <c r="MO461" s="273"/>
      <c r="MP461" s="273"/>
      <c r="MQ461" s="273"/>
      <c r="MR461" s="273"/>
      <c r="MS461" s="273"/>
      <c r="MT461" s="273"/>
      <c r="MU461" s="273"/>
      <c r="MV461" s="273"/>
      <c r="MW461" s="273"/>
      <c r="MX461" s="273"/>
      <c r="MY461" s="273"/>
      <c r="MZ461" s="273"/>
      <c r="NA461" s="273"/>
      <c r="NB461" s="273"/>
      <c r="NC461" s="273"/>
      <c r="ND461" s="273"/>
      <c r="NE461" s="273"/>
      <c r="NF461" s="273"/>
      <c r="NG461" s="273"/>
      <c r="NH461" s="273"/>
      <c r="NI461" s="273"/>
      <c r="NJ461" s="273"/>
      <c r="NK461" s="273"/>
      <c r="NL461" s="273"/>
      <c r="NM461" s="273"/>
      <c r="NN461" s="273"/>
      <c r="NO461" s="273"/>
      <c r="NP461" s="273"/>
      <c r="NQ461" s="273"/>
      <c r="NR461" s="273"/>
      <c r="NS461" s="273"/>
      <c r="NT461" s="273"/>
      <c r="NU461" s="273"/>
      <c r="NV461" s="273"/>
      <c r="NW461" s="273"/>
      <c r="NX461" s="273"/>
      <c r="NY461" s="273"/>
      <c r="NZ461" s="273"/>
      <c r="OA461" s="273"/>
      <c r="OB461" s="273"/>
      <c r="OC461" s="273"/>
      <c r="OD461" s="273"/>
      <c r="OE461" s="273"/>
      <c r="OF461" s="273"/>
      <c r="OG461" s="273"/>
      <c r="OH461" s="273"/>
      <c r="OI461" s="273"/>
      <c r="OJ461" s="273"/>
      <c r="OK461" s="273"/>
      <c r="OL461" s="273"/>
      <c r="OM461" s="273"/>
      <c r="ON461" s="273"/>
      <c r="OO461" s="273"/>
      <c r="OP461" s="273"/>
      <c r="OQ461" s="273"/>
      <c r="OR461" s="273"/>
      <c r="OS461" s="273"/>
      <c r="OT461" s="273"/>
      <c r="OU461" s="273"/>
      <c r="OV461" s="273"/>
      <c r="OW461" s="273"/>
      <c r="OX461" s="273"/>
      <c r="OY461" s="273"/>
      <c r="OZ461" s="273"/>
      <c r="PA461" s="273"/>
      <c r="PB461" s="273"/>
      <c r="PC461" s="273"/>
      <c r="PD461" s="273"/>
      <c r="PE461" s="273"/>
      <c r="PF461" s="273"/>
      <c r="PG461" s="273"/>
      <c r="PH461" s="273"/>
      <c r="PI461" s="273"/>
      <c r="PJ461" s="273"/>
      <c r="PK461" s="273"/>
      <c r="PL461" s="273"/>
      <c r="PM461" s="273"/>
      <c r="PN461" s="273"/>
      <c r="PO461" s="273"/>
      <c r="PP461" s="273"/>
      <c r="PQ461" s="273"/>
      <c r="PR461" s="273"/>
      <c r="PS461" s="273"/>
      <c r="PT461" s="273"/>
      <c r="PU461" s="273"/>
      <c r="PV461" s="273"/>
      <c r="PW461" s="273"/>
      <c r="PX461" s="273"/>
      <c r="PY461" s="273"/>
      <c r="PZ461" s="273"/>
      <c r="QA461" s="273"/>
      <c r="QB461" s="273"/>
      <c r="QC461" s="273"/>
      <c r="QD461" s="273"/>
      <c r="QE461" s="273"/>
      <c r="QF461" s="273"/>
      <c r="QG461" s="273"/>
      <c r="QH461" s="273"/>
      <c r="QI461" s="273"/>
      <c r="QJ461" s="273"/>
      <c r="QK461" s="273"/>
      <c r="QL461" s="273"/>
      <c r="QM461" s="273"/>
      <c r="QN461" s="273"/>
      <c r="QO461" s="273"/>
      <c r="QP461" s="273"/>
      <c r="QQ461" s="273"/>
      <c r="QR461" s="273"/>
      <c r="QS461" s="273"/>
      <c r="QT461" s="273"/>
      <c r="QU461" s="273"/>
      <c r="QV461" s="273"/>
      <c r="QW461" s="273"/>
      <c r="QX461" s="273"/>
      <c r="QY461" s="273"/>
      <c r="QZ461" s="273"/>
      <c r="RA461" s="273"/>
      <c r="RB461" s="273"/>
      <c r="RC461" s="273"/>
      <c r="RD461" s="273"/>
      <c r="RE461" s="273"/>
      <c r="RF461" s="273"/>
      <c r="RG461" s="273"/>
      <c r="RH461" s="273"/>
      <c r="RI461" s="273"/>
      <c r="RJ461" s="273"/>
      <c r="RK461" s="273"/>
      <c r="RL461" s="273"/>
      <c r="RM461" s="273"/>
      <c r="RN461" s="273"/>
      <c r="RO461" s="273"/>
      <c r="RP461" s="273"/>
      <c r="RQ461" s="273"/>
    </row>
    <row r="462" spans="1:485" s="450" customFormat="1" ht="26" x14ac:dyDescent="0.25">
      <c r="A462" s="3027"/>
      <c r="B462" s="595" t="s">
        <v>1021</v>
      </c>
      <c r="C462" s="266" t="s">
        <v>47</v>
      </c>
      <c r="D462" s="467" t="s">
        <v>955</v>
      </c>
      <c r="E462" s="468">
        <v>5</v>
      </c>
      <c r="F462" s="468">
        <v>662</v>
      </c>
      <c r="G462" s="467">
        <v>1</v>
      </c>
      <c r="H462" s="451">
        <f t="shared" si="212"/>
        <v>3310</v>
      </c>
      <c r="I462" s="675">
        <v>1</v>
      </c>
      <c r="J462" s="451">
        <v>0</v>
      </c>
      <c r="K462" s="451">
        <v>0</v>
      </c>
      <c r="L462" s="451">
        <v>0</v>
      </c>
      <c r="M462" s="1834">
        <f t="shared" si="214"/>
        <v>0</v>
      </c>
      <c r="N462" s="697">
        <v>1</v>
      </c>
      <c r="O462" s="696">
        <f t="shared" si="213"/>
        <v>3310</v>
      </c>
      <c r="P462" s="675">
        <v>1</v>
      </c>
      <c r="Q462" s="451">
        <f t="shared" si="203"/>
        <v>3310</v>
      </c>
      <c r="R462" s="522" t="s">
        <v>1022</v>
      </c>
      <c r="S462" s="452">
        <f>COOPI!S54</f>
        <v>3310</v>
      </c>
      <c r="T462" s="591">
        <f t="shared" si="215"/>
        <v>1</v>
      </c>
      <c r="U462" s="894" t="s">
        <v>606</v>
      </c>
      <c r="V462" s="591">
        <f t="shared" si="216"/>
        <v>1</v>
      </c>
      <c r="W462" s="452">
        <f t="shared" si="217"/>
        <v>3310</v>
      </c>
      <c r="X462" s="452" t="s">
        <v>606</v>
      </c>
      <c r="Y462" s="273"/>
      <c r="Z462" s="273"/>
      <c r="AA462" s="273"/>
      <c r="AB462" s="273"/>
      <c r="AC462" s="273"/>
      <c r="AD462" s="273"/>
      <c r="AE462" s="273"/>
      <c r="AF462" s="273"/>
      <c r="AG462" s="273"/>
      <c r="AH462" s="273"/>
      <c r="AI462" s="273"/>
      <c r="AJ462" s="273"/>
      <c r="AK462" s="273"/>
      <c r="AL462" s="273"/>
      <c r="AM462" s="273"/>
      <c r="AN462" s="273"/>
      <c r="AO462" s="273"/>
      <c r="AP462" s="273"/>
      <c r="AQ462" s="273"/>
      <c r="AR462" s="273"/>
      <c r="AS462" s="273"/>
      <c r="AT462" s="273"/>
      <c r="AU462" s="273"/>
      <c r="AV462" s="273"/>
      <c r="AW462" s="273"/>
      <c r="AX462" s="273"/>
      <c r="AY462" s="273"/>
      <c r="AZ462" s="273"/>
      <c r="BA462" s="273"/>
      <c r="BB462" s="273"/>
      <c r="BC462" s="273"/>
      <c r="BD462" s="273"/>
      <c r="BE462" s="273"/>
      <c r="BF462" s="273"/>
      <c r="BG462" s="273"/>
      <c r="BH462" s="273"/>
      <c r="BI462" s="273"/>
      <c r="BJ462" s="273"/>
      <c r="BK462" s="273"/>
      <c r="BL462" s="273"/>
      <c r="BM462" s="273"/>
      <c r="BN462" s="273"/>
      <c r="BO462" s="273"/>
      <c r="BP462" s="273"/>
      <c r="BQ462" s="273"/>
      <c r="BR462" s="273"/>
      <c r="BS462" s="273"/>
      <c r="BT462" s="273"/>
      <c r="BU462" s="273"/>
      <c r="BV462" s="273"/>
      <c r="BW462" s="273"/>
      <c r="BX462" s="273"/>
      <c r="BY462" s="273"/>
      <c r="BZ462" s="273"/>
      <c r="CA462" s="273"/>
      <c r="CB462" s="273"/>
      <c r="CC462" s="273"/>
      <c r="CD462" s="273"/>
      <c r="CE462" s="273"/>
      <c r="CF462" s="273"/>
      <c r="CG462" s="273"/>
      <c r="CH462" s="273"/>
      <c r="CI462" s="273"/>
      <c r="CJ462" s="273"/>
      <c r="CK462" s="273"/>
      <c r="CL462" s="273"/>
      <c r="CM462" s="273"/>
      <c r="CN462" s="273"/>
      <c r="CO462" s="273"/>
      <c r="CP462" s="273"/>
      <c r="CQ462" s="273"/>
      <c r="CR462" s="273"/>
      <c r="CS462" s="273"/>
      <c r="CT462" s="273"/>
      <c r="CU462" s="273"/>
      <c r="CV462" s="273"/>
      <c r="CW462" s="273"/>
      <c r="CX462" s="273"/>
      <c r="CY462" s="273"/>
      <c r="CZ462" s="273"/>
      <c r="DA462" s="273"/>
      <c r="DB462" s="273"/>
      <c r="DC462" s="273"/>
      <c r="DD462" s="273"/>
      <c r="DE462" s="273"/>
      <c r="DF462" s="273"/>
      <c r="DG462" s="273"/>
      <c r="DH462" s="273"/>
      <c r="DI462" s="273"/>
      <c r="DJ462" s="273"/>
      <c r="DK462" s="273"/>
      <c r="DL462" s="273"/>
      <c r="DM462" s="273"/>
      <c r="DN462" s="273"/>
      <c r="DO462" s="273"/>
      <c r="DP462" s="273"/>
      <c r="DQ462" s="273"/>
      <c r="DR462" s="273"/>
      <c r="DS462" s="273"/>
      <c r="DT462" s="273"/>
      <c r="DU462" s="273"/>
      <c r="DV462" s="273"/>
      <c r="DW462" s="273"/>
      <c r="DX462" s="273"/>
      <c r="DY462" s="273"/>
      <c r="DZ462" s="273"/>
      <c r="EA462" s="273"/>
      <c r="EB462" s="273"/>
      <c r="EC462" s="273"/>
      <c r="ED462" s="273"/>
      <c r="EE462" s="273"/>
      <c r="EF462" s="273"/>
      <c r="EG462" s="273"/>
      <c r="EH462" s="273"/>
      <c r="EI462" s="273"/>
      <c r="EJ462" s="273"/>
      <c r="EK462" s="273"/>
      <c r="EL462" s="273"/>
      <c r="EM462" s="273"/>
      <c r="EN462" s="273"/>
      <c r="EO462" s="273"/>
      <c r="EP462" s="273"/>
      <c r="EQ462" s="273"/>
      <c r="ER462" s="273"/>
      <c r="ES462" s="273"/>
      <c r="ET462" s="273"/>
      <c r="EU462" s="273"/>
      <c r="EV462" s="273"/>
      <c r="EW462" s="273"/>
      <c r="EX462" s="273"/>
      <c r="EY462" s="273"/>
      <c r="EZ462" s="273"/>
      <c r="FA462" s="273"/>
      <c r="FB462" s="273"/>
      <c r="FC462" s="273"/>
      <c r="FD462" s="273"/>
      <c r="FE462" s="273"/>
      <c r="FF462" s="273"/>
      <c r="FG462" s="273"/>
      <c r="FH462" s="273"/>
      <c r="FI462" s="273"/>
      <c r="FJ462" s="273"/>
      <c r="FK462" s="273"/>
      <c r="FL462" s="273"/>
      <c r="FM462" s="273"/>
      <c r="FN462" s="273"/>
      <c r="FO462" s="273"/>
      <c r="FP462" s="273"/>
      <c r="FQ462" s="273"/>
      <c r="FR462" s="273"/>
      <c r="FS462" s="273"/>
      <c r="FT462" s="273"/>
      <c r="FU462" s="273"/>
      <c r="FV462" s="273"/>
      <c r="FW462" s="273"/>
      <c r="FX462" s="273"/>
      <c r="FY462" s="273"/>
      <c r="FZ462" s="273"/>
      <c r="GA462" s="273"/>
      <c r="GB462" s="273"/>
      <c r="GC462" s="273"/>
      <c r="GD462" s="273"/>
      <c r="GE462" s="273"/>
      <c r="GF462" s="273"/>
      <c r="GG462" s="273"/>
      <c r="GH462" s="273"/>
      <c r="GI462" s="273"/>
      <c r="GJ462" s="273"/>
      <c r="GK462" s="273"/>
      <c r="GL462" s="273"/>
      <c r="GM462" s="273"/>
      <c r="GN462" s="273"/>
      <c r="GO462" s="273"/>
      <c r="GP462" s="273"/>
      <c r="GQ462" s="273"/>
      <c r="GR462" s="273"/>
      <c r="GS462" s="273"/>
      <c r="GT462" s="273"/>
      <c r="GU462" s="273"/>
      <c r="GV462" s="273"/>
      <c r="GW462" s="273"/>
      <c r="GX462" s="273"/>
      <c r="GY462" s="273"/>
      <c r="GZ462" s="273"/>
      <c r="HA462" s="273"/>
      <c r="HB462" s="273"/>
      <c r="HC462" s="273"/>
      <c r="HD462" s="273"/>
      <c r="HE462" s="273"/>
      <c r="HF462" s="273"/>
      <c r="HG462" s="273"/>
      <c r="HH462" s="273"/>
      <c r="HI462" s="273"/>
      <c r="HJ462" s="273"/>
      <c r="HK462" s="273"/>
      <c r="HL462" s="273"/>
      <c r="HM462" s="273"/>
      <c r="HN462" s="273"/>
      <c r="HO462" s="273"/>
      <c r="HP462" s="273"/>
      <c r="HQ462" s="273"/>
      <c r="HR462" s="273"/>
      <c r="HS462" s="273"/>
      <c r="HT462" s="273"/>
      <c r="HU462" s="273"/>
      <c r="HV462" s="273"/>
      <c r="HW462" s="273"/>
      <c r="HX462" s="273"/>
      <c r="HY462" s="273"/>
      <c r="HZ462" s="273"/>
      <c r="IA462" s="273"/>
      <c r="IB462" s="273"/>
      <c r="IC462" s="273"/>
      <c r="ID462" s="273"/>
      <c r="IE462" s="273"/>
      <c r="IF462" s="273"/>
      <c r="IG462" s="273"/>
      <c r="IH462" s="273"/>
      <c r="II462" s="273"/>
      <c r="IJ462" s="273"/>
      <c r="IK462" s="273"/>
      <c r="IL462" s="273"/>
      <c r="IM462" s="273"/>
      <c r="IN462" s="273"/>
      <c r="IO462" s="273"/>
      <c r="IP462" s="273"/>
      <c r="IQ462" s="273"/>
      <c r="IR462" s="273"/>
      <c r="IS462" s="273"/>
      <c r="IT462" s="273"/>
      <c r="IU462" s="273"/>
      <c r="IV462" s="273"/>
      <c r="IW462" s="273"/>
      <c r="IX462" s="273"/>
      <c r="IY462" s="273"/>
      <c r="IZ462" s="273"/>
      <c r="JA462" s="273"/>
      <c r="JB462" s="273"/>
      <c r="JC462" s="273"/>
      <c r="JD462" s="273"/>
      <c r="JE462" s="273"/>
      <c r="JF462" s="273"/>
      <c r="JG462" s="273"/>
      <c r="JH462" s="273"/>
      <c r="JI462" s="273"/>
      <c r="JJ462" s="273"/>
      <c r="JK462" s="273"/>
      <c r="JL462" s="273"/>
      <c r="JM462" s="273"/>
      <c r="JN462" s="273"/>
      <c r="JO462" s="273"/>
      <c r="JP462" s="273"/>
      <c r="JQ462" s="273"/>
      <c r="JR462" s="273"/>
      <c r="JS462" s="273"/>
      <c r="JT462" s="273"/>
      <c r="JU462" s="273"/>
      <c r="JV462" s="273"/>
      <c r="JW462" s="273"/>
      <c r="JX462" s="273"/>
      <c r="JY462" s="273"/>
      <c r="JZ462" s="273"/>
      <c r="KA462" s="273"/>
      <c r="KB462" s="273"/>
      <c r="KC462" s="273"/>
      <c r="KD462" s="273"/>
      <c r="KE462" s="273"/>
      <c r="KF462" s="273"/>
      <c r="KG462" s="273"/>
      <c r="KH462" s="273"/>
      <c r="KI462" s="273"/>
      <c r="KJ462" s="273"/>
      <c r="KK462" s="273"/>
      <c r="KL462" s="273"/>
      <c r="KM462" s="273"/>
      <c r="KN462" s="273"/>
      <c r="KO462" s="273"/>
      <c r="KP462" s="273"/>
      <c r="KQ462" s="273"/>
      <c r="KR462" s="273"/>
      <c r="KS462" s="273"/>
      <c r="KT462" s="273"/>
      <c r="KU462" s="273"/>
      <c r="KV462" s="273"/>
      <c r="KW462" s="273"/>
      <c r="KX462" s="273"/>
      <c r="KY462" s="273"/>
      <c r="KZ462" s="273"/>
      <c r="LA462" s="273"/>
      <c r="LB462" s="273"/>
      <c r="LC462" s="273"/>
      <c r="LD462" s="273"/>
      <c r="LE462" s="273"/>
      <c r="LF462" s="273"/>
      <c r="LG462" s="273"/>
      <c r="LH462" s="273"/>
      <c r="LI462" s="273"/>
      <c r="LJ462" s="273"/>
      <c r="LK462" s="273"/>
      <c r="LL462" s="273"/>
      <c r="LM462" s="273"/>
      <c r="LN462" s="273"/>
      <c r="LO462" s="273"/>
      <c r="LP462" s="273"/>
      <c r="LQ462" s="273"/>
      <c r="LR462" s="273"/>
      <c r="LS462" s="273"/>
      <c r="LT462" s="273"/>
      <c r="LU462" s="273"/>
      <c r="LV462" s="273"/>
      <c r="LW462" s="273"/>
      <c r="LX462" s="273"/>
      <c r="LY462" s="273"/>
      <c r="LZ462" s="273"/>
      <c r="MA462" s="273"/>
      <c r="MB462" s="273"/>
      <c r="MC462" s="273"/>
      <c r="MD462" s="273"/>
      <c r="ME462" s="273"/>
      <c r="MF462" s="273"/>
      <c r="MG462" s="273"/>
      <c r="MH462" s="273"/>
      <c r="MI462" s="273"/>
      <c r="MJ462" s="273"/>
      <c r="MK462" s="273"/>
      <c r="ML462" s="273"/>
      <c r="MM462" s="273"/>
      <c r="MN462" s="273"/>
      <c r="MO462" s="273"/>
      <c r="MP462" s="273"/>
      <c r="MQ462" s="273"/>
      <c r="MR462" s="273"/>
      <c r="MS462" s="273"/>
      <c r="MT462" s="273"/>
      <c r="MU462" s="273"/>
      <c r="MV462" s="273"/>
      <c r="MW462" s="273"/>
      <c r="MX462" s="273"/>
      <c r="MY462" s="273"/>
      <c r="MZ462" s="273"/>
      <c r="NA462" s="273"/>
      <c r="NB462" s="273"/>
      <c r="NC462" s="273"/>
      <c r="ND462" s="273"/>
      <c r="NE462" s="273"/>
      <c r="NF462" s="273"/>
      <c r="NG462" s="273"/>
      <c r="NH462" s="273"/>
      <c r="NI462" s="273"/>
      <c r="NJ462" s="273"/>
      <c r="NK462" s="273"/>
      <c r="NL462" s="273"/>
      <c r="NM462" s="273"/>
      <c r="NN462" s="273"/>
      <c r="NO462" s="273"/>
      <c r="NP462" s="273"/>
      <c r="NQ462" s="273"/>
      <c r="NR462" s="273"/>
      <c r="NS462" s="273"/>
      <c r="NT462" s="273"/>
      <c r="NU462" s="273"/>
      <c r="NV462" s="273"/>
      <c r="NW462" s="273"/>
      <c r="NX462" s="273"/>
      <c r="NY462" s="273"/>
      <c r="NZ462" s="273"/>
      <c r="OA462" s="273"/>
      <c r="OB462" s="273"/>
      <c r="OC462" s="273"/>
      <c r="OD462" s="273"/>
      <c r="OE462" s="273"/>
      <c r="OF462" s="273"/>
      <c r="OG462" s="273"/>
      <c r="OH462" s="273"/>
      <c r="OI462" s="273"/>
      <c r="OJ462" s="273"/>
      <c r="OK462" s="273"/>
      <c r="OL462" s="273"/>
      <c r="OM462" s="273"/>
      <c r="ON462" s="273"/>
      <c r="OO462" s="273"/>
      <c r="OP462" s="273"/>
      <c r="OQ462" s="273"/>
      <c r="OR462" s="273"/>
      <c r="OS462" s="273"/>
      <c r="OT462" s="273"/>
      <c r="OU462" s="273"/>
      <c r="OV462" s="273"/>
      <c r="OW462" s="273"/>
      <c r="OX462" s="273"/>
      <c r="OY462" s="273"/>
      <c r="OZ462" s="273"/>
      <c r="PA462" s="273"/>
      <c r="PB462" s="273"/>
      <c r="PC462" s="273"/>
      <c r="PD462" s="273"/>
      <c r="PE462" s="273"/>
      <c r="PF462" s="273"/>
      <c r="PG462" s="273"/>
      <c r="PH462" s="273"/>
      <c r="PI462" s="273"/>
      <c r="PJ462" s="273"/>
      <c r="PK462" s="273"/>
      <c r="PL462" s="273"/>
      <c r="PM462" s="273"/>
      <c r="PN462" s="273"/>
      <c r="PO462" s="273"/>
      <c r="PP462" s="273"/>
      <c r="PQ462" s="273"/>
      <c r="PR462" s="273"/>
      <c r="PS462" s="273"/>
      <c r="PT462" s="273"/>
      <c r="PU462" s="273"/>
      <c r="PV462" s="273"/>
      <c r="PW462" s="273"/>
      <c r="PX462" s="273"/>
      <c r="PY462" s="273"/>
      <c r="PZ462" s="273"/>
      <c r="QA462" s="273"/>
      <c r="QB462" s="273"/>
      <c r="QC462" s="273"/>
      <c r="QD462" s="273"/>
      <c r="QE462" s="273"/>
      <c r="QF462" s="273"/>
      <c r="QG462" s="273"/>
      <c r="QH462" s="273"/>
      <c r="QI462" s="273"/>
      <c r="QJ462" s="273"/>
      <c r="QK462" s="273"/>
      <c r="QL462" s="273"/>
      <c r="QM462" s="273"/>
      <c r="QN462" s="273"/>
      <c r="QO462" s="273"/>
      <c r="QP462" s="273"/>
      <c r="QQ462" s="273"/>
      <c r="QR462" s="273"/>
      <c r="QS462" s="273"/>
      <c r="QT462" s="273"/>
      <c r="QU462" s="273"/>
      <c r="QV462" s="273"/>
      <c r="QW462" s="273"/>
      <c r="QX462" s="273"/>
      <c r="QY462" s="273"/>
      <c r="QZ462" s="273"/>
      <c r="RA462" s="273"/>
      <c r="RB462" s="273"/>
      <c r="RC462" s="273"/>
      <c r="RD462" s="273"/>
      <c r="RE462" s="273"/>
      <c r="RF462" s="273"/>
      <c r="RG462" s="273"/>
      <c r="RH462" s="273"/>
      <c r="RI462" s="273"/>
      <c r="RJ462" s="273"/>
      <c r="RK462" s="273"/>
      <c r="RL462" s="273"/>
      <c r="RM462" s="273"/>
      <c r="RN462" s="273"/>
      <c r="RO462" s="273"/>
      <c r="RP462" s="273"/>
      <c r="RQ462" s="273"/>
    </row>
    <row r="463" spans="1:485" s="450" customFormat="1" ht="169" x14ac:dyDescent="0.25">
      <c r="A463" s="3027"/>
      <c r="B463" s="595" t="s">
        <v>1023</v>
      </c>
      <c r="C463" s="266" t="s">
        <v>47</v>
      </c>
      <c r="D463" s="467" t="s">
        <v>955</v>
      </c>
      <c r="E463" s="468">
        <v>1</v>
      </c>
      <c r="F463" s="468">
        <v>1712.5</v>
      </c>
      <c r="G463" s="467">
        <v>8</v>
      </c>
      <c r="H463" s="451">
        <f t="shared" si="212"/>
        <v>13700</v>
      </c>
      <c r="I463" s="675">
        <v>0.97399999999999998</v>
      </c>
      <c r="J463" s="451">
        <v>0</v>
      </c>
      <c r="K463" s="451">
        <v>2005</v>
      </c>
      <c r="L463" s="451">
        <v>12</v>
      </c>
      <c r="M463" s="1834">
        <f t="shared" si="214"/>
        <v>0</v>
      </c>
      <c r="N463" s="697">
        <v>0.97399999999999998</v>
      </c>
      <c r="O463" s="696">
        <f t="shared" si="213"/>
        <v>13700</v>
      </c>
      <c r="P463" s="675">
        <v>0.97399999999999998</v>
      </c>
      <c r="Q463" s="451">
        <f t="shared" si="203"/>
        <v>13343.8</v>
      </c>
      <c r="R463" s="522" t="s">
        <v>1024</v>
      </c>
      <c r="S463" s="452">
        <f>COOPI!S55</f>
        <v>14210</v>
      </c>
      <c r="T463" s="591">
        <f t="shared" si="215"/>
        <v>1.0372262773722627</v>
      </c>
      <c r="U463" s="522" t="s">
        <v>1025</v>
      </c>
      <c r="V463" s="591">
        <f t="shared" si="216"/>
        <v>1.0372262773722627</v>
      </c>
      <c r="W463" s="452">
        <f t="shared" si="217"/>
        <v>13840.539999999999</v>
      </c>
      <c r="X463" s="453" t="s">
        <v>1025</v>
      </c>
      <c r="Y463" s="273"/>
      <c r="Z463" s="273"/>
      <c r="AA463" s="273"/>
      <c r="AB463" s="273"/>
      <c r="AC463" s="273"/>
      <c r="AD463" s="273"/>
      <c r="AE463" s="273"/>
      <c r="AF463" s="273"/>
      <c r="AG463" s="273"/>
      <c r="AH463" s="273"/>
      <c r="AI463" s="273"/>
      <c r="AJ463" s="273"/>
      <c r="AK463" s="273"/>
      <c r="AL463" s="273"/>
      <c r="AM463" s="273"/>
      <c r="AN463" s="273"/>
      <c r="AO463" s="273"/>
      <c r="AP463" s="273"/>
      <c r="AQ463" s="273"/>
      <c r="AR463" s="273"/>
      <c r="AS463" s="273"/>
      <c r="AT463" s="273"/>
      <c r="AU463" s="273"/>
      <c r="AV463" s="273"/>
      <c r="AW463" s="273"/>
      <c r="AX463" s="273"/>
      <c r="AY463" s="273"/>
      <c r="AZ463" s="273"/>
      <c r="BA463" s="273"/>
      <c r="BB463" s="273"/>
      <c r="BC463" s="273"/>
      <c r="BD463" s="273"/>
      <c r="BE463" s="273"/>
      <c r="BF463" s="273"/>
      <c r="BG463" s="273"/>
      <c r="BH463" s="273"/>
      <c r="BI463" s="273"/>
      <c r="BJ463" s="273"/>
      <c r="BK463" s="273"/>
      <c r="BL463" s="273"/>
      <c r="BM463" s="273"/>
      <c r="BN463" s="273"/>
      <c r="BO463" s="273"/>
      <c r="BP463" s="273"/>
      <c r="BQ463" s="273"/>
      <c r="BR463" s="273"/>
      <c r="BS463" s="273"/>
      <c r="BT463" s="273"/>
      <c r="BU463" s="273"/>
      <c r="BV463" s="273"/>
      <c r="BW463" s="273"/>
      <c r="BX463" s="273"/>
      <c r="BY463" s="273"/>
      <c r="BZ463" s="273"/>
      <c r="CA463" s="273"/>
      <c r="CB463" s="273"/>
      <c r="CC463" s="273"/>
      <c r="CD463" s="273"/>
      <c r="CE463" s="273"/>
      <c r="CF463" s="273"/>
      <c r="CG463" s="273"/>
      <c r="CH463" s="273"/>
      <c r="CI463" s="273"/>
      <c r="CJ463" s="273"/>
      <c r="CK463" s="273"/>
      <c r="CL463" s="273"/>
      <c r="CM463" s="273"/>
      <c r="CN463" s="273"/>
      <c r="CO463" s="273"/>
      <c r="CP463" s="273"/>
      <c r="CQ463" s="273"/>
      <c r="CR463" s="273"/>
      <c r="CS463" s="273"/>
      <c r="CT463" s="273"/>
      <c r="CU463" s="273"/>
      <c r="CV463" s="273"/>
      <c r="CW463" s="273"/>
      <c r="CX463" s="273"/>
      <c r="CY463" s="273"/>
      <c r="CZ463" s="273"/>
      <c r="DA463" s="273"/>
      <c r="DB463" s="273"/>
      <c r="DC463" s="273"/>
      <c r="DD463" s="273"/>
      <c r="DE463" s="273"/>
      <c r="DF463" s="273"/>
      <c r="DG463" s="273"/>
      <c r="DH463" s="273"/>
      <c r="DI463" s="273"/>
      <c r="DJ463" s="273"/>
      <c r="DK463" s="273"/>
      <c r="DL463" s="273"/>
      <c r="DM463" s="273"/>
      <c r="DN463" s="273"/>
      <c r="DO463" s="273"/>
      <c r="DP463" s="273"/>
      <c r="DQ463" s="273"/>
      <c r="DR463" s="273"/>
      <c r="DS463" s="273"/>
      <c r="DT463" s="273"/>
      <c r="DU463" s="273"/>
      <c r="DV463" s="273"/>
      <c r="DW463" s="273"/>
      <c r="DX463" s="273"/>
      <c r="DY463" s="273"/>
      <c r="DZ463" s="273"/>
      <c r="EA463" s="273"/>
      <c r="EB463" s="273"/>
      <c r="EC463" s="273"/>
      <c r="ED463" s="273"/>
      <c r="EE463" s="273"/>
      <c r="EF463" s="273"/>
      <c r="EG463" s="273"/>
      <c r="EH463" s="273"/>
      <c r="EI463" s="273"/>
      <c r="EJ463" s="273"/>
      <c r="EK463" s="273"/>
      <c r="EL463" s="273"/>
      <c r="EM463" s="273"/>
      <c r="EN463" s="273"/>
      <c r="EO463" s="273"/>
      <c r="EP463" s="273"/>
      <c r="EQ463" s="273"/>
      <c r="ER463" s="273"/>
      <c r="ES463" s="273"/>
      <c r="ET463" s="273"/>
      <c r="EU463" s="273"/>
      <c r="EV463" s="273"/>
      <c r="EW463" s="273"/>
      <c r="EX463" s="273"/>
      <c r="EY463" s="273"/>
      <c r="EZ463" s="273"/>
      <c r="FA463" s="273"/>
      <c r="FB463" s="273"/>
      <c r="FC463" s="273"/>
      <c r="FD463" s="273"/>
      <c r="FE463" s="273"/>
      <c r="FF463" s="273"/>
      <c r="FG463" s="273"/>
      <c r="FH463" s="273"/>
      <c r="FI463" s="273"/>
      <c r="FJ463" s="273"/>
      <c r="FK463" s="273"/>
      <c r="FL463" s="273"/>
      <c r="FM463" s="273"/>
      <c r="FN463" s="273"/>
      <c r="FO463" s="273"/>
      <c r="FP463" s="273"/>
      <c r="FQ463" s="273"/>
      <c r="FR463" s="273"/>
      <c r="FS463" s="273"/>
      <c r="FT463" s="273"/>
      <c r="FU463" s="273"/>
      <c r="FV463" s="273"/>
      <c r="FW463" s="273"/>
      <c r="FX463" s="273"/>
      <c r="FY463" s="273"/>
      <c r="FZ463" s="273"/>
      <c r="GA463" s="273"/>
      <c r="GB463" s="273"/>
      <c r="GC463" s="273"/>
      <c r="GD463" s="273"/>
      <c r="GE463" s="273"/>
      <c r="GF463" s="273"/>
      <c r="GG463" s="273"/>
      <c r="GH463" s="273"/>
      <c r="GI463" s="273"/>
      <c r="GJ463" s="273"/>
      <c r="GK463" s="273"/>
      <c r="GL463" s="273"/>
      <c r="GM463" s="273"/>
      <c r="GN463" s="273"/>
      <c r="GO463" s="273"/>
      <c r="GP463" s="273"/>
      <c r="GQ463" s="273"/>
      <c r="GR463" s="273"/>
      <c r="GS463" s="273"/>
      <c r="GT463" s="273"/>
      <c r="GU463" s="273"/>
      <c r="GV463" s="273"/>
      <c r="GW463" s="273"/>
      <c r="GX463" s="273"/>
      <c r="GY463" s="273"/>
      <c r="GZ463" s="273"/>
      <c r="HA463" s="273"/>
      <c r="HB463" s="273"/>
      <c r="HC463" s="273"/>
      <c r="HD463" s="273"/>
      <c r="HE463" s="273"/>
      <c r="HF463" s="273"/>
      <c r="HG463" s="273"/>
      <c r="HH463" s="273"/>
      <c r="HI463" s="273"/>
      <c r="HJ463" s="273"/>
      <c r="HK463" s="273"/>
      <c r="HL463" s="273"/>
      <c r="HM463" s="273"/>
      <c r="HN463" s="273"/>
      <c r="HO463" s="273"/>
      <c r="HP463" s="273"/>
      <c r="HQ463" s="273"/>
      <c r="HR463" s="273"/>
      <c r="HS463" s="273"/>
      <c r="HT463" s="273"/>
      <c r="HU463" s="273"/>
      <c r="HV463" s="273"/>
      <c r="HW463" s="273"/>
      <c r="HX463" s="273"/>
      <c r="HY463" s="273"/>
      <c r="HZ463" s="273"/>
      <c r="IA463" s="273"/>
      <c r="IB463" s="273"/>
      <c r="IC463" s="273"/>
      <c r="ID463" s="273"/>
      <c r="IE463" s="273"/>
      <c r="IF463" s="273"/>
      <c r="IG463" s="273"/>
      <c r="IH463" s="273"/>
      <c r="II463" s="273"/>
      <c r="IJ463" s="273"/>
      <c r="IK463" s="273"/>
      <c r="IL463" s="273"/>
      <c r="IM463" s="273"/>
      <c r="IN463" s="273"/>
      <c r="IO463" s="273"/>
      <c r="IP463" s="273"/>
      <c r="IQ463" s="273"/>
      <c r="IR463" s="273"/>
      <c r="IS463" s="273"/>
      <c r="IT463" s="273"/>
      <c r="IU463" s="273"/>
      <c r="IV463" s="273"/>
      <c r="IW463" s="273"/>
      <c r="IX463" s="273"/>
      <c r="IY463" s="273"/>
      <c r="IZ463" s="273"/>
      <c r="JA463" s="273"/>
      <c r="JB463" s="273"/>
      <c r="JC463" s="273"/>
      <c r="JD463" s="273"/>
      <c r="JE463" s="273"/>
      <c r="JF463" s="273"/>
      <c r="JG463" s="273"/>
      <c r="JH463" s="273"/>
      <c r="JI463" s="273"/>
      <c r="JJ463" s="273"/>
      <c r="JK463" s="273"/>
      <c r="JL463" s="273"/>
      <c r="JM463" s="273"/>
      <c r="JN463" s="273"/>
      <c r="JO463" s="273"/>
      <c r="JP463" s="273"/>
      <c r="JQ463" s="273"/>
      <c r="JR463" s="273"/>
      <c r="JS463" s="273"/>
      <c r="JT463" s="273"/>
      <c r="JU463" s="273"/>
      <c r="JV463" s="273"/>
      <c r="JW463" s="273"/>
      <c r="JX463" s="273"/>
      <c r="JY463" s="273"/>
      <c r="JZ463" s="273"/>
      <c r="KA463" s="273"/>
      <c r="KB463" s="273"/>
      <c r="KC463" s="273"/>
      <c r="KD463" s="273"/>
      <c r="KE463" s="273"/>
      <c r="KF463" s="273"/>
      <c r="KG463" s="273"/>
      <c r="KH463" s="273"/>
      <c r="KI463" s="273"/>
      <c r="KJ463" s="273"/>
      <c r="KK463" s="273"/>
      <c r="KL463" s="273"/>
      <c r="KM463" s="273"/>
      <c r="KN463" s="273"/>
      <c r="KO463" s="273"/>
      <c r="KP463" s="273"/>
      <c r="KQ463" s="273"/>
      <c r="KR463" s="273"/>
      <c r="KS463" s="273"/>
      <c r="KT463" s="273"/>
      <c r="KU463" s="273"/>
      <c r="KV463" s="273"/>
      <c r="KW463" s="273"/>
      <c r="KX463" s="273"/>
      <c r="KY463" s="273"/>
      <c r="KZ463" s="273"/>
      <c r="LA463" s="273"/>
      <c r="LB463" s="273"/>
      <c r="LC463" s="273"/>
      <c r="LD463" s="273"/>
      <c r="LE463" s="273"/>
      <c r="LF463" s="273"/>
      <c r="LG463" s="273"/>
      <c r="LH463" s="273"/>
      <c r="LI463" s="273"/>
      <c r="LJ463" s="273"/>
      <c r="LK463" s="273"/>
      <c r="LL463" s="273"/>
      <c r="LM463" s="273"/>
      <c r="LN463" s="273"/>
      <c r="LO463" s="273"/>
      <c r="LP463" s="273"/>
      <c r="LQ463" s="273"/>
      <c r="LR463" s="273"/>
      <c r="LS463" s="273"/>
      <c r="LT463" s="273"/>
      <c r="LU463" s="273"/>
      <c r="LV463" s="273"/>
      <c r="LW463" s="273"/>
      <c r="LX463" s="273"/>
      <c r="LY463" s="273"/>
      <c r="LZ463" s="273"/>
      <c r="MA463" s="273"/>
      <c r="MB463" s="273"/>
      <c r="MC463" s="273"/>
      <c r="MD463" s="273"/>
      <c r="ME463" s="273"/>
      <c r="MF463" s="273"/>
      <c r="MG463" s="273"/>
      <c r="MH463" s="273"/>
      <c r="MI463" s="273"/>
      <c r="MJ463" s="273"/>
      <c r="MK463" s="273"/>
      <c r="ML463" s="273"/>
      <c r="MM463" s="273"/>
      <c r="MN463" s="273"/>
      <c r="MO463" s="273"/>
      <c r="MP463" s="273"/>
      <c r="MQ463" s="273"/>
      <c r="MR463" s="273"/>
      <c r="MS463" s="273"/>
      <c r="MT463" s="273"/>
      <c r="MU463" s="273"/>
      <c r="MV463" s="273"/>
      <c r="MW463" s="273"/>
      <c r="MX463" s="273"/>
      <c r="MY463" s="273"/>
      <c r="MZ463" s="273"/>
      <c r="NA463" s="273"/>
      <c r="NB463" s="273"/>
      <c r="NC463" s="273"/>
      <c r="ND463" s="273"/>
      <c r="NE463" s="273"/>
      <c r="NF463" s="273"/>
      <c r="NG463" s="273"/>
      <c r="NH463" s="273"/>
      <c r="NI463" s="273"/>
      <c r="NJ463" s="273"/>
      <c r="NK463" s="273"/>
      <c r="NL463" s="273"/>
      <c r="NM463" s="273"/>
      <c r="NN463" s="273"/>
      <c r="NO463" s="273"/>
      <c r="NP463" s="273"/>
      <c r="NQ463" s="273"/>
      <c r="NR463" s="273"/>
      <c r="NS463" s="273"/>
      <c r="NT463" s="273"/>
      <c r="NU463" s="273"/>
      <c r="NV463" s="273"/>
      <c r="NW463" s="273"/>
      <c r="NX463" s="273"/>
      <c r="NY463" s="273"/>
      <c r="NZ463" s="273"/>
      <c r="OA463" s="273"/>
      <c r="OB463" s="273"/>
      <c r="OC463" s="273"/>
      <c r="OD463" s="273"/>
      <c r="OE463" s="273"/>
      <c r="OF463" s="273"/>
      <c r="OG463" s="273"/>
      <c r="OH463" s="273"/>
      <c r="OI463" s="273"/>
      <c r="OJ463" s="273"/>
      <c r="OK463" s="273"/>
      <c r="OL463" s="273"/>
      <c r="OM463" s="273"/>
      <c r="ON463" s="273"/>
      <c r="OO463" s="273"/>
      <c r="OP463" s="273"/>
      <c r="OQ463" s="273"/>
      <c r="OR463" s="273"/>
      <c r="OS463" s="273"/>
      <c r="OT463" s="273"/>
      <c r="OU463" s="273"/>
      <c r="OV463" s="273"/>
      <c r="OW463" s="273"/>
      <c r="OX463" s="273"/>
      <c r="OY463" s="273"/>
      <c r="OZ463" s="273"/>
      <c r="PA463" s="273"/>
      <c r="PB463" s="273"/>
      <c r="PC463" s="273"/>
      <c r="PD463" s="273"/>
      <c r="PE463" s="273"/>
      <c r="PF463" s="273"/>
      <c r="PG463" s="273"/>
      <c r="PH463" s="273"/>
      <c r="PI463" s="273"/>
      <c r="PJ463" s="273"/>
      <c r="PK463" s="273"/>
      <c r="PL463" s="273"/>
      <c r="PM463" s="273"/>
      <c r="PN463" s="273"/>
      <c r="PO463" s="273"/>
      <c r="PP463" s="273"/>
      <c r="PQ463" s="273"/>
      <c r="PR463" s="273"/>
      <c r="PS463" s="273"/>
      <c r="PT463" s="273"/>
      <c r="PU463" s="273"/>
      <c r="PV463" s="273"/>
      <c r="PW463" s="273"/>
      <c r="PX463" s="273"/>
      <c r="PY463" s="273"/>
      <c r="PZ463" s="273"/>
      <c r="QA463" s="273"/>
      <c r="QB463" s="273"/>
      <c r="QC463" s="273"/>
      <c r="QD463" s="273"/>
      <c r="QE463" s="273"/>
      <c r="QF463" s="273"/>
      <c r="QG463" s="273"/>
      <c r="QH463" s="273"/>
      <c r="QI463" s="273"/>
      <c r="QJ463" s="273"/>
      <c r="QK463" s="273"/>
      <c r="QL463" s="273"/>
      <c r="QM463" s="273"/>
      <c r="QN463" s="273"/>
      <c r="QO463" s="273"/>
      <c r="QP463" s="273"/>
      <c r="QQ463" s="273"/>
      <c r="QR463" s="273"/>
      <c r="QS463" s="273"/>
      <c r="QT463" s="273"/>
      <c r="QU463" s="273"/>
      <c r="QV463" s="273"/>
      <c r="QW463" s="273"/>
      <c r="QX463" s="273"/>
      <c r="QY463" s="273"/>
      <c r="QZ463" s="273"/>
      <c r="RA463" s="273"/>
      <c r="RB463" s="273"/>
      <c r="RC463" s="273"/>
      <c r="RD463" s="273"/>
      <c r="RE463" s="273"/>
      <c r="RF463" s="273"/>
      <c r="RG463" s="273"/>
      <c r="RH463" s="273"/>
      <c r="RI463" s="273"/>
      <c r="RJ463" s="273"/>
      <c r="RK463" s="273"/>
      <c r="RL463" s="273"/>
      <c r="RM463" s="273"/>
      <c r="RN463" s="273"/>
      <c r="RO463" s="273"/>
      <c r="RP463" s="273"/>
      <c r="RQ463" s="273"/>
    </row>
    <row r="464" spans="1:485" s="450" customFormat="1" ht="29.5" customHeight="1" x14ac:dyDescent="0.25">
      <c r="A464" s="3027"/>
      <c r="B464" s="595" t="s">
        <v>1026</v>
      </c>
      <c r="C464" s="266" t="s">
        <v>15</v>
      </c>
      <c r="D464" s="467" t="s">
        <v>955</v>
      </c>
      <c r="E464" s="468">
        <v>5</v>
      </c>
      <c r="F464" s="468">
        <v>0</v>
      </c>
      <c r="G464" s="467">
        <v>5</v>
      </c>
      <c r="H464" s="451">
        <f t="shared" si="212"/>
        <v>0</v>
      </c>
      <c r="I464" s="675">
        <v>0.5</v>
      </c>
      <c r="J464" s="451">
        <v>5</v>
      </c>
      <c r="K464" s="451">
        <v>15</v>
      </c>
      <c r="L464" s="451">
        <v>5</v>
      </c>
      <c r="M464" s="1834">
        <f t="shared" si="214"/>
        <v>375</v>
      </c>
      <c r="N464" s="697">
        <v>0.5</v>
      </c>
      <c r="O464" s="696">
        <f t="shared" si="213"/>
        <v>375</v>
      </c>
      <c r="P464" s="675">
        <v>0.5</v>
      </c>
      <c r="Q464" s="451">
        <f t="shared" si="203"/>
        <v>187.5</v>
      </c>
      <c r="R464" s="522" t="s">
        <v>1027</v>
      </c>
      <c r="S464" s="452">
        <f>COOPI!S56</f>
        <v>419</v>
      </c>
      <c r="T464" s="591">
        <f t="shared" si="215"/>
        <v>1.1173333333333333</v>
      </c>
      <c r="U464" s="522" t="s">
        <v>1028</v>
      </c>
      <c r="V464" s="591">
        <f t="shared" si="216"/>
        <v>1.1173333333333333</v>
      </c>
      <c r="W464" s="452">
        <f t="shared" si="217"/>
        <v>209.5</v>
      </c>
      <c r="X464" s="453" t="s">
        <v>1028</v>
      </c>
      <c r="Y464" s="273"/>
      <c r="Z464" s="273"/>
      <c r="AA464" s="273"/>
      <c r="AB464" s="273"/>
      <c r="AC464" s="273"/>
      <c r="AD464" s="273"/>
      <c r="AE464" s="273"/>
      <c r="AF464" s="273"/>
      <c r="AG464" s="273"/>
      <c r="AH464" s="273"/>
      <c r="AI464" s="273"/>
      <c r="AJ464" s="273"/>
      <c r="AK464" s="273"/>
      <c r="AL464" s="273"/>
      <c r="AM464" s="273"/>
      <c r="AN464" s="273"/>
      <c r="AO464" s="273"/>
      <c r="AP464" s="273"/>
      <c r="AQ464" s="273"/>
      <c r="AR464" s="273"/>
      <c r="AS464" s="273"/>
      <c r="AT464" s="273"/>
      <c r="AU464" s="273"/>
      <c r="AV464" s="273"/>
      <c r="AW464" s="273"/>
      <c r="AX464" s="273"/>
      <c r="AY464" s="273"/>
      <c r="AZ464" s="273"/>
      <c r="BA464" s="273"/>
      <c r="BB464" s="273"/>
      <c r="BC464" s="273"/>
      <c r="BD464" s="273"/>
      <c r="BE464" s="273"/>
      <c r="BF464" s="273"/>
      <c r="BG464" s="273"/>
      <c r="BH464" s="273"/>
      <c r="BI464" s="273"/>
      <c r="BJ464" s="273"/>
      <c r="BK464" s="273"/>
      <c r="BL464" s="273"/>
      <c r="BM464" s="273"/>
      <c r="BN464" s="273"/>
      <c r="BO464" s="273"/>
      <c r="BP464" s="273"/>
      <c r="BQ464" s="273"/>
      <c r="BR464" s="273"/>
      <c r="BS464" s="273"/>
      <c r="BT464" s="273"/>
      <c r="BU464" s="273"/>
      <c r="BV464" s="273"/>
      <c r="BW464" s="273"/>
      <c r="BX464" s="273"/>
      <c r="BY464" s="273"/>
      <c r="BZ464" s="273"/>
      <c r="CA464" s="273"/>
      <c r="CB464" s="273"/>
      <c r="CC464" s="273"/>
      <c r="CD464" s="273"/>
      <c r="CE464" s="273"/>
      <c r="CF464" s="273"/>
      <c r="CG464" s="273"/>
      <c r="CH464" s="273"/>
      <c r="CI464" s="273"/>
      <c r="CJ464" s="273"/>
      <c r="CK464" s="273"/>
      <c r="CL464" s="273"/>
      <c r="CM464" s="273"/>
      <c r="CN464" s="273"/>
      <c r="CO464" s="273"/>
      <c r="CP464" s="273"/>
      <c r="CQ464" s="273"/>
      <c r="CR464" s="273"/>
      <c r="CS464" s="273"/>
      <c r="CT464" s="273"/>
      <c r="CU464" s="273"/>
      <c r="CV464" s="273"/>
      <c r="CW464" s="273"/>
      <c r="CX464" s="273"/>
      <c r="CY464" s="273"/>
      <c r="CZ464" s="273"/>
      <c r="DA464" s="273"/>
      <c r="DB464" s="273"/>
      <c r="DC464" s="273"/>
      <c r="DD464" s="273"/>
      <c r="DE464" s="273"/>
      <c r="DF464" s="273"/>
      <c r="DG464" s="273"/>
      <c r="DH464" s="273"/>
      <c r="DI464" s="273"/>
      <c r="DJ464" s="273"/>
      <c r="DK464" s="273"/>
      <c r="DL464" s="273"/>
      <c r="DM464" s="273"/>
      <c r="DN464" s="273"/>
      <c r="DO464" s="273"/>
      <c r="DP464" s="273"/>
      <c r="DQ464" s="273"/>
      <c r="DR464" s="273"/>
      <c r="DS464" s="273"/>
      <c r="DT464" s="273"/>
      <c r="DU464" s="273"/>
      <c r="DV464" s="273"/>
      <c r="DW464" s="273"/>
      <c r="DX464" s="273"/>
      <c r="DY464" s="273"/>
      <c r="DZ464" s="273"/>
      <c r="EA464" s="273"/>
      <c r="EB464" s="273"/>
      <c r="EC464" s="273"/>
      <c r="ED464" s="273"/>
      <c r="EE464" s="273"/>
      <c r="EF464" s="273"/>
      <c r="EG464" s="273"/>
      <c r="EH464" s="273"/>
      <c r="EI464" s="273"/>
      <c r="EJ464" s="273"/>
      <c r="EK464" s="273"/>
      <c r="EL464" s="273"/>
      <c r="EM464" s="273"/>
      <c r="EN464" s="273"/>
      <c r="EO464" s="273"/>
      <c r="EP464" s="273"/>
      <c r="EQ464" s="273"/>
      <c r="ER464" s="273"/>
      <c r="ES464" s="273"/>
      <c r="ET464" s="273"/>
      <c r="EU464" s="273"/>
      <c r="EV464" s="273"/>
      <c r="EW464" s="273"/>
      <c r="EX464" s="273"/>
      <c r="EY464" s="273"/>
      <c r="EZ464" s="273"/>
      <c r="FA464" s="273"/>
      <c r="FB464" s="273"/>
      <c r="FC464" s="273"/>
      <c r="FD464" s="273"/>
      <c r="FE464" s="273"/>
      <c r="FF464" s="273"/>
      <c r="FG464" s="273"/>
      <c r="FH464" s="273"/>
      <c r="FI464" s="273"/>
      <c r="FJ464" s="273"/>
      <c r="FK464" s="273"/>
      <c r="FL464" s="273"/>
      <c r="FM464" s="273"/>
      <c r="FN464" s="273"/>
      <c r="FO464" s="273"/>
      <c r="FP464" s="273"/>
      <c r="FQ464" s="273"/>
      <c r="FR464" s="273"/>
      <c r="FS464" s="273"/>
      <c r="FT464" s="273"/>
      <c r="FU464" s="273"/>
      <c r="FV464" s="273"/>
      <c r="FW464" s="273"/>
      <c r="FX464" s="273"/>
      <c r="FY464" s="273"/>
      <c r="FZ464" s="273"/>
      <c r="GA464" s="273"/>
      <c r="GB464" s="273"/>
      <c r="GC464" s="273"/>
      <c r="GD464" s="273"/>
      <c r="GE464" s="273"/>
      <c r="GF464" s="273"/>
      <c r="GG464" s="273"/>
      <c r="GH464" s="273"/>
      <c r="GI464" s="273"/>
      <c r="GJ464" s="273"/>
      <c r="GK464" s="273"/>
      <c r="GL464" s="273"/>
      <c r="GM464" s="273"/>
      <c r="GN464" s="273"/>
      <c r="GO464" s="273"/>
      <c r="GP464" s="273"/>
      <c r="GQ464" s="273"/>
      <c r="GR464" s="273"/>
      <c r="GS464" s="273"/>
      <c r="GT464" s="273"/>
      <c r="GU464" s="273"/>
      <c r="GV464" s="273"/>
      <c r="GW464" s="273"/>
      <c r="GX464" s="273"/>
      <c r="GY464" s="273"/>
      <c r="GZ464" s="273"/>
      <c r="HA464" s="273"/>
      <c r="HB464" s="273"/>
      <c r="HC464" s="273"/>
      <c r="HD464" s="273"/>
      <c r="HE464" s="273"/>
      <c r="HF464" s="273"/>
      <c r="HG464" s="273"/>
      <c r="HH464" s="273"/>
      <c r="HI464" s="273"/>
      <c r="HJ464" s="273"/>
      <c r="HK464" s="273"/>
      <c r="HL464" s="273"/>
      <c r="HM464" s="273"/>
      <c r="HN464" s="273"/>
      <c r="HO464" s="273"/>
      <c r="HP464" s="273"/>
      <c r="HQ464" s="273"/>
      <c r="HR464" s="273"/>
      <c r="HS464" s="273"/>
      <c r="HT464" s="273"/>
      <c r="HU464" s="273"/>
      <c r="HV464" s="273"/>
      <c r="HW464" s="273"/>
      <c r="HX464" s="273"/>
      <c r="HY464" s="273"/>
      <c r="HZ464" s="273"/>
      <c r="IA464" s="273"/>
      <c r="IB464" s="273"/>
      <c r="IC464" s="273"/>
      <c r="ID464" s="273"/>
      <c r="IE464" s="273"/>
      <c r="IF464" s="273"/>
      <c r="IG464" s="273"/>
      <c r="IH464" s="273"/>
      <c r="II464" s="273"/>
      <c r="IJ464" s="273"/>
      <c r="IK464" s="273"/>
      <c r="IL464" s="273"/>
      <c r="IM464" s="273"/>
      <c r="IN464" s="273"/>
      <c r="IO464" s="273"/>
      <c r="IP464" s="273"/>
      <c r="IQ464" s="273"/>
      <c r="IR464" s="273"/>
      <c r="IS464" s="273"/>
      <c r="IT464" s="273"/>
      <c r="IU464" s="273"/>
      <c r="IV464" s="273"/>
      <c r="IW464" s="273"/>
      <c r="IX464" s="273"/>
      <c r="IY464" s="273"/>
      <c r="IZ464" s="273"/>
      <c r="JA464" s="273"/>
      <c r="JB464" s="273"/>
      <c r="JC464" s="273"/>
      <c r="JD464" s="273"/>
      <c r="JE464" s="273"/>
      <c r="JF464" s="273"/>
      <c r="JG464" s="273"/>
      <c r="JH464" s="273"/>
      <c r="JI464" s="273"/>
      <c r="JJ464" s="273"/>
      <c r="JK464" s="273"/>
      <c r="JL464" s="273"/>
      <c r="JM464" s="273"/>
      <c r="JN464" s="273"/>
      <c r="JO464" s="273"/>
      <c r="JP464" s="273"/>
      <c r="JQ464" s="273"/>
      <c r="JR464" s="273"/>
      <c r="JS464" s="273"/>
      <c r="JT464" s="273"/>
      <c r="JU464" s="273"/>
      <c r="JV464" s="273"/>
      <c r="JW464" s="273"/>
      <c r="JX464" s="273"/>
      <c r="JY464" s="273"/>
      <c r="JZ464" s="273"/>
      <c r="KA464" s="273"/>
      <c r="KB464" s="273"/>
      <c r="KC464" s="273"/>
      <c r="KD464" s="273"/>
      <c r="KE464" s="273"/>
      <c r="KF464" s="273"/>
      <c r="KG464" s="273"/>
      <c r="KH464" s="273"/>
      <c r="KI464" s="273"/>
      <c r="KJ464" s="273"/>
      <c r="KK464" s="273"/>
      <c r="KL464" s="273"/>
      <c r="KM464" s="273"/>
      <c r="KN464" s="273"/>
      <c r="KO464" s="273"/>
      <c r="KP464" s="273"/>
      <c r="KQ464" s="273"/>
      <c r="KR464" s="273"/>
      <c r="KS464" s="273"/>
      <c r="KT464" s="273"/>
      <c r="KU464" s="273"/>
      <c r="KV464" s="273"/>
      <c r="KW464" s="273"/>
      <c r="KX464" s="273"/>
      <c r="KY464" s="273"/>
      <c r="KZ464" s="273"/>
      <c r="LA464" s="273"/>
      <c r="LB464" s="273"/>
      <c r="LC464" s="273"/>
      <c r="LD464" s="273"/>
      <c r="LE464" s="273"/>
      <c r="LF464" s="273"/>
      <c r="LG464" s="273"/>
      <c r="LH464" s="273"/>
      <c r="LI464" s="273"/>
      <c r="LJ464" s="273"/>
      <c r="LK464" s="273"/>
      <c r="LL464" s="273"/>
      <c r="LM464" s="273"/>
      <c r="LN464" s="273"/>
      <c r="LO464" s="273"/>
      <c r="LP464" s="273"/>
      <c r="LQ464" s="273"/>
      <c r="LR464" s="273"/>
      <c r="LS464" s="273"/>
      <c r="LT464" s="273"/>
      <c r="LU464" s="273"/>
      <c r="LV464" s="273"/>
      <c r="LW464" s="273"/>
      <c r="LX464" s="273"/>
      <c r="LY464" s="273"/>
      <c r="LZ464" s="273"/>
      <c r="MA464" s="273"/>
      <c r="MB464" s="273"/>
      <c r="MC464" s="273"/>
      <c r="MD464" s="273"/>
      <c r="ME464" s="273"/>
      <c r="MF464" s="273"/>
      <c r="MG464" s="273"/>
      <c r="MH464" s="273"/>
      <c r="MI464" s="273"/>
      <c r="MJ464" s="273"/>
      <c r="MK464" s="273"/>
      <c r="ML464" s="273"/>
      <c r="MM464" s="273"/>
      <c r="MN464" s="273"/>
      <c r="MO464" s="273"/>
      <c r="MP464" s="273"/>
      <c r="MQ464" s="273"/>
      <c r="MR464" s="273"/>
      <c r="MS464" s="273"/>
      <c r="MT464" s="273"/>
      <c r="MU464" s="273"/>
      <c r="MV464" s="273"/>
      <c r="MW464" s="273"/>
      <c r="MX464" s="273"/>
      <c r="MY464" s="273"/>
      <c r="MZ464" s="273"/>
      <c r="NA464" s="273"/>
      <c r="NB464" s="273"/>
      <c r="NC464" s="273"/>
      <c r="ND464" s="273"/>
      <c r="NE464" s="273"/>
      <c r="NF464" s="273"/>
      <c r="NG464" s="273"/>
      <c r="NH464" s="273"/>
      <c r="NI464" s="273"/>
      <c r="NJ464" s="273"/>
      <c r="NK464" s="273"/>
      <c r="NL464" s="273"/>
      <c r="NM464" s="273"/>
      <c r="NN464" s="273"/>
      <c r="NO464" s="273"/>
      <c r="NP464" s="273"/>
      <c r="NQ464" s="273"/>
      <c r="NR464" s="273"/>
      <c r="NS464" s="273"/>
      <c r="NT464" s="273"/>
      <c r="NU464" s="273"/>
      <c r="NV464" s="273"/>
      <c r="NW464" s="273"/>
      <c r="NX464" s="273"/>
      <c r="NY464" s="273"/>
      <c r="NZ464" s="273"/>
      <c r="OA464" s="273"/>
      <c r="OB464" s="273"/>
      <c r="OC464" s="273"/>
      <c r="OD464" s="273"/>
      <c r="OE464" s="273"/>
      <c r="OF464" s="273"/>
      <c r="OG464" s="273"/>
      <c r="OH464" s="273"/>
      <c r="OI464" s="273"/>
      <c r="OJ464" s="273"/>
      <c r="OK464" s="273"/>
      <c r="OL464" s="273"/>
      <c r="OM464" s="273"/>
      <c r="ON464" s="273"/>
      <c r="OO464" s="273"/>
      <c r="OP464" s="273"/>
      <c r="OQ464" s="273"/>
      <c r="OR464" s="273"/>
      <c r="OS464" s="273"/>
      <c r="OT464" s="273"/>
      <c r="OU464" s="273"/>
      <c r="OV464" s="273"/>
      <c r="OW464" s="273"/>
      <c r="OX464" s="273"/>
      <c r="OY464" s="273"/>
      <c r="OZ464" s="273"/>
      <c r="PA464" s="273"/>
      <c r="PB464" s="273"/>
      <c r="PC464" s="273"/>
      <c r="PD464" s="273"/>
      <c r="PE464" s="273"/>
      <c r="PF464" s="273"/>
      <c r="PG464" s="273"/>
      <c r="PH464" s="273"/>
      <c r="PI464" s="273"/>
      <c r="PJ464" s="273"/>
      <c r="PK464" s="273"/>
      <c r="PL464" s="273"/>
      <c r="PM464" s="273"/>
      <c r="PN464" s="273"/>
      <c r="PO464" s="273"/>
      <c r="PP464" s="273"/>
      <c r="PQ464" s="273"/>
      <c r="PR464" s="273"/>
      <c r="PS464" s="273"/>
      <c r="PT464" s="273"/>
      <c r="PU464" s="273"/>
      <c r="PV464" s="273"/>
      <c r="PW464" s="273"/>
      <c r="PX464" s="273"/>
      <c r="PY464" s="273"/>
      <c r="PZ464" s="273"/>
      <c r="QA464" s="273"/>
      <c r="QB464" s="273"/>
      <c r="QC464" s="273"/>
      <c r="QD464" s="273"/>
      <c r="QE464" s="273"/>
      <c r="QF464" s="273"/>
      <c r="QG464" s="273"/>
      <c r="QH464" s="273"/>
      <c r="QI464" s="273"/>
      <c r="QJ464" s="273"/>
      <c r="QK464" s="273"/>
      <c r="QL464" s="273"/>
      <c r="QM464" s="273"/>
      <c r="QN464" s="273"/>
      <c r="QO464" s="273"/>
      <c r="QP464" s="273"/>
      <c r="QQ464" s="273"/>
      <c r="QR464" s="273"/>
      <c r="QS464" s="273"/>
      <c r="QT464" s="273"/>
      <c r="QU464" s="273"/>
      <c r="QV464" s="273"/>
      <c r="QW464" s="273"/>
      <c r="QX464" s="273"/>
      <c r="QY464" s="273"/>
      <c r="QZ464" s="273"/>
      <c r="RA464" s="273"/>
      <c r="RB464" s="273"/>
      <c r="RC464" s="273"/>
      <c r="RD464" s="273"/>
      <c r="RE464" s="273"/>
      <c r="RF464" s="273"/>
      <c r="RG464" s="273"/>
      <c r="RH464" s="273"/>
      <c r="RI464" s="273"/>
      <c r="RJ464" s="273"/>
      <c r="RK464" s="273"/>
      <c r="RL464" s="273"/>
      <c r="RM464" s="273"/>
      <c r="RN464" s="273"/>
      <c r="RO464" s="273"/>
      <c r="RP464" s="273"/>
      <c r="RQ464" s="273"/>
    </row>
    <row r="465" spans="1:485" s="450" customFormat="1" ht="39" x14ac:dyDescent="0.25">
      <c r="A465" s="3027"/>
      <c r="B465" s="595" t="s">
        <v>1029</v>
      </c>
      <c r="C465" s="266" t="s">
        <v>47</v>
      </c>
      <c r="D465" s="467" t="s">
        <v>955</v>
      </c>
      <c r="E465" s="468">
        <v>8</v>
      </c>
      <c r="F465" s="468">
        <v>40</v>
      </c>
      <c r="G465" s="467">
        <v>4</v>
      </c>
      <c r="H465" s="451">
        <f t="shared" si="212"/>
        <v>1280</v>
      </c>
      <c r="I465" s="675">
        <v>1</v>
      </c>
      <c r="J465" s="451">
        <v>8</v>
      </c>
      <c r="K465" s="451">
        <v>40</v>
      </c>
      <c r="L465" s="451">
        <v>12</v>
      </c>
      <c r="M465" s="1834">
        <f t="shared" si="214"/>
        <v>3840</v>
      </c>
      <c r="N465" s="697">
        <v>1</v>
      </c>
      <c r="O465" s="696">
        <f t="shared" si="213"/>
        <v>5120</v>
      </c>
      <c r="P465" s="675">
        <v>1</v>
      </c>
      <c r="Q465" s="451">
        <f t="shared" si="203"/>
        <v>5120</v>
      </c>
      <c r="R465" s="522" t="s">
        <v>1030</v>
      </c>
      <c r="S465" s="452">
        <f>COOPI!S57</f>
        <v>3790</v>
      </c>
      <c r="T465" s="591">
        <f t="shared" si="215"/>
        <v>0.740234375</v>
      </c>
      <c r="U465" s="894" t="s">
        <v>606</v>
      </c>
      <c r="V465" s="591">
        <f t="shared" si="216"/>
        <v>0.740234375</v>
      </c>
      <c r="W465" s="452">
        <f t="shared" si="217"/>
        <v>3790</v>
      </c>
      <c r="X465" s="452" t="s">
        <v>606</v>
      </c>
      <c r="Y465" s="273"/>
      <c r="Z465" s="273"/>
      <c r="AA465" s="273"/>
      <c r="AB465" s="273"/>
      <c r="AC465" s="273"/>
      <c r="AD465" s="273"/>
      <c r="AE465" s="273"/>
      <c r="AF465" s="273"/>
      <c r="AG465" s="273"/>
      <c r="AH465" s="273"/>
      <c r="AI465" s="273"/>
      <c r="AJ465" s="273"/>
      <c r="AK465" s="273"/>
      <c r="AL465" s="273"/>
      <c r="AM465" s="273"/>
      <c r="AN465" s="273"/>
      <c r="AO465" s="273"/>
      <c r="AP465" s="273"/>
      <c r="AQ465" s="273"/>
      <c r="AR465" s="273"/>
      <c r="AS465" s="273"/>
      <c r="AT465" s="273"/>
      <c r="AU465" s="273"/>
      <c r="AV465" s="273"/>
      <c r="AW465" s="273"/>
      <c r="AX465" s="273"/>
      <c r="AY465" s="273"/>
      <c r="AZ465" s="273"/>
      <c r="BA465" s="273"/>
      <c r="BB465" s="273"/>
      <c r="BC465" s="273"/>
      <c r="BD465" s="273"/>
      <c r="BE465" s="273"/>
      <c r="BF465" s="273"/>
      <c r="BG465" s="273"/>
      <c r="BH465" s="273"/>
      <c r="BI465" s="273"/>
      <c r="BJ465" s="273"/>
      <c r="BK465" s="273"/>
      <c r="BL465" s="273"/>
      <c r="BM465" s="273"/>
      <c r="BN465" s="273"/>
      <c r="BO465" s="273"/>
      <c r="BP465" s="273"/>
      <c r="BQ465" s="273"/>
      <c r="BR465" s="273"/>
      <c r="BS465" s="273"/>
      <c r="BT465" s="273"/>
      <c r="BU465" s="273"/>
      <c r="BV465" s="273"/>
      <c r="BW465" s="273"/>
      <c r="BX465" s="273"/>
      <c r="BY465" s="273"/>
      <c r="BZ465" s="273"/>
      <c r="CA465" s="273"/>
      <c r="CB465" s="273"/>
      <c r="CC465" s="273"/>
      <c r="CD465" s="273"/>
      <c r="CE465" s="273"/>
      <c r="CF465" s="273"/>
      <c r="CG465" s="273"/>
      <c r="CH465" s="273"/>
      <c r="CI465" s="273"/>
      <c r="CJ465" s="273"/>
      <c r="CK465" s="273"/>
      <c r="CL465" s="273"/>
      <c r="CM465" s="273"/>
      <c r="CN465" s="273"/>
      <c r="CO465" s="273"/>
      <c r="CP465" s="273"/>
      <c r="CQ465" s="273"/>
      <c r="CR465" s="273"/>
      <c r="CS465" s="273"/>
      <c r="CT465" s="273"/>
      <c r="CU465" s="273"/>
      <c r="CV465" s="273"/>
      <c r="CW465" s="273"/>
      <c r="CX465" s="273"/>
      <c r="CY465" s="273"/>
      <c r="CZ465" s="273"/>
      <c r="DA465" s="273"/>
      <c r="DB465" s="273"/>
      <c r="DC465" s="273"/>
      <c r="DD465" s="273"/>
      <c r="DE465" s="273"/>
      <c r="DF465" s="273"/>
      <c r="DG465" s="273"/>
      <c r="DH465" s="273"/>
      <c r="DI465" s="273"/>
      <c r="DJ465" s="273"/>
      <c r="DK465" s="273"/>
      <c r="DL465" s="273"/>
      <c r="DM465" s="273"/>
      <c r="DN465" s="273"/>
      <c r="DO465" s="273"/>
      <c r="DP465" s="273"/>
      <c r="DQ465" s="273"/>
      <c r="DR465" s="273"/>
      <c r="DS465" s="273"/>
      <c r="DT465" s="273"/>
      <c r="DU465" s="273"/>
      <c r="DV465" s="273"/>
      <c r="DW465" s="273"/>
      <c r="DX465" s="273"/>
      <c r="DY465" s="273"/>
      <c r="DZ465" s="273"/>
      <c r="EA465" s="273"/>
      <c r="EB465" s="273"/>
      <c r="EC465" s="273"/>
      <c r="ED465" s="273"/>
      <c r="EE465" s="273"/>
      <c r="EF465" s="273"/>
      <c r="EG465" s="273"/>
      <c r="EH465" s="273"/>
      <c r="EI465" s="273"/>
      <c r="EJ465" s="273"/>
      <c r="EK465" s="273"/>
      <c r="EL465" s="273"/>
      <c r="EM465" s="273"/>
      <c r="EN465" s="273"/>
      <c r="EO465" s="273"/>
      <c r="EP465" s="273"/>
      <c r="EQ465" s="273"/>
      <c r="ER465" s="273"/>
      <c r="ES465" s="273"/>
      <c r="ET465" s="273"/>
      <c r="EU465" s="273"/>
      <c r="EV465" s="273"/>
      <c r="EW465" s="273"/>
      <c r="EX465" s="273"/>
      <c r="EY465" s="273"/>
      <c r="EZ465" s="273"/>
      <c r="FA465" s="273"/>
      <c r="FB465" s="273"/>
      <c r="FC465" s="273"/>
      <c r="FD465" s="273"/>
      <c r="FE465" s="273"/>
      <c r="FF465" s="273"/>
      <c r="FG465" s="273"/>
      <c r="FH465" s="273"/>
      <c r="FI465" s="273"/>
      <c r="FJ465" s="273"/>
      <c r="FK465" s="273"/>
      <c r="FL465" s="273"/>
      <c r="FM465" s="273"/>
      <c r="FN465" s="273"/>
      <c r="FO465" s="273"/>
      <c r="FP465" s="273"/>
      <c r="FQ465" s="273"/>
      <c r="FR465" s="273"/>
      <c r="FS465" s="273"/>
      <c r="FT465" s="273"/>
      <c r="FU465" s="273"/>
      <c r="FV465" s="273"/>
      <c r="FW465" s="273"/>
      <c r="FX465" s="273"/>
      <c r="FY465" s="273"/>
      <c r="FZ465" s="273"/>
      <c r="GA465" s="273"/>
      <c r="GB465" s="273"/>
      <c r="GC465" s="273"/>
      <c r="GD465" s="273"/>
      <c r="GE465" s="273"/>
      <c r="GF465" s="273"/>
      <c r="GG465" s="273"/>
      <c r="GH465" s="273"/>
      <c r="GI465" s="273"/>
      <c r="GJ465" s="273"/>
      <c r="GK465" s="273"/>
      <c r="GL465" s="273"/>
      <c r="GM465" s="273"/>
      <c r="GN465" s="273"/>
      <c r="GO465" s="273"/>
      <c r="GP465" s="273"/>
      <c r="GQ465" s="273"/>
      <c r="GR465" s="273"/>
      <c r="GS465" s="273"/>
      <c r="GT465" s="273"/>
      <c r="GU465" s="273"/>
      <c r="GV465" s="273"/>
      <c r="GW465" s="273"/>
      <c r="GX465" s="273"/>
      <c r="GY465" s="273"/>
      <c r="GZ465" s="273"/>
      <c r="HA465" s="273"/>
      <c r="HB465" s="273"/>
      <c r="HC465" s="273"/>
      <c r="HD465" s="273"/>
      <c r="HE465" s="273"/>
      <c r="HF465" s="273"/>
      <c r="HG465" s="273"/>
      <c r="HH465" s="273"/>
      <c r="HI465" s="273"/>
      <c r="HJ465" s="273"/>
      <c r="HK465" s="273"/>
      <c r="HL465" s="273"/>
      <c r="HM465" s="273"/>
      <c r="HN465" s="273"/>
      <c r="HO465" s="273"/>
      <c r="HP465" s="273"/>
      <c r="HQ465" s="273"/>
      <c r="HR465" s="273"/>
      <c r="HS465" s="273"/>
      <c r="HT465" s="273"/>
      <c r="HU465" s="273"/>
      <c r="HV465" s="273"/>
      <c r="HW465" s="273"/>
      <c r="HX465" s="273"/>
      <c r="HY465" s="273"/>
      <c r="HZ465" s="273"/>
      <c r="IA465" s="273"/>
      <c r="IB465" s="273"/>
      <c r="IC465" s="273"/>
      <c r="ID465" s="273"/>
      <c r="IE465" s="273"/>
      <c r="IF465" s="273"/>
      <c r="IG465" s="273"/>
      <c r="IH465" s="273"/>
      <c r="II465" s="273"/>
      <c r="IJ465" s="273"/>
      <c r="IK465" s="273"/>
      <c r="IL465" s="273"/>
      <c r="IM465" s="273"/>
      <c r="IN465" s="273"/>
      <c r="IO465" s="273"/>
      <c r="IP465" s="273"/>
      <c r="IQ465" s="273"/>
      <c r="IR465" s="273"/>
      <c r="IS465" s="273"/>
      <c r="IT465" s="273"/>
      <c r="IU465" s="273"/>
      <c r="IV465" s="273"/>
      <c r="IW465" s="273"/>
      <c r="IX465" s="273"/>
      <c r="IY465" s="273"/>
      <c r="IZ465" s="273"/>
      <c r="JA465" s="273"/>
      <c r="JB465" s="273"/>
      <c r="JC465" s="273"/>
      <c r="JD465" s="273"/>
      <c r="JE465" s="273"/>
      <c r="JF465" s="273"/>
      <c r="JG465" s="273"/>
      <c r="JH465" s="273"/>
      <c r="JI465" s="273"/>
      <c r="JJ465" s="273"/>
      <c r="JK465" s="273"/>
      <c r="JL465" s="273"/>
      <c r="JM465" s="273"/>
      <c r="JN465" s="273"/>
      <c r="JO465" s="273"/>
      <c r="JP465" s="273"/>
      <c r="JQ465" s="273"/>
      <c r="JR465" s="273"/>
      <c r="JS465" s="273"/>
      <c r="JT465" s="273"/>
      <c r="JU465" s="273"/>
      <c r="JV465" s="273"/>
      <c r="JW465" s="273"/>
      <c r="JX465" s="273"/>
      <c r="JY465" s="273"/>
      <c r="JZ465" s="273"/>
      <c r="KA465" s="273"/>
      <c r="KB465" s="273"/>
      <c r="KC465" s="273"/>
      <c r="KD465" s="273"/>
      <c r="KE465" s="273"/>
      <c r="KF465" s="273"/>
      <c r="KG465" s="273"/>
      <c r="KH465" s="273"/>
      <c r="KI465" s="273"/>
      <c r="KJ465" s="273"/>
      <c r="KK465" s="273"/>
      <c r="KL465" s="273"/>
      <c r="KM465" s="273"/>
      <c r="KN465" s="273"/>
      <c r="KO465" s="273"/>
      <c r="KP465" s="273"/>
      <c r="KQ465" s="273"/>
      <c r="KR465" s="273"/>
      <c r="KS465" s="273"/>
      <c r="KT465" s="273"/>
      <c r="KU465" s="273"/>
      <c r="KV465" s="273"/>
      <c r="KW465" s="273"/>
      <c r="KX465" s="273"/>
      <c r="KY465" s="273"/>
      <c r="KZ465" s="273"/>
      <c r="LA465" s="273"/>
      <c r="LB465" s="273"/>
      <c r="LC465" s="273"/>
      <c r="LD465" s="273"/>
      <c r="LE465" s="273"/>
      <c r="LF465" s="273"/>
      <c r="LG465" s="273"/>
      <c r="LH465" s="273"/>
      <c r="LI465" s="273"/>
      <c r="LJ465" s="273"/>
      <c r="LK465" s="273"/>
      <c r="LL465" s="273"/>
      <c r="LM465" s="273"/>
      <c r="LN465" s="273"/>
      <c r="LO465" s="273"/>
      <c r="LP465" s="273"/>
      <c r="LQ465" s="273"/>
      <c r="LR465" s="273"/>
      <c r="LS465" s="273"/>
      <c r="LT465" s="273"/>
      <c r="LU465" s="273"/>
      <c r="LV465" s="273"/>
      <c r="LW465" s="273"/>
      <c r="LX465" s="273"/>
      <c r="LY465" s="273"/>
      <c r="LZ465" s="273"/>
      <c r="MA465" s="273"/>
      <c r="MB465" s="273"/>
      <c r="MC465" s="273"/>
      <c r="MD465" s="273"/>
      <c r="ME465" s="273"/>
      <c r="MF465" s="273"/>
      <c r="MG465" s="273"/>
      <c r="MH465" s="273"/>
      <c r="MI465" s="273"/>
      <c r="MJ465" s="273"/>
      <c r="MK465" s="273"/>
      <c r="ML465" s="273"/>
      <c r="MM465" s="273"/>
      <c r="MN465" s="273"/>
      <c r="MO465" s="273"/>
      <c r="MP465" s="273"/>
      <c r="MQ465" s="273"/>
      <c r="MR465" s="273"/>
      <c r="MS465" s="273"/>
      <c r="MT465" s="273"/>
      <c r="MU465" s="273"/>
      <c r="MV465" s="273"/>
      <c r="MW465" s="273"/>
      <c r="MX465" s="273"/>
      <c r="MY465" s="273"/>
      <c r="MZ465" s="273"/>
      <c r="NA465" s="273"/>
      <c r="NB465" s="273"/>
      <c r="NC465" s="273"/>
      <c r="ND465" s="273"/>
      <c r="NE465" s="273"/>
      <c r="NF465" s="273"/>
      <c r="NG465" s="273"/>
      <c r="NH465" s="273"/>
      <c r="NI465" s="273"/>
      <c r="NJ465" s="273"/>
      <c r="NK465" s="273"/>
      <c r="NL465" s="273"/>
      <c r="NM465" s="273"/>
      <c r="NN465" s="273"/>
      <c r="NO465" s="273"/>
      <c r="NP465" s="273"/>
      <c r="NQ465" s="273"/>
      <c r="NR465" s="273"/>
      <c r="NS465" s="273"/>
      <c r="NT465" s="273"/>
      <c r="NU465" s="273"/>
      <c r="NV465" s="273"/>
      <c r="NW465" s="273"/>
      <c r="NX465" s="273"/>
      <c r="NY465" s="273"/>
      <c r="NZ465" s="273"/>
      <c r="OA465" s="273"/>
      <c r="OB465" s="273"/>
      <c r="OC465" s="273"/>
      <c r="OD465" s="273"/>
      <c r="OE465" s="273"/>
      <c r="OF465" s="273"/>
      <c r="OG465" s="273"/>
      <c r="OH465" s="273"/>
      <c r="OI465" s="273"/>
      <c r="OJ465" s="273"/>
      <c r="OK465" s="273"/>
      <c r="OL465" s="273"/>
      <c r="OM465" s="273"/>
      <c r="ON465" s="273"/>
      <c r="OO465" s="273"/>
      <c r="OP465" s="273"/>
      <c r="OQ465" s="273"/>
      <c r="OR465" s="273"/>
      <c r="OS465" s="273"/>
      <c r="OT465" s="273"/>
      <c r="OU465" s="273"/>
      <c r="OV465" s="273"/>
      <c r="OW465" s="273"/>
      <c r="OX465" s="273"/>
      <c r="OY465" s="273"/>
      <c r="OZ465" s="273"/>
      <c r="PA465" s="273"/>
      <c r="PB465" s="273"/>
      <c r="PC465" s="273"/>
      <c r="PD465" s="273"/>
      <c r="PE465" s="273"/>
      <c r="PF465" s="273"/>
      <c r="PG465" s="273"/>
      <c r="PH465" s="273"/>
      <c r="PI465" s="273"/>
      <c r="PJ465" s="273"/>
      <c r="PK465" s="273"/>
      <c r="PL465" s="273"/>
      <c r="PM465" s="273"/>
      <c r="PN465" s="273"/>
      <c r="PO465" s="273"/>
      <c r="PP465" s="273"/>
      <c r="PQ465" s="273"/>
      <c r="PR465" s="273"/>
      <c r="PS465" s="273"/>
      <c r="PT465" s="273"/>
      <c r="PU465" s="273"/>
      <c r="PV465" s="273"/>
      <c r="PW465" s="273"/>
      <c r="PX465" s="273"/>
      <c r="PY465" s="273"/>
      <c r="PZ465" s="273"/>
      <c r="QA465" s="273"/>
      <c r="QB465" s="273"/>
      <c r="QC465" s="273"/>
      <c r="QD465" s="273"/>
      <c r="QE465" s="273"/>
      <c r="QF465" s="273"/>
      <c r="QG465" s="273"/>
      <c r="QH465" s="273"/>
      <c r="QI465" s="273"/>
      <c r="QJ465" s="273"/>
      <c r="QK465" s="273"/>
      <c r="QL465" s="273"/>
      <c r="QM465" s="273"/>
      <c r="QN465" s="273"/>
      <c r="QO465" s="273"/>
      <c r="QP465" s="273"/>
      <c r="QQ465" s="273"/>
      <c r="QR465" s="273"/>
      <c r="QS465" s="273"/>
      <c r="QT465" s="273"/>
      <c r="QU465" s="273"/>
      <c r="QV465" s="273"/>
      <c r="QW465" s="273"/>
      <c r="QX465" s="273"/>
      <c r="QY465" s="273"/>
      <c r="QZ465" s="273"/>
      <c r="RA465" s="273"/>
      <c r="RB465" s="273"/>
      <c r="RC465" s="273"/>
      <c r="RD465" s="273"/>
      <c r="RE465" s="273"/>
      <c r="RF465" s="273"/>
      <c r="RG465" s="273"/>
      <c r="RH465" s="273"/>
      <c r="RI465" s="273"/>
      <c r="RJ465" s="273"/>
      <c r="RK465" s="273"/>
      <c r="RL465" s="273"/>
      <c r="RM465" s="273"/>
      <c r="RN465" s="273"/>
      <c r="RO465" s="273"/>
      <c r="RP465" s="273"/>
      <c r="RQ465" s="273"/>
    </row>
    <row r="466" spans="1:485" s="450" customFormat="1" ht="39" x14ac:dyDescent="0.25">
      <c r="A466" s="3027"/>
      <c r="B466" s="595" t="s">
        <v>1032</v>
      </c>
      <c r="C466" s="266" t="s">
        <v>15</v>
      </c>
      <c r="D466" s="467" t="s">
        <v>955</v>
      </c>
      <c r="E466" s="468">
        <v>16</v>
      </c>
      <c r="F466" s="468">
        <v>15</v>
      </c>
      <c r="G466" s="467">
        <v>2</v>
      </c>
      <c r="H466" s="451">
        <f t="shared" si="212"/>
        <v>480</v>
      </c>
      <c r="I466" s="675">
        <v>0.3</v>
      </c>
      <c r="J466" s="451"/>
      <c r="K466" s="451"/>
      <c r="L466" s="451"/>
      <c r="M466" s="1834">
        <f t="shared" si="214"/>
        <v>0</v>
      </c>
      <c r="N466" s="697">
        <v>0.3</v>
      </c>
      <c r="O466" s="696">
        <f t="shared" si="213"/>
        <v>480</v>
      </c>
      <c r="P466" s="675">
        <v>0.3</v>
      </c>
      <c r="Q466" s="451">
        <f t="shared" si="203"/>
        <v>144</v>
      </c>
      <c r="R466" s="522" t="s">
        <v>1027</v>
      </c>
      <c r="S466" s="452">
        <f>COOPI!S58</f>
        <v>0</v>
      </c>
      <c r="T466" s="591">
        <f t="shared" si="215"/>
        <v>0</v>
      </c>
      <c r="U466" s="894" t="s">
        <v>1031</v>
      </c>
      <c r="V466" s="591">
        <f t="shared" si="216"/>
        <v>0</v>
      </c>
      <c r="W466" s="452">
        <f t="shared" si="217"/>
        <v>0</v>
      </c>
      <c r="X466" s="452"/>
      <c r="Y466" s="273"/>
      <c r="Z466" s="273"/>
      <c r="AA466" s="273"/>
      <c r="AB466" s="273"/>
      <c r="AC466" s="273"/>
      <c r="AD466" s="273"/>
      <c r="AE466" s="273"/>
      <c r="AF466" s="273"/>
      <c r="AG466" s="273"/>
      <c r="AH466" s="273"/>
      <c r="AI466" s="273"/>
      <c r="AJ466" s="273"/>
      <c r="AK466" s="273"/>
      <c r="AL466" s="273"/>
      <c r="AM466" s="273"/>
      <c r="AN466" s="273"/>
      <c r="AO466" s="273"/>
      <c r="AP466" s="273"/>
      <c r="AQ466" s="273"/>
      <c r="AR466" s="273"/>
      <c r="AS466" s="273"/>
      <c r="AT466" s="273"/>
      <c r="AU466" s="273"/>
      <c r="AV466" s="273"/>
      <c r="AW466" s="273"/>
      <c r="AX466" s="273"/>
      <c r="AY466" s="273"/>
      <c r="AZ466" s="273"/>
      <c r="BA466" s="273"/>
      <c r="BB466" s="273"/>
      <c r="BC466" s="273"/>
      <c r="BD466" s="273"/>
      <c r="BE466" s="273"/>
      <c r="BF466" s="273"/>
      <c r="BG466" s="273"/>
      <c r="BH466" s="273"/>
      <c r="BI466" s="273"/>
      <c r="BJ466" s="273"/>
      <c r="BK466" s="273"/>
      <c r="BL466" s="273"/>
      <c r="BM466" s="273"/>
      <c r="BN466" s="273"/>
      <c r="BO466" s="273"/>
      <c r="BP466" s="273"/>
      <c r="BQ466" s="273"/>
      <c r="BR466" s="273"/>
      <c r="BS466" s="273"/>
      <c r="BT466" s="273"/>
      <c r="BU466" s="273"/>
      <c r="BV466" s="273"/>
      <c r="BW466" s="273"/>
      <c r="BX466" s="273"/>
      <c r="BY466" s="273"/>
      <c r="BZ466" s="273"/>
      <c r="CA466" s="273"/>
      <c r="CB466" s="273"/>
      <c r="CC466" s="273"/>
      <c r="CD466" s="273"/>
      <c r="CE466" s="273"/>
      <c r="CF466" s="273"/>
      <c r="CG466" s="273"/>
      <c r="CH466" s="273"/>
      <c r="CI466" s="273"/>
      <c r="CJ466" s="273"/>
      <c r="CK466" s="273"/>
      <c r="CL466" s="273"/>
      <c r="CM466" s="273"/>
      <c r="CN466" s="273"/>
      <c r="CO466" s="273"/>
      <c r="CP466" s="273"/>
      <c r="CQ466" s="273"/>
      <c r="CR466" s="273"/>
      <c r="CS466" s="273"/>
      <c r="CT466" s="273"/>
      <c r="CU466" s="273"/>
      <c r="CV466" s="273"/>
      <c r="CW466" s="273"/>
      <c r="CX466" s="273"/>
      <c r="CY466" s="273"/>
      <c r="CZ466" s="273"/>
      <c r="DA466" s="273"/>
      <c r="DB466" s="273"/>
      <c r="DC466" s="273"/>
      <c r="DD466" s="273"/>
      <c r="DE466" s="273"/>
      <c r="DF466" s="273"/>
      <c r="DG466" s="273"/>
      <c r="DH466" s="273"/>
      <c r="DI466" s="273"/>
      <c r="DJ466" s="273"/>
      <c r="DK466" s="273"/>
      <c r="DL466" s="273"/>
      <c r="DM466" s="273"/>
      <c r="DN466" s="273"/>
      <c r="DO466" s="273"/>
      <c r="DP466" s="273"/>
      <c r="DQ466" s="273"/>
      <c r="DR466" s="273"/>
      <c r="DS466" s="273"/>
      <c r="DT466" s="273"/>
      <c r="DU466" s="273"/>
      <c r="DV466" s="273"/>
      <c r="DW466" s="273"/>
      <c r="DX466" s="273"/>
      <c r="DY466" s="273"/>
      <c r="DZ466" s="273"/>
      <c r="EA466" s="273"/>
      <c r="EB466" s="273"/>
      <c r="EC466" s="273"/>
      <c r="ED466" s="273"/>
      <c r="EE466" s="273"/>
      <c r="EF466" s="273"/>
      <c r="EG466" s="273"/>
      <c r="EH466" s="273"/>
      <c r="EI466" s="273"/>
      <c r="EJ466" s="273"/>
      <c r="EK466" s="273"/>
      <c r="EL466" s="273"/>
      <c r="EM466" s="273"/>
      <c r="EN466" s="273"/>
      <c r="EO466" s="273"/>
      <c r="EP466" s="273"/>
      <c r="EQ466" s="273"/>
      <c r="ER466" s="273"/>
      <c r="ES466" s="273"/>
      <c r="ET466" s="273"/>
      <c r="EU466" s="273"/>
      <c r="EV466" s="273"/>
      <c r="EW466" s="273"/>
      <c r="EX466" s="273"/>
      <c r="EY466" s="273"/>
      <c r="EZ466" s="273"/>
      <c r="FA466" s="273"/>
      <c r="FB466" s="273"/>
      <c r="FC466" s="273"/>
      <c r="FD466" s="273"/>
      <c r="FE466" s="273"/>
      <c r="FF466" s="273"/>
      <c r="FG466" s="273"/>
      <c r="FH466" s="273"/>
      <c r="FI466" s="273"/>
      <c r="FJ466" s="273"/>
      <c r="FK466" s="273"/>
      <c r="FL466" s="273"/>
      <c r="FM466" s="273"/>
      <c r="FN466" s="273"/>
      <c r="FO466" s="273"/>
      <c r="FP466" s="273"/>
      <c r="FQ466" s="273"/>
      <c r="FR466" s="273"/>
      <c r="FS466" s="273"/>
      <c r="FT466" s="273"/>
      <c r="FU466" s="273"/>
      <c r="FV466" s="273"/>
      <c r="FW466" s="273"/>
      <c r="FX466" s="273"/>
      <c r="FY466" s="273"/>
      <c r="FZ466" s="273"/>
      <c r="GA466" s="273"/>
      <c r="GB466" s="273"/>
      <c r="GC466" s="273"/>
      <c r="GD466" s="273"/>
      <c r="GE466" s="273"/>
      <c r="GF466" s="273"/>
      <c r="GG466" s="273"/>
      <c r="GH466" s="273"/>
      <c r="GI466" s="273"/>
      <c r="GJ466" s="273"/>
      <c r="GK466" s="273"/>
      <c r="GL466" s="273"/>
      <c r="GM466" s="273"/>
      <c r="GN466" s="273"/>
      <c r="GO466" s="273"/>
      <c r="GP466" s="273"/>
      <c r="GQ466" s="273"/>
      <c r="GR466" s="273"/>
      <c r="GS466" s="273"/>
      <c r="GT466" s="273"/>
      <c r="GU466" s="273"/>
      <c r="GV466" s="273"/>
      <c r="GW466" s="273"/>
      <c r="GX466" s="273"/>
      <c r="GY466" s="273"/>
      <c r="GZ466" s="273"/>
      <c r="HA466" s="273"/>
      <c r="HB466" s="273"/>
      <c r="HC466" s="273"/>
      <c r="HD466" s="273"/>
      <c r="HE466" s="273"/>
      <c r="HF466" s="273"/>
      <c r="HG466" s="273"/>
      <c r="HH466" s="273"/>
      <c r="HI466" s="273"/>
      <c r="HJ466" s="273"/>
      <c r="HK466" s="273"/>
      <c r="HL466" s="273"/>
      <c r="HM466" s="273"/>
      <c r="HN466" s="273"/>
      <c r="HO466" s="273"/>
      <c r="HP466" s="273"/>
      <c r="HQ466" s="273"/>
      <c r="HR466" s="273"/>
      <c r="HS466" s="273"/>
      <c r="HT466" s="273"/>
      <c r="HU466" s="273"/>
      <c r="HV466" s="273"/>
      <c r="HW466" s="273"/>
      <c r="HX466" s="273"/>
      <c r="HY466" s="273"/>
      <c r="HZ466" s="273"/>
      <c r="IA466" s="273"/>
      <c r="IB466" s="273"/>
      <c r="IC466" s="273"/>
      <c r="ID466" s="273"/>
      <c r="IE466" s="273"/>
      <c r="IF466" s="273"/>
      <c r="IG466" s="273"/>
      <c r="IH466" s="273"/>
      <c r="II466" s="273"/>
      <c r="IJ466" s="273"/>
      <c r="IK466" s="273"/>
      <c r="IL466" s="273"/>
      <c r="IM466" s="273"/>
      <c r="IN466" s="273"/>
      <c r="IO466" s="273"/>
      <c r="IP466" s="273"/>
      <c r="IQ466" s="273"/>
      <c r="IR466" s="273"/>
      <c r="IS466" s="273"/>
      <c r="IT466" s="273"/>
      <c r="IU466" s="273"/>
      <c r="IV466" s="273"/>
      <c r="IW466" s="273"/>
      <c r="IX466" s="273"/>
      <c r="IY466" s="273"/>
      <c r="IZ466" s="273"/>
      <c r="JA466" s="273"/>
      <c r="JB466" s="273"/>
      <c r="JC466" s="273"/>
      <c r="JD466" s="273"/>
      <c r="JE466" s="273"/>
      <c r="JF466" s="273"/>
      <c r="JG466" s="273"/>
      <c r="JH466" s="273"/>
      <c r="JI466" s="273"/>
      <c r="JJ466" s="273"/>
      <c r="JK466" s="273"/>
      <c r="JL466" s="273"/>
      <c r="JM466" s="273"/>
      <c r="JN466" s="273"/>
      <c r="JO466" s="273"/>
      <c r="JP466" s="273"/>
      <c r="JQ466" s="273"/>
      <c r="JR466" s="273"/>
      <c r="JS466" s="273"/>
      <c r="JT466" s="273"/>
      <c r="JU466" s="273"/>
      <c r="JV466" s="273"/>
      <c r="JW466" s="273"/>
      <c r="JX466" s="273"/>
      <c r="JY466" s="273"/>
      <c r="JZ466" s="273"/>
      <c r="KA466" s="273"/>
      <c r="KB466" s="273"/>
      <c r="KC466" s="273"/>
      <c r="KD466" s="273"/>
      <c r="KE466" s="273"/>
      <c r="KF466" s="273"/>
      <c r="KG466" s="273"/>
      <c r="KH466" s="273"/>
      <c r="KI466" s="273"/>
      <c r="KJ466" s="273"/>
      <c r="KK466" s="273"/>
      <c r="KL466" s="273"/>
      <c r="KM466" s="273"/>
      <c r="KN466" s="273"/>
      <c r="KO466" s="273"/>
      <c r="KP466" s="273"/>
      <c r="KQ466" s="273"/>
      <c r="KR466" s="273"/>
      <c r="KS466" s="273"/>
      <c r="KT466" s="273"/>
      <c r="KU466" s="273"/>
      <c r="KV466" s="273"/>
      <c r="KW466" s="273"/>
      <c r="KX466" s="273"/>
      <c r="KY466" s="273"/>
      <c r="KZ466" s="273"/>
      <c r="LA466" s="273"/>
      <c r="LB466" s="273"/>
      <c r="LC466" s="273"/>
      <c r="LD466" s="273"/>
      <c r="LE466" s="273"/>
      <c r="LF466" s="273"/>
      <c r="LG466" s="273"/>
      <c r="LH466" s="273"/>
      <c r="LI466" s="273"/>
      <c r="LJ466" s="273"/>
      <c r="LK466" s="273"/>
      <c r="LL466" s="273"/>
      <c r="LM466" s="273"/>
      <c r="LN466" s="273"/>
      <c r="LO466" s="273"/>
      <c r="LP466" s="273"/>
      <c r="LQ466" s="273"/>
      <c r="LR466" s="273"/>
      <c r="LS466" s="273"/>
      <c r="LT466" s="273"/>
      <c r="LU466" s="273"/>
      <c r="LV466" s="273"/>
      <c r="LW466" s="273"/>
      <c r="LX466" s="273"/>
      <c r="LY466" s="273"/>
      <c r="LZ466" s="273"/>
      <c r="MA466" s="273"/>
      <c r="MB466" s="273"/>
      <c r="MC466" s="273"/>
      <c r="MD466" s="273"/>
      <c r="ME466" s="273"/>
      <c r="MF466" s="273"/>
      <c r="MG466" s="273"/>
      <c r="MH466" s="273"/>
      <c r="MI466" s="273"/>
      <c r="MJ466" s="273"/>
      <c r="MK466" s="273"/>
      <c r="ML466" s="273"/>
      <c r="MM466" s="273"/>
      <c r="MN466" s="273"/>
      <c r="MO466" s="273"/>
      <c r="MP466" s="273"/>
      <c r="MQ466" s="273"/>
      <c r="MR466" s="273"/>
      <c r="MS466" s="273"/>
      <c r="MT466" s="273"/>
      <c r="MU466" s="273"/>
      <c r="MV466" s="273"/>
      <c r="MW466" s="273"/>
      <c r="MX466" s="273"/>
      <c r="MY466" s="273"/>
      <c r="MZ466" s="273"/>
      <c r="NA466" s="273"/>
      <c r="NB466" s="273"/>
      <c r="NC466" s="273"/>
      <c r="ND466" s="273"/>
      <c r="NE466" s="273"/>
      <c r="NF466" s="273"/>
      <c r="NG466" s="273"/>
      <c r="NH466" s="273"/>
      <c r="NI466" s="273"/>
      <c r="NJ466" s="273"/>
      <c r="NK466" s="273"/>
      <c r="NL466" s="273"/>
      <c r="NM466" s="273"/>
      <c r="NN466" s="273"/>
      <c r="NO466" s="273"/>
      <c r="NP466" s="273"/>
      <c r="NQ466" s="273"/>
      <c r="NR466" s="273"/>
      <c r="NS466" s="273"/>
      <c r="NT466" s="273"/>
      <c r="NU466" s="273"/>
      <c r="NV466" s="273"/>
      <c r="NW466" s="273"/>
      <c r="NX466" s="273"/>
      <c r="NY466" s="273"/>
      <c r="NZ466" s="273"/>
      <c r="OA466" s="273"/>
      <c r="OB466" s="273"/>
      <c r="OC466" s="273"/>
      <c r="OD466" s="273"/>
      <c r="OE466" s="273"/>
      <c r="OF466" s="273"/>
      <c r="OG466" s="273"/>
      <c r="OH466" s="273"/>
      <c r="OI466" s="273"/>
      <c r="OJ466" s="273"/>
      <c r="OK466" s="273"/>
      <c r="OL466" s="273"/>
      <c r="OM466" s="273"/>
      <c r="ON466" s="273"/>
      <c r="OO466" s="273"/>
      <c r="OP466" s="273"/>
      <c r="OQ466" s="273"/>
      <c r="OR466" s="273"/>
      <c r="OS466" s="273"/>
      <c r="OT466" s="273"/>
      <c r="OU466" s="273"/>
      <c r="OV466" s="273"/>
      <c r="OW466" s="273"/>
      <c r="OX466" s="273"/>
      <c r="OY466" s="273"/>
      <c r="OZ466" s="273"/>
      <c r="PA466" s="273"/>
      <c r="PB466" s="273"/>
      <c r="PC466" s="273"/>
      <c r="PD466" s="273"/>
      <c r="PE466" s="273"/>
      <c r="PF466" s="273"/>
      <c r="PG466" s="273"/>
      <c r="PH466" s="273"/>
      <c r="PI466" s="273"/>
      <c r="PJ466" s="273"/>
      <c r="PK466" s="273"/>
      <c r="PL466" s="273"/>
      <c r="PM466" s="273"/>
      <c r="PN466" s="273"/>
      <c r="PO466" s="273"/>
      <c r="PP466" s="273"/>
      <c r="PQ466" s="273"/>
      <c r="PR466" s="273"/>
      <c r="PS466" s="273"/>
      <c r="PT466" s="273"/>
      <c r="PU466" s="273"/>
      <c r="PV466" s="273"/>
      <c r="PW466" s="273"/>
      <c r="PX466" s="273"/>
      <c r="PY466" s="273"/>
      <c r="PZ466" s="273"/>
      <c r="QA466" s="273"/>
      <c r="QB466" s="273"/>
      <c r="QC466" s="273"/>
      <c r="QD466" s="273"/>
      <c r="QE466" s="273"/>
      <c r="QF466" s="273"/>
      <c r="QG466" s="273"/>
      <c r="QH466" s="273"/>
      <c r="QI466" s="273"/>
      <c r="QJ466" s="273"/>
      <c r="QK466" s="273"/>
      <c r="QL466" s="273"/>
      <c r="QM466" s="273"/>
      <c r="QN466" s="273"/>
      <c r="QO466" s="273"/>
      <c r="QP466" s="273"/>
      <c r="QQ466" s="273"/>
      <c r="QR466" s="273"/>
      <c r="QS466" s="273"/>
      <c r="QT466" s="273"/>
      <c r="QU466" s="273"/>
      <c r="QV466" s="273"/>
      <c r="QW466" s="273"/>
      <c r="QX466" s="273"/>
      <c r="QY466" s="273"/>
      <c r="QZ466" s="273"/>
      <c r="RA466" s="273"/>
      <c r="RB466" s="273"/>
      <c r="RC466" s="273"/>
      <c r="RD466" s="273"/>
      <c r="RE466" s="273"/>
      <c r="RF466" s="273"/>
      <c r="RG466" s="273"/>
      <c r="RH466" s="273"/>
      <c r="RI466" s="273"/>
      <c r="RJ466" s="273"/>
      <c r="RK466" s="273"/>
      <c r="RL466" s="273"/>
      <c r="RM466" s="273"/>
      <c r="RN466" s="273"/>
      <c r="RO466" s="273"/>
      <c r="RP466" s="273"/>
      <c r="RQ466" s="273"/>
    </row>
    <row r="467" spans="1:485" s="450" customFormat="1" ht="39" x14ac:dyDescent="0.25">
      <c r="A467" s="3027"/>
      <c r="B467" s="595" t="s">
        <v>1033</v>
      </c>
      <c r="C467" s="266" t="s">
        <v>47</v>
      </c>
      <c r="D467" s="467" t="s">
        <v>955</v>
      </c>
      <c r="E467" s="468">
        <v>1</v>
      </c>
      <c r="F467" s="468">
        <v>110.55555555555556</v>
      </c>
      <c r="G467" s="467">
        <v>9</v>
      </c>
      <c r="H467" s="451">
        <f t="shared" si="212"/>
        <v>995</v>
      </c>
      <c r="I467" s="675"/>
      <c r="J467" s="451">
        <v>1</v>
      </c>
      <c r="K467" s="451">
        <v>160</v>
      </c>
      <c r="L467" s="451">
        <v>11</v>
      </c>
      <c r="M467" s="1834">
        <f t="shared" si="214"/>
        <v>1760</v>
      </c>
      <c r="N467" s="697">
        <v>1</v>
      </c>
      <c r="O467" s="696">
        <f t="shared" si="213"/>
        <v>2755</v>
      </c>
      <c r="P467" s="675">
        <v>0</v>
      </c>
      <c r="Q467" s="451">
        <f t="shared" si="203"/>
        <v>0</v>
      </c>
      <c r="R467" s="522" t="s">
        <v>1034</v>
      </c>
      <c r="S467" s="452">
        <f>COOPI!S59</f>
        <v>3879</v>
      </c>
      <c r="T467" s="591">
        <f t="shared" si="215"/>
        <v>1.4079854809437387</v>
      </c>
      <c r="U467" s="894" t="s">
        <v>606</v>
      </c>
      <c r="V467" s="591">
        <v>0</v>
      </c>
      <c r="W467" s="452">
        <f t="shared" si="217"/>
        <v>0</v>
      </c>
      <c r="X467" s="452"/>
      <c r="Y467" s="273"/>
      <c r="Z467" s="273"/>
      <c r="AA467" s="273"/>
      <c r="AB467" s="273"/>
      <c r="AC467" s="273"/>
      <c r="AD467" s="273"/>
      <c r="AE467" s="273"/>
      <c r="AF467" s="273"/>
      <c r="AG467" s="273"/>
      <c r="AH467" s="273"/>
      <c r="AI467" s="273"/>
      <c r="AJ467" s="273"/>
      <c r="AK467" s="273"/>
      <c r="AL467" s="273"/>
      <c r="AM467" s="273"/>
      <c r="AN467" s="273"/>
      <c r="AO467" s="273"/>
      <c r="AP467" s="273"/>
      <c r="AQ467" s="273"/>
      <c r="AR467" s="273"/>
      <c r="AS467" s="273"/>
      <c r="AT467" s="273"/>
      <c r="AU467" s="273"/>
      <c r="AV467" s="273"/>
      <c r="AW467" s="273"/>
      <c r="AX467" s="273"/>
      <c r="AY467" s="273"/>
      <c r="AZ467" s="273"/>
      <c r="BA467" s="273"/>
      <c r="BB467" s="273"/>
      <c r="BC467" s="273"/>
      <c r="BD467" s="273"/>
      <c r="BE467" s="273"/>
      <c r="BF467" s="273"/>
      <c r="BG467" s="273"/>
      <c r="BH467" s="273"/>
      <c r="BI467" s="273"/>
      <c r="BJ467" s="273"/>
      <c r="BK467" s="273"/>
      <c r="BL467" s="273"/>
      <c r="BM467" s="273"/>
      <c r="BN467" s="273"/>
      <c r="BO467" s="273"/>
      <c r="BP467" s="273"/>
      <c r="BQ467" s="273"/>
      <c r="BR467" s="273"/>
      <c r="BS467" s="273"/>
      <c r="BT467" s="273"/>
      <c r="BU467" s="273"/>
      <c r="BV467" s="273"/>
      <c r="BW467" s="273"/>
      <c r="BX467" s="273"/>
      <c r="BY467" s="273"/>
      <c r="BZ467" s="273"/>
      <c r="CA467" s="273"/>
      <c r="CB467" s="273"/>
      <c r="CC467" s="273"/>
      <c r="CD467" s="273"/>
      <c r="CE467" s="273"/>
      <c r="CF467" s="273"/>
      <c r="CG467" s="273"/>
      <c r="CH467" s="273"/>
      <c r="CI467" s="273"/>
      <c r="CJ467" s="273"/>
      <c r="CK467" s="273"/>
      <c r="CL467" s="273"/>
      <c r="CM467" s="273"/>
      <c r="CN467" s="273"/>
      <c r="CO467" s="273"/>
      <c r="CP467" s="273"/>
      <c r="CQ467" s="273"/>
      <c r="CR467" s="273"/>
      <c r="CS467" s="273"/>
      <c r="CT467" s="273"/>
      <c r="CU467" s="273"/>
      <c r="CV467" s="273"/>
      <c r="CW467" s="273"/>
      <c r="CX467" s="273"/>
      <c r="CY467" s="273"/>
      <c r="CZ467" s="273"/>
      <c r="DA467" s="273"/>
      <c r="DB467" s="273"/>
      <c r="DC467" s="273"/>
      <c r="DD467" s="273"/>
      <c r="DE467" s="273"/>
      <c r="DF467" s="273"/>
      <c r="DG467" s="273"/>
      <c r="DH467" s="273"/>
      <c r="DI467" s="273"/>
      <c r="DJ467" s="273"/>
      <c r="DK467" s="273"/>
      <c r="DL467" s="273"/>
      <c r="DM467" s="273"/>
      <c r="DN467" s="273"/>
      <c r="DO467" s="273"/>
      <c r="DP467" s="273"/>
      <c r="DQ467" s="273"/>
      <c r="DR467" s="273"/>
      <c r="DS467" s="273"/>
      <c r="DT467" s="273"/>
      <c r="DU467" s="273"/>
      <c r="DV467" s="273"/>
      <c r="DW467" s="273"/>
      <c r="DX467" s="273"/>
      <c r="DY467" s="273"/>
      <c r="DZ467" s="273"/>
      <c r="EA467" s="273"/>
      <c r="EB467" s="273"/>
      <c r="EC467" s="273"/>
      <c r="ED467" s="273"/>
      <c r="EE467" s="273"/>
      <c r="EF467" s="273"/>
      <c r="EG467" s="273"/>
      <c r="EH467" s="273"/>
      <c r="EI467" s="273"/>
      <c r="EJ467" s="273"/>
      <c r="EK467" s="273"/>
      <c r="EL467" s="273"/>
      <c r="EM467" s="273"/>
      <c r="EN467" s="273"/>
      <c r="EO467" s="273"/>
      <c r="EP467" s="273"/>
      <c r="EQ467" s="273"/>
      <c r="ER467" s="273"/>
      <c r="ES467" s="273"/>
      <c r="ET467" s="273"/>
      <c r="EU467" s="273"/>
      <c r="EV467" s="273"/>
      <c r="EW467" s="273"/>
      <c r="EX467" s="273"/>
      <c r="EY467" s="273"/>
      <c r="EZ467" s="273"/>
      <c r="FA467" s="273"/>
      <c r="FB467" s="273"/>
      <c r="FC467" s="273"/>
      <c r="FD467" s="273"/>
      <c r="FE467" s="273"/>
      <c r="FF467" s="273"/>
      <c r="FG467" s="273"/>
      <c r="FH467" s="273"/>
      <c r="FI467" s="273"/>
      <c r="FJ467" s="273"/>
      <c r="FK467" s="273"/>
      <c r="FL467" s="273"/>
      <c r="FM467" s="273"/>
      <c r="FN467" s="273"/>
      <c r="FO467" s="273"/>
      <c r="FP467" s="273"/>
      <c r="FQ467" s="273"/>
      <c r="FR467" s="273"/>
      <c r="FS467" s="273"/>
      <c r="FT467" s="273"/>
      <c r="FU467" s="273"/>
      <c r="FV467" s="273"/>
      <c r="FW467" s="273"/>
      <c r="FX467" s="273"/>
      <c r="FY467" s="273"/>
      <c r="FZ467" s="273"/>
      <c r="GA467" s="273"/>
      <c r="GB467" s="273"/>
      <c r="GC467" s="273"/>
      <c r="GD467" s="273"/>
      <c r="GE467" s="273"/>
      <c r="GF467" s="273"/>
      <c r="GG467" s="273"/>
      <c r="GH467" s="273"/>
      <c r="GI467" s="273"/>
      <c r="GJ467" s="273"/>
      <c r="GK467" s="273"/>
      <c r="GL467" s="273"/>
      <c r="GM467" s="273"/>
      <c r="GN467" s="273"/>
      <c r="GO467" s="273"/>
      <c r="GP467" s="273"/>
      <c r="GQ467" s="273"/>
      <c r="GR467" s="273"/>
      <c r="GS467" s="273"/>
      <c r="GT467" s="273"/>
      <c r="GU467" s="273"/>
      <c r="GV467" s="273"/>
      <c r="GW467" s="273"/>
      <c r="GX467" s="273"/>
      <c r="GY467" s="273"/>
      <c r="GZ467" s="273"/>
      <c r="HA467" s="273"/>
      <c r="HB467" s="273"/>
      <c r="HC467" s="273"/>
      <c r="HD467" s="273"/>
      <c r="HE467" s="273"/>
      <c r="HF467" s="273"/>
      <c r="HG467" s="273"/>
      <c r="HH467" s="273"/>
      <c r="HI467" s="273"/>
      <c r="HJ467" s="273"/>
      <c r="HK467" s="273"/>
      <c r="HL467" s="273"/>
      <c r="HM467" s="273"/>
      <c r="HN467" s="273"/>
      <c r="HO467" s="273"/>
      <c r="HP467" s="273"/>
      <c r="HQ467" s="273"/>
      <c r="HR467" s="273"/>
      <c r="HS467" s="273"/>
      <c r="HT467" s="273"/>
      <c r="HU467" s="273"/>
      <c r="HV467" s="273"/>
      <c r="HW467" s="273"/>
      <c r="HX467" s="273"/>
      <c r="HY467" s="273"/>
      <c r="HZ467" s="273"/>
      <c r="IA467" s="273"/>
      <c r="IB467" s="273"/>
      <c r="IC467" s="273"/>
      <c r="ID467" s="273"/>
      <c r="IE467" s="273"/>
      <c r="IF467" s="273"/>
      <c r="IG467" s="273"/>
      <c r="IH467" s="273"/>
      <c r="II467" s="273"/>
      <c r="IJ467" s="273"/>
      <c r="IK467" s="273"/>
      <c r="IL467" s="273"/>
      <c r="IM467" s="273"/>
      <c r="IN467" s="273"/>
      <c r="IO467" s="273"/>
      <c r="IP467" s="273"/>
      <c r="IQ467" s="273"/>
      <c r="IR467" s="273"/>
      <c r="IS467" s="273"/>
      <c r="IT467" s="273"/>
      <c r="IU467" s="273"/>
      <c r="IV467" s="273"/>
      <c r="IW467" s="273"/>
      <c r="IX467" s="273"/>
      <c r="IY467" s="273"/>
      <c r="IZ467" s="273"/>
      <c r="JA467" s="273"/>
      <c r="JB467" s="273"/>
      <c r="JC467" s="273"/>
      <c r="JD467" s="273"/>
      <c r="JE467" s="273"/>
      <c r="JF467" s="273"/>
      <c r="JG467" s="273"/>
      <c r="JH467" s="273"/>
      <c r="JI467" s="273"/>
      <c r="JJ467" s="273"/>
      <c r="JK467" s="273"/>
      <c r="JL467" s="273"/>
      <c r="JM467" s="273"/>
      <c r="JN467" s="273"/>
      <c r="JO467" s="273"/>
      <c r="JP467" s="273"/>
      <c r="JQ467" s="273"/>
      <c r="JR467" s="273"/>
      <c r="JS467" s="273"/>
      <c r="JT467" s="273"/>
      <c r="JU467" s="273"/>
      <c r="JV467" s="273"/>
      <c r="JW467" s="273"/>
      <c r="JX467" s="273"/>
      <c r="JY467" s="273"/>
      <c r="JZ467" s="273"/>
      <c r="KA467" s="273"/>
      <c r="KB467" s="273"/>
      <c r="KC467" s="273"/>
      <c r="KD467" s="273"/>
      <c r="KE467" s="273"/>
      <c r="KF467" s="273"/>
      <c r="KG467" s="273"/>
      <c r="KH467" s="273"/>
      <c r="KI467" s="273"/>
      <c r="KJ467" s="273"/>
      <c r="KK467" s="273"/>
      <c r="KL467" s="273"/>
      <c r="KM467" s="273"/>
      <c r="KN467" s="273"/>
      <c r="KO467" s="273"/>
      <c r="KP467" s="273"/>
      <c r="KQ467" s="273"/>
      <c r="KR467" s="273"/>
      <c r="KS467" s="273"/>
      <c r="KT467" s="273"/>
      <c r="KU467" s="273"/>
      <c r="KV467" s="273"/>
      <c r="KW467" s="273"/>
      <c r="KX467" s="273"/>
      <c r="KY467" s="273"/>
      <c r="KZ467" s="273"/>
      <c r="LA467" s="273"/>
      <c r="LB467" s="273"/>
      <c r="LC467" s="273"/>
      <c r="LD467" s="273"/>
      <c r="LE467" s="273"/>
      <c r="LF467" s="273"/>
      <c r="LG467" s="273"/>
      <c r="LH467" s="273"/>
      <c r="LI467" s="273"/>
      <c r="LJ467" s="273"/>
      <c r="LK467" s="273"/>
      <c r="LL467" s="273"/>
      <c r="LM467" s="273"/>
      <c r="LN467" s="273"/>
      <c r="LO467" s="273"/>
      <c r="LP467" s="273"/>
      <c r="LQ467" s="273"/>
      <c r="LR467" s="273"/>
      <c r="LS467" s="273"/>
      <c r="LT467" s="273"/>
      <c r="LU467" s="273"/>
      <c r="LV467" s="273"/>
      <c r="LW467" s="273"/>
      <c r="LX467" s="273"/>
      <c r="LY467" s="273"/>
      <c r="LZ467" s="273"/>
      <c r="MA467" s="273"/>
      <c r="MB467" s="273"/>
      <c r="MC467" s="273"/>
      <c r="MD467" s="273"/>
      <c r="ME467" s="273"/>
      <c r="MF467" s="273"/>
      <c r="MG467" s="273"/>
      <c r="MH467" s="273"/>
      <c r="MI467" s="273"/>
      <c r="MJ467" s="273"/>
      <c r="MK467" s="273"/>
      <c r="ML467" s="273"/>
      <c r="MM467" s="273"/>
      <c r="MN467" s="273"/>
      <c r="MO467" s="273"/>
      <c r="MP467" s="273"/>
      <c r="MQ467" s="273"/>
      <c r="MR467" s="273"/>
      <c r="MS467" s="273"/>
      <c r="MT467" s="273"/>
      <c r="MU467" s="273"/>
      <c r="MV467" s="273"/>
      <c r="MW467" s="273"/>
      <c r="MX467" s="273"/>
      <c r="MY467" s="273"/>
      <c r="MZ467" s="273"/>
      <c r="NA467" s="273"/>
      <c r="NB467" s="273"/>
      <c r="NC467" s="273"/>
      <c r="ND467" s="273"/>
      <c r="NE467" s="273"/>
      <c r="NF467" s="273"/>
      <c r="NG467" s="273"/>
      <c r="NH467" s="273"/>
      <c r="NI467" s="273"/>
      <c r="NJ467" s="273"/>
      <c r="NK467" s="273"/>
      <c r="NL467" s="273"/>
      <c r="NM467" s="273"/>
      <c r="NN467" s="273"/>
      <c r="NO467" s="273"/>
      <c r="NP467" s="273"/>
      <c r="NQ467" s="273"/>
      <c r="NR467" s="273"/>
      <c r="NS467" s="273"/>
      <c r="NT467" s="273"/>
      <c r="NU467" s="273"/>
      <c r="NV467" s="273"/>
      <c r="NW467" s="273"/>
      <c r="NX467" s="273"/>
      <c r="NY467" s="273"/>
      <c r="NZ467" s="273"/>
      <c r="OA467" s="273"/>
      <c r="OB467" s="273"/>
      <c r="OC467" s="273"/>
      <c r="OD467" s="273"/>
      <c r="OE467" s="273"/>
      <c r="OF467" s="273"/>
      <c r="OG467" s="273"/>
      <c r="OH467" s="273"/>
      <c r="OI467" s="273"/>
      <c r="OJ467" s="273"/>
      <c r="OK467" s="273"/>
      <c r="OL467" s="273"/>
      <c r="OM467" s="273"/>
      <c r="ON467" s="273"/>
      <c r="OO467" s="273"/>
      <c r="OP467" s="273"/>
      <c r="OQ467" s="273"/>
      <c r="OR467" s="273"/>
      <c r="OS467" s="273"/>
      <c r="OT467" s="273"/>
      <c r="OU467" s="273"/>
      <c r="OV467" s="273"/>
      <c r="OW467" s="273"/>
      <c r="OX467" s="273"/>
      <c r="OY467" s="273"/>
      <c r="OZ467" s="273"/>
      <c r="PA467" s="273"/>
      <c r="PB467" s="273"/>
      <c r="PC467" s="273"/>
      <c r="PD467" s="273"/>
      <c r="PE467" s="273"/>
      <c r="PF467" s="273"/>
      <c r="PG467" s="273"/>
      <c r="PH467" s="273"/>
      <c r="PI467" s="273"/>
      <c r="PJ467" s="273"/>
      <c r="PK467" s="273"/>
      <c r="PL467" s="273"/>
      <c r="PM467" s="273"/>
      <c r="PN467" s="273"/>
      <c r="PO467" s="273"/>
      <c r="PP467" s="273"/>
      <c r="PQ467" s="273"/>
      <c r="PR467" s="273"/>
      <c r="PS467" s="273"/>
      <c r="PT467" s="273"/>
      <c r="PU467" s="273"/>
      <c r="PV467" s="273"/>
      <c r="PW467" s="273"/>
      <c r="PX467" s="273"/>
      <c r="PY467" s="273"/>
      <c r="PZ467" s="273"/>
      <c r="QA467" s="273"/>
      <c r="QB467" s="273"/>
      <c r="QC467" s="273"/>
      <c r="QD467" s="273"/>
      <c r="QE467" s="273"/>
      <c r="QF467" s="273"/>
      <c r="QG467" s="273"/>
      <c r="QH467" s="273"/>
      <c r="QI467" s="273"/>
      <c r="QJ467" s="273"/>
      <c r="QK467" s="273"/>
      <c r="QL467" s="273"/>
      <c r="QM467" s="273"/>
      <c r="QN467" s="273"/>
      <c r="QO467" s="273"/>
      <c r="QP467" s="273"/>
      <c r="QQ467" s="273"/>
      <c r="QR467" s="273"/>
      <c r="QS467" s="273"/>
      <c r="QT467" s="273"/>
      <c r="QU467" s="273"/>
      <c r="QV467" s="273"/>
      <c r="QW467" s="273"/>
      <c r="QX467" s="273"/>
      <c r="QY467" s="273"/>
      <c r="QZ467" s="273"/>
      <c r="RA467" s="273"/>
      <c r="RB467" s="273"/>
      <c r="RC467" s="273"/>
      <c r="RD467" s="273"/>
      <c r="RE467" s="273"/>
      <c r="RF467" s="273"/>
      <c r="RG467" s="273"/>
      <c r="RH467" s="273"/>
      <c r="RI467" s="273"/>
      <c r="RJ467" s="273"/>
      <c r="RK467" s="273"/>
      <c r="RL467" s="273"/>
      <c r="RM467" s="273"/>
      <c r="RN467" s="273"/>
      <c r="RO467" s="273"/>
      <c r="RP467" s="273"/>
      <c r="RQ467" s="273"/>
    </row>
    <row r="468" spans="1:485" s="450" customFormat="1" ht="26" x14ac:dyDescent="0.25">
      <c r="A468" s="3027"/>
      <c r="B468" s="595" t="s">
        <v>1035</v>
      </c>
      <c r="C468" s="266" t="s">
        <v>47</v>
      </c>
      <c r="D468" s="467" t="s">
        <v>955</v>
      </c>
      <c r="E468" s="468">
        <v>1</v>
      </c>
      <c r="F468" s="468">
        <v>0</v>
      </c>
      <c r="G468" s="467">
        <v>1</v>
      </c>
      <c r="H468" s="451">
        <f t="shared" si="212"/>
        <v>0</v>
      </c>
      <c r="I468" s="675">
        <v>1</v>
      </c>
      <c r="J468" s="451">
        <v>3</v>
      </c>
      <c r="K468" s="451">
        <v>1666.6666666666667</v>
      </c>
      <c r="L468" s="451">
        <v>1</v>
      </c>
      <c r="M468" s="1834">
        <f t="shared" si="214"/>
        <v>5000</v>
      </c>
      <c r="N468" s="697">
        <v>1</v>
      </c>
      <c r="O468" s="696">
        <f t="shared" si="213"/>
        <v>5000</v>
      </c>
      <c r="P468" s="675">
        <v>1</v>
      </c>
      <c r="Q468" s="451">
        <f t="shared" si="203"/>
        <v>5000</v>
      </c>
      <c r="R468" s="522" t="s">
        <v>1036</v>
      </c>
      <c r="S468" s="452">
        <f>COOPI!S60</f>
        <v>5422.5</v>
      </c>
      <c r="T468" s="591">
        <f t="shared" si="215"/>
        <v>1.0845</v>
      </c>
      <c r="U468" s="894" t="s">
        <v>1486</v>
      </c>
      <c r="V468" s="591">
        <f t="shared" si="216"/>
        <v>1.0845</v>
      </c>
      <c r="W468" s="452">
        <f t="shared" si="217"/>
        <v>5422.5</v>
      </c>
      <c r="X468" s="452"/>
      <c r="Y468" s="273"/>
      <c r="Z468" s="273"/>
      <c r="AA468" s="273"/>
      <c r="AB468" s="273"/>
      <c r="AC468" s="273"/>
      <c r="AD468" s="273"/>
      <c r="AE468" s="273"/>
      <c r="AF468" s="273"/>
      <c r="AG468" s="273"/>
      <c r="AH468" s="273"/>
      <c r="AI468" s="273"/>
      <c r="AJ468" s="273"/>
      <c r="AK468" s="273"/>
      <c r="AL468" s="273"/>
      <c r="AM468" s="273"/>
      <c r="AN468" s="273"/>
      <c r="AO468" s="273"/>
      <c r="AP468" s="273"/>
      <c r="AQ468" s="273"/>
      <c r="AR468" s="273"/>
      <c r="AS468" s="273"/>
      <c r="AT468" s="273"/>
      <c r="AU468" s="273"/>
      <c r="AV468" s="273"/>
      <c r="AW468" s="273"/>
      <c r="AX468" s="273"/>
      <c r="AY468" s="273"/>
      <c r="AZ468" s="273"/>
      <c r="BA468" s="273"/>
      <c r="BB468" s="273"/>
      <c r="BC468" s="273"/>
      <c r="BD468" s="273"/>
      <c r="BE468" s="273"/>
      <c r="BF468" s="273"/>
      <c r="BG468" s="273"/>
      <c r="BH468" s="273"/>
      <c r="BI468" s="273"/>
      <c r="BJ468" s="273"/>
      <c r="BK468" s="273"/>
      <c r="BL468" s="273"/>
      <c r="BM468" s="273"/>
      <c r="BN468" s="273"/>
      <c r="BO468" s="273"/>
      <c r="BP468" s="273"/>
      <c r="BQ468" s="273"/>
      <c r="BR468" s="273"/>
      <c r="BS468" s="273"/>
      <c r="BT468" s="273"/>
      <c r="BU468" s="273"/>
      <c r="BV468" s="273"/>
      <c r="BW468" s="273"/>
      <c r="BX468" s="273"/>
      <c r="BY468" s="273"/>
      <c r="BZ468" s="273"/>
      <c r="CA468" s="273"/>
      <c r="CB468" s="273"/>
      <c r="CC468" s="273"/>
      <c r="CD468" s="273"/>
      <c r="CE468" s="273"/>
      <c r="CF468" s="273"/>
      <c r="CG468" s="273"/>
      <c r="CH468" s="273"/>
      <c r="CI468" s="273"/>
      <c r="CJ468" s="273"/>
      <c r="CK468" s="273"/>
      <c r="CL468" s="273"/>
      <c r="CM468" s="273"/>
      <c r="CN468" s="273"/>
      <c r="CO468" s="273"/>
      <c r="CP468" s="273"/>
      <c r="CQ468" s="273"/>
      <c r="CR468" s="273"/>
      <c r="CS468" s="273"/>
      <c r="CT468" s="273"/>
      <c r="CU468" s="273"/>
      <c r="CV468" s="273"/>
      <c r="CW468" s="273"/>
      <c r="CX468" s="273"/>
      <c r="CY468" s="273"/>
      <c r="CZ468" s="273"/>
      <c r="DA468" s="273"/>
      <c r="DB468" s="273"/>
      <c r="DC468" s="273"/>
      <c r="DD468" s="273"/>
      <c r="DE468" s="273"/>
      <c r="DF468" s="273"/>
      <c r="DG468" s="273"/>
      <c r="DH468" s="273"/>
      <c r="DI468" s="273"/>
      <c r="DJ468" s="273"/>
      <c r="DK468" s="273"/>
      <c r="DL468" s="273"/>
      <c r="DM468" s="273"/>
      <c r="DN468" s="273"/>
      <c r="DO468" s="273"/>
      <c r="DP468" s="273"/>
      <c r="DQ468" s="273"/>
      <c r="DR468" s="273"/>
      <c r="DS468" s="273"/>
      <c r="DT468" s="273"/>
      <c r="DU468" s="273"/>
      <c r="DV468" s="273"/>
      <c r="DW468" s="273"/>
      <c r="DX468" s="273"/>
      <c r="DY468" s="273"/>
      <c r="DZ468" s="273"/>
      <c r="EA468" s="273"/>
      <c r="EB468" s="273"/>
      <c r="EC468" s="273"/>
      <c r="ED468" s="273"/>
      <c r="EE468" s="273"/>
      <c r="EF468" s="273"/>
      <c r="EG468" s="273"/>
      <c r="EH468" s="273"/>
      <c r="EI468" s="273"/>
      <c r="EJ468" s="273"/>
      <c r="EK468" s="273"/>
      <c r="EL468" s="273"/>
      <c r="EM468" s="273"/>
      <c r="EN468" s="273"/>
      <c r="EO468" s="273"/>
      <c r="EP468" s="273"/>
      <c r="EQ468" s="273"/>
      <c r="ER468" s="273"/>
      <c r="ES468" s="273"/>
      <c r="ET468" s="273"/>
      <c r="EU468" s="273"/>
      <c r="EV468" s="273"/>
      <c r="EW468" s="273"/>
      <c r="EX468" s="273"/>
      <c r="EY468" s="273"/>
      <c r="EZ468" s="273"/>
      <c r="FA468" s="273"/>
      <c r="FB468" s="273"/>
      <c r="FC468" s="273"/>
      <c r="FD468" s="273"/>
      <c r="FE468" s="273"/>
      <c r="FF468" s="273"/>
      <c r="FG468" s="273"/>
      <c r="FH468" s="273"/>
      <c r="FI468" s="273"/>
      <c r="FJ468" s="273"/>
      <c r="FK468" s="273"/>
      <c r="FL468" s="273"/>
      <c r="FM468" s="273"/>
      <c r="FN468" s="273"/>
      <c r="FO468" s="273"/>
      <c r="FP468" s="273"/>
      <c r="FQ468" s="273"/>
      <c r="FR468" s="273"/>
      <c r="FS468" s="273"/>
      <c r="FT468" s="273"/>
      <c r="FU468" s="273"/>
      <c r="FV468" s="273"/>
      <c r="FW468" s="273"/>
      <c r="FX468" s="273"/>
      <c r="FY468" s="273"/>
      <c r="FZ468" s="273"/>
      <c r="GA468" s="273"/>
      <c r="GB468" s="273"/>
      <c r="GC468" s="273"/>
      <c r="GD468" s="273"/>
      <c r="GE468" s="273"/>
      <c r="GF468" s="273"/>
      <c r="GG468" s="273"/>
      <c r="GH468" s="273"/>
      <c r="GI468" s="273"/>
      <c r="GJ468" s="273"/>
      <c r="GK468" s="273"/>
      <c r="GL468" s="273"/>
      <c r="GM468" s="273"/>
      <c r="GN468" s="273"/>
      <c r="GO468" s="273"/>
      <c r="GP468" s="273"/>
      <c r="GQ468" s="273"/>
      <c r="GR468" s="273"/>
      <c r="GS468" s="273"/>
      <c r="GT468" s="273"/>
      <c r="GU468" s="273"/>
      <c r="GV468" s="273"/>
      <c r="GW468" s="273"/>
      <c r="GX468" s="273"/>
      <c r="GY468" s="273"/>
      <c r="GZ468" s="273"/>
      <c r="HA468" s="273"/>
      <c r="HB468" s="273"/>
      <c r="HC468" s="273"/>
      <c r="HD468" s="273"/>
      <c r="HE468" s="273"/>
      <c r="HF468" s="273"/>
      <c r="HG468" s="273"/>
      <c r="HH468" s="273"/>
      <c r="HI468" s="273"/>
      <c r="HJ468" s="273"/>
      <c r="HK468" s="273"/>
      <c r="HL468" s="273"/>
      <c r="HM468" s="273"/>
      <c r="HN468" s="273"/>
      <c r="HO468" s="273"/>
      <c r="HP468" s="273"/>
      <c r="HQ468" s="273"/>
      <c r="HR468" s="273"/>
      <c r="HS468" s="273"/>
      <c r="HT468" s="273"/>
      <c r="HU468" s="273"/>
      <c r="HV468" s="273"/>
      <c r="HW468" s="273"/>
      <c r="HX468" s="273"/>
      <c r="HY468" s="273"/>
      <c r="HZ468" s="273"/>
      <c r="IA468" s="273"/>
      <c r="IB468" s="273"/>
      <c r="IC468" s="273"/>
      <c r="ID468" s="273"/>
      <c r="IE468" s="273"/>
      <c r="IF468" s="273"/>
      <c r="IG468" s="273"/>
      <c r="IH468" s="273"/>
      <c r="II468" s="273"/>
      <c r="IJ468" s="273"/>
      <c r="IK468" s="273"/>
      <c r="IL468" s="273"/>
      <c r="IM468" s="273"/>
      <c r="IN468" s="273"/>
      <c r="IO468" s="273"/>
      <c r="IP468" s="273"/>
      <c r="IQ468" s="273"/>
      <c r="IR468" s="273"/>
      <c r="IS468" s="273"/>
      <c r="IT468" s="273"/>
      <c r="IU468" s="273"/>
      <c r="IV468" s="273"/>
      <c r="IW468" s="273"/>
      <c r="IX468" s="273"/>
      <c r="IY468" s="273"/>
      <c r="IZ468" s="273"/>
      <c r="JA468" s="273"/>
      <c r="JB468" s="273"/>
      <c r="JC468" s="273"/>
      <c r="JD468" s="273"/>
      <c r="JE468" s="273"/>
      <c r="JF468" s="273"/>
      <c r="JG468" s="273"/>
      <c r="JH468" s="273"/>
      <c r="JI468" s="273"/>
      <c r="JJ468" s="273"/>
      <c r="JK468" s="273"/>
      <c r="JL468" s="273"/>
      <c r="JM468" s="273"/>
      <c r="JN468" s="273"/>
      <c r="JO468" s="273"/>
      <c r="JP468" s="273"/>
      <c r="JQ468" s="273"/>
      <c r="JR468" s="273"/>
      <c r="JS468" s="273"/>
      <c r="JT468" s="273"/>
      <c r="JU468" s="273"/>
      <c r="JV468" s="273"/>
      <c r="JW468" s="273"/>
      <c r="JX468" s="273"/>
      <c r="JY468" s="273"/>
      <c r="JZ468" s="273"/>
      <c r="KA468" s="273"/>
      <c r="KB468" s="273"/>
      <c r="KC468" s="273"/>
      <c r="KD468" s="273"/>
      <c r="KE468" s="273"/>
      <c r="KF468" s="273"/>
      <c r="KG468" s="273"/>
      <c r="KH468" s="273"/>
      <c r="KI468" s="273"/>
      <c r="KJ468" s="273"/>
      <c r="KK468" s="273"/>
      <c r="KL468" s="273"/>
      <c r="KM468" s="273"/>
      <c r="KN468" s="273"/>
      <c r="KO468" s="273"/>
      <c r="KP468" s="273"/>
      <c r="KQ468" s="273"/>
      <c r="KR468" s="273"/>
      <c r="KS468" s="273"/>
      <c r="KT468" s="273"/>
      <c r="KU468" s="273"/>
      <c r="KV468" s="273"/>
      <c r="KW468" s="273"/>
      <c r="KX468" s="273"/>
      <c r="KY468" s="273"/>
      <c r="KZ468" s="273"/>
      <c r="LA468" s="273"/>
      <c r="LB468" s="273"/>
      <c r="LC468" s="273"/>
      <c r="LD468" s="273"/>
      <c r="LE468" s="273"/>
      <c r="LF468" s="273"/>
      <c r="LG468" s="273"/>
      <c r="LH468" s="273"/>
      <c r="LI468" s="273"/>
      <c r="LJ468" s="273"/>
      <c r="LK468" s="273"/>
      <c r="LL468" s="273"/>
      <c r="LM468" s="273"/>
      <c r="LN468" s="273"/>
      <c r="LO468" s="273"/>
      <c r="LP468" s="273"/>
      <c r="LQ468" s="273"/>
      <c r="LR468" s="273"/>
      <c r="LS468" s="273"/>
      <c r="LT468" s="273"/>
      <c r="LU468" s="273"/>
      <c r="LV468" s="273"/>
      <c r="LW468" s="273"/>
      <c r="LX468" s="273"/>
      <c r="LY468" s="273"/>
      <c r="LZ468" s="273"/>
      <c r="MA468" s="273"/>
      <c r="MB468" s="273"/>
      <c r="MC468" s="273"/>
      <c r="MD468" s="273"/>
      <c r="ME468" s="273"/>
      <c r="MF468" s="273"/>
      <c r="MG468" s="273"/>
      <c r="MH468" s="273"/>
      <c r="MI468" s="273"/>
      <c r="MJ468" s="273"/>
      <c r="MK468" s="273"/>
      <c r="ML468" s="273"/>
      <c r="MM468" s="273"/>
      <c r="MN468" s="273"/>
      <c r="MO468" s="273"/>
      <c r="MP468" s="273"/>
      <c r="MQ468" s="273"/>
      <c r="MR468" s="273"/>
      <c r="MS468" s="273"/>
      <c r="MT468" s="273"/>
      <c r="MU468" s="273"/>
      <c r="MV468" s="273"/>
      <c r="MW468" s="273"/>
      <c r="MX468" s="273"/>
      <c r="MY468" s="273"/>
      <c r="MZ468" s="273"/>
      <c r="NA468" s="273"/>
      <c r="NB468" s="273"/>
      <c r="NC468" s="273"/>
      <c r="ND468" s="273"/>
      <c r="NE468" s="273"/>
      <c r="NF468" s="273"/>
      <c r="NG468" s="273"/>
      <c r="NH468" s="273"/>
      <c r="NI468" s="273"/>
      <c r="NJ468" s="273"/>
      <c r="NK468" s="273"/>
      <c r="NL468" s="273"/>
      <c r="NM468" s="273"/>
      <c r="NN468" s="273"/>
      <c r="NO468" s="273"/>
      <c r="NP468" s="273"/>
      <c r="NQ468" s="273"/>
      <c r="NR468" s="273"/>
      <c r="NS468" s="273"/>
      <c r="NT468" s="273"/>
      <c r="NU468" s="273"/>
      <c r="NV468" s="273"/>
      <c r="NW468" s="273"/>
      <c r="NX468" s="273"/>
      <c r="NY468" s="273"/>
      <c r="NZ468" s="273"/>
      <c r="OA468" s="273"/>
      <c r="OB468" s="273"/>
      <c r="OC468" s="273"/>
      <c r="OD468" s="273"/>
      <c r="OE468" s="273"/>
      <c r="OF468" s="273"/>
      <c r="OG468" s="273"/>
      <c r="OH468" s="273"/>
      <c r="OI468" s="273"/>
      <c r="OJ468" s="273"/>
      <c r="OK468" s="273"/>
      <c r="OL468" s="273"/>
      <c r="OM468" s="273"/>
      <c r="ON468" s="273"/>
      <c r="OO468" s="273"/>
      <c r="OP468" s="273"/>
      <c r="OQ468" s="273"/>
      <c r="OR468" s="273"/>
      <c r="OS468" s="273"/>
      <c r="OT468" s="273"/>
      <c r="OU468" s="273"/>
      <c r="OV468" s="273"/>
      <c r="OW468" s="273"/>
      <c r="OX468" s="273"/>
      <c r="OY468" s="273"/>
      <c r="OZ468" s="273"/>
      <c r="PA468" s="273"/>
      <c r="PB468" s="273"/>
      <c r="PC468" s="273"/>
      <c r="PD468" s="273"/>
      <c r="PE468" s="273"/>
      <c r="PF468" s="273"/>
      <c r="PG468" s="273"/>
      <c r="PH468" s="273"/>
      <c r="PI468" s="273"/>
      <c r="PJ468" s="273"/>
      <c r="PK468" s="273"/>
      <c r="PL468" s="273"/>
      <c r="PM468" s="273"/>
      <c r="PN468" s="273"/>
      <c r="PO468" s="273"/>
      <c r="PP468" s="273"/>
      <c r="PQ468" s="273"/>
      <c r="PR468" s="273"/>
      <c r="PS468" s="273"/>
      <c r="PT468" s="273"/>
      <c r="PU468" s="273"/>
      <c r="PV468" s="273"/>
      <c r="PW468" s="273"/>
      <c r="PX468" s="273"/>
      <c r="PY468" s="273"/>
      <c r="PZ468" s="273"/>
      <c r="QA468" s="273"/>
      <c r="QB468" s="273"/>
      <c r="QC468" s="273"/>
      <c r="QD468" s="273"/>
      <c r="QE468" s="273"/>
      <c r="QF468" s="273"/>
      <c r="QG468" s="273"/>
      <c r="QH468" s="273"/>
      <c r="QI468" s="273"/>
      <c r="QJ468" s="273"/>
      <c r="QK468" s="273"/>
      <c r="QL468" s="273"/>
      <c r="QM468" s="273"/>
      <c r="QN468" s="273"/>
      <c r="QO468" s="273"/>
      <c r="QP468" s="273"/>
      <c r="QQ468" s="273"/>
      <c r="QR468" s="273"/>
      <c r="QS468" s="273"/>
      <c r="QT468" s="273"/>
      <c r="QU468" s="273"/>
      <c r="QV468" s="273"/>
      <c r="QW468" s="273"/>
      <c r="QX468" s="273"/>
      <c r="QY468" s="273"/>
      <c r="QZ468" s="273"/>
      <c r="RA468" s="273"/>
      <c r="RB468" s="273"/>
      <c r="RC468" s="273"/>
      <c r="RD468" s="273"/>
      <c r="RE468" s="273"/>
      <c r="RF468" s="273"/>
      <c r="RG468" s="273"/>
      <c r="RH468" s="273"/>
      <c r="RI468" s="273"/>
      <c r="RJ468" s="273"/>
      <c r="RK468" s="273"/>
      <c r="RL468" s="273"/>
      <c r="RM468" s="273"/>
      <c r="RN468" s="273"/>
      <c r="RO468" s="273"/>
      <c r="RP468" s="273"/>
      <c r="RQ468" s="273"/>
    </row>
    <row r="469" spans="1:485" s="454" customFormat="1" ht="15.65" customHeight="1" x14ac:dyDescent="0.25">
      <c r="A469" s="3027"/>
      <c r="B469" s="711" t="s">
        <v>573</v>
      </c>
      <c r="C469" s="711"/>
      <c r="D469" s="897"/>
      <c r="E469" s="712"/>
      <c r="F469" s="712"/>
      <c r="G469" s="712"/>
      <c r="H469" s="1123">
        <f>SUM(H452:H468)</f>
        <v>81280</v>
      </c>
      <c r="I469" s="716"/>
      <c r="J469" s="1077"/>
      <c r="K469" s="1077"/>
      <c r="L469" s="1077"/>
      <c r="M469" s="2870">
        <f>SUM(M452:M468)</f>
        <v>58272</v>
      </c>
      <c r="N469" s="716"/>
      <c r="O469" s="1672">
        <f t="shared" ref="O469:R469" si="218">SUM(O452:O468)</f>
        <v>139552</v>
      </c>
      <c r="P469" s="1672">
        <f t="shared" si="218"/>
        <v>13.074000000000002</v>
      </c>
      <c r="Q469" s="1672">
        <f t="shared" si="218"/>
        <v>100641.32</v>
      </c>
      <c r="R469" s="1672">
        <f t="shared" si="218"/>
        <v>0</v>
      </c>
      <c r="S469" s="1672">
        <f>SUM(S452:S468)</f>
        <v>148638.8054859722</v>
      </c>
      <c r="T469" s="1126">
        <f>S469/O469</f>
        <v>1.065114118650913</v>
      </c>
      <c r="U469" s="715"/>
      <c r="V469" s="600">
        <f>W469/Q469</f>
        <v>1.0348199986372884</v>
      </c>
      <c r="W469" s="1127">
        <f>SUM(W452:W468)</f>
        <v>104145.6506252549</v>
      </c>
      <c r="X469" s="600"/>
      <c r="Y469" s="670"/>
      <c r="Z469" s="670"/>
      <c r="AA469" s="670"/>
      <c r="AB469" s="670"/>
      <c r="AC469" s="670"/>
      <c r="AD469" s="670"/>
      <c r="AE469" s="670"/>
      <c r="AF469" s="670"/>
      <c r="AG469" s="670"/>
      <c r="AH469" s="670"/>
      <c r="AI469" s="670"/>
      <c r="AJ469" s="670"/>
      <c r="AK469" s="670"/>
      <c r="AL469" s="670"/>
      <c r="AM469" s="670"/>
      <c r="AN469" s="670"/>
      <c r="AO469" s="670"/>
      <c r="AP469" s="670"/>
      <c r="AQ469" s="670"/>
    </row>
    <row r="470" spans="1:485" s="450" customFormat="1" ht="28.5" customHeight="1" x14ac:dyDescent="0.25">
      <c r="A470" s="3047" t="s">
        <v>1351</v>
      </c>
      <c r="B470" s="595" t="s">
        <v>1037</v>
      </c>
      <c r="C470" s="266" t="s">
        <v>48</v>
      </c>
      <c r="D470" s="467" t="s">
        <v>955</v>
      </c>
      <c r="E470" s="468">
        <v>1</v>
      </c>
      <c r="F470" s="468">
        <v>385</v>
      </c>
      <c r="G470" s="723">
        <v>10</v>
      </c>
      <c r="H470" s="451">
        <f t="shared" ref="H470:H476" si="219">E470*F470*G470</f>
        <v>3850</v>
      </c>
      <c r="I470" s="675">
        <v>1</v>
      </c>
      <c r="J470" s="451">
        <v>1</v>
      </c>
      <c r="K470" s="451">
        <v>385</v>
      </c>
      <c r="L470" s="451">
        <v>12</v>
      </c>
      <c r="M470" s="1834">
        <f t="shared" si="214"/>
        <v>4620</v>
      </c>
      <c r="N470" s="697">
        <v>1</v>
      </c>
      <c r="O470" s="696">
        <f t="shared" si="213"/>
        <v>8470</v>
      </c>
      <c r="P470" s="675">
        <v>1</v>
      </c>
      <c r="Q470" s="451">
        <f t="shared" si="203"/>
        <v>8470</v>
      </c>
      <c r="R470" s="522" t="s">
        <v>1038</v>
      </c>
      <c r="S470" s="452">
        <f>COOPI!S62</f>
        <v>7330</v>
      </c>
      <c r="T470" s="591">
        <f>S470/O470</f>
        <v>0.86540731995277453</v>
      </c>
      <c r="U470" s="894" t="s">
        <v>1487</v>
      </c>
      <c r="V470" s="591">
        <f>W470/Q470</f>
        <v>0.86540731995277453</v>
      </c>
      <c r="W470" s="452">
        <f>P470*S470</f>
        <v>7330</v>
      </c>
      <c r="X470" s="452" t="s">
        <v>1487</v>
      </c>
      <c r="Y470" s="273"/>
      <c r="Z470" s="273"/>
      <c r="AA470" s="273"/>
      <c r="AB470" s="273"/>
      <c r="AC470" s="273"/>
      <c r="AD470" s="273"/>
      <c r="AE470" s="273"/>
      <c r="AF470" s="273"/>
      <c r="AG470" s="273"/>
      <c r="AH470" s="273"/>
      <c r="AI470" s="273"/>
      <c r="AJ470" s="273"/>
      <c r="AK470" s="273"/>
      <c r="AL470" s="273"/>
      <c r="AM470" s="273"/>
      <c r="AN470" s="273"/>
      <c r="AO470" s="273"/>
      <c r="AP470" s="273"/>
      <c r="AQ470" s="273"/>
      <c r="AR470" s="273"/>
      <c r="AS470" s="273"/>
      <c r="AT470" s="273"/>
      <c r="AU470" s="273"/>
      <c r="AV470" s="273"/>
      <c r="AW470" s="273"/>
      <c r="AX470" s="273"/>
      <c r="AY470" s="273"/>
      <c r="AZ470" s="273"/>
      <c r="BA470" s="273"/>
      <c r="BB470" s="273"/>
      <c r="BC470" s="273"/>
      <c r="BD470" s="273"/>
      <c r="BE470" s="273"/>
      <c r="BF470" s="273"/>
      <c r="BG470" s="273"/>
      <c r="BH470" s="273"/>
      <c r="BI470" s="273"/>
      <c r="BJ470" s="273"/>
      <c r="BK470" s="273"/>
      <c r="BL470" s="273"/>
      <c r="BM470" s="273"/>
      <c r="BN470" s="273"/>
      <c r="BO470" s="273"/>
      <c r="BP470" s="273"/>
      <c r="BQ470" s="273"/>
      <c r="BR470" s="273"/>
      <c r="BS470" s="273"/>
      <c r="BT470" s="273"/>
      <c r="BU470" s="273"/>
      <c r="BV470" s="273"/>
      <c r="BW470" s="273"/>
      <c r="BX470" s="273"/>
      <c r="BY470" s="273"/>
      <c r="BZ470" s="273"/>
      <c r="CA470" s="273"/>
      <c r="CB470" s="273"/>
      <c r="CC470" s="273"/>
      <c r="CD470" s="273"/>
      <c r="CE470" s="273"/>
      <c r="CF470" s="273"/>
      <c r="CG470" s="273"/>
      <c r="CH470" s="273"/>
      <c r="CI470" s="273"/>
      <c r="CJ470" s="273"/>
      <c r="CK470" s="273"/>
      <c r="CL470" s="273"/>
      <c r="CM470" s="273"/>
      <c r="CN470" s="273"/>
      <c r="CO470" s="273"/>
      <c r="CP470" s="273"/>
      <c r="CQ470" s="273"/>
      <c r="CR470" s="273"/>
      <c r="CS470" s="273"/>
      <c r="CT470" s="273"/>
      <c r="CU470" s="273"/>
      <c r="CV470" s="273"/>
      <c r="CW470" s="273"/>
      <c r="CX470" s="273"/>
      <c r="CY470" s="273"/>
      <c r="CZ470" s="273"/>
      <c r="DA470" s="273"/>
      <c r="DB470" s="273"/>
      <c r="DC470" s="273"/>
      <c r="DD470" s="273"/>
      <c r="DE470" s="273"/>
      <c r="DF470" s="273"/>
      <c r="DG470" s="273"/>
      <c r="DH470" s="273"/>
      <c r="DI470" s="273"/>
      <c r="DJ470" s="273"/>
      <c r="DK470" s="273"/>
      <c r="DL470" s="273"/>
      <c r="DM470" s="273"/>
      <c r="DN470" s="273"/>
      <c r="DO470" s="273"/>
      <c r="DP470" s="273"/>
      <c r="DQ470" s="273"/>
      <c r="DR470" s="273"/>
      <c r="DS470" s="273"/>
      <c r="DT470" s="273"/>
      <c r="DU470" s="273"/>
      <c r="DV470" s="273"/>
      <c r="DW470" s="273"/>
      <c r="DX470" s="273"/>
      <c r="DY470" s="273"/>
      <c r="DZ470" s="273"/>
      <c r="EA470" s="273"/>
      <c r="EB470" s="273"/>
      <c r="EC470" s="273"/>
      <c r="ED470" s="273"/>
      <c r="EE470" s="273"/>
      <c r="EF470" s="273"/>
      <c r="EG470" s="273"/>
      <c r="EH470" s="273"/>
      <c r="EI470" s="273"/>
      <c r="EJ470" s="273"/>
      <c r="EK470" s="273"/>
      <c r="EL470" s="273"/>
      <c r="EM470" s="273"/>
      <c r="EN470" s="273"/>
      <c r="EO470" s="273"/>
      <c r="EP470" s="273"/>
      <c r="EQ470" s="273"/>
      <c r="ER470" s="273"/>
      <c r="ES470" s="273"/>
      <c r="ET470" s="273"/>
      <c r="EU470" s="273"/>
      <c r="EV470" s="273"/>
      <c r="EW470" s="273"/>
      <c r="EX470" s="273"/>
      <c r="EY470" s="273"/>
      <c r="EZ470" s="273"/>
      <c r="FA470" s="273"/>
      <c r="FB470" s="273"/>
      <c r="FC470" s="273"/>
      <c r="FD470" s="273"/>
      <c r="FE470" s="273"/>
      <c r="FF470" s="273"/>
      <c r="FG470" s="273"/>
      <c r="FH470" s="273"/>
      <c r="FI470" s="273"/>
      <c r="FJ470" s="273"/>
      <c r="FK470" s="273"/>
      <c r="FL470" s="273"/>
      <c r="FM470" s="273"/>
      <c r="FN470" s="273"/>
      <c r="FO470" s="273"/>
      <c r="FP470" s="273"/>
      <c r="FQ470" s="273"/>
      <c r="FR470" s="273"/>
      <c r="FS470" s="273"/>
      <c r="FT470" s="273"/>
      <c r="FU470" s="273"/>
      <c r="FV470" s="273"/>
      <c r="FW470" s="273"/>
      <c r="FX470" s="273"/>
      <c r="FY470" s="273"/>
      <c r="FZ470" s="273"/>
      <c r="GA470" s="273"/>
      <c r="GB470" s="273"/>
      <c r="GC470" s="273"/>
      <c r="GD470" s="273"/>
      <c r="GE470" s="273"/>
      <c r="GF470" s="273"/>
      <c r="GG470" s="273"/>
      <c r="GH470" s="273"/>
      <c r="GI470" s="273"/>
      <c r="GJ470" s="273"/>
      <c r="GK470" s="273"/>
      <c r="GL470" s="273"/>
      <c r="GM470" s="273"/>
      <c r="GN470" s="273"/>
      <c r="GO470" s="273"/>
      <c r="GP470" s="273"/>
      <c r="GQ470" s="273"/>
      <c r="GR470" s="273"/>
      <c r="GS470" s="273"/>
      <c r="GT470" s="273"/>
      <c r="GU470" s="273"/>
      <c r="GV470" s="273"/>
      <c r="GW470" s="273"/>
      <c r="GX470" s="273"/>
      <c r="GY470" s="273"/>
      <c r="GZ470" s="273"/>
      <c r="HA470" s="273"/>
      <c r="HB470" s="273"/>
      <c r="HC470" s="273"/>
      <c r="HD470" s="273"/>
      <c r="HE470" s="273"/>
      <c r="HF470" s="273"/>
      <c r="HG470" s="273"/>
      <c r="HH470" s="273"/>
      <c r="HI470" s="273"/>
      <c r="HJ470" s="273"/>
      <c r="HK470" s="273"/>
      <c r="HL470" s="273"/>
      <c r="HM470" s="273"/>
      <c r="HN470" s="273"/>
      <c r="HO470" s="273"/>
      <c r="HP470" s="273"/>
      <c r="HQ470" s="273"/>
      <c r="HR470" s="273"/>
      <c r="HS470" s="273"/>
      <c r="HT470" s="273"/>
      <c r="HU470" s="273"/>
      <c r="HV470" s="273"/>
      <c r="HW470" s="273"/>
      <c r="HX470" s="273"/>
      <c r="HY470" s="273"/>
      <c r="HZ470" s="273"/>
      <c r="IA470" s="273"/>
      <c r="IB470" s="273"/>
      <c r="IC470" s="273"/>
      <c r="ID470" s="273"/>
      <c r="IE470" s="273"/>
      <c r="IF470" s="273"/>
      <c r="IG470" s="273"/>
      <c r="IH470" s="273"/>
      <c r="II470" s="273"/>
      <c r="IJ470" s="273"/>
      <c r="IK470" s="273"/>
      <c r="IL470" s="273"/>
      <c r="IM470" s="273"/>
      <c r="IN470" s="273"/>
      <c r="IO470" s="273"/>
      <c r="IP470" s="273"/>
      <c r="IQ470" s="273"/>
      <c r="IR470" s="273"/>
      <c r="IS470" s="273"/>
      <c r="IT470" s="273"/>
      <c r="IU470" s="273"/>
      <c r="IV470" s="273"/>
      <c r="IW470" s="273"/>
      <c r="IX470" s="273"/>
      <c r="IY470" s="273"/>
      <c r="IZ470" s="273"/>
      <c r="JA470" s="273"/>
      <c r="JB470" s="273"/>
      <c r="JC470" s="273"/>
      <c r="JD470" s="273"/>
      <c r="JE470" s="273"/>
      <c r="JF470" s="273"/>
      <c r="JG470" s="273"/>
      <c r="JH470" s="273"/>
      <c r="JI470" s="273"/>
      <c r="JJ470" s="273"/>
      <c r="JK470" s="273"/>
      <c r="JL470" s="273"/>
      <c r="JM470" s="273"/>
      <c r="JN470" s="273"/>
      <c r="JO470" s="273"/>
      <c r="JP470" s="273"/>
      <c r="JQ470" s="273"/>
      <c r="JR470" s="273"/>
      <c r="JS470" s="273"/>
      <c r="JT470" s="273"/>
      <c r="JU470" s="273"/>
      <c r="JV470" s="273"/>
      <c r="JW470" s="273"/>
      <c r="JX470" s="273"/>
      <c r="JY470" s="273"/>
      <c r="JZ470" s="273"/>
      <c r="KA470" s="273"/>
      <c r="KB470" s="273"/>
      <c r="KC470" s="273"/>
      <c r="KD470" s="273"/>
      <c r="KE470" s="273"/>
      <c r="KF470" s="273"/>
      <c r="KG470" s="273"/>
      <c r="KH470" s="273"/>
      <c r="KI470" s="273"/>
      <c r="KJ470" s="273"/>
      <c r="KK470" s="273"/>
      <c r="KL470" s="273"/>
      <c r="KM470" s="273"/>
      <c r="KN470" s="273"/>
      <c r="KO470" s="273"/>
      <c r="KP470" s="273"/>
      <c r="KQ470" s="273"/>
      <c r="KR470" s="273"/>
      <c r="KS470" s="273"/>
      <c r="KT470" s="273"/>
      <c r="KU470" s="273"/>
      <c r="KV470" s="273"/>
      <c r="KW470" s="273"/>
      <c r="KX470" s="273"/>
      <c r="KY470" s="273"/>
      <c r="KZ470" s="273"/>
      <c r="LA470" s="273"/>
      <c r="LB470" s="273"/>
      <c r="LC470" s="273"/>
      <c r="LD470" s="273"/>
      <c r="LE470" s="273"/>
      <c r="LF470" s="273"/>
      <c r="LG470" s="273"/>
      <c r="LH470" s="273"/>
      <c r="LI470" s="273"/>
      <c r="LJ470" s="273"/>
      <c r="LK470" s="273"/>
      <c r="LL470" s="273"/>
      <c r="LM470" s="273"/>
      <c r="LN470" s="273"/>
      <c r="LO470" s="273"/>
      <c r="LP470" s="273"/>
      <c r="LQ470" s="273"/>
      <c r="LR470" s="273"/>
      <c r="LS470" s="273"/>
      <c r="LT470" s="273"/>
      <c r="LU470" s="273"/>
      <c r="LV470" s="273"/>
      <c r="LW470" s="273"/>
      <c r="LX470" s="273"/>
      <c r="LY470" s="273"/>
      <c r="LZ470" s="273"/>
      <c r="MA470" s="273"/>
      <c r="MB470" s="273"/>
      <c r="MC470" s="273"/>
      <c r="MD470" s="273"/>
      <c r="ME470" s="273"/>
      <c r="MF470" s="273"/>
      <c r="MG470" s="273"/>
      <c r="MH470" s="273"/>
      <c r="MI470" s="273"/>
      <c r="MJ470" s="273"/>
      <c r="MK470" s="273"/>
      <c r="ML470" s="273"/>
      <c r="MM470" s="273"/>
      <c r="MN470" s="273"/>
      <c r="MO470" s="273"/>
      <c r="MP470" s="273"/>
      <c r="MQ470" s="273"/>
      <c r="MR470" s="273"/>
      <c r="MS470" s="273"/>
      <c r="MT470" s="273"/>
      <c r="MU470" s="273"/>
      <c r="MV470" s="273"/>
      <c r="MW470" s="273"/>
      <c r="MX470" s="273"/>
      <c r="MY470" s="273"/>
      <c r="MZ470" s="273"/>
      <c r="NA470" s="273"/>
      <c r="NB470" s="273"/>
      <c r="NC470" s="273"/>
      <c r="ND470" s="273"/>
      <c r="NE470" s="273"/>
      <c r="NF470" s="273"/>
      <c r="NG470" s="273"/>
      <c r="NH470" s="273"/>
      <c r="NI470" s="273"/>
      <c r="NJ470" s="273"/>
      <c r="NK470" s="273"/>
      <c r="NL470" s="273"/>
      <c r="NM470" s="273"/>
      <c r="NN470" s="273"/>
      <c r="NO470" s="273"/>
      <c r="NP470" s="273"/>
      <c r="NQ470" s="273"/>
      <c r="NR470" s="273"/>
      <c r="NS470" s="273"/>
      <c r="NT470" s="273"/>
      <c r="NU470" s="273"/>
      <c r="NV470" s="273"/>
      <c r="NW470" s="273"/>
      <c r="NX470" s="273"/>
      <c r="NY470" s="273"/>
      <c r="NZ470" s="273"/>
      <c r="OA470" s="273"/>
      <c r="OB470" s="273"/>
      <c r="OC470" s="273"/>
      <c r="OD470" s="273"/>
      <c r="OE470" s="273"/>
      <c r="OF470" s="273"/>
      <c r="OG470" s="273"/>
      <c r="OH470" s="273"/>
      <c r="OI470" s="273"/>
      <c r="OJ470" s="273"/>
      <c r="OK470" s="273"/>
      <c r="OL470" s="273"/>
      <c r="OM470" s="273"/>
      <c r="ON470" s="273"/>
      <c r="OO470" s="273"/>
      <c r="OP470" s="273"/>
      <c r="OQ470" s="273"/>
      <c r="OR470" s="273"/>
      <c r="OS470" s="273"/>
      <c r="OT470" s="273"/>
      <c r="OU470" s="273"/>
      <c r="OV470" s="273"/>
      <c r="OW470" s="273"/>
      <c r="OX470" s="273"/>
      <c r="OY470" s="273"/>
      <c r="OZ470" s="273"/>
      <c r="PA470" s="273"/>
      <c r="PB470" s="273"/>
      <c r="PC470" s="273"/>
      <c r="PD470" s="273"/>
      <c r="PE470" s="273"/>
      <c r="PF470" s="273"/>
      <c r="PG470" s="273"/>
      <c r="PH470" s="273"/>
      <c r="PI470" s="273"/>
      <c r="PJ470" s="273"/>
      <c r="PK470" s="273"/>
      <c r="PL470" s="273"/>
      <c r="PM470" s="273"/>
      <c r="PN470" s="273"/>
      <c r="PO470" s="273"/>
      <c r="PP470" s="273"/>
      <c r="PQ470" s="273"/>
      <c r="PR470" s="273"/>
      <c r="PS470" s="273"/>
      <c r="PT470" s="273"/>
      <c r="PU470" s="273"/>
      <c r="PV470" s="273"/>
      <c r="PW470" s="273"/>
      <c r="PX470" s="273"/>
      <c r="PY470" s="273"/>
      <c r="PZ470" s="273"/>
      <c r="QA470" s="273"/>
      <c r="QB470" s="273"/>
      <c r="QC470" s="273"/>
      <c r="QD470" s="273"/>
      <c r="QE470" s="273"/>
      <c r="QF470" s="273"/>
      <c r="QG470" s="273"/>
      <c r="QH470" s="273"/>
      <c r="QI470" s="273"/>
      <c r="QJ470" s="273"/>
      <c r="QK470" s="273"/>
      <c r="QL470" s="273"/>
      <c r="QM470" s="273"/>
      <c r="QN470" s="273"/>
      <c r="QO470" s="273"/>
      <c r="QP470" s="273"/>
      <c r="QQ470" s="273"/>
      <c r="QR470" s="273"/>
      <c r="QS470" s="273"/>
      <c r="QT470" s="273"/>
      <c r="QU470" s="273"/>
      <c r="QV470" s="273"/>
      <c r="QW470" s="273"/>
      <c r="QX470" s="273"/>
      <c r="QY470" s="273"/>
      <c r="QZ470" s="273"/>
      <c r="RA470" s="273"/>
      <c r="RB470" s="273"/>
      <c r="RC470" s="273"/>
      <c r="RD470" s="273"/>
      <c r="RE470" s="273"/>
      <c r="RF470" s="273"/>
      <c r="RG470" s="273"/>
      <c r="RH470" s="273"/>
      <c r="RI470" s="273"/>
      <c r="RJ470" s="273"/>
      <c r="RK470" s="273"/>
      <c r="RL470" s="273"/>
      <c r="RM470" s="273"/>
      <c r="RN470" s="273"/>
      <c r="RO470" s="273"/>
      <c r="RP470" s="273"/>
      <c r="RQ470" s="273"/>
    </row>
    <row r="471" spans="1:485" s="450" customFormat="1" ht="26" x14ac:dyDescent="0.25">
      <c r="A471" s="3047"/>
      <c r="B471" s="595" t="s">
        <v>1039</v>
      </c>
      <c r="C471" s="266" t="s">
        <v>47</v>
      </c>
      <c r="D471" s="467" t="s">
        <v>955</v>
      </c>
      <c r="E471" s="468">
        <v>1</v>
      </c>
      <c r="F471" s="468">
        <v>0</v>
      </c>
      <c r="G471" s="723">
        <v>1</v>
      </c>
      <c r="H471" s="451">
        <f t="shared" si="219"/>
        <v>0</v>
      </c>
      <c r="I471" s="675">
        <v>1</v>
      </c>
      <c r="J471" s="451">
        <v>1</v>
      </c>
      <c r="K471" s="451">
        <v>0</v>
      </c>
      <c r="L471" s="451">
        <v>1</v>
      </c>
      <c r="M471" s="1834">
        <f t="shared" si="214"/>
        <v>0</v>
      </c>
      <c r="N471" s="697">
        <v>1</v>
      </c>
      <c r="O471" s="696">
        <f t="shared" si="213"/>
        <v>0</v>
      </c>
      <c r="P471" s="675">
        <v>0</v>
      </c>
      <c r="Q471" s="451">
        <f t="shared" si="203"/>
        <v>0</v>
      </c>
      <c r="R471" s="522" t="s">
        <v>1040</v>
      </c>
      <c r="S471" s="452">
        <f>COOPI!S63</f>
        <v>0</v>
      </c>
      <c r="T471" s="591">
        <v>0</v>
      </c>
      <c r="U471" s="894"/>
      <c r="V471" s="591">
        <v>0</v>
      </c>
      <c r="W471" s="452">
        <f t="shared" ref="W471:W477" si="220">P471*S471</f>
        <v>0</v>
      </c>
      <c r="X471" s="452"/>
      <c r="Y471" s="273"/>
      <c r="Z471" s="273"/>
      <c r="AA471" s="273"/>
      <c r="AB471" s="273"/>
      <c r="AC471" s="273"/>
      <c r="AD471" s="273"/>
      <c r="AE471" s="273"/>
      <c r="AF471" s="273"/>
      <c r="AG471" s="273"/>
      <c r="AH471" s="273"/>
      <c r="AI471" s="273"/>
      <c r="AJ471" s="273"/>
      <c r="AK471" s="273"/>
      <c r="AL471" s="273"/>
      <c r="AM471" s="273"/>
      <c r="AN471" s="273"/>
      <c r="AO471" s="273"/>
      <c r="AP471" s="273"/>
      <c r="AQ471" s="273"/>
      <c r="AR471" s="273"/>
      <c r="AS471" s="273"/>
      <c r="AT471" s="273"/>
      <c r="AU471" s="273"/>
      <c r="AV471" s="273"/>
      <c r="AW471" s="273"/>
      <c r="AX471" s="273"/>
      <c r="AY471" s="273"/>
      <c r="AZ471" s="273"/>
      <c r="BA471" s="273"/>
      <c r="BB471" s="273"/>
      <c r="BC471" s="273"/>
      <c r="BD471" s="273"/>
      <c r="BE471" s="273"/>
      <c r="BF471" s="273"/>
      <c r="BG471" s="273"/>
      <c r="BH471" s="273"/>
      <c r="BI471" s="273"/>
      <c r="BJ471" s="273"/>
      <c r="BK471" s="273"/>
      <c r="BL471" s="273"/>
      <c r="BM471" s="273"/>
      <c r="BN471" s="273"/>
      <c r="BO471" s="273"/>
      <c r="BP471" s="273"/>
      <c r="BQ471" s="273"/>
      <c r="BR471" s="273"/>
      <c r="BS471" s="273"/>
      <c r="BT471" s="273"/>
      <c r="BU471" s="273"/>
      <c r="BV471" s="273"/>
      <c r="BW471" s="273"/>
      <c r="BX471" s="273"/>
      <c r="BY471" s="273"/>
      <c r="BZ471" s="273"/>
      <c r="CA471" s="273"/>
      <c r="CB471" s="273"/>
      <c r="CC471" s="273"/>
      <c r="CD471" s="273"/>
      <c r="CE471" s="273"/>
      <c r="CF471" s="273"/>
      <c r="CG471" s="273"/>
      <c r="CH471" s="273"/>
      <c r="CI471" s="273"/>
      <c r="CJ471" s="273"/>
      <c r="CK471" s="273"/>
      <c r="CL471" s="273"/>
      <c r="CM471" s="273"/>
      <c r="CN471" s="273"/>
      <c r="CO471" s="273"/>
      <c r="CP471" s="273"/>
      <c r="CQ471" s="273"/>
      <c r="CR471" s="273"/>
      <c r="CS471" s="273"/>
      <c r="CT471" s="273"/>
      <c r="CU471" s="273"/>
      <c r="CV471" s="273"/>
      <c r="CW471" s="273"/>
      <c r="CX471" s="273"/>
      <c r="CY471" s="273"/>
      <c r="CZ471" s="273"/>
      <c r="DA471" s="273"/>
      <c r="DB471" s="273"/>
      <c r="DC471" s="273"/>
      <c r="DD471" s="273"/>
      <c r="DE471" s="273"/>
      <c r="DF471" s="273"/>
      <c r="DG471" s="273"/>
      <c r="DH471" s="273"/>
      <c r="DI471" s="273"/>
      <c r="DJ471" s="273"/>
      <c r="DK471" s="273"/>
      <c r="DL471" s="273"/>
      <c r="DM471" s="273"/>
      <c r="DN471" s="273"/>
      <c r="DO471" s="273"/>
      <c r="DP471" s="273"/>
      <c r="DQ471" s="273"/>
      <c r="DR471" s="273"/>
      <c r="DS471" s="273"/>
      <c r="DT471" s="273"/>
      <c r="DU471" s="273"/>
      <c r="DV471" s="273"/>
      <c r="DW471" s="273"/>
      <c r="DX471" s="273"/>
      <c r="DY471" s="273"/>
      <c r="DZ471" s="273"/>
      <c r="EA471" s="273"/>
      <c r="EB471" s="273"/>
      <c r="EC471" s="273"/>
      <c r="ED471" s="273"/>
      <c r="EE471" s="273"/>
      <c r="EF471" s="273"/>
      <c r="EG471" s="273"/>
      <c r="EH471" s="273"/>
      <c r="EI471" s="273"/>
      <c r="EJ471" s="273"/>
      <c r="EK471" s="273"/>
      <c r="EL471" s="273"/>
      <c r="EM471" s="273"/>
      <c r="EN471" s="273"/>
      <c r="EO471" s="273"/>
      <c r="EP471" s="273"/>
      <c r="EQ471" s="273"/>
      <c r="ER471" s="273"/>
      <c r="ES471" s="273"/>
      <c r="ET471" s="273"/>
      <c r="EU471" s="273"/>
      <c r="EV471" s="273"/>
      <c r="EW471" s="273"/>
      <c r="EX471" s="273"/>
      <c r="EY471" s="273"/>
      <c r="EZ471" s="273"/>
      <c r="FA471" s="273"/>
      <c r="FB471" s="273"/>
      <c r="FC471" s="273"/>
      <c r="FD471" s="273"/>
      <c r="FE471" s="273"/>
      <c r="FF471" s="273"/>
      <c r="FG471" s="273"/>
      <c r="FH471" s="273"/>
      <c r="FI471" s="273"/>
      <c r="FJ471" s="273"/>
      <c r="FK471" s="273"/>
      <c r="FL471" s="273"/>
      <c r="FM471" s="273"/>
      <c r="FN471" s="273"/>
      <c r="FO471" s="273"/>
      <c r="FP471" s="273"/>
      <c r="FQ471" s="273"/>
      <c r="FR471" s="273"/>
      <c r="FS471" s="273"/>
      <c r="FT471" s="273"/>
      <c r="FU471" s="273"/>
      <c r="FV471" s="273"/>
      <c r="FW471" s="273"/>
      <c r="FX471" s="273"/>
      <c r="FY471" s="273"/>
      <c r="FZ471" s="273"/>
      <c r="GA471" s="273"/>
      <c r="GB471" s="273"/>
      <c r="GC471" s="273"/>
      <c r="GD471" s="273"/>
      <c r="GE471" s="273"/>
      <c r="GF471" s="273"/>
      <c r="GG471" s="273"/>
      <c r="GH471" s="273"/>
      <c r="GI471" s="273"/>
      <c r="GJ471" s="273"/>
      <c r="GK471" s="273"/>
      <c r="GL471" s="273"/>
      <c r="GM471" s="273"/>
      <c r="GN471" s="273"/>
      <c r="GO471" s="273"/>
      <c r="GP471" s="273"/>
      <c r="GQ471" s="273"/>
      <c r="GR471" s="273"/>
      <c r="GS471" s="273"/>
      <c r="GT471" s="273"/>
      <c r="GU471" s="273"/>
      <c r="GV471" s="273"/>
      <c r="GW471" s="273"/>
      <c r="GX471" s="273"/>
      <c r="GY471" s="273"/>
      <c r="GZ471" s="273"/>
      <c r="HA471" s="273"/>
      <c r="HB471" s="273"/>
      <c r="HC471" s="273"/>
      <c r="HD471" s="273"/>
      <c r="HE471" s="273"/>
      <c r="HF471" s="273"/>
      <c r="HG471" s="273"/>
      <c r="HH471" s="273"/>
      <c r="HI471" s="273"/>
      <c r="HJ471" s="273"/>
      <c r="HK471" s="273"/>
      <c r="HL471" s="273"/>
      <c r="HM471" s="273"/>
      <c r="HN471" s="273"/>
      <c r="HO471" s="273"/>
      <c r="HP471" s="273"/>
      <c r="HQ471" s="273"/>
      <c r="HR471" s="273"/>
      <c r="HS471" s="273"/>
      <c r="HT471" s="273"/>
      <c r="HU471" s="273"/>
      <c r="HV471" s="273"/>
      <c r="HW471" s="273"/>
      <c r="HX471" s="273"/>
      <c r="HY471" s="273"/>
      <c r="HZ471" s="273"/>
      <c r="IA471" s="273"/>
      <c r="IB471" s="273"/>
      <c r="IC471" s="273"/>
      <c r="ID471" s="273"/>
      <c r="IE471" s="273"/>
      <c r="IF471" s="273"/>
      <c r="IG471" s="273"/>
      <c r="IH471" s="273"/>
      <c r="II471" s="273"/>
      <c r="IJ471" s="273"/>
      <c r="IK471" s="273"/>
      <c r="IL471" s="273"/>
      <c r="IM471" s="273"/>
      <c r="IN471" s="273"/>
      <c r="IO471" s="273"/>
      <c r="IP471" s="273"/>
      <c r="IQ471" s="273"/>
      <c r="IR471" s="273"/>
      <c r="IS471" s="273"/>
      <c r="IT471" s="273"/>
      <c r="IU471" s="273"/>
      <c r="IV471" s="273"/>
      <c r="IW471" s="273"/>
      <c r="IX471" s="273"/>
      <c r="IY471" s="273"/>
      <c r="IZ471" s="273"/>
      <c r="JA471" s="273"/>
      <c r="JB471" s="273"/>
      <c r="JC471" s="273"/>
      <c r="JD471" s="273"/>
      <c r="JE471" s="273"/>
      <c r="JF471" s="273"/>
      <c r="JG471" s="273"/>
      <c r="JH471" s="273"/>
      <c r="JI471" s="273"/>
      <c r="JJ471" s="273"/>
      <c r="JK471" s="273"/>
      <c r="JL471" s="273"/>
      <c r="JM471" s="273"/>
      <c r="JN471" s="273"/>
      <c r="JO471" s="273"/>
      <c r="JP471" s="273"/>
      <c r="JQ471" s="273"/>
      <c r="JR471" s="273"/>
      <c r="JS471" s="273"/>
      <c r="JT471" s="273"/>
      <c r="JU471" s="273"/>
      <c r="JV471" s="273"/>
      <c r="JW471" s="273"/>
      <c r="JX471" s="273"/>
      <c r="JY471" s="273"/>
      <c r="JZ471" s="273"/>
      <c r="KA471" s="273"/>
      <c r="KB471" s="273"/>
      <c r="KC471" s="273"/>
      <c r="KD471" s="273"/>
      <c r="KE471" s="273"/>
      <c r="KF471" s="273"/>
      <c r="KG471" s="273"/>
      <c r="KH471" s="273"/>
      <c r="KI471" s="273"/>
      <c r="KJ471" s="273"/>
      <c r="KK471" s="273"/>
      <c r="KL471" s="273"/>
      <c r="KM471" s="273"/>
      <c r="KN471" s="273"/>
      <c r="KO471" s="273"/>
      <c r="KP471" s="273"/>
      <c r="KQ471" s="273"/>
      <c r="KR471" s="273"/>
      <c r="KS471" s="273"/>
      <c r="KT471" s="273"/>
      <c r="KU471" s="273"/>
      <c r="KV471" s="273"/>
      <c r="KW471" s="273"/>
      <c r="KX471" s="273"/>
      <c r="KY471" s="273"/>
      <c r="KZ471" s="273"/>
      <c r="LA471" s="273"/>
      <c r="LB471" s="273"/>
      <c r="LC471" s="273"/>
      <c r="LD471" s="273"/>
      <c r="LE471" s="273"/>
      <c r="LF471" s="273"/>
      <c r="LG471" s="273"/>
      <c r="LH471" s="273"/>
      <c r="LI471" s="273"/>
      <c r="LJ471" s="273"/>
      <c r="LK471" s="273"/>
      <c r="LL471" s="273"/>
      <c r="LM471" s="273"/>
      <c r="LN471" s="273"/>
      <c r="LO471" s="273"/>
      <c r="LP471" s="273"/>
      <c r="LQ471" s="273"/>
      <c r="LR471" s="273"/>
      <c r="LS471" s="273"/>
      <c r="LT471" s="273"/>
      <c r="LU471" s="273"/>
      <c r="LV471" s="273"/>
      <c r="LW471" s="273"/>
      <c r="LX471" s="273"/>
      <c r="LY471" s="273"/>
      <c r="LZ471" s="273"/>
      <c r="MA471" s="273"/>
      <c r="MB471" s="273"/>
      <c r="MC471" s="273"/>
      <c r="MD471" s="273"/>
      <c r="ME471" s="273"/>
      <c r="MF471" s="273"/>
      <c r="MG471" s="273"/>
      <c r="MH471" s="273"/>
      <c r="MI471" s="273"/>
      <c r="MJ471" s="273"/>
      <c r="MK471" s="273"/>
      <c r="ML471" s="273"/>
      <c r="MM471" s="273"/>
      <c r="MN471" s="273"/>
      <c r="MO471" s="273"/>
      <c r="MP471" s="273"/>
      <c r="MQ471" s="273"/>
      <c r="MR471" s="273"/>
      <c r="MS471" s="273"/>
      <c r="MT471" s="273"/>
      <c r="MU471" s="273"/>
      <c r="MV471" s="273"/>
      <c r="MW471" s="273"/>
      <c r="MX471" s="273"/>
      <c r="MY471" s="273"/>
      <c r="MZ471" s="273"/>
      <c r="NA471" s="273"/>
      <c r="NB471" s="273"/>
      <c r="NC471" s="273"/>
      <c r="ND471" s="273"/>
      <c r="NE471" s="273"/>
      <c r="NF471" s="273"/>
      <c r="NG471" s="273"/>
      <c r="NH471" s="273"/>
      <c r="NI471" s="273"/>
      <c r="NJ471" s="273"/>
      <c r="NK471" s="273"/>
      <c r="NL471" s="273"/>
      <c r="NM471" s="273"/>
      <c r="NN471" s="273"/>
      <c r="NO471" s="273"/>
      <c r="NP471" s="273"/>
      <c r="NQ471" s="273"/>
      <c r="NR471" s="273"/>
      <c r="NS471" s="273"/>
      <c r="NT471" s="273"/>
      <c r="NU471" s="273"/>
      <c r="NV471" s="273"/>
      <c r="NW471" s="273"/>
      <c r="NX471" s="273"/>
      <c r="NY471" s="273"/>
      <c r="NZ471" s="273"/>
      <c r="OA471" s="273"/>
      <c r="OB471" s="273"/>
      <c r="OC471" s="273"/>
      <c r="OD471" s="273"/>
      <c r="OE471" s="273"/>
      <c r="OF471" s="273"/>
      <c r="OG471" s="273"/>
      <c r="OH471" s="273"/>
      <c r="OI471" s="273"/>
      <c r="OJ471" s="273"/>
      <c r="OK471" s="273"/>
      <c r="OL471" s="273"/>
      <c r="OM471" s="273"/>
      <c r="ON471" s="273"/>
      <c r="OO471" s="273"/>
      <c r="OP471" s="273"/>
      <c r="OQ471" s="273"/>
      <c r="OR471" s="273"/>
      <c r="OS471" s="273"/>
      <c r="OT471" s="273"/>
      <c r="OU471" s="273"/>
      <c r="OV471" s="273"/>
      <c r="OW471" s="273"/>
      <c r="OX471" s="273"/>
      <c r="OY471" s="273"/>
      <c r="OZ471" s="273"/>
      <c r="PA471" s="273"/>
      <c r="PB471" s="273"/>
      <c r="PC471" s="273"/>
      <c r="PD471" s="273"/>
      <c r="PE471" s="273"/>
      <c r="PF471" s="273"/>
      <c r="PG471" s="273"/>
      <c r="PH471" s="273"/>
      <c r="PI471" s="273"/>
      <c r="PJ471" s="273"/>
      <c r="PK471" s="273"/>
      <c r="PL471" s="273"/>
      <c r="PM471" s="273"/>
      <c r="PN471" s="273"/>
      <c r="PO471" s="273"/>
      <c r="PP471" s="273"/>
      <c r="PQ471" s="273"/>
      <c r="PR471" s="273"/>
      <c r="PS471" s="273"/>
      <c r="PT471" s="273"/>
      <c r="PU471" s="273"/>
      <c r="PV471" s="273"/>
      <c r="PW471" s="273"/>
      <c r="PX471" s="273"/>
      <c r="PY471" s="273"/>
      <c r="PZ471" s="273"/>
      <c r="QA471" s="273"/>
      <c r="QB471" s="273"/>
      <c r="QC471" s="273"/>
      <c r="QD471" s="273"/>
      <c r="QE471" s="273"/>
      <c r="QF471" s="273"/>
      <c r="QG471" s="273"/>
      <c r="QH471" s="273"/>
      <c r="QI471" s="273"/>
      <c r="QJ471" s="273"/>
      <c r="QK471" s="273"/>
      <c r="QL471" s="273"/>
      <c r="QM471" s="273"/>
      <c r="QN471" s="273"/>
      <c r="QO471" s="273"/>
      <c r="QP471" s="273"/>
      <c r="QQ471" s="273"/>
      <c r="QR471" s="273"/>
      <c r="QS471" s="273"/>
      <c r="QT471" s="273"/>
      <c r="QU471" s="273"/>
      <c r="QV471" s="273"/>
      <c r="QW471" s="273"/>
      <c r="QX471" s="273"/>
      <c r="QY471" s="273"/>
      <c r="QZ471" s="273"/>
      <c r="RA471" s="273"/>
      <c r="RB471" s="273"/>
      <c r="RC471" s="273"/>
      <c r="RD471" s="273"/>
      <c r="RE471" s="273"/>
      <c r="RF471" s="273"/>
      <c r="RG471" s="273"/>
      <c r="RH471" s="273"/>
      <c r="RI471" s="273"/>
      <c r="RJ471" s="273"/>
      <c r="RK471" s="273"/>
      <c r="RL471" s="273"/>
      <c r="RM471" s="273"/>
      <c r="RN471" s="273"/>
      <c r="RO471" s="273"/>
      <c r="RP471" s="273"/>
      <c r="RQ471" s="273"/>
    </row>
    <row r="472" spans="1:485" s="450" customFormat="1" ht="39" x14ac:dyDescent="0.25">
      <c r="A472" s="3047"/>
      <c r="B472" s="595" t="s">
        <v>1041</v>
      </c>
      <c r="C472" s="266" t="s">
        <v>15</v>
      </c>
      <c r="D472" s="467" t="s">
        <v>955</v>
      </c>
      <c r="E472" s="468">
        <v>8</v>
      </c>
      <c r="F472" s="468">
        <v>0</v>
      </c>
      <c r="G472" s="723">
        <v>1</v>
      </c>
      <c r="H472" s="451">
        <f t="shared" si="219"/>
        <v>0</v>
      </c>
      <c r="I472" s="675">
        <v>1</v>
      </c>
      <c r="J472" s="451">
        <v>8</v>
      </c>
      <c r="K472" s="451">
        <v>200</v>
      </c>
      <c r="L472" s="451">
        <v>1</v>
      </c>
      <c r="M472" s="1834">
        <f t="shared" si="214"/>
        <v>1600</v>
      </c>
      <c r="N472" s="697">
        <v>1</v>
      </c>
      <c r="O472" s="696">
        <f t="shared" si="213"/>
        <v>1600</v>
      </c>
      <c r="P472" s="675">
        <v>1</v>
      </c>
      <c r="Q472" s="451">
        <f t="shared" si="203"/>
        <v>1600</v>
      </c>
      <c r="R472" s="522" t="s">
        <v>1042</v>
      </c>
      <c r="S472" s="452">
        <f>COOPI!S64</f>
        <v>1300</v>
      </c>
      <c r="T472" s="591">
        <f t="shared" ref="T472:T477" si="221">S472/O472</f>
        <v>0.8125</v>
      </c>
      <c r="U472" s="894" t="s">
        <v>1043</v>
      </c>
      <c r="V472" s="591">
        <f t="shared" ref="V472:V477" si="222">W472/Q472</f>
        <v>0.8125</v>
      </c>
      <c r="W472" s="452">
        <f t="shared" si="220"/>
        <v>1300</v>
      </c>
      <c r="X472" s="452"/>
      <c r="Y472" s="273"/>
      <c r="Z472" s="273"/>
      <c r="AA472" s="273"/>
      <c r="AB472" s="273"/>
      <c r="AC472" s="273"/>
      <c r="AD472" s="273"/>
      <c r="AE472" s="273"/>
      <c r="AF472" s="273"/>
      <c r="AG472" s="273"/>
      <c r="AH472" s="273"/>
      <c r="AI472" s="273"/>
      <c r="AJ472" s="273"/>
      <c r="AK472" s="273"/>
      <c r="AL472" s="273"/>
      <c r="AM472" s="273"/>
      <c r="AN472" s="273"/>
      <c r="AO472" s="273"/>
      <c r="AP472" s="273"/>
      <c r="AQ472" s="273"/>
      <c r="AR472" s="273"/>
      <c r="AS472" s="273"/>
      <c r="AT472" s="273"/>
      <c r="AU472" s="273"/>
      <c r="AV472" s="273"/>
      <c r="AW472" s="273"/>
      <c r="AX472" s="273"/>
      <c r="AY472" s="273"/>
      <c r="AZ472" s="273"/>
      <c r="BA472" s="273"/>
      <c r="BB472" s="273"/>
      <c r="BC472" s="273"/>
      <c r="BD472" s="273"/>
      <c r="BE472" s="273"/>
      <c r="BF472" s="273"/>
      <c r="BG472" s="273"/>
      <c r="BH472" s="273"/>
      <c r="BI472" s="273"/>
      <c r="BJ472" s="273"/>
      <c r="BK472" s="273"/>
      <c r="BL472" s="273"/>
      <c r="BM472" s="273"/>
      <c r="BN472" s="273"/>
      <c r="BO472" s="273"/>
      <c r="BP472" s="273"/>
      <c r="BQ472" s="273"/>
      <c r="BR472" s="273"/>
      <c r="BS472" s="273"/>
      <c r="BT472" s="273"/>
      <c r="BU472" s="273"/>
      <c r="BV472" s="273"/>
      <c r="BW472" s="273"/>
      <c r="BX472" s="273"/>
      <c r="BY472" s="273"/>
      <c r="BZ472" s="273"/>
      <c r="CA472" s="273"/>
      <c r="CB472" s="273"/>
      <c r="CC472" s="273"/>
      <c r="CD472" s="273"/>
      <c r="CE472" s="273"/>
      <c r="CF472" s="273"/>
      <c r="CG472" s="273"/>
      <c r="CH472" s="273"/>
      <c r="CI472" s="273"/>
      <c r="CJ472" s="273"/>
      <c r="CK472" s="273"/>
      <c r="CL472" s="273"/>
      <c r="CM472" s="273"/>
      <c r="CN472" s="273"/>
      <c r="CO472" s="273"/>
      <c r="CP472" s="273"/>
      <c r="CQ472" s="273"/>
      <c r="CR472" s="273"/>
      <c r="CS472" s="273"/>
      <c r="CT472" s="273"/>
      <c r="CU472" s="273"/>
      <c r="CV472" s="273"/>
      <c r="CW472" s="273"/>
      <c r="CX472" s="273"/>
      <c r="CY472" s="273"/>
      <c r="CZ472" s="273"/>
      <c r="DA472" s="273"/>
      <c r="DB472" s="273"/>
      <c r="DC472" s="273"/>
      <c r="DD472" s="273"/>
      <c r="DE472" s="273"/>
      <c r="DF472" s="273"/>
      <c r="DG472" s="273"/>
      <c r="DH472" s="273"/>
      <c r="DI472" s="273"/>
      <c r="DJ472" s="273"/>
      <c r="DK472" s="273"/>
      <c r="DL472" s="273"/>
      <c r="DM472" s="273"/>
      <c r="DN472" s="273"/>
      <c r="DO472" s="273"/>
      <c r="DP472" s="273"/>
      <c r="DQ472" s="273"/>
      <c r="DR472" s="273"/>
      <c r="DS472" s="273"/>
      <c r="DT472" s="273"/>
      <c r="DU472" s="273"/>
      <c r="DV472" s="273"/>
      <c r="DW472" s="273"/>
      <c r="DX472" s="273"/>
      <c r="DY472" s="273"/>
      <c r="DZ472" s="273"/>
      <c r="EA472" s="273"/>
      <c r="EB472" s="273"/>
      <c r="EC472" s="273"/>
      <c r="ED472" s="273"/>
      <c r="EE472" s="273"/>
      <c r="EF472" s="273"/>
      <c r="EG472" s="273"/>
      <c r="EH472" s="273"/>
      <c r="EI472" s="273"/>
      <c r="EJ472" s="273"/>
      <c r="EK472" s="273"/>
      <c r="EL472" s="273"/>
      <c r="EM472" s="273"/>
      <c r="EN472" s="273"/>
      <c r="EO472" s="273"/>
      <c r="EP472" s="273"/>
      <c r="EQ472" s="273"/>
      <c r="ER472" s="273"/>
      <c r="ES472" s="273"/>
      <c r="ET472" s="273"/>
      <c r="EU472" s="273"/>
      <c r="EV472" s="273"/>
      <c r="EW472" s="273"/>
      <c r="EX472" s="273"/>
      <c r="EY472" s="273"/>
      <c r="EZ472" s="273"/>
      <c r="FA472" s="273"/>
      <c r="FB472" s="273"/>
      <c r="FC472" s="273"/>
      <c r="FD472" s="273"/>
      <c r="FE472" s="273"/>
      <c r="FF472" s="273"/>
      <c r="FG472" s="273"/>
      <c r="FH472" s="273"/>
      <c r="FI472" s="273"/>
      <c r="FJ472" s="273"/>
      <c r="FK472" s="273"/>
      <c r="FL472" s="273"/>
      <c r="FM472" s="273"/>
      <c r="FN472" s="273"/>
      <c r="FO472" s="273"/>
      <c r="FP472" s="273"/>
      <c r="FQ472" s="273"/>
      <c r="FR472" s="273"/>
      <c r="FS472" s="273"/>
      <c r="FT472" s="273"/>
      <c r="FU472" s="273"/>
      <c r="FV472" s="273"/>
      <c r="FW472" s="273"/>
      <c r="FX472" s="273"/>
      <c r="FY472" s="273"/>
      <c r="FZ472" s="273"/>
      <c r="GA472" s="273"/>
      <c r="GB472" s="273"/>
      <c r="GC472" s="273"/>
      <c r="GD472" s="273"/>
      <c r="GE472" s="273"/>
      <c r="GF472" s="273"/>
      <c r="GG472" s="273"/>
      <c r="GH472" s="273"/>
      <c r="GI472" s="273"/>
      <c r="GJ472" s="273"/>
      <c r="GK472" s="273"/>
      <c r="GL472" s="273"/>
      <c r="GM472" s="273"/>
      <c r="GN472" s="273"/>
      <c r="GO472" s="273"/>
      <c r="GP472" s="273"/>
      <c r="GQ472" s="273"/>
      <c r="GR472" s="273"/>
      <c r="GS472" s="273"/>
      <c r="GT472" s="273"/>
      <c r="GU472" s="273"/>
      <c r="GV472" s="273"/>
      <c r="GW472" s="273"/>
      <c r="GX472" s="273"/>
      <c r="GY472" s="273"/>
      <c r="GZ472" s="273"/>
      <c r="HA472" s="273"/>
      <c r="HB472" s="273"/>
      <c r="HC472" s="273"/>
      <c r="HD472" s="273"/>
      <c r="HE472" s="273"/>
      <c r="HF472" s="273"/>
      <c r="HG472" s="273"/>
      <c r="HH472" s="273"/>
      <c r="HI472" s="273"/>
      <c r="HJ472" s="273"/>
      <c r="HK472" s="273"/>
      <c r="HL472" s="273"/>
      <c r="HM472" s="273"/>
      <c r="HN472" s="273"/>
      <c r="HO472" s="273"/>
      <c r="HP472" s="273"/>
      <c r="HQ472" s="273"/>
      <c r="HR472" s="273"/>
      <c r="HS472" s="273"/>
      <c r="HT472" s="273"/>
      <c r="HU472" s="273"/>
      <c r="HV472" s="273"/>
      <c r="HW472" s="273"/>
      <c r="HX472" s="273"/>
      <c r="HY472" s="273"/>
      <c r="HZ472" s="273"/>
      <c r="IA472" s="273"/>
      <c r="IB472" s="273"/>
      <c r="IC472" s="273"/>
      <c r="ID472" s="273"/>
      <c r="IE472" s="273"/>
      <c r="IF472" s="273"/>
      <c r="IG472" s="273"/>
      <c r="IH472" s="273"/>
      <c r="II472" s="273"/>
      <c r="IJ472" s="273"/>
      <c r="IK472" s="273"/>
      <c r="IL472" s="273"/>
      <c r="IM472" s="273"/>
      <c r="IN472" s="273"/>
      <c r="IO472" s="273"/>
      <c r="IP472" s="273"/>
      <c r="IQ472" s="273"/>
      <c r="IR472" s="273"/>
      <c r="IS472" s="273"/>
      <c r="IT472" s="273"/>
      <c r="IU472" s="273"/>
      <c r="IV472" s="273"/>
      <c r="IW472" s="273"/>
      <c r="IX472" s="273"/>
      <c r="IY472" s="273"/>
      <c r="IZ472" s="273"/>
      <c r="JA472" s="273"/>
      <c r="JB472" s="273"/>
      <c r="JC472" s="273"/>
      <c r="JD472" s="273"/>
      <c r="JE472" s="273"/>
      <c r="JF472" s="273"/>
      <c r="JG472" s="273"/>
      <c r="JH472" s="273"/>
      <c r="JI472" s="273"/>
      <c r="JJ472" s="273"/>
      <c r="JK472" s="273"/>
      <c r="JL472" s="273"/>
      <c r="JM472" s="273"/>
      <c r="JN472" s="273"/>
      <c r="JO472" s="273"/>
      <c r="JP472" s="273"/>
      <c r="JQ472" s="273"/>
      <c r="JR472" s="273"/>
      <c r="JS472" s="273"/>
      <c r="JT472" s="273"/>
      <c r="JU472" s="273"/>
      <c r="JV472" s="273"/>
      <c r="JW472" s="273"/>
      <c r="JX472" s="273"/>
      <c r="JY472" s="273"/>
      <c r="JZ472" s="273"/>
      <c r="KA472" s="273"/>
      <c r="KB472" s="273"/>
      <c r="KC472" s="273"/>
      <c r="KD472" s="273"/>
      <c r="KE472" s="273"/>
      <c r="KF472" s="273"/>
      <c r="KG472" s="273"/>
      <c r="KH472" s="273"/>
      <c r="KI472" s="273"/>
      <c r="KJ472" s="273"/>
      <c r="KK472" s="273"/>
      <c r="KL472" s="273"/>
      <c r="KM472" s="273"/>
      <c r="KN472" s="273"/>
      <c r="KO472" s="273"/>
      <c r="KP472" s="273"/>
      <c r="KQ472" s="273"/>
      <c r="KR472" s="273"/>
      <c r="KS472" s="273"/>
      <c r="KT472" s="273"/>
      <c r="KU472" s="273"/>
      <c r="KV472" s="273"/>
      <c r="KW472" s="273"/>
      <c r="KX472" s="273"/>
      <c r="KY472" s="273"/>
      <c r="KZ472" s="273"/>
      <c r="LA472" s="273"/>
      <c r="LB472" s="273"/>
      <c r="LC472" s="273"/>
      <c r="LD472" s="273"/>
      <c r="LE472" s="273"/>
      <c r="LF472" s="273"/>
      <c r="LG472" s="273"/>
      <c r="LH472" s="273"/>
      <c r="LI472" s="273"/>
      <c r="LJ472" s="273"/>
      <c r="LK472" s="273"/>
      <c r="LL472" s="273"/>
      <c r="LM472" s="273"/>
      <c r="LN472" s="273"/>
      <c r="LO472" s="273"/>
      <c r="LP472" s="273"/>
      <c r="LQ472" s="273"/>
      <c r="LR472" s="273"/>
      <c r="LS472" s="273"/>
      <c r="LT472" s="273"/>
      <c r="LU472" s="273"/>
      <c r="LV472" s="273"/>
      <c r="LW472" s="273"/>
      <c r="LX472" s="273"/>
      <c r="LY472" s="273"/>
      <c r="LZ472" s="273"/>
      <c r="MA472" s="273"/>
      <c r="MB472" s="273"/>
      <c r="MC472" s="273"/>
      <c r="MD472" s="273"/>
      <c r="ME472" s="273"/>
      <c r="MF472" s="273"/>
      <c r="MG472" s="273"/>
      <c r="MH472" s="273"/>
      <c r="MI472" s="273"/>
      <c r="MJ472" s="273"/>
      <c r="MK472" s="273"/>
      <c r="ML472" s="273"/>
      <c r="MM472" s="273"/>
      <c r="MN472" s="273"/>
      <c r="MO472" s="273"/>
      <c r="MP472" s="273"/>
      <c r="MQ472" s="273"/>
      <c r="MR472" s="273"/>
      <c r="MS472" s="273"/>
      <c r="MT472" s="273"/>
      <c r="MU472" s="273"/>
      <c r="MV472" s="273"/>
      <c r="MW472" s="273"/>
      <c r="MX472" s="273"/>
      <c r="MY472" s="273"/>
      <c r="MZ472" s="273"/>
      <c r="NA472" s="273"/>
      <c r="NB472" s="273"/>
      <c r="NC472" s="273"/>
      <c r="ND472" s="273"/>
      <c r="NE472" s="273"/>
      <c r="NF472" s="273"/>
      <c r="NG472" s="273"/>
      <c r="NH472" s="273"/>
      <c r="NI472" s="273"/>
      <c r="NJ472" s="273"/>
      <c r="NK472" s="273"/>
      <c r="NL472" s="273"/>
      <c r="NM472" s="273"/>
      <c r="NN472" s="273"/>
      <c r="NO472" s="273"/>
      <c r="NP472" s="273"/>
      <c r="NQ472" s="273"/>
      <c r="NR472" s="273"/>
      <c r="NS472" s="273"/>
      <c r="NT472" s="273"/>
      <c r="NU472" s="273"/>
      <c r="NV472" s="273"/>
      <c r="NW472" s="273"/>
      <c r="NX472" s="273"/>
      <c r="NY472" s="273"/>
      <c r="NZ472" s="273"/>
      <c r="OA472" s="273"/>
      <c r="OB472" s="273"/>
      <c r="OC472" s="273"/>
      <c r="OD472" s="273"/>
      <c r="OE472" s="273"/>
      <c r="OF472" s="273"/>
      <c r="OG472" s="273"/>
      <c r="OH472" s="273"/>
      <c r="OI472" s="273"/>
      <c r="OJ472" s="273"/>
      <c r="OK472" s="273"/>
      <c r="OL472" s="273"/>
      <c r="OM472" s="273"/>
      <c r="ON472" s="273"/>
      <c r="OO472" s="273"/>
      <c r="OP472" s="273"/>
      <c r="OQ472" s="273"/>
      <c r="OR472" s="273"/>
      <c r="OS472" s="273"/>
      <c r="OT472" s="273"/>
      <c r="OU472" s="273"/>
      <c r="OV472" s="273"/>
      <c r="OW472" s="273"/>
      <c r="OX472" s="273"/>
      <c r="OY472" s="273"/>
      <c r="OZ472" s="273"/>
      <c r="PA472" s="273"/>
      <c r="PB472" s="273"/>
      <c r="PC472" s="273"/>
      <c r="PD472" s="273"/>
      <c r="PE472" s="273"/>
      <c r="PF472" s="273"/>
      <c r="PG472" s="273"/>
      <c r="PH472" s="273"/>
      <c r="PI472" s="273"/>
      <c r="PJ472" s="273"/>
      <c r="PK472" s="273"/>
      <c r="PL472" s="273"/>
      <c r="PM472" s="273"/>
      <c r="PN472" s="273"/>
      <c r="PO472" s="273"/>
      <c r="PP472" s="273"/>
      <c r="PQ472" s="273"/>
      <c r="PR472" s="273"/>
      <c r="PS472" s="273"/>
      <c r="PT472" s="273"/>
      <c r="PU472" s="273"/>
      <c r="PV472" s="273"/>
      <c r="PW472" s="273"/>
      <c r="PX472" s="273"/>
      <c r="PY472" s="273"/>
      <c r="PZ472" s="273"/>
      <c r="QA472" s="273"/>
      <c r="QB472" s="273"/>
      <c r="QC472" s="273"/>
      <c r="QD472" s="273"/>
      <c r="QE472" s="273"/>
      <c r="QF472" s="273"/>
      <c r="QG472" s="273"/>
      <c r="QH472" s="273"/>
      <c r="QI472" s="273"/>
      <c r="QJ472" s="273"/>
      <c r="QK472" s="273"/>
      <c r="QL472" s="273"/>
      <c r="QM472" s="273"/>
      <c r="QN472" s="273"/>
      <c r="QO472" s="273"/>
      <c r="QP472" s="273"/>
      <c r="QQ472" s="273"/>
      <c r="QR472" s="273"/>
      <c r="QS472" s="273"/>
      <c r="QT472" s="273"/>
      <c r="QU472" s="273"/>
      <c r="QV472" s="273"/>
      <c r="QW472" s="273"/>
      <c r="QX472" s="273"/>
      <c r="QY472" s="273"/>
      <c r="QZ472" s="273"/>
      <c r="RA472" s="273"/>
      <c r="RB472" s="273"/>
      <c r="RC472" s="273"/>
      <c r="RD472" s="273"/>
      <c r="RE472" s="273"/>
      <c r="RF472" s="273"/>
      <c r="RG472" s="273"/>
      <c r="RH472" s="273"/>
      <c r="RI472" s="273"/>
      <c r="RJ472" s="273"/>
      <c r="RK472" s="273"/>
      <c r="RL472" s="273"/>
      <c r="RM472" s="273"/>
      <c r="RN472" s="273"/>
      <c r="RO472" s="273"/>
      <c r="RP472" s="273"/>
      <c r="RQ472" s="273"/>
    </row>
    <row r="473" spans="1:485" s="450" customFormat="1" ht="78" x14ac:dyDescent="0.25">
      <c r="A473" s="3047"/>
      <c r="B473" s="595" t="s">
        <v>1044</v>
      </c>
      <c r="C473" s="266" t="s">
        <v>17</v>
      </c>
      <c r="D473" s="467" t="s">
        <v>955</v>
      </c>
      <c r="E473" s="468">
        <v>1</v>
      </c>
      <c r="F473" s="468">
        <v>372.7</v>
      </c>
      <c r="G473" s="723">
        <v>10</v>
      </c>
      <c r="H473" s="451">
        <f t="shared" si="219"/>
        <v>3727</v>
      </c>
      <c r="I473" s="675">
        <v>1</v>
      </c>
      <c r="J473" s="451">
        <v>1</v>
      </c>
      <c r="K473" s="451">
        <v>350</v>
      </c>
      <c r="L473" s="451">
        <v>12</v>
      </c>
      <c r="M473" s="1834">
        <f t="shared" si="214"/>
        <v>4200</v>
      </c>
      <c r="N473" s="697">
        <v>1</v>
      </c>
      <c r="O473" s="696">
        <f t="shared" si="213"/>
        <v>7927</v>
      </c>
      <c r="P473" s="675">
        <v>1</v>
      </c>
      <c r="Q473" s="451">
        <f t="shared" si="203"/>
        <v>7927</v>
      </c>
      <c r="R473" s="522" t="s">
        <v>1045</v>
      </c>
      <c r="S473" s="452">
        <f>COOPI!S65</f>
        <v>9752.5</v>
      </c>
      <c r="T473" s="591">
        <f t="shared" si="221"/>
        <v>1.2302888860855306</v>
      </c>
      <c r="U473" s="894" t="s">
        <v>1488</v>
      </c>
      <c r="V473" s="591">
        <f t="shared" si="222"/>
        <v>1.2302888860855306</v>
      </c>
      <c r="W473" s="452">
        <f t="shared" si="220"/>
        <v>9752.5</v>
      </c>
      <c r="X473" s="452" t="s">
        <v>1031</v>
      </c>
      <c r="Y473" s="273"/>
      <c r="Z473" s="273"/>
      <c r="AA473" s="273"/>
      <c r="AB473" s="273"/>
      <c r="AC473" s="273"/>
      <c r="AD473" s="273"/>
      <c r="AE473" s="273"/>
      <c r="AF473" s="273"/>
      <c r="AG473" s="273"/>
      <c r="AH473" s="273"/>
      <c r="AI473" s="273"/>
      <c r="AJ473" s="273"/>
      <c r="AK473" s="273"/>
      <c r="AL473" s="273"/>
      <c r="AM473" s="273"/>
      <c r="AN473" s="273"/>
      <c r="AO473" s="273"/>
      <c r="AP473" s="273"/>
      <c r="AQ473" s="273"/>
      <c r="AR473" s="273"/>
      <c r="AS473" s="273"/>
      <c r="AT473" s="273"/>
      <c r="AU473" s="273"/>
      <c r="AV473" s="273"/>
      <c r="AW473" s="273"/>
      <c r="AX473" s="273"/>
      <c r="AY473" s="273"/>
      <c r="AZ473" s="273"/>
      <c r="BA473" s="273"/>
      <c r="BB473" s="273"/>
      <c r="BC473" s="273"/>
      <c r="BD473" s="273"/>
      <c r="BE473" s="273"/>
      <c r="BF473" s="273"/>
      <c r="BG473" s="273"/>
      <c r="BH473" s="273"/>
      <c r="BI473" s="273"/>
      <c r="BJ473" s="273"/>
      <c r="BK473" s="273"/>
      <c r="BL473" s="273"/>
      <c r="BM473" s="273"/>
      <c r="BN473" s="273"/>
      <c r="BO473" s="273"/>
      <c r="BP473" s="273"/>
      <c r="BQ473" s="273"/>
      <c r="BR473" s="273"/>
      <c r="BS473" s="273"/>
      <c r="BT473" s="273"/>
      <c r="BU473" s="273"/>
      <c r="BV473" s="273"/>
      <c r="BW473" s="273"/>
      <c r="BX473" s="273"/>
      <c r="BY473" s="273"/>
      <c r="BZ473" s="273"/>
      <c r="CA473" s="273"/>
      <c r="CB473" s="273"/>
      <c r="CC473" s="273"/>
      <c r="CD473" s="273"/>
      <c r="CE473" s="273"/>
      <c r="CF473" s="273"/>
      <c r="CG473" s="273"/>
      <c r="CH473" s="273"/>
      <c r="CI473" s="273"/>
      <c r="CJ473" s="273"/>
      <c r="CK473" s="273"/>
      <c r="CL473" s="273"/>
      <c r="CM473" s="273"/>
      <c r="CN473" s="273"/>
      <c r="CO473" s="273"/>
      <c r="CP473" s="273"/>
      <c r="CQ473" s="273"/>
      <c r="CR473" s="273"/>
      <c r="CS473" s="273"/>
      <c r="CT473" s="273"/>
      <c r="CU473" s="273"/>
      <c r="CV473" s="273"/>
      <c r="CW473" s="273"/>
      <c r="CX473" s="273"/>
      <c r="CY473" s="273"/>
      <c r="CZ473" s="273"/>
      <c r="DA473" s="273"/>
      <c r="DB473" s="273"/>
      <c r="DC473" s="273"/>
      <c r="DD473" s="273"/>
      <c r="DE473" s="273"/>
      <c r="DF473" s="273"/>
      <c r="DG473" s="273"/>
      <c r="DH473" s="273"/>
      <c r="DI473" s="273"/>
      <c r="DJ473" s="273"/>
      <c r="DK473" s="273"/>
      <c r="DL473" s="273"/>
      <c r="DM473" s="273"/>
      <c r="DN473" s="273"/>
      <c r="DO473" s="273"/>
      <c r="DP473" s="273"/>
      <c r="DQ473" s="273"/>
      <c r="DR473" s="273"/>
      <c r="DS473" s="273"/>
      <c r="DT473" s="273"/>
      <c r="DU473" s="273"/>
      <c r="DV473" s="273"/>
      <c r="DW473" s="273"/>
      <c r="DX473" s="273"/>
      <c r="DY473" s="273"/>
      <c r="DZ473" s="273"/>
      <c r="EA473" s="273"/>
      <c r="EB473" s="273"/>
      <c r="EC473" s="273"/>
      <c r="ED473" s="273"/>
      <c r="EE473" s="273"/>
      <c r="EF473" s="273"/>
      <c r="EG473" s="273"/>
      <c r="EH473" s="273"/>
      <c r="EI473" s="273"/>
      <c r="EJ473" s="273"/>
      <c r="EK473" s="273"/>
      <c r="EL473" s="273"/>
      <c r="EM473" s="273"/>
      <c r="EN473" s="273"/>
      <c r="EO473" s="273"/>
      <c r="EP473" s="273"/>
      <c r="EQ473" s="273"/>
      <c r="ER473" s="273"/>
      <c r="ES473" s="273"/>
      <c r="ET473" s="273"/>
      <c r="EU473" s="273"/>
      <c r="EV473" s="273"/>
      <c r="EW473" s="273"/>
      <c r="EX473" s="273"/>
      <c r="EY473" s="273"/>
      <c r="EZ473" s="273"/>
      <c r="FA473" s="273"/>
      <c r="FB473" s="273"/>
      <c r="FC473" s="273"/>
      <c r="FD473" s="273"/>
      <c r="FE473" s="273"/>
      <c r="FF473" s="273"/>
      <c r="FG473" s="273"/>
      <c r="FH473" s="273"/>
      <c r="FI473" s="273"/>
      <c r="FJ473" s="273"/>
      <c r="FK473" s="273"/>
      <c r="FL473" s="273"/>
      <c r="FM473" s="273"/>
      <c r="FN473" s="273"/>
      <c r="FO473" s="273"/>
      <c r="FP473" s="273"/>
      <c r="FQ473" s="273"/>
      <c r="FR473" s="273"/>
      <c r="FS473" s="273"/>
      <c r="FT473" s="273"/>
      <c r="FU473" s="273"/>
      <c r="FV473" s="273"/>
      <c r="FW473" s="273"/>
      <c r="FX473" s="273"/>
      <c r="FY473" s="273"/>
      <c r="FZ473" s="273"/>
      <c r="GA473" s="273"/>
      <c r="GB473" s="273"/>
      <c r="GC473" s="273"/>
      <c r="GD473" s="273"/>
      <c r="GE473" s="273"/>
      <c r="GF473" s="273"/>
      <c r="GG473" s="273"/>
      <c r="GH473" s="273"/>
      <c r="GI473" s="273"/>
      <c r="GJ473" s="273"/>
      <c r="GK473" s="273"/>
      <c r="GL473" s="273"/>
      <c r="GM473" s="273"/>
      <c r="GN473" s="273"/>
      <c r="GO473" s="273"/>
      <c r="GP473" s="273"/>
      <c r="GQ473" s="273"/>
      <c r="GR473" s="273"/>
      <c r="GS473" s="273"/>
      <c r="GT473" s="273"/>
      <c r="GU473" s="273"/>
      <c r="GV473" s="273"/>
      <c r="GW473" s="273"/>
      <c r="GX473" s="273"/>
      <c r="GY473" s="273"/>
      <c r="GZ473" s="273"/>
      <c r="HA473" s="273"/>
      <c r="HB473" s="273"/>
      <c r="HC473" s="273"/>
      <c r="HD473" s="273"/>
      <c r="HE473" s="273"/>
      <c r="HF473" s="273"/>
      <c r="HG473" s="273"/>
      <c r="HH473" s="273"/>
      <c r="HI473" s="273"/>
      <c r="HJ473" s="273"/>
      <c r="HK473" s="273"/>
      <c r="HL473" s="273"/>
      <c r="HM473" s="273"/>
      <c r="HN473" s="273"/>
      <c r="HO473" s="273"/>
      <c r="HP473" s="273"/>
      <c r="HQ473" s="273"/>
      <c r="HR473" s="273"/>
      <c r="HS473" s="273"/>
      <c r="HT473" s="273"/>
      <c r="HU473" s="273"/>
      <c r="HV473" s="273"/>
      <c r="HW473" s="273"/>
      <c r="HX473" s="273"/>
      <c r="HY473" s="273"/>
      <c r="HZ473" s="273"/>
      <c r="IA473" s="273"/>
      <c r="IB473" s="273"/>
      <c r="IC473" s="273"/>
      <c r="ID473" s="273"/>
      <c r="IE473" s="273"/>
      <c r="IF473" s="273"/>
      <c r="IG473" s="273"/>
      <c r="IH473" s="273"/>
      <c r="II473" s="273"/>
      <c r="IJ473" s="273"/>
      <c r="IK473" s="273"/>
      <c r="IL473" s="273"/>
      <c r="IM473" s="273"/>
      <c r="IN473" s="273"/>
      <c r="IO473" s="273"/>
      <c r="IP473" s="273"/>
      <c r="IQ473" s="273"/>
      <c r="IR473" s="273"/>
      <c r="IS473" s="273"/>
      <c r="IT473" s="273"/>
      <c r="IU473" s="273"/>
      <c r="IV473" s="273"/>
      <c r="IW473" s="273"/>
      <c r="IX473" s="273"/>
      <c r="IY473" s="273"/>
      <c r="IZ473" s="273"/>
      <c r="JA473" s="273"/>
      <c r="JB473" s="273"/>
      <c r="JC473" s="273"/>
      <c r="JD473" s="273"/>
      <c r="JE473" s="273"/>
      <c r="JF473" s="273"/>
      <c r="JG473" s="273"/>
      <c r="JH473" s="273"/>
      <c r="JI473" s="273"/>
      <c r="JJ473" s="273"/>
      <c r="JK473" s="273"/>
      <c r="JL473" s="273"/>
      <c r="JM473" s="273"/>
      <c r="JN473" s="273"/>
      <c r="JO473" s="273"/>
      <c r="JP473" s="273"/>
      <c r="JQ473" s="273"/>
      <c r="JR473" s="273"/>
      <c r="JS473" s="273"/>
      <c r="JT473" s="273"/>
      <c r="JU473" s="273"/>
      <c r="JV473" s="273"/>
      <c r="JW473" s="273"/>
      <c r="JX473" s="273"/>
      <c r="JY473" s="273"/>
      <c r="JZ473" s="273"/>
      <c r="KA473" s="273"/>
      <c r="KB473" s="273"/>
      <c r="KC473" s="273"/>
      <c r="KD473" s="273"/>
      <c r="KE473" s="273"/>
      <c r="KF473" s="273"/>
      <c r="KG473" s="273"/>
      <c r="KH473" s="273"/>
      <c r="KI473" s="273"/>
      <c r="KJ473" s="273"/>
      <c r="KK473" s="273"/>
      <c r="KL473" s="273"/>
      <c r="KM473" s="273"/>
      <c r="KN473" s="273"/>
      <c r="KO473" s="273"/>
      <c r="KP473" s="273"/>
      <c r="KQ473" s="273"/>
      <c r="KR473" s="273"/>
      <c r="KS473" s="273"/>
      <c r="KT473" s="273"/>
      <c r="KU473" s="273"/>
      <c r="KV473" s="273"/>
      <c r="KW473" s="273"/>
      <c r="KX473" s="273"/>
      <c r="KY473" s="273"/>
      <c r="KZ473" s="273"/>
      <c r="LA473" s="273"/>
      <c r="LB473" s="273"/>
      <c r="LC473" s="273"/>
      <c r="LD473" s="273"/>
      <c r="LE473" s="273"/>
      <c r="LF473" s="273"/>
      <c r="LG473" s="273"/>
      <c r="LH473" s="273"/>
      <c r="LI473" s="273"/>
      <c r="LJ473" s="273"/>
      <c r="LK473" s="273"/>
      <c r="LL473" s="273"/>
      <c r="LM473" s="273"/>
      <c r="LN473" s="273"/>
      <c r="LO473" s="273"/>
      <c r="LP473" s="273"/>
      <c r="LQ473" s="273"/>
      <c r="LR473" s="273"/>
      <c r="LS473" s="273"/>
      <c r="LT473" s="273"/>
      <c r="LU473" s="273"/>
      <c r="LV473" s="273"/>
      <c r="LW473" s="273"/>
      <c r="LX473" s="273"/>
      <c r="LY473" s="273"/>
      <c r="LZ473" s="273"/>
      <c r="MA473" s="273"/>
      <c r="MB473" s="273"/>
      <c r="MC473" s="273"/>
      <c r="MD473" s="273"/>
      <c r="ME473" s="273"/>
      <c r="MF473" s="273"/>
      <c r="MG473" s="273"/>
      <c r="MH473" s="273"/>
      <c r="MI473" s="273"/>
      <c r="MJ473" s="273"/>
      <c r="MK473" s="273"/>
      <c r="ML473" s="273"/>
      <c r="MM473" s="273"/>
      <c r="MN473" s="273"/>
      <c r="MO473" s="273"/>
      <c r="MP473" s="273"/>
      <c r="MQ473" s="273"/>
      <c r="MR473" s="273"/>
      <c r="MS473" s="273"/>
      <c r="MT473" s="273"/>
      <c r="MU473" s="273"/>
      <c r="MV473" s="273"/>
      <c r="MW473" s="273"/>
      <c r="MX473" s="273"/>
      <c r="MY473" s="273"/>
      <c r="MZ473" s="273"/>
      <c r="NA473" s="273"/>
      <c r="NB473" s="273"/>
      <c r="NC473" s="273"/>
      <c r="ND473" s="273"/>
      <c r="NE473" s="273"/>
      <c r="NF473" s="273"/>
      <c r="NG473" s="273"/>
      <c r="NH473" s="273"/>
      <c r="NI473" s="273"/>
      <c r="NJ473" s="273"/>
      <c r="NK473" s="273"/>
      <c r="NL473" s="273"/>
      <c r="NM473" s="273"/>
      <c r="NN473" s="273"/>
      <c r="NO473" s="273"/>
      <c r="NP473" s="273"/>
      <c r="NQ473" s="273"/>
      <c r="NR473" s="273"/>
      <c r="NS473" s="273"/>
      <c r="NT473" s="273"/>
      <c r="NU473" s="273"/>
      <c r="NV473" s="273"/>
      <c r="NW473" s="273"/>
      <c r="NX473" s="273"/>
      <c r="NY473" s="273"/>
      <c r="NZ473" s="273"/>
      <c r="OA473" s="273"/>
      <c r="OB473" s="273"/>
      <c r="OC473" s="273"/>
      <c r="OD473" s="273"/>
      <c r="OE473" s="273"/>
      <c r="OF473" s="273"/>
      <c r="OG473" s="273"/>
      <c r="OH473" s="273"/>
      <c r="OI473" s="273"/>
      <c r="OJ473" s="273"/>
      <c r="OK473" s="273"/>
      <c r="OL473" s="273"/>
      <c r="OM473" s="273"/>
      <c r="ON473" s="273"/>
      <c r="OO473" s="273"/>
      <c r="OP473" s="273"/>
      <c r="OQ473" s="273"/>
      <c r="OR473" s="273"/>
      <c r="OS473" s="273"/>
      <c r="OT473" s="273"/>
      <c r="OU473" s="273"/>
      <c r="OV473" s="273"/>
      <c r="OW473" s="273"/>
      <c r="OX473" s="273"/>
      <c r="OY473" s="273"/>
      <c r="OZ473" s="273"/>
      <c r="PA473" s="273"/>
      <c r="PB473" s="273"/>
      <c r="PC473" s="273"/>
      <c r="PD473" s="273"/>
      <c r="PE473" s="273"/>
      <c r="PF473" s="273"/>
      <c r="PG473" s="273"/>
      <c r="PH473" s="273"/>
      <c r="PI473" s="273"/>
      <c r="PJ473" s="273"/>
      <c r="PK473" s="273"/>
      <c r="PL473" s="273"/>
      <c r="PM473" s="273"/>
      <c r="PN473" s="273"/>
      <c r="PO473" s="273"/>
      <c r="PP473" s="273"/>
      <c r="PQ473" s="273"/>
      <c r="PR473" s="273"/>
      <c r="PS473" s="273"/>
      <c r="PT473" s="273"/>
      <c r="PU473" s="273"/>
      <c r="PV473" s="273"/>
      <c r="PW473" s="273"/>
      <c r="PX473" s="273"/>
      <c r="PY473" s="273"/>
      <c r="PZ473" s="273"/>
      <c r="QA473" s="273"/>
      <c r="QB473" s="273"/>
      <c r="QC473" s="273"/>
      <c r="QD473" s="273"/>
      <c r="QE473" s="273"/>
      <c r="QF473" s="273"/>
      <c r="QG473" s="273"/>
      <c r="QH473" s="273"/>
      <c r="QI473" s="273"/>
      <c r="QJ473" s="273"/>
      <c r="QK473" s="273"/>
      <c r="QL473" s="273"/>
      <c r="QM473" s="273"/>
      <c r="QN473" s="273"/>
      <c r="QO473" s="273"/>
      <c r="QP473" s="273"/>
      <c r="QQ473" s="273"/>
      <c r="QR473" s="273"/>
      <c r="QS473" s="273"/>
      <c r="QT473" s="273"/>
      <c r="QU473" s="273"/>
      <c r="QV473" s="273"/>
      <c r="QW473" s="273"/>
      <c r="QX473" s="273"/>
      <c r="QY473" s="273"/>
      <c r="QZ473" s="273"/>
      <c r="RA473" s="273"/>
      <c r="RB473" s="273"/>
      <c r="RC473" s="273"/>
      <c r="RD473" s="273"/>
      <c r="RE473" s="273"/>
      <c r="RF473" s="273"/>
      <c r="RG473" s="273"/>
      <c r="RH473" s="273"/>
      <c r="RI473" s="273"/>
      <c r="RJ473" s="273"/>
      <c r="RK473" s="273"/>
      <c r="RL473" s="273"/>
      <c r="RM473" s="273"/>
      <c r="RN473" s="273"/>
      <c r="RO473" s="273"/>
      <c r="RP473" s="273"/>
      <c r="RQ473" s="273"/>
    </row>
    <row r="474" spans="1:485" s="450" customFormat="1" ht="39" x14ac:dyDescent="0.25">
      <c r="A474" s="3047"/>
      <c r="B474" s="595" t="s">
        <v>1046</v>
      </c>
      <c r="C474" s="266" t="s">
        <v>15</v>
      </c>
      <c r="D474" s="467" t="s">
        <v>955</v>
      </c>
      <c r="E474" s="468">
        <v>1</v>
      </c>
      <c r="F474" s="468">
        <v>1851</v>
      </c>
      <c r="G474" s="723">
        <v>1</v>
      </c>
      <c r="H474" s="451">
        <f t="shared" si="219"/>
        <v>1851</v>
      </c>
      <c r="I474" s="675">
        <v>1</v>
      </c>
      <c r="J474" s="451"/>
      <c r="K474" s="451"/>
      <c r="L474" s="451"/>
      <c r="M474" s="1834">
        <f t="shared" si="214"/>
        <v>0</v>
      </c>
      <c r="N474" s="697">
        <v>1</v>
      </c>
      <c r="O474" s="696">
        <f t="shared" si="213"/>
        <v>1851</v>
      </c>
      <c r="P474" s="675">
        <v>1</v>
      </c>
      <c r="Q474" s="451">
        <f t="shared" si="203"/>
        <v>1851</v>
      </c>
      <c r="R474" s="522" t="s">
        <v>1047</v>
      </c>
      <c r="S474" s="452">
        <f>COOPI!S66</f>
        <v>1851</v>
      </c>
      <c r="T474" s="591">
        <f t="shared" si="221"/>
        <v>1</v>
      </c>
      <c r="U474" s="894" t="s">
        <v>606</v>
      </c>
      <c r="V474" s="591">
        <f t="shared" si="222"/>
        <v>1</v>
      </c>
      <c r="W474" s="452">
        <f t="shared" si="220"/>
        <v>1851</v>
      </c>
      <c r="X474" s="452" t="s">
        <v>606</v>
      </c>
      <c r="Y474" s="273"/>
      <c r="Z474" s="273"/>
      <c r="AA474" s="273"/>
      <c r="AB474" s="273"/>
      <c r="AC474" s="273"/>
      <c r="AD474" s="273"/>
      <c r="AE474" s="273"/>
      <c r="AF474" s="273"/>
      <c r="AG474" s="273"/>
      <c r="AH474" s="273"/>
      <c r="AI474" s="273"/>
      <c r="AJ474" s="273"/>
      <c r="AK474" s="273"/>
      <c r="AL474" s="273"/>
      <c r="AM474" s="273"/>
      <c r="AN474" s="273"/>
      <c r="AO474" s="273"/>
      <c r="AP474" s="273"/>
      <c r="AQ474" s="273"/>
      <c r="AR474" s="273"/>
      <c r="AS474" s="273"/>
      <c r="AT474" s="273"/>
      <c r="AU474" s="273"/>
      <c r="AV474" s="273"/>
      <c r="AW474" s="273"/>
      <c r="AX474" s="273"/>
      <c r="AY474" s="273"/>
      <c r="AZ474" s="273"/>
      <c r="BA474" s="273"/>
      <c r="BB474" s="273"/>
      <c r="BC474" s="273"/>
      <c r="BD474" s="273"/>
      <c r="BE474" s="273"/>
      <c r="BF474" s="273"/>
      <c r="BG474" s="273"/>
      <c r="BH474" s="273"/>
      <c r="BI474" s="273"/>
      <c r="BJ474" s="273"/>
      <c r="BK474" s="273"/>
      <c r="BL474" s="273"/>
      <c r="BM474" s="273"/>
      <c r="BN474" s="273"/>
      <c r="BO474" s="273"/>
      <c r="BP474" s="273"/>
      <c r="BQ474" s="273"/>
      <c r="BR474" s="273"/>
      <c r="BS474" s="273"/>
      <c r="BT474" s="273"/>
      <c r="BU474" s="273"/>
      <c r="BV474" s="273"/>
      <c r="BW474" s="273"/>
      <c r="BX474" s="273"/>
      <c r="BY474" s="273"/>
      <c r="BZ474" s="273"/>
      <c r="CA474" s="273"/>
      <c r="CB474" s="273"/>
      <c r="CC474" s="273"/>
      <c r="CD474" s="273"/>
      <c r="CE474" s="273"/>
      <c r="CF474" s="273"/>
      <c r="CG474" s="273"/>
      <c r="CH474" s="273"/>
      <c r="CI474" s="273"/>
      <c r="CJ474" s="273"/>
      <c r="CK474" s="273"/>
      <c r="CL474" s="273"/>
      <c r="CM474" s="273"/>
      <c r="CN474" s="273"/>
      <c r="CO474" s="273"/>
      <c r="CP474" s="273"/>
      <c r="CQ474" s="273"/>
      <c r="CR474" s="273"/>
      <c r="CS474" s="273"/>
      <c r="CT474" s="273"/>
      <c r="CU474" s="273"/>
      <c r="CV474" s="273"/>
      <c r="CW474" s="273"/>
      <c r="CX474" s="273"/>
      <c r="CY474" s="273"/>
      <c r="CZ474" s="273"/>
      <c r="DA474" s="273"/>
      <c r="DB474" s="273"/>
      <c r="DC474" s="273"/>
      <c r="DD474" s="273"/>
      <c r="DE474" s="273"/>
      <c r="DF474" s="273"/>
      <c r="DG474" s="273"/>
      <c r="DH474" s="273"/>
      <c r="DI474" s="273"/>
      <c r="DJ474" s="273"/>
      <c r="DK474" s="273"/>
      <c r="DL474" s="273"/>
      <c r="DM474" s="273"/>
      <c r="DN474" s="273"/>
      <c r="DO474" s="273"/>
      <c r="DP474" s="273"/>
      <c r="DQ474" s="273"/>
      <c r="DR474" s="273"/>
      <c r="DS474" s="273"/>
      <c r="DT474" s="273"/>
      <c r="DU474" s="273"/>
      <c r="DV474" s="273"/>
      <c r="DW474" s="273"/>
      <c r="DX474" s="273"/>
      <c r="DY474" s="273"/>
      <c r="DZ474" s="273"/>
      <c r="EA474" s="273"/>
      <c r="EB474" s="273"/>
      <c r="EC474" s="273"/>
      <c r="ED474" s="273"/>
      <c r="EE474" s="273"/>
      <c r="EF474" s="273"/>
      <c r="EG474" s="273"/>
      <c r="EH474" s="273"/>
      <c r="EI474" s="273"/>
      <c r="EJ474" s="273"/>
      <c r="EK474" s="273"/>
      <c r="EL474" s="273"/>
      <c r="EM474" s="273"/>
      <c r="EN474" s="273"/>
      <c r="EO474" s="273"/>
      <c r="EP474" s="273"/>
      <c r="EQ474" s="273"/>
      <c r="ER474" s="273"/>
      <c r="ES474" s="273"/>
      <c r="ET474" s="273"/>
      <c r="EU474" s="273"/>
      <c r="EV474" s="273"/>
      <c r="EW474" s="273"/>
      <c r="EX474" s="273"/>
      <c r="EY474" s="273"/>
      <c r="EZ474" s="273"/>
      <c r="FA474" s="273"/>
      <c r="FB474" s="273"/>
      <c r="FC474" s="273"/>
      <c r="FD474" s="273"/>
      <c r="FE474" s="273"/>
      <c r="FF474" s="273"/>
      <c r="FG474" s="273"/>
      <c r="FH474" s="273"/>
      <c r="FI474" s="273"/>
      <c r="FJ474" s="273"/>
      <c r="FK474" s="273"/>
      <c r="FL474" s="273"/>
      <c r="FM474" s="273"/>
      <c r="FN474" s="273"/>
      <c r="FO474" s="273"/>
      <c r="FP474" s="273"/>
      <c r="FQ474" s="273"/>
      <c r="FR474" s="273"/>
      <c r="FS474" s="273"/>
      <c r="FT474" s="273"/>
      <c r="FU474" s="273"/>
      <c r="FV474" s="273"/>
      <c r="FW474" s="273"/>
      <c r="FX474" s="273"/>
      <c r="FY474" s="273"/>
      <c r="FZ474" s="273"/>
      <c r="GA474" s="273"/>
      <c r="GB474" s="273"/>
      <c r="GC474" s="273"/>
      <c r="GD474" s="273"/>
      <c r="GE474" s="273"/>
      <c r="GF474" s="273"/>
      <c r="GG474" s="273"/>
      <c r="GH474" s="273"/>
      <c r="GI474" s="273"/>
      <c r="GJ474" s="273"/>
      <c r="GK474" s="273"/>
      <c r="GL474" s="273"/>
      <c r="GM474" s="273"/>
      <c r="GN474" s="273"/>
      <c r="GO474" s="273"/>
      <c r="GP474" s="273"/>
      <c r="GQ474" s="273"/>
      <c r="GR474" s="273"/>
      <c r="GS474" s="273"/>
      <c r="GT474" s="273"/>
      <c r="GU474" s="273"/>
      <c r="GV474" s="273"/>
      <c r="GW474" s="273"/>
      <c r="GX474" s="273"/>
      <c r="GY474" s="273"/>
      <c r="GZ474" s="273"/>
      <c r="HA474" s="273"/>
      <c r="HB474" s="273"/>
      <c r="HC474" s="273"/>
      <c r="HD474" s="273"/>
      <c r="HE474" s="273"/>
      <c r="HF474" s="273"/>
      <c r="HG474" s="273"/>
      <c r="HH474" s="273"/>
      <c r="HI474" s="273"/>
      <c r="HJ474" s="273"/>
      <c r="HK474" s="273"/>
      <c r="HL474" s="273"/>
      <c r="HM474" s="273"/>
      <c r="HN474" s="273"/>
      <c r="HO474" s="273"/>
      <c r="HP474" s="273"/>
      <c r="HQ474" s="273"/>
      <c r="HR474" s="273"/>
      <c r="HS474" s="273"/>
      <c r="HT474" s="273"/>
      <c r="HU474" s="273"/>
      <c r="HV474" s="273"/>
      <c r="HW474" s="273"/>
      <c r="HX474" s="273"/>
      <c r="HY474" s="273"/>
      <c r="HZ474" s="273"/>
      <c r="IA474" s="273"/>
      <c r="IB474" s="273"/>
      <c r="IC474" s="273"/>
      <c r="ID474" s="273"/>
      <c r="IE474" s="273"/>
      <c r="IF474" s="273"/>
      <c r="IG474" s="273"/>
      <c r="IH474" s="273"/>
      <c r="II474" s="273"/>
      <c r="IJ474" s="273"/>
      <c r="IK474" s="273"/>
      <c r="IL474" s="273"/>
      <c r="IM474" s="273"/>
      <c r="IN474" s="273"/>
      <c r="IO474" s="273"/>
      <c r="IP474" s="273"/>
      <c r="IQ474" s="273"/>
      <c r="IR474" s="273"/>
      <c r="IS474" s="273"/>
      <c r="IT474" s="273"/>
      <c r="IU474" s="273"/>
      <c r="IV474" s="273"/>
      <c r="IW474" s="273"/>
      <c r="IX474" s="273"/>
      <c r="IY474" s="273"/>
      <c r="IZ474" s="273"/>
      <c r="JA474" s="273"/>
      <c r="JB474" s="273"/>
      <c r="JC474" s="273"/>
      <c r="JD474" s="273"/>
      <c r="JE474" s="273"/>
      <c r="JF474" s="273"/>
      <c r="JG474" s="273"/>
      <c r="JH474" s="273"/>
      <c r="JI474" s="273"/>
      <c r="JJ474" s="273"/>
      <c r="JK474" s="273"/>
      <c r="JL474" s="273"/>
      <c r="JM474" s="273"/>
      <c r="JN474" s="273"/>
      <c r="JO474" s="273"/>
      <c r="JP474" s="273"/>
      <c r="JQ474" s="273"/>
      <c r="JR474" s="273"/>
      <c r="JS474" s="273"/>
      <c r="JT474" s="273"/>
      <c r="JU474" s="273"/>
      <c r="JV474" s="273"/>
      <c r="JW474" s="273"/>
      <c r="JX474" s="273"/>
      <c r="JY474" s="273"/>
      <c r="JZ474" s="273"/>
      <c r="KA474" s="273"/>
      <c r="KB474" s="273"/>
      <c r="KC474" s="273"/>
      <c r="KD474" s="273"/>
      <c r="KE474" s="273"/>
      <c r="KF474" s="273"/>
      <c r="KG474" s="273"/>
      <c r="KH474" s="273"/>
      <c r="KI474" s="273"/>
      <c r="KJ474" s="273"/>
      <c r="KK474" s="273"/>
      <c r="KL474" s="273"/>
      <c r="KM474" s="273"/>
      <c r="KN474" s="273"/>
      <c r="KO474" s="273"/>
      <c r="KP474" s="273"/>
      <c r="KQ474" s="273"/>
      <c r="KR474" s="273"/>
      <c r="KS474" s="273"/>
      <c r="KT474" s="273"/>
      <c r="KU474" s="273"/>
      <c r="KV474" s="273"/>
      <c r="KW474" s="273"/>
      <c r="KX474" s="273"/>
      <c r="KY474" s="273"/>
      <c r="KZ474" s="273"/>
      <c r="LA474" s="273"/>
      <c r="LB474" s="273"/>
      <c r="LC474" s="273"/>
      <c r="LD474" s="273"/>
      <c r="LE474" s="273"/>
      <c r="LF474" s="273"/>
      <c r="LG474" s="273"/>
      <c r="LH474" s="273"/>
      <c r="LI474" s="273"/>
      <c r="LJ474" s="273"/>
      <c r="LK474" s="273"/>
      <c r="LL474" s="273"/>
      <c r="LM474" s="273"/>
      <c r="LN474" s="273"/>
      <c r="LO474" s="273"/>
      <c r="LP474" s="273"/>
      <c r="LQ474" s="273"/>
      <c r="LR474" s="273"/>
      <c r="LS474" s="273"/>
      <c r="LT474" s="273"/>
      <c r="LU474" s="273"/>
      <c r="LV474" s="273"/>
      <c r="LW474" s="273"/>
      <c r="LX474" s="273"/>
      <c r="LY474" s="273"/>
      <c r="LZ474" s="273"/>
      <c r="MA474" s="273"/>
      <c r="MB474" s="273"/>
      <c r="MC474" s="273"/>
      <c r="MD474" s="273"/>
      <c r="ME474" s="273"/>
      <c r="MF474" s="273"/>
      <c r="MG474" s="273"/>
      <c r="MH474" s="273"/>
      <c r="MI474" s="273"/>
      <c r="MJ474" s="273"/>
      <c r="MK474" s="273"/>
      <c r="ML474" s="273"/>
      <c r="MM474" s="273"/>
      <c r="MN474" s="273"/>
      <c r="MO474" s="273"/>
      <c r="MP474" s="273"/>
      <c r="MQ474" s="273"/>
      <c r="MR474" s="273"/>
      <c r="MS474" s="273"/>
      <c r="MT474" s="273"/>
      <c r="MU474" s="273"/>
      <c r="MV474" s="273"/>
      <c r="MW474" s="273"/>
      <c r="MX474" s="273"/>
      <c r="MY474" s="273"/>
      <c r="MZ474" s="273"/>
      <c r="NA474" s="273"/>
      <c r="NB474" s="273"/>
      <c r="NC474" s="273"/>
      <c r="ND474" s="273"/>
      <c r="NE474" s="273"/>
      <c r="NF474" s="273"/>
      <c r="NG474" s="273"/>
      <c r="NH474" s="273"/>
      <c r="NI474" s="273"/>
      <c r="NJ474" s="273"/>
      <c r="NK474" s="273"/>
      <c r="NL474" s="273"/>
      <c r="NM474" s="273"/>
      <c r="NN474" s="273"/>
      <c r="NO474" s="273"/>
      <c r="NP474" s="273"/>
      <c r="NQ474" s="273"/>
      <c r="NR474" s="273"/>
      <c r="NS474" s="273"/>
      <c r="NT474" s="273"/>
      <c r="NU474" s="273"/>
      <c r="NV474" s="273"/>
      <c r="NW474" s="273"/>
      <c r="NX474" s="273"/>
      <c r="NY474" s="273"/>
      <c r="NZ474" s="273"/>
      <c r="OA474" s="273"/>
      <c r="OB474" s="273"/>
      <c r="OC474" s="273"/>
      <c r="OD474" s="273"/>
      <c r="OE474" s="273"/>
      <c r="OF474" s="273"/>
      <c r="OG474" s="273"/>
      <c r="OH474" s="273"/>
      <c r="OI474" s="273"/>
      <c r="OJ474" s="273"/>
      <c r="OK474" s="273"/>
      <c r="OL474" s="273"/>
      <c r="OM474" s="273"/>
      <c r="ON474" s="273"/>
      <c r="OO474" s="273"/>
      <c r="OP474" s="273"/>
      <c r="OQ474" s="273"/>
      <c r="OR474" s="273"/>
      <c r="OS474" s="273"/>
      <c r="OT474" s="273"/>
      <c r="OU474" s="273"/>
      <c r="OV474" s="273"/>
      <c r="OW474" s="273"/>
      <c r="OX474" s="273"/>
      <c r="OY474" s="273"/>
      <c r="OZ474" s="273"/>
      <c r="PA474" s="273"/>
      <c r="PB474" s="273"/>
      <c r="PC474" s="273"/>
      <c r="PD474" s="273"/>
      <c r="PE474" s="273"/>
      <c r="PF474" s="273"/>
      <c r="PG474" s="273"/>
      <c r="PH474" s="273"/>
      <c r="PI474" s="273"/>
      <c r="PJ474" s="273"/>
      <c r="PK474" s="273"/>
      <c r="PL474" s="273"/>
      <c r="PM474" s="273"/>
      <c r="PN474" s="273"/>
      <c r="PO474" s="273"/>
      <c r="PP474" s="273"/>
      <c r="PQ474" s="273"/>
      <c r="PR474" s="273"/>
      <c r="PS474" s="273"/>
      <c r="PT474" s="273"/>
      <c r="PU474" s="273"/>
      <c r="PV474" s="273"/>
      <c r="PW474" s="273"/>
      <c r="PX474" s="273"/>
      <c r="PY474" s="273"/>
      <c r="PZ474" s="273"/>
      <c r="QA474" s="273"/>
      <c r="QB474" s="273"/>
      <c r="QC474" s="273"/>
      <c r="QD474" s="273"/>
      <c r="QE474" s="273"/>
      <c r="QF474" s="273"/>
      <c r="QG474" s="273"/>
      <c r="QH474" s="273"/>
      <c r="QI474" s="273"/>
      <c r="QJ474" s="273"/>
      <c r="QK474" s="273"/>
      <c r="QL474" s="273"/>
      <c r="QM474" s="273"/>
      <c r="QN474" s="273"/>
      <c r="QO474" s="273"/>
      <c r="QP474" s="273"/>
      <c r="QQ474" s="273"/>
      <c r="QR474" s="273"/>
      <c r="QS474" s="273"/>
      <c r="QT474" s="273"/>
      <c r="QU474" s="273"/>
      <c r="QV474" s="273"/>
      <c r="QW474" s="273"/>
      <c r="QX474" s="273"/>
      <c r="QY474" s="273"/>
      <c r="QZ474" s="273"/>
      <c r="RA474" s="273"/>
      <c r="RB474" s="273"/>
      <c r="RC474" s="273"/>
      <c r="RD474" s="273"/>
      <c r="RE474" s="273"/>
      <c r="RF474" s="273"/>
      <c r="RG474" s="273"/>
      <c r="RH474" s="273"/>
      <c r="RI474" s="273"/>
      <c r="RJ474" s="273"/>
      <c r="RK474" s="273"/>
      <c r="RL474" s="273"/>
      <c r="RM474" s="273"/>
      <c r="RN474" s="273"/>
      <c r="RO474" s="273"/>
      <c r="RP474" s="273"/>
      <c r="RQ474" s="273"/>
    </row>
    <row r="475" spans="1:485" s="450" customFormat="1" x14ac:dyDescent="0.25">
      <c r="A475" s="3047"/>
      <c r="B475" s="595" t="s">
        <v>1048</v>
      </c>
      <c r="C475" s="266" t="s">
        <v>14</v>
      </c>
      <c r="D475" s="467" t="s">
        <v>955</v>
      </c>
      <c r="E475" s="468">
        <v>0</v>
      </c>
      <c r="F475" s="468">
        <v>0</v>
      </c>
      <c r="G475" s="723">
        <v>0</v>
      </c>
      <c r="H475" s="451">
        <f t="shared" si="219"/>
        <v>0</v>
      </c>
      <c r="I475" s="675"/>
      <c r="J475" s="451">
        <v>1</v>
      </c>
      <c r="K475" s="451">
        <v>800</v>
      </c>
      <c r="L475" s="451">
        <v>10</v>
      </c>
      <c r="M475" s="1834">
        <f t="shared" si="214"/>
        <v>8000</v>
      </c>
      <c r="N475" s="697">
        <v>0.35</v>
      </c>
      <c r="O475" s="696">
        <f t="shared" si="213"/>
        <v>8000</v>
      </c>
      <c r="P475" s="675">
        <v>0</v>
      </c>
      <c r="Q475" s="451">
        <f t="shared" si="203"/>
        <v>0</v>
      </c>
      <c r="R475" s="522" t="s">
        <v>1049</v>
      </c>
      <c r="S475" s="452">
        <f>COOPI!S67</f>
        <v>11185.242779999997</v>
      </c>
      <c r="T475" s="591">
        <f t="shared" si="221"/>
        <v>1.3981553474999997</v>
      </c>
      <c r="U475" s="894" t="s">
        <v>1489</v>
      </c>
      <c r="V475" s="591">
        <v>0</v>
      </c>
      <c r="W475" s="452">
        <f t="shared" si="220"/>
        <v>0</v>
      </c>
      <c r="X475" s="452" t="s">
        <v>1489</v>
      </c>
      <c r="Y475" s="273"/>
      <c r="Z475" s="273"/>
      <c r="AA475" s="273"/>
      <c r="AB475" s="273"/>
      <c r="AC475" s="273"/>
      <c r="AD475" s="273"/>
      <c r="AE475" s="273"/>
      <c r="AF475" s="273"/>
      <c r="AG475" s="273"/>
      <c r="AH475" s="273"/>
      <c r="AI475" s="273"/>
      <c r="AJ475" s="273"/>
      <c r="AK475" s="273"/>
      <c r="AL475" s="273"/>
      <c r="AM475" s="273"/>
      <c r="AN475" s="273"/>
      <c r="AO475" s="273"/>
      <c r="AP475" s="273"/>
      <c r="AQ475" s="273"/>
      <c r="AR475" s="273"/>
      <c r="AS475" s="273"/>
      <c r="AT475" s="273"/>
      <c r="AU475" s="273"/>
      <c r="AV475" s="273"/>
      <c r="AW475" s="273"/>
      <c r="AX475" s="273"/>
      <c r="AY475" s="273"/>
      <c r="AZ475" s="273"/>
      <c r="BA475" s="273"/>
      <c r="BB475" s="273"/>
      <c r="BC475" s="273"/>
      <c r="BD475" s="273"/>
      <c r="BE475" s="273"/>
      <c r="BF475" s="273"/>
      <c r="BG475" s="273"/>
      <c r="BH475" s="273"/>
      <c r="BI475" s="273"/>
      <c r="BJ475" s="273"/>
      <c r="BK475" s="273"/>
      <c r="BL475" s="273"/>
      <c r="BM475" s="273"/>
      <c r="BN475" s="273"/>
      <c r="BO475" s="273"/>
      <c r="BP475" s="273"/>
      <c r="BQ475" s="273"/>
      <c r="BR475" s="273"/>
      <c r="BS475" s="273"/>
      <c r="BT475" s="273"/>
      <c r="BU475" s="273"/>
      <c r="BV475" s="273"/>
      <c r="BW475" s="273"/>
      <c r="BX475" s="273"/>
      <c r="BY475" s="273"/>
      <c r="BZ475" s="273"/>
      <c r="CA475" s="273"/>
      <c r="CB475" s="273"/>
      <c r="CC475" s="273"/>
      <c r="CD475" s="273"/>
      <c r="CE475" s="273"/>
      <c r="CF475" s="273"/>
      <c r="CG475" s="273"/>
      <c r="CH475" s="273"/>
      <c r="CI475" s="273"/>
      <c r="CJ475" s="273"/>
      <c r="CK475" s="273"/>
      <c r="CL475" s="273"/>
      <c r="CM475" s="273"/>
      <c r="CN475" s="273"/>
      <c r="CO475" s="273"/>
      <c r="CP475" s="273"/>
      <c r="CQ475" s="273"/>
      <c r="CR475" s="273"/>
      <c r="CS475" s="273"/>
      <c r="CT475" s="273"/>
      <c r="CU475" s="273"/>
      <c r="CV475" s="273"/>
      <c r="CW475" s="273"/>
      <c r="CX475" s="273"/>
      <c r="CY475" s="273"/>
      <c r="CZ475" s="273"/>
      <c r="DA475" s="273"/>
      <c r="DB475" s="273"/>
      <c r="DC475" s="273"/>
      <c r="DD475" s="273"/>
      <c r="DE475" s="273"/>
      <c r="DF475" s="273"/>
      <c r="DG475" s="273"/>
      <c r="DH475" s="273"/>
      <c r="DI475" s="273"/>
      <c r="DJ475" s="273"/>
      <c r="DK475" s="273"/>
      <c r="DL475" s="273"/>
      <c r="DM475" s="273"/>
      <c r="DN475" s="273"/>
      <c r="DO475" s="273"/>
      <c r="DP475" s="273"/>
      <c r="DQ475" s="273"/>
      <c r="DR475" s="273"/>
      <c r="DS475" s="273"/>
      <c r="DT475" s="273"/>
      <c r="DU475" s="273"/>
      <c r="DV475" s="273"/>
      <c r="DW475" s="273"/>
      <c r="DX475" s="273"/>
      <c r="DY475" s="273"/>
      <c r="DZ475" s="273"/>
      <c r="EA475" s="273"/>
      <c r="EB475" s="273"/>
      <c r="EC475" s="273"/>
      <c r="ED475" s="273"/>
      <c r="EE475" s="273"/>
      <c r="EF475" s="273"/>
      <c r="EG475" s="273"/>
      <c r="EH475" s="273"/>
      <c r="EI475" s="273"/>
      <c r="EJ475" s="273"/>
      <c r="EK475" s="273"/>
      <c r="EL475" s="273"/>
      <c r="EM475" s="273"/>
      <c r="EN475" s="273"/>
      <c r="EO475" s="273"/>
      <c r="EP475" s="273"/>
      <c r="EQ475" s="273"/>
      <c r="ER475" s="273"/>
      <c r="ES475" s="273"/>
      <c r="ET475" s="273"/>
      <c r="EU475" s="273"/>
      <c r="EV475" s="273"/>
      <c r="EW475" s="273"/>
      <c r="EX475" s="273"/>
      <c r="EY475" s="273"/>
      <c r="EZ475" s="273"/>
      <c r="FA475" s="273"/>
      <c r="FB475" s="273"/>
      <c r="FC475" s="273"/>
      <c r="FD475" s="273"/>
      <c r="FE475" s="273"/>
      <c r="FF475" s="273"/>
      <c r="FG475" s="273"/>
      <c r="FH475" s="273"/>
      <c r="FI475" s="273"/>
      <c r="FJ475" s="273"/>
      <c r="FK475" s="273"/>
      <c r="FL475" s="273"/>
      <c r="FM475" s="273"/>
      <c r="FN475" s="273"/>
      <c r="FO475" s="273"/>
      <c r="FP475" s="273"/>
      <c r="FQ475" s="273"/>
      <c r="FR475" s="273"/>
      <c r="FS475" s="273"/>
      <c r="FT475" s="273"/>
      <c r="FU475" s="273"/>
      <c r="FV475" s="273"/>
      <c r="FW475" s="273"/>
      <c r="FX475" s="273"/>
      <c r="FY475" s="273"/>
      <c r="FZ475" s="273"/>
      <c r="GA475" s="273"/>
      <c r="GB475" s="273"/>
      <c r="GC475" s="273"/>
      <c r="GD475" s="273"/>
      <c r="GE475" s="273"/>
      <c r="GF475" s="273"/>
      <c r="GG475" s="273"/>
      <c r="GH475" s="273"/>
      <c r="GI475" s="273"/>
      <c r="GJ475" s="273"/>
      <c r="GK475" s="273"/>
      <c r="GL475" s="273"/>
      <c r="GM475" s="273"/>
      <c r="GN475" s="273"/>
      <c r="GO475" s="273"/>
      <c r="GP475" s="273"/>
      <c r="GQ475" s="273"/>
      <c r="GR475" s="273"/>
      <c r="GS475" s="273"/>
      <c r="GT475" s="273"/>
      <c r="GU475" s="273"/>
      <c r="GV475" s="273"/>
      <c r="GW475" s="273"/>
      <c r="GX475" s="273"/>
      <c r="GY475" s="273"/>
      <c r="GZ475" s="273"/>
      <c r="HA475" s="273"/>
      <c r="HB475" s="273"/>
      <c r="HC475" s="273"/>
      <c r="HD475" s="273"/>
      <c r="HE475" s="273"/>
      <c r="HF475" s="273"/>
      <c r="HG475" s="273"/>
      <c r="HH475" s="273"/>
      <c r="HI475" s="273"/>
      <c r="HJ475" s="273"/>
      <c r="HK475" s="273"/>
      <c r="HL475" s="273"/>
      <c r="HM475" s="273"/>
      <c r="HN475" s="273"/>
      <c r="HO475" s="273"/>
      <c r="HP475" s="273"/>
      <c r="HQ475" s="273"/>
      <c r="HR475" s="273"/>
      <c r="HS475" s="273"/>
      <c r="HT475" s="273"/>
      <c r="HU475" s="273"/>
      <c r="HV475" s="273"/>
      <c r="HW475" s="273"/>
      <c r="HX475" s="273"/>
      <c r="HY475" s="273"/>
      <c r="HZ475" s="273"/>
      <c r="IA475" s="273"/>
      <c r="IB475" s="273"/>
      <c r="IC475" s="273"/>
      <c r="ID475" s="273"/>
      <c r="IE475" s="273"/>
      <c r="IF475" s="273"/>
      <c r="IG475" s="273"/>
      <c r="IH475" s="273"/>
      <c r="II475" s="273"/>
      <c r="IJ475" s="273"/>
      <c r="IK475" s="273"/>
      <c r="IL475" s="273"/>
      <c r="IM475" s="273"/>
      <c r="IN475" s="273"/>
      <c r="IO475" s="273"/>
      <c r="IP475" s="273"/>
      <c r="IQ475" s="273"/>
      <c r="IR475" s="273"/>
      <c r="IS475" s="273"/>
      <c r="IT475" s="273"/>
      <c r="IU475" s="273"/>
      <c r="IV475" s="273"/>
      <c r="IW475" s="273"/>
      <c r="IX475" s="273"/>
      <c r="IY475" s="273"/>
      <c r="IZ475" s="273"/>
      <c r="JA475" s="273"/>
      <c r="JB475" s="273"/>
      <c r="JC475" s="273"/>
      <c r="JD475" s="273"/>
      <c r="JE475" s="273"/>
      <c r="JF475" s="273"/>
      <c r="JG475" s="273"/>
      <c r="JH475" s="273"/>
      <c r="JI475" s="273"/>
      <c r="JJ475" s="273"/>
      <c r="JK475" s="273"/>
      <c r="JL475" s="273"/>
      <c r="JM475" s="273"/>
      <c r="JN475" s="273"/>
      <c r="JO475" s="273"/>
      <c r="JP475" s="273"/>
      <c r="JQ475" s="273"/>
      <c r="JR475" s="273"/>
      <c r="JS475" s="273"/>
      <c r="JT475" s="273"/>
      <c r="JU475" s="273"/>
      <c r="JV475" s="273"/>
      <c r="JW475" s="273"/>
      <c r="JX475" s="273"/>
      <c r="JY475" s="273"/>
      <c r="JZ475" s="273"/>
      <c r="KA475" s="273"/>
      <c r="KB475" s="273"/>
      <c r="KC475" s="273"/>
      <c r="KD475" s="273"/>
      <c r="KE475" s="273"/>
      <c r="KF475" s="273"/>
      <c r="KG475" s="273"/>
      <c r="KH475" s="273"/>
      <c r="KI475" s="273"/>
      <c r="KJ475" s="273"/>
      <c r="KK475" s="273"/>
      <c r="KL475" s="273"/>
      <c r="KM475" s="273"/>
      <c r="KN475" s="273"/>
      <c r="KO475" s="273"/>
      <c r="KP475" s="273"/>
      <c r="KQ475" s="273"/>
      <c r="KR475" s="273"/>
      <c r="KS475" s="273"/>
      <c r="KT475" s="273"/>
      <c r="KU475" s="273"/>
      <c r="KV475" s="273"/>
      <c r="KW475" s="273"/>
      <c r="KX475" s="273"/>
      <c r="KY475" s="273"/>
      <c r="KZ475" s="273"/>
      <c r="LA475" s="273"/>
      <c r="LB475" s="273"/>
      <c r="LC475" s="273"/>
      <c r="LD475" s="273"/>
      <c r="LE475" s="273"/>
      <c r="LF475" s="273"/>
      <c r="LG475" s="273"/>
      <c r="LH475" s="273"/>
      <c r="LI475" s="273"/>
      <c r="LJ475" s="273"/>
      <c r="LK475" s="273"/>
      <c r="LL475" s="273"/>
      <c r="LM475" s="273"/>
      <c r="LN475" s="273"/>
      <c r="LO475" s="273"/>
      <c r="LP475" s="273"/>
      <c r="LQ475" s="273"/>
      <c r="LR475" s="273"/>
      <c r="LS475" s="273"/>
      <c r="LT475" s="273"/>
      <c r="LU475" s="273"/>
      <c r="LV475" s="273"/>
      <c r="LW475" s="273"/>
      <c r="LX475" s="273"/>
      <c r="LY475" s="273"/>
      <c r="LZ475" s="273"/>
      <c r="MA475" s="273"/>
      <c r="MB475" s="273"/>
      <c r="MC475" s="273"/>
      <c r="MD475" s="273"/>
      <c r="ME475" s="273"/>
      <c r="MF475" s="273"/>
      <c r="MG475" s="273"/>
      <c r="MH475" s="273"/>
      <c r="MI475" s="273"/>
      <c r="MJ475" s="273"/>
      <c r="MK475" s="273"/>
      <c r="ML475" s="273"/>
      <c r="MM475" s="273"/>
      <c r="MN475" s="273"/>
      <c r="MO475" s="273"/>
      <c r="MP475" s="273"/>
      <c r="MQ475" s="273"/>
      <c r="MR475" s="273"/>
      <c r="MS475" s="273"/>
      <c r="MT475" s="273"/>
      <c r="MU475" s="273"/>
      <c r="MV475" s="273"/>
      <c r="MW475" s="273"/>
      <c r="MX475" s="273"/>
      <c r="MY475" s="273"/>
      <c r="MZ475" s="273"/>
      <c r="NA475" s="273"/>
      <c r="NB475" s="273"/>
      <c r="NC475" s="273"/>
      <c r="ND475" s="273"/>
      <c r="NE475" s="273"/>
      <c r="NF475" s="273"/>
      <c r="NG475" s="273"/>
      <c r="NH475" s="273"/>
      <c r="NI475" s="273"/>
      <c r="NJ475" s="273"/>
      <c r="NK475" s="273"/>
      <c r="NL475" s="273"/>
      <c r="NM475" s="273"/>
      <c r="NN475" s="273"/>
      <c r="NO475" s="273"/>
      <c r="NP475" s="273"/>
      <c r="NQ475" s="273"/>
      <c r="NR475" s="273"/>
      <c r="NS475" s="273"/>
      <c r="NT475" s="273"/>
      <c r="NU475" s="273"/>
      <c r="NV475" s="273"/>
      <c r="NW475" s="273"/>
      <c r="NX475" s="273"/>
      <c r="NY475" s="273"/>
      <c r="NZ475" s="273"/>
      <c r="OA475" s="273"/>
      <c r="OB475" s="273"/>
      <c r="OC475" s="273"/>
      <c r="OD475" s="273"/>
      <c r="OE475" s="273"/>
      <c r="OF475" s="273"/>
      <c r="OG475" s="273"/>
      <c r="OH475" s="273"/>
      <c r="OI475" s="273"/>
      <c r="OJ475" s="273"/>
      <c r="OK475" s="273"/>
      <c r="OL475" s="273"/>
      <c r="OM475" s="273"/>
      <c r="ON475" s="273"/>
      <c r="OO475" s="273"/>
      <c r="OP475" s="273"/>
      <c r="OQ475" s="273"/>
      <c r="OR475" s="273"/>
      <c r="OS475" s="273"/>
      <c r="OT475" s="273"/>
      <c r="OU475" s="273"/>
      <c r="OV475" s="273"/>
      <c r="OW475" s="273"/>
      <c r="OX475" s="273"/>
      <c r="OY475" s="273"/>
      <c r="OZ475" s="273"/>
      <c r="PA475" s="273"/>
      <c r="PB475" s="273"/>
      <c r="PC475" s="273"/>
      <c r="PD475" s="273"/>
      <c r="PE475" s="273"/>
      <c r="PF475" s="273"/>
      <c r="PG475" s="273"/>
      <c r="PH475" s="273"/>
      <c r="PI475" s="273"/>
      <c r="PJ475" s="273"/>
      <c r="PK475" s="273"/>
      <c r="PL475" s="273"/>
      <c r="PM475" s="273"/>
      <c r="PN475" s="273"/>
      <c r="PO475" s="273"/>
      <c r="PP475" s="273"/>
      <c r="PQ475" s="273"/>
      <c r="PR475" s="273"/>
      <c r="PS475" s="273"/>
      <c r="PT475" s="273"/>
      <c r="PU475" s="273"/>
      <c r="PV475" s="273"/>
      <c r="PW475" s="273"/>
      <c r="PX475" s="273"/>
      <c r="PY475" s="273"/>
      <c r="PZ475" s="273"/>
      <c r="QA475" s="273"/>
      <c r="QB475" s="273"/>
      <c r="QC475" s="273"/>
      <c r="QD475" s="273"/>
      <c r="QE475" s="273"/>
      <c r="QF475" s="273"/>
      <c r="QG475" s="273"/>
      <c r="QH475" s="273"/>
      <c r="QI475" s="273"/>
      <c r="QJ475" s="273"/>
      <c r="QK475" s="273"/>
      <c r="QL475" s="273"/>
      <c r="QM475" s="273"/>
      <c r="QN475" s="273"/>
      <c r="QO475" s="273"/>
      <c r="QP475" s="273"/>
      <c r="QQ475" s="273"/>
      <c r="QR475" s="273"/>
      <c r="QS475" s="273"/>
      <c r="QT475" s="273"/>
      <c r="QU475" s="273"/>
      <c r="QV475" s="273"/>
      <c r="QW475" s="273"/>
      <c r="QX475" s="273"/>
      <c r="QY475" s="273"/>
      <c r="QZ475" s="273"/>
      <c r="RA475" s="273"/>
      <c r="RB475" s="273"/>
      <c r="RC475" s="273"/>
      <c r="RD475" s="273"/>
      <c r="RE475" s="273"/>
      <c r="RF475" s="273"/>
      <c r="RG475" s="273"/>
      <c r="RH475" s="273"/>
      <c r="RI475" s="273"/>
      <c r="RJ475" s="273"/>
      <c r="RK475" s="273"/>
      <c r="RL475" s="273"/>
      <c r="RM475" s="273"/>
      <c r="RN475" s="273"/>
      <c r="RO475" s="273"/>
      <c r="RP475" s="273"/>
      <c r="RQ475" s="273"/>
    </row>
    <row r="476" spans="1:485" s="450" customFormat="1" x14ac:dyDescent="0.25">
      <c r="A476" s="3047"/>
      <c r="B476" s="595" t="s">
        <v>1051</v>
      </c>
      <c r="C476" s="266" t="s">
        <v>14</v>
      </c>
      <c r="D476" s="467" t="s">
        <v>955</v>
      </c>
      <c r="E476" s="468">
        <v>0</v>
      </c>
      <c r="F476" s="468">
        <v>0</v>
      </c>
      <c r="G476" s="723">
        <v>0</v>
      </c>
      <c r="H476" s="451">
        <f t="shared" si="219"/>
        <v>0</v>
      </c>
      <c r="I476" s="675"/>
      <c r="J476" s="451">
        <v>1</v>
      </c>
      <c r="K476" s="451">
        <v>800</v>
      </c>
      <c r="L476" s="451">
        <v>10</v>
      </c>
      <c r="M476" s="1834">
        <f t="shared" si="214"/>
        <v>8000</v>
      </c>
      <c r="N476" s="697">
        <v>0.35</v>
      </c>
      <c r="O476" s="696">
        <f t="shared" si="213"/>
        <v>8000</v>
      </c>
      <c r="P476" s="675">
        <v>0</v>
      </c>
      <c r="Q476" s="451">
        <f t="shared" si="203"/>
        <v>0</v>
      </c>
      <c r="R476" s="522" t="s">
        <v>1052</v>
      </c>
      <c r="S476" s="452">
        <f>COOPI!S68</f>
        <v>8497.5127800000009</v>
      </c>
      <c r="T476" s="591">
        <f t="shared" si="221"/>
        <v>1.0621890975000001</v>
      </c>
      <c r="U476" s="894" t="s">
        <v>1489</v>
      </c>
      <c r="V476" s="591">
        <v>0</v>
      </c>
      <c r="W476" s="452">
        <f t="shared" si="220"/>
        <v>0</v>
      </c>
      <c r="X476" s="452" t="s">
        <v>1489</v>
      </c>
      <c r="Y476" s="273"/>
      <c r="Z476" s="273"/>
      <c r="AA476" s="273"/>
      <c r="AB476" s="273"/>
      <c r="AC476" s="273"/>
      <c r="AD476" s="273"/>
      <c r="AE476" s="273"/>
      <c r="AF476" s="273"/>
      <c r="AG476" s="273"/>
      <c r="AH476" s="273"/>
      <c r="AI476" s="273"/>
      <c r="AJ476" s="273"/>
      <c r="AK476" s="273"/>
      <c r="AL476" s="273"/>
      <c r="AM476" s="273"/>
      <c r="AN476" s="273"/>
      <c r="AO476" s="273"/>
      <c r="AP476" s="273"/>
      <c r="AQ476" s="273"/>
      <c r="AR476" s="273"/>
      <c r="AS476" s="273"/>
      <c r="AT476" s="273"/>
      <c r="AU476" s="273"/>
      <c r="AV476" s="273"/>
      <c r="AW476" s="273"/>
      <c r="AX476" s="273"/>
      <c r="AY476" s="273"/>
      <c r="AZ476" s="273"/>
      <c r="BA476" s="273"/>
      <c r="BB476" s="273"/>
      <c r="BC476" s="273"/>
      <c r="BD476" s="273"/>
      <c r="BE476" s="273"/>
      <c r="BF476" s="273"/>
      <c r="BG476" s="273"/>
      <c r="BH476" s="273"/>
      <c r="BI476" s="273"/>
      <c r="BJ476" s="273"/>
      <c r="BK476" s="273"/>
      <c r="BL476" s="273"/>
      <c r="BM476" s="273"/>
      <c r="BN476" s="273"/>
      <c r="BO476" s="273"/>
      <c r="BP476" s="273"/>
      <c r="BQ476" s="273"/>
      <c r="BR476" s="273"/>
      <c r="BS476" s="273"/>
      <c r="BT476" s="273"/>
      <c r="BU476" s="273"/>
      <c r="BV476" s="273"/>
      <c r="BW476" s="273"/>
      <c r="BX476" s="273"/>
      <c r="BY476" s="273"/>
      <c r="BZ476" s="273"/>
      <c r="CA476" s="273"/>
      <c r="CB476" s="273"/>
      <c r="CC476" s="273"/>
      <c r="CD476" s="273"/>
      <c r="CE476" s="273"/>
      <c r="CF476" s="273"/>
      <c r="CG476" s="273"/>
      <c r="CH476" s="273"/>
      <c r="CI476" s="273"/>
      <c r="CJ476" s="273"/>
      <c r="CK476" s="273"/>
      <c r="CL476" s="273"/>
      <c r="CM476" s="273"/>
      <c r="CN476" s="273"/>
      <c r="CO476" s="273"/>
      <c r="CP476" s="273"/>
      <c r="CQ476" s="273"/>
      <c r="CR476" s="273"/>
      <c r="CS476" s="273"/>
      <c r="CT476" s="273"/>
      <c r="CU476" s="273"/>
      <c r="CV476" s="273"/>
      <c r="CW476" s="273"/>
      <c r="CX476" s="273"/>
      <c r="CY476" s="273"/>
      <c r="CZ476" s="273"/>
      <c r="DA476" s="273"/>
      <c r="DB476" s="273"/>
      <c r="DC476" s="273"/>
      <c r="DD476" s="273"/>
      <c r="DE476" s="273"/>
      <c r="DF476" s="273"/>
      <c r="DG476" s="273"/>
      <c r="DH476" s="273"/>
      <c r="DI476" s="273"/>
      <c r="DJ476" s="273"/>
      <c r="DK476" s="273"/>
      <c r="DL476" s="273"/>
      <c r="DM476" s="273"/>
      <c r="DN476" s="273"/>
      <c r="DO476" s="273"/>
      <c r="DP476" s="273"/>
      <c r="DQ476" s="273"/>
      <c r="DR476" s="273"/>
      <c r="DS476" s="273"/>
      <c r="DT476" s="273"/>
      <c r="DU476" s="273"/>
      <c r="DV476" s="273"/>
      <c r="DW476" s="273"/>
      <c r="DX476" s="273"/>
      <c r="DY476" s="273"/>
      <c r="DZ476" s="273"/>
      <c r="EA476" s="273"/>
      <c r="EB476" s="273"/>
      <c r="EC476" s="273"/>
      <c r="ED476" s="273"/>
      <c r="EE476" s="273"/>
      <c r="EF476" s="273"/>
      <c r="EG476" s="273"/>
      <c r="EH476" s="273"/>
      <c r="EI476" s="273"/>
      <c r="EJ476" s="273"/>
      <c r="EK476" s="273"/>
      <c r="EL476" s="273"/>
      <c r="EM476" s="273"/>
      <c r="EN476" s="273"/>
      <c r="EO476" s="273"/>
      <c r="EP476" s="273"/>
      <c r="EQ476" s="273"/>
      <c r="ER476" s="273"/>
      <c r="ES476" s="273"/>
      <c r="ET476" s="273"/>
      <c r="EU476" s="273"/>
      <c r="EV476" s="273"/>
      <c r="EW476" s="273"/>
      <c r="EX476" s="273"/>
      <c r="EY476" s="273"/>
      <c r="EZ476" s="273"/>
      <c r="FA476" s="273"/>
      <c r="FB476" s="273"/>
      <c r="FC476" s="273"/>
      <c r="FD476" s="273"/>
      <c r="FE476" s="273"/>
      <c r="FF476" s="273"/>
      <c r="FG476" s="273"/>
      <c r="FH476" s="273"/>
      <c r="FI476" s="273"/>
      <c r="FJ476" s="273"/>
      <c r="FK476" s="273"/>
      <c r="FL476" s="273"/>
      <c r="FM476" s="273"/>
      <c r="FN476" s="273"/>
      <c r="FO476" s="273"/>
      <c r="FP476" s="273"/>
      <c r="FQ476" s="273"/>
      <c r="FR476" s="273"/>
      <c r="FS476" s="273"/>
      <c r="FT476" s="273"/>
      <c r="FU476" s="273"/>
      <c r="FV476" s="273"/>
      <c r="FW476" s="273"/>
      <c r="FX476" s="273"/>
      <c r="FY476" s="273"/>
      <c r="FZ476" s="273"/>
      <c r="GA476" s="273"/>
      <c r="GB476" s="273"/>
      <c r="GC476" s="273"/>
      <c r="GD476" s="273"/>
      <c r="GE476" s="273"/>
      <c r="GF476" s="273"/>
      <c r="GG476" s="273"/>
      <c r="GH476" s="273"/>
      <c r="GI476" s="273"/>
      <c r="GJ476" s="273"/>
      <c r="GK476" s="273"/>
      <c r="GL476" s="273"/>
      <c r="GM476" s="273"/>
      <c r="GN476" s="273"/>
      <c r="GO476" s="273"/>
      <c r="GP476" s="273"/>
      <c r="GQ476" s="273"/>
      <c r="GR476" s="273"/>
      <c r="GS476" s="273"/>
      <c r="GT476" s="273"/>
      <c r="GU476" s="273"/>
      <c r="GV476" s="273"/>
      <c r="GW476" s="273"/>
      <c r="GX476" s="273"/>
      <c r="GY476" s="273"/>
      <c r="GZ476" s="273"/>
      <c r="HA476" s="273"/>
      <c r="HB476" s="273"/>
      <c r="HC476" s="273"/>
      <c r="HD476" s="273"/>
      <c r="HE476" s="273"/>
      <c r="HF476" s="273"/>
      <c r="HG476" s="273"/>
      <c r="HH476" s="273"/>
      <c r="HI476" s="273"/>
      <c r="HJ476" s="273"/>
      <c r="HK476" s="273"/>
      <c r="HL476" s="273"/>
      <c r="HM476" s="273"/>
      <c r="HN476" s="273"/>
      <c r="HO476" s="273"/>
      <c r="HP476" s="273"/>
      <c r="HQ476" s="273"/>
      <c r="HR476" s="273"/>
      <c r="HS476" s="273"/>
      <c r="HT476" s="273"/>
      <c r="HU476" s="273"/>
      <c r="HV476" s="273"/>
      <c r="HW476" s="273"/>
      <c r="HX476" s="273"/>
      <c r="HY476" s="273"/>
      <c r="HZ476" s="273"/>
      <c r="IA476" s="273"/>
      <c r="IB476" s="273"/>
      <c r="IC476" s="273"/>
      <c r="ID476" s="273"/>
      <c r="IE476" s="273"/>
      <c r="IF476" s="273"/>
      <c r="IG476" s="273"/>
      <c r="IH476" s="273"/>
      <c r="II476" s="273"/>
      <c r="IJ476" s="273"/>
      <c r="IK476" s="273"/>
      <c r="IL476" s="273"/>
      <c r="IM476" s="273"/>
      <c r="IN476" s="273"/>
      <c r="IO476" s="273"/>
      <c r="IP476" s="273"/>
      <c r="IQ476" s="273"/>
      <c r="IR476" s="273"/>
      <c r="IS476" s="273"/>
      <c r="IT476" s="273"/>
      <c r="IU476" s="273"/>
      <c r="IV476" s="273"/>
      <c r="IW476" s="273"/>
      <c r="IX476" s="273"/>
      <c r="IY476" s="273"/>
      <c r="IZ476" s="273"/>
      <c r="JA476" s="273"/>
      <c r="JB476" s="273"/>
      <c r="JC476" s="273"/>
      <c r="JD476" s="273"/>
      <c r="JE476" s="273"/>
      <c r="JF476" s="273"/>
      <c r="JG476" s="273"/>
      <c r="JH476" s="273"/>
      <c r="JI476" s="273"/>
      <c r="JJ476" s="273"/>
      <c r="JK476" s="273"/>
      <c r="JL476" s="273"/>
      <c r="JM476" s="273"/>
      <c r="JN476" s="273"/>
      <c r="JO476" s="273"/>
      <c r="JP476" s="273"/>
      <c r="JQ476" s="273"/>
      <c r="JR476" s="273"/>
      <c r="JS476" s="273"/>
      <c r="JT476" s="273"/>
      <c r="JU476" s="273"/>
      <c r="JV476" s="273"/>
      <c r="JW476" s="273"/>
      <c r="JX476" s="273"/>
      <c r="JY476" s="273"/>
      <c r="JZ476" s="273"/>
      <c r="KA476" s="273"/>
      <c r="KB476" s="273"/>
      <c r="KC476" s="273"/>
      <c r="KD476" s="273"/>
      <c r="KE476" s="273"/>
      <c r="KF476" s="273"/>
      <c r="KG476" s="273"/>
      <c r="KH476" s="273"/>
      <c r="KI476" s="273"/>
      <c r="KJ476" s="273"/>
      <c r="KK476" s="273"/>
      <c r="KL476" s="273"/>
      <c r="KM476" s="273"/>
      <c r="KN476" s="273"/>
      <c r="KO476" s="273"/>
      <c r="KP476" s="273"/>
      <c r="KQ476" s="273"/>
      <c r="KR476" s="273"/>
      <c r="KS476" s="273"/>
      <c r="KT476" s="273"/>
      <c r="KU476" s="273"/>
      <c r="KV476" s="273"/>
      <c r="KW476" s="273"/>
      <c r="KX476" s="273"/>
      <c r="KY476" s="273"/>
      <c r="KZ476" s="273"/>
      <c r="LA476" s="273"/>
      <c r="LB476" s="273"/>
      <c r="LC476" s="273"/>
      <c r="LD476" s="273"/>
      <c r="LE476" s="273"/>
      <c r="LF476" s="273"/>
      <c r="LG476" s="273"/>
      <c r="LH476" s="273"/>
      <c r="LI476" s="273"/>
      <c r="LJ476" s="273"/>
      <c r="LK476" s="273"/>
      <c r="LL476" s="273"/>
      <c r="LM476" s="273"/>
      <c r="LN476" s="273"/>
      <c r="LO476" s="273"/>
      <c r="LP476" s="273"/>
      <c r="LQ476" s="273"/>
      <c r="LR476" s="273"/>
      <c r="LS476" s="273"/>
      <c r="LT476" s="273"/>
      <c r="LU476" s="273"/>
      <c r="LV476" s="273"/>
      <c r="LW476" s="273"/>
      <c r="LX476" s="273"/>
      <c r="LY476" s="273"/>
      <c r="LZ476" s="273"/>
      <c r="MA476" s="273"/>
      <c r="MB476" s="273"/>
      <c r="MC476" s="273"/>
      <c r="MD476" s="273"/>
      <c r="ME476" s="273"/>
      <c r="MF476" s="273"/>
      <c r="MG476" s="273"/>
      <c r="MH476" s="273"/>
      <c r="MI476" s="273"/>
      <c r="MJ476" s="273"/>
      <c r="MK476" s="273"/>
      <c r="ML476" s="273"/>
      <c r="MM476" s="273"/>
      <c r="MN476" s="273"/>
      <c r="MO476" s="273"/>
      <c r="MP476" s="273"/>
      <c r="MQ476" s="273"/>
      <c r="MR476" s="273"/>
      <c r="MS476" s="273"/>
      <c r="MT476" s="273"/>
      <c r="MU476" s="273"/>
      <c r="MV476" s="273"/>
      <c r="MW476" s="273"/>
      <c r="MX476" s="273"/>
      <c r="MY476" s="273"/>
      <c r="MZ476" s="273"/>
      <c r="NA476" s="273"/>
      <c r="NB476" s="273"/>
      <c r="NC476" s="273"/>
      <c r="ND476" s="273"/>
      <c r="NE476" s="273"/>
      <c r="NF476" s="273"/>
      <c r="NG476" s="273"/>
      <c r="NH476" s="273"/>
      <c r="NI476" s="273"/>
      <c r="NJ476" s="273"/>
      <c r="NK476" s="273"/>
      <c r="NL476" s="273"/>
      <c r="NM476" s="273"/>
      <c r="NN476" s="273"/>
      <c r="NO476" s="273"/>
      <c r="NP476" s="273"/>
      <c r="NQ476" s="273"/>
      <c r="NR476" s="273"/>
      <c r="NS476" s="273"/>
      <c r="NT476" s="273"/>
      <c r="NU476" s="273"/>
      <c r="NV476" s="273"/>
      <c r="NW476" s="273"/>
      <c r="NX476" s="273"/>
      <c r="NY476" s="273"/>
      <c r="NZ476" s="273"/>
      <c r="OA476" s="273"/>
      <c r="OB476" s="273"/>
      <c r="OC476" s="273"/>
      <c r="OD476" s="273"/>
      <c r="OE476" s="273"/>
      <c r="OF476" s="273"/>
      <c r="OG476" s="273"/>
      <c r="OH476" s="273"/>
      <c r="OI476" s="273"/>
      <c r="OJ476" s="273"/>
      <c r="OK476" s="273"/>
      <c r="OL476" s="273"/>
      <c r="OM476" s="273"/>
      <c r="ON476" s="273"/>
      <c r="OO476" s="273"/>
      <c r="OP476" s="273"/>
      <c r="OQ476" s="273"/>
      <c r="OR476" s="273"/>
      <c r="OS476" s="273"/>
      <c r="OT476" s="273"/>
      <c r="OU476" s="273"/>
      <c r="OV476" s="273"/>
      <c r="OW476" s="273"/>
      <c r="OX476" s="273"/>
      <c r="OY476" s="273"/>
      <c r="OZ476" s="273"/>
      <c r="PA476" s="273"/>
      <c r="PB476" s="273"/>
      <c r="PC476" s="273"/>
      <c r="PD476" s="273"/>
      <c r="PE476" s="273"/>
      <c r="PF476" s="273"/>
      <c r="PG476" s="273"/>
      <c r="PH476" s="273"/>
      <c r="PI476" s="273"/>
      <c r="PJ476" s="273"/>
      <c r="PK476" s="273"/>
      <c r="PL476" s="273"/>
      <c r="PM476" s="273"/>
      <c r="PN476" s="273"/>
      <c r="PO476" s="273"/>
      <c r="PP476" s="273"/>
      <c r="PQ476" s="273"/>
      <c r="PR476" s="273"/>
      <c r="PS476" s="273"/>
      <c r="PT476" s="273"/>
      <c r="PU476" s="273"/>
      <c r="PV476" s="273"/>
      <c r="PW476" s="273"/>
      <c r="PX476" s="273"/>
      <c r="PY476" s="273"/>
      <c r="PZ476" s="273"/>
      <c r="QA476" s="273"/>
      <c r="QB476" s="273"/>
      <c r="QC476" s="273"/>
      <c r="QD476" s="273"/>
      <c r="QE476" s="273"/>
      <c r="QF476" s="273"/>
      <c r="QG476" s="273"/>
      <c r="QH476" s="273"/>
      <c r="QI476" s="273"/>
      <c r="QJ476" s="273"/>
      <c r="QK476" s="273"/>
      <c r="QL476" s="273"/>
      <c r="QM476" s="273"/>
      <c r="QN476" s="273"/>
      <c r="QO476" s="273"/>
      <c r="QP476" s="273"/>
      <c r="QQ476" s="273"/>
      <c r="QR476" s="273"/>
      <c r="QS476" s="273"/>
      <c r="QT476" s="273"/>
      <c r="QU476" s="273"/>
      <c r="QV476" s="273"/>
      <c r="QW476" s="273"/>
      <c r="QX476" s="273"/>
      <c r="QY476" s="273"/>
      <c r="QZ476" s="273"/>
      <c r="RA476" s="273"/>
      <c r="RB476" s="273"/>
      <c r="RC476" s="273"/>
      <c r="RD476" s="273"/>
      <c r="RE476" s="273"/>
      <c r="RF476" s="273"/>
      <c r="RG476" s="273"/>
      <c r="RH476" s="273"/>
      <c r="RI476" s="273"/>
      <c r="RJ476" s="273"/>
      <c r="RK476" s="273"/>
      <c r="RL476" s="273"/>
      <c r="RM476" s="273"/>
      <c r="RN476" s="273"/>
      <c r="RO476" s="273"/>
      <c r="RP476" s="273"/>
      <c r="RQ476" s="273"/>
    </row>
    <row r="477" spans="1:485" s="450" customFormat="1" ht="26" x14ac:dyDescent="0.25">
      <c r="A477" s="3047"/>
      <c r="B477" s="595" t="s">
        <v>1053</v>
      </c>
      <c r="C477" s="266" t="s">
        <v>15</v>
      </c>
      <c r="D477" s="467" t="s">
        <v>955</v>
      </c>
      <c r="E477" s="468">
        <v>0</v>
      </c>
      <c r="F477" s="468">
        <v>0</v>
      </c>
      <c r="G477" s="723">
        <v>0</v>
      </c>
      <c r="H477" s="451">
        <f>E477*F477*G477</f>
        <v>0</v>
      </c>
      <c r="I477" s="675"/>
      <c r="J477" s="451">
        <v>1</v>
      </c>
      <c r="K477" s="451">
        <v>40</v>
      </c>
      <c r="L477" s="451">
        <v>12</v>
      </c>
      <c r="M477" s="1834">
        <f t="shared" si="214"/>
        <v>480</v>
      </c>
      <c r="N477" s="697">
        <v>0.35</v>
      </c>
      <c r="O477" s="696">
        <f t="shared" si="213"/>
        <v>480</v>
      </c>
      <c r="P477" s="675">
        <v>1</v>
      </c>
      <c r="Q477" s="451">
        <f t="shared" si="203"/>
        <v>480</v>
      </c>
      <c r="R477" s="522" t="s">
        <v>1054</v>
      </c>
      <c r="S477" s="452">
        <f>COOPI!S69</f>
        <v>200</v>
      </c>
      <c r="T477" s="591">
        <f t="shared" si="221"/>
        <v>0.41666666666666669</v>
      </c>
      <c r="U477" s="894" t="s">
        <v>1031</v>
      </c>
      <c r="V477" s="591">
        <f t="shared" si="222"/>
        <v>0.41666666666666669</v>
      </c>
      <c r="W477" s="452">
        <f t="shared" si="220"/>
        <v>200</v>
      </c>
      <c r="X477" s="452" t="s">
        <v>1055</v>
      </c>
      <c r="Y477" s="273"/>
      <c r="Z477" s="273"/>
      <c r="AA477" s="273"/>
      <c r="AB477" s="273"/>
      <c r="AC477" s="273"/>
      <c r="AD477" s="273"/>
      <c r="AE477" s="273"/>
      <c r="AF477" s="273"/>
      <c r="AG477" s="273"/>
      <c r="AH477" s="273"/>
      <c r="AI477" s="273"/>
      <c r="AJ477" s="273"/>
      <c r="AK477" s="273"/>
      <c r="AL477" s="273"/>
      <c r="AM477" s="273"/>
      <c r="AN477" s="273"/>
      <c r="AO477" s="273"/>
      <c r="AP477" s="273"/>
      <c r="AQ477" s="273"/>
      <c r="AR477" s="273"/>
      <c r="AS477" s="273"/>
      <c r="AT477" s="273"/>
      <c r="AU477" s="273"/>
      <c r="AV477" s="273"/>
      <c r="AW477" s="273"/>
      <c r="AX477" s="273"/>
      <c r="AY477" s="273"/>
      <c r="AZ477" s="273"/>
      <c r="BA477" s="273"/>
      <c r="BB477" s="273"/>
      <c r="BC477" s="273"/>
      <c r="BD477" s="273"/>
      <c r="BE477" s="273"/>
      <c r="BF477" s="273"/>
      <c r="BG477" s="273"/>
      <c r="BH477" s="273"/>
      <c r="BI477" s="273"/>
      <c r="BJ477" s="273"/>
      <c r="BK477" s="273"/>
      <c r="BL477" s="273"/>
      <c r="BM477" s="273"/>
      <c r="BN477" s="273"/>
      <c r="BO477" s="273"/>
      <c r="BP477" s="273"/>
      <c r="BQ477" s="273"/>
      <c r="BR477" s="273"/>
      <c r="BS477" s="273"/>
      <c r="BT477" s="273"/>
      <c r="BU477" s="273"/>
      <c r="BV477" s="273"/>
      <c r="BW477" s="273"/>
      <c r="BX477" s="273"/>
      <c r="BY477" s="273"/>
      <c r="BZ477" s="273"/>
      <c r="CA477" s="273"/>
      <c r="CB477" s="273"/>
      <c r="CC477" s="273"/>
      <c r="CD477" s="273"/>
      <c r="CE477" s="273"/>
      <c r="CF477" s="273"/>
      <c r="CG477" s="273"/>
      <c r="CH477" s="273"/>
      <c r="CI477" s="273"/>
      <c r="CJ477" s="273"/>
      <c r="CK477" s="273"/>
      <c r="CL477" s="273"/>
      <c r="CM477" s="273"/>
      <c r="CN477" s="273"/>
      <c r="CO477" s="273"/>
      <c r="CP477" s="273"/>
      <c r="CQ477" s="273"/>
      <c r="CR477" s="273"/>
      <c r="CS477" s="273"/>
      <c r="CT477" s="273"/>
      <c r="CU477" s="273"/>
      <c r="CV477" s="273"/>
      <c r="CW477" s="273"/>
      <c r="CX477" s="273"/>
      <c r="CY477" s="273"/>
      <c r="CZ477" s="273"/>
      <c r="DA477" s="273"/>
      <c r="DB477" s="273"/>
      <c r="DC477" s="273"/>
      <c r="DD477" s="273"/>
      <c r="DE477" s="273"/>
      <c r="DF477" s="273"/>
      <c r="DG477" s="273"/>
      <c r="DH477" s="273"/>
      <c r="DI477" s="273"/>
      <c r="DJ477" s="273"/>
      <c r="DK477" s="273"/>
      <c r="DL477" s="273"/>
      <c r="DM477" s="273"/>
      <c r="DN477" s="273"/>
      <c r="DO477" s="273"/>
      <c r="DP477" s="273"/>
      <c r="DQ477" s="273"/>
      <c r="DR477" s="273"/>
      <c r="DS477" s="273"/>
      <c r="DT477" s="273"/>
      <c r="DU477" s="273"/>
      <c r="DV477" s="273"/>
      <c r="DW477" s="273"/>
      <c r="DX477" s="273"/>
      <c r="DY477" s="273"/>
      <c r="DZ477" s="273"/>
      <c r="EA477" s="273"/>
      <c r="EB477" s="273"/>
      <c r="EC477" s="273"/>
      <c r="ED477" s="273"/>
      <c r="EE477" s="273"/>
      <c r="EF477" s="273"/>
      <c r="EG477" s="273"/>
      <c r="EH477" s="273"/>
      <c r="EI477" s="273"/>
      <c r="EJ477" s="273"/>
      <c r="EK477" s="273"/>
      <c r="EL477" s="273"/>
      <c r="EM477" s="273"/>
      <c r="EN477" s="273"/>
      <c r="EO477" s="273"/>
      <c r="EP477" s="273"/>
      <c r="EQ477" s="273"/>
      <c r="ER477" s="273"/>
      <c r="ES477" s="273"/>
      <c r="ET477" s="273"/>
      <c r="EU477" s="273"/>
      <c r="EV477" s="273"/>
      <c r="EW477" s="273"/>
      <c r="EX477" s="273"/>
      <c r="EY477" s="273"/>
      <c r="EZ477" s="273"/>
      <c r="FA477" s="273"/>
      <c r="FB477" s="273"/>
      <c r="FC477" s="273"/>
      <c r="FD477" s="273"/>
      <c r="FE477" s="273"/>
      <c r="FF477" s="273"/>
      <c r="FG477" s="273"/>
      <c r="FH477" s="273"/>
      <c r="FI477" s="273"/>
      <c r="FJ477" s="273"/>
      <c r="FK477" s="273"/>
      <c r="FL477" s="273"/>
      <c r="FM477" s="273"/>
      <c r="FN477" s="273"/>
      <c r="FO477" s="273"/>
      <c r="FP477" s="273"/>
      <c r="FQ477" s="273"/>
      <c r="FR477" s="273"/>
      <c r="FS477" s="273"/>
      <c r="FT477" s="273"/>
      <c r="FU477" s="273"/>
      <c r="FV477" s="273"/>
      <c r="FW477" s="273"/>
      <c r="FX477" s="273"/>
      <c r="FY477" s="273"/>
      <c r="FZ477" s="273"/>
      <c r="GA477" s="273"/>
      <c r="GB477" s="273"/>
      <c r="GC477" s="273"/>
      <c r="GD477" s="273"/>
      <c r="GE477" s="273"/>
      <c r="GF477" s="273"/>
      <c r="GG477" s="273"/>
      <c r="GH477" s="273"/>
      <c r="GI477" s="273"/>
      <c r="GJ477" s="273"/>
      <c r="GK477" s="273"/>
      <c r="GL477" s="273"/>
      <c r="GM477" s="273"/>
      <c r="GN477" s="273"/>
      <c r="GO477" s="273"/>
      <c r="GP477" s="273"/>
      <c r="GQ477" s="273"/>
      <c r="GR477" s="273"/>
      <c r="GS477" s="273"/>
      <c r="GT477" s="273"/>
      <c r="GU477" s="273"/>
      <c r="GV477" s="273"/>
      <c r="GW477" s="273"/>
      <c r="GX477" s="273"/>
      <c r="GY477" s="273"/>
      <c r="GZ477" s="273"/>
      <c r="HA477" s="273"/>
      <c r="HB477" s="273"/>
      <c r="HC477" s="273"/>
      <c r="HD477" s="273"/>
      <c r="HE477" s="273"/>
      <c r="HF477" s="273"/>
      <c r="HG477" s="273"/>
      <c r="HH477" s="273"/>
      <c r="HI477" s="273"/>
      <c r="HJ477" s="273"/>
      <c r="HK477" s="273"/>
      <c r="HL477" s="273"/>
      <c r="HM477" s="273"/>
      <c r="HN477" s="273"/>
      <c r="HO477" s="273"/>
      <c r="HP477" s="273"/>
      <c r="HQ477" s="273"/>
      <c r="HR477" s="273"/>
      <c r="HS477" s="273"/>
      <c r="HT477" s="273"/>
      <c r="HU477" s="273"/>
      <c r="HV477" s="273"/>
      <c r="HW477" s="273"/>
      <c r="HX477" s="273"/>
      <c r="HY477" s="273"/>
      <c r="HZ477" s="273"/>
      <c r="IA477" s="273"/>
      <c r="IB477" s="273"/>
      <c r="IC477" s="273"/>
      <c r="ID477" s="273"/>
      <c r="IE477" s="273"/>
      <c r="IF477" s="273"/>
      <c r="IG477" s="273"/>
      <c r="IH477" s="273"/>
      <c r="II477" s="273"/>
      <c r="IJ477" s="273"/>
      <c r="IK477" s="273"/>
      <c r="IL477" s="273"/>
      <c r="IM477" s="273"/>
      <c r="IN477" s="273"/>
      <c r="IO477" s="273"/>
      <c r="IP477" s="273"/>
      <c r="IQ477" s="273"/>
      <c r="IR477" s="273"/>
      <c r="IS477" s="273"/>
      <c r="IT477" s="273"/>
      <c r="IU477" s="273"/>
      <c r="IV477" s="273"/>
      <c r="IW477" s="273"/>
      <c r="IX477" s="273"/>
      <c r="IY477" s="273"/>
      <c r="IZ477" s="273"/>
      <c r="JA477" s="273"/>
      <c r="JB477" s="273"/>
      <c r="JC477" s="273"/>
      <c r="JD477" s="273"/>
      <c r="JE477" s="273"/>
      <c r="JF477" s="273"/>
      <c r="JG477" s="273"/>
      <c r="JH477" s="273"/>
      <c r="JI477" s="273"/>
      <c r="JJ477" s="273"/>
      <c r="JK477" s="273"/>
      <c r="JL477" s="273"/>
      <c r="JM477" s="273"/>
      <c r="JN477" s="273"/>
      <c r="JO477" s="273"/>
      <c r="JP477" s="273"/>
      <c r="JQ477" s="273"/>
      <c r="JR477" s="273"/>
      <c r="JS477" s="273"/>
      <c r="JT477" s="273"/>
      <c r="JU477" s="273"/>
      <c r="JV477" s="273"/>
      <c r="JW477" s="273"/>
      <c r="JX477" s="273"/>
      <c r="JY477" s="273"/>
      <c r="JZ477" s="273"/>
      <c r="KA477" s="273"/>
      <c r="KB477" s="273"/>
      <c r="KC477" s="273"/>
      <c r="KD477" s="273"/>
      <c r="KE477" s="273"/>
      <c r="KF477" s="273"/>
      <c r="KG477" s="273"/>
      <c r="KH477" s="273"/>
      <c r="KI477" s="273"/>
      <c r="KJ477" s="273"/>
      <c r="KK477" s="273"/>
      <c r="KL477" s="273"/>
      <c r="KM477" s="273"/>
      <c r="KN477" s="273"/>
      <c r="KO477" s="273"/>
      <c r="KP477" s="273"/>
      <c r="KQ477" s="273"/>
      <c r="KR477" s="273"/>
      <c r="KS477" s="273"/>
      <c r="KT477" s="273"/>
      <c r="KU477" s="273"/>
      <c r="KV477" s="273"/>
      <c r="KW477" s="273"/>
      <c r="KX477" s="273"/>
      <c r="KY477" s="273"/>
      <c r="KZ477" s="273"/>
      <c r="LA477" s="273"/>
      <c r="LB477" s="273"/>
      <c r="LC477" s="273"/>
      <c r="LD477" s="273"/>
      <c r="LE477" s="273"/>
      <c r="LF477" s="273"/>
      <c r="LG477" s="273"/>
      <c r="LH477" s="273"/>
      <c r="LI477" s="273"/>
      <c r="LJ477" s="273"/>
      <c r="LK477" s="273"/>
      <c r="LL477" s="273"/>
      <c r="LM477" s="273"/>
      <c r="LN477" s="273"/>
      <c r="LO477" s="273"/>
      <c r="LP477" s="273"/>
      <c r="LQ477" s="273"/>
      <c r="LR477" s="273"/>
      <c r="LS477" s="273"/>
      <c r="LT477" s="273"/>
      <c r="LU477" s="273"/>
      <c r="LV477" s="273"/>
      <c r="LW477" s="273"/>
      <c r="LX477" s="273"/>
      <c r="LY477" s="273"/>
      <c r="LZ477" s="273"/>
      <c r="MA477" s="273"/>
      <c r="MB477" s="273"/>
      <c r="MC477" s="273"/>
      <c r="MD477" s="273"/>
      <c r="ME477" s="273"/>
      <c r="MF477" s="273"/>
      <c r="MG477" s="273"/>
      <c r="MH477" s="273"/>
      <c r="MI477" s="273"/>
      <c r="MJ477" s="273"/>
      <c r="MK477" s="273"/>
      <c r="ML477" s="273"/>
      <c r="MM477" s="273"/>
      <c r="MN477" s="273"/>
      <c r="MO477" s="273"/>
      <c r="MP477" s="273"/>
      <c r="MQ477" s="273"/>
      <c r="MR477" s="273"/>
      <c r="MS477" s="273"/>
      <c r="MT477" s="273"/>
      <c r="MU477" s="273"/>
      <c r="MV477" s="273"/>
      <c r="MW477" s="273"/>
      <c r="MX477" s="273"/>
      <c r="MY477" s="273"/>
      <c r="MZ477" s="273"/>
      <c r="NA477" s="273"/>
      <c r="NB477" s="273"/>
      <c r="NC477" s="273"/>
      <c r="ND477" s="273"/>
      <c r="NE477" s="273"/>
      <c r="NF477" s="273"/>
      <c r="NG477" s="273"/>
      <c r="NH477" s="273"/>
      <c r="NI477" s="273"/>
      <c r="NJ477" s="273"/>
      <c r="NK477" s="273"/>
      <c r="NL477" s="273"/>
      <c r="NM477" s="273"/>
      <c r="NN477" s="273"/>
      <c r="NO477" s="273"/>
      <c r="NP477" s="273"/>
      <c r="NQ477" s="273"/>
      <c r="NR477" s="273"/>
      <c r="NS477" s="273"/>
      <c r="NT477" s="273"/>
      <c r="NU477" s="273"/>
      <c r="NV477" s="273"/>
      <c r="NW477" s="273"/>
      <c r="NX477" s="273"/>
      <c r="NY477" s="273"/>
      <c r="NZ477" s="273"/>
      <c r="OA477" s="273"/>
      <c r="OB477" s="273"/>
      <c r="OC477" s="273"/>
      <c r="OD477" s="273"/>
      <c r="OE477" s="273"/>
      <c r="OF477" s="273"/>
      <c r="OG477" s="273"/>
      <c r="OH477" s="273"/>
      <c r="OI477" s="273"/>
      <c r="OJ477" s="273"/>
      <c r="OK477" s="273"/>
      <c r="OL477" s="273"/>
      <c r="OM477" s="273"/>
      <c r="ON477" s="273"/>
      <c r="OO477" s="273"/>
      <c r="OP477" s="273"/>
      <c r="OQ477" s="273"/>
      <c r="OR477" s="273"/>
      <c r="OS477" s="273"/>
      <c r="OT477" s="273"/>
      <c r="OU477" s="273"/>
      <c r="OV477" s="273"/>
      <c r="OW477" s="273"/>
      <c r="OX477" s="273"/>
      <c r="OY477" s="273"/>
      <c r="OZ477" s="273"/>
      <c r="PA477" s="273"/>
      <c r="PB477" s="273"/>
      <c r="PC477" s="273"/>
      <c r="PD477" s="273"/>
      <c r="PE477" s="273"/>
      <c r="PF477" s="273"/>
      <c r="PG477" s="273"/>
      <c r="PH477" s="273"/>
      <c r="PI477" s="273"/>
      <c r="PJ477" s="273"/>
      <c r="PK477" s="273"/>
      <c r="PL477" s="273"/>
      <c r="PM477" s="273"/>
      <c r="PN477" s="273"/>
      <c r="PO477" s="273"/>
      <c r="PP477" s="273"/>
      <c r="PQ477" s="273"/>
      <c r="PR477" s="273"/>
      <c r="PS477" s="273"/>
      <c r="PT477" s="273"/>
      <c r="PU477" s="273"/>
      <c r="PV477" s="273"/>
      <c r="PW477" s="273"/>
      <c r="PX477" s="273"/>
      <c r="PY477" s="273"/>
      <c r="PZ477" s="273"/>
      <c r="QA477" s="273"/>
      <c r="QB477" s="273"/>
      <c r="QC477" s="273"/>
      <c r="QD477" s="273"/>
      <c r="QE477" s="273"/>
      <c r="QF477" s="273"/>
      <c r="QG477" s="273"/>
      <c r="QH477" s="273"/>
      <c r="QI477" s="273"/>
      <c r="QJ477" s="273"/>
      <c r="QK477" s="273"/>
      <c r="QL477" s="273"/>
      <c r="QM477" s="273"/>
      <c r="QN477" s="273"/>
      <c r="QO477" s="273"/>
      <c r="QP477" s="273"/>
      <c r="QQ477" s="273"/>
      <c r="QR477" s="273"/>
      <c r="QS477" s="273"/>
      <c r="QT477" s="273"/>
      <c r="QU477" s="273"/>
      <c r="QV477" s="273"/>
      <c r="QW477" s="273"/>
      <c r="QX477" s="273"/>
      <c r="QY477" s="273"/>
      <c r="QZ477" s="273"/>
      <c r="RA477" s="273"/>
      <c r="RB477" s="273"/>
      <c r="RC477" s="273"/>
      <c r="RD477" s="273"/>
      <c r="RE477" s="273"/>
      <c r="RF477" s="273"/>
      <c r="RG477" s="273"/>
      <c r="RH477" s="273"/>
      <c r="RI477" s="273"/>
      <c r="RJ477" s="273"/>
      <c r="RK477" s="273"/>
      <c r="RL477" s="273"/>
      <c r="RM477" s="273"/>
      <c r="RN477" s="273"/>
      <c r="RO477" s="273"/>
      <c r="RP477" s="273"/>
      <c r="RQ477" s="273"/>
    </row>
    <row r="478" spans="1:485" s="454" customFormat="1" ht="15.65" customHeight="1" x14ac:dyDescent="0.25">
      <c r="A478" s="3048"/>
      <c r="B478" s="711" t="s">
        <v>573</v>
      </c>
      <c r="C478" s="711"/>
      <c r="D478" s="897"/>
      <c r="E478" s="712"/>
      <c r="F478" s="712"/>
      <c r="G478" s="712"/>
      <c r="H478" s="1123">
        <f>SUM(H470:H477)</f>
        <v>9428</v>
      </c>
      <c r="I478" s="716"/>
      <c r="J478" s="1077"/>
      <c r="K478" s="1077"/>
      <c r="L478" s="1077"/>
      <c r="M478" s="2870">
        <f>SUM(M470:M477)</f>
        <v>26900</v>
      </c>
      <c r="N478" s="716"/>
      <c r="O478" s="1672">
        <f t="shared" ref="O478:R478" si="223">SUM(O470:O477)</f>
        <v>36328</v>
      </c>
      <c r="P478" s="1672">
        <f t="shared" si="223"/>
        <v>5</v>
      </c>
      <c r="Q478" s="1672">
        <f t="shared" si="223"/>
        <v>20328</v>
      </c>
      <c r="R478" s="1672">
        <f t="shared" si="223"/>
        <v>0</v>
      </c>
      <c r="S478" s="1672">
        <f>SUM(S470:S477)</f>
        <v>40116.255559999998</v>
      </c>
      <c r="T478" s="1126">
        <f>S478/O478</f>
        <v>1.1042792215371062</v>
      </c>
      <c r="U478" s="715"/>
      <c r="V478" s="600">
        <f>W478/Q478</f>
        <v>1.0051898858717041</v>
      </c>
      <c r="W478" s="1127">
        <f>SUM(W470:W477)</f>
        <v>20433.5</v>
      </c>
      <c r="X478" s="600"/>
      <c r="Y478" s="670"/>
      <c r="Z478" s="670"/>
      <c r="AA478" s="670"/>
      <c r="AB478" s="670"/>
      <c r="AC478" s="670"/>
      <c r="AD478" s="670"/>
      <c r="AE478" s="670"/>
      <c r="AF478" s="670"/>
      <c r="AG478" s="670"/>
      <c r="AH478" s="670"/>
      <c r="AI478" s="670"/>
      <c r="AJ478" s="670"/>
      <c r="AK478" s="670"/>
      <c r="AL478" s="670"/>
      <c r="AM478" s="670"/>
      <c r="AN478" s="670"/>
      <c r="AO478" s="670"/>
      <c r="AP478" s="670"/>
      <c r="AQ478" s="670"/>
    </row>
    <row r="479" spans="1:485" s="1132" customFormat="1" x14ac:dyDescent="0.25">
      <c r="A479" s="3009" t="s">
        <v>1056</v>
      </c>
      <c r="B479" s="3010"/>
      <c r="C479" s="1846"/>
      <c r="D479" s="903"/>
      <c r="E479" s="1131"/>
      <c r="F479" s="1131"/>
      <c r="G479" s="1131"/>
      <c r="H479" s="476">
        <f>H444+H451+H469+H478</f>
        <v>141693.47500000001</v>
      </c>
      <c r="I479" s="677"/>
      <c r="J479" s="1117"/>
      <c r="K479" s="1117"/>
      <c r="L479" s="1117"/>
      <c r="M479" s="2869">
        <f>M444+M451+M469+M478</f>
        <v>191702.25</v>
      </c>
      <c r="N479" s="1118"/>
      <c r="O479" s="1122">
        <f t="shared" ref="O479:R479" si="224">O444+O451+O469+O478</f>
        <v>333395.72499999998</v>
      </c>
      <c r="P479" s="1122">
        <f t="shared" si="224"/>
        <v>18.074000000000002</v>
      </c>
      <c r="Q479" s="1122">
        <f t="shared" si="224"/>
        <v>247871.28939814816</v>
      </c>
      <c r="R479" s="1122">
        <f t="shared" si="224"/>
        <v>0</v>
      </c>
      <c r="S479" s="1122">
        <f>S444+S451+S469+S478</f>
        <v>328161.89825736621</v>
      </c>
      <c r="T479" s="1120">
        <f>S479/O479</f>
        <v>0.98430145814667014</v>
      </c>
      <c r="U479" s="1121"/>
      <c r="V479" s="1120">
        <f>W479/Q479</f>
        <v>0.94234270340810988</v>
      </c>
      <c r="W479" s="1122">
        <f>W444+W451+W469+W478</f>
        <v>233579.70094870491</v>
      </c>
      <c r="X479" s="1122"/>
    </row>
    <row r="480" spans="1:485" s="461" customFormat="1" x14ac:dyDescent="0.25">
      <c r="A480" s="2991" t="s">
        <v>137</v>
      </c>
      <c r="B480" s="2992"/>
      <c r="C480" s="2992"/>
      <c r="D480" s="2992"/>
      <c r="E480" s="2992"/>
      <c r="F480" s="2992"/>
      <c r="G480" s="2992"/>
      <c r="H480" s="2992"/>
      <c r="I480" s="2992"/>
      <c r="J480" s="2992"/>
      <c r="K480" s="2992"/>
      <c r="L480" s="2992"/>
      <c r="M480" s="2992"/>
      <c r="N480" s="2992"/>
      <c r="O480" s="2992"/>
      <c r="P480" s="2992"/>
      <c r="Q480" s="2992"/>
      <c r="R480" s="2992"/>
      <c r="S480" s="2992"/>
      <c r="T480" s="2992"/>
      <c r="U480" s="2992"/>
      <c r="V480" s="2992"/>
      <c r="W480" s="2992"/>
      <c r="X480" s="2992"/>
    </row>
    <row r="481" spans="1:24" s="450" customFormat="1" ht="39" x14ac:dyDescent="0.25">
      <c r="A481" s="3017"/>
      <c r="B481" s="595" t="s">
        <v>138</v>
      </c>
      <c r="C481" s="266" t="s">
        <v>118</v>
      </c>
      <c r="D481" s="467" t="s">
        <v>100</v>
      </c>
      <c r="E481" s="724">
        <v>1</v>
      </c>
      <c r="F481" s="1743">
        <v>30000</v>
      </c>
      <c r="G481" s="266">
        <v>1</v>
      </c>
      <c r="H481" s="451">
        <f>E481*F481*G481</f>
        <v>30000</v>
      </c>
      <c r="I481" s="675">
        <v>0</v>
      </c>
      <c r="J481" s="676">
        <v>0</v>
      </c>
      <c r="K481" s="676">
        <v>0</v>
      </c>
      <c r="L481" s="676">
        <v>0</v>
      </c>
      <c r="M481" s="1834">
        <v>0</v>
      </c>
      <c r="N481" s="675">
        <v>0</v>
      </c>
      <c r="O481" s="696">
        <f t="shared" ref="O481:O491" si="225">+H481+M481</f>
        <v>30000</v>
      </c>
      <c r="P481" s="675">
        <v>0</v>
      </c>
      <c r="Q481" s="451">
        <f t="shared" ref="Q481:Q491" si="226">O481*P481</f>
        <v>0</v>
      </c>
      <c r="R481" s="522" t="s">
        <v>150</v>
      </c>
      <c r="S481" s="706">
        <f>UNHABITAT!V47</f>
        <v>29718.1</v>
      </c>
      <c r="T481" s="591">
        <f t="shared" ref="T481:T489" si="227">S481/H481</f>
        <v>0.99060333333333328</v>
      </c>
      <c r="U481" s="595" t="s">
        <v>716</v>
      </c>
      <c r="V481" s="591">
        <v>0</v>
      </c>
      <c r="W481" s="706">
        <v>0</v>
      </c>
      <c r="X481" s="266" t="s">
        <v>716</v>
      </c>
    </row>
    <row r="482" spans="1:24" s="450" customFormat="1" ht="39" x14ac:dyDescent="0.25">
      <c r="A482" s="3018"/>
      <c r="B482" s="595" t="s">
        <v>139</v>
      </c>
      <c r="C482" s="266" t="s">
        <v>15</v>
      </c>
      <c r="D482" s="467" t="s">
        <v>100</v>
      </c>
      <c r="E482" s="724">
        <v>1</v>
      </c>
      <c r="F482" s="1743">
        <v>15000</v>
      </c>
      <c r="G482" s="266">
        <v>1</v>
      </c>
      <c r="H482" s="451">
        <f t="shared" ref="H482:H491" si="228">E482*F482*G482</f>
        <v>15000</v>
      </c>
      <c r="I482" s="675">
        <v>0</v>
      </c>
      <c r="J482" s="676">
        <v>0</v>
      </c>
      <c r="K482" s="676">
        <v>0</v>
      </c>
      <c r="L482" s="676">
        <v>0</v>
      </c>
      <c r="M482" s="1834">
        <v>0</v>
      </c>
      <c r="N482" s="675">
        <v>0</v>
      </c>
      <c r="O482" s="696">
        <f t="shared" si="225"/>
        <v>15000</v>
      </c>
      <c r="P482" s="675">
        <v>0</v>
      </c>
      <c r="Q482" s="451">
        <f t="shared" si="226"/>
        <v>0</v>
      </c>
      <c r="R482" s="522" t="s">
        <v>151</v>
      </c>
      <c r="S482" s="706">
        <f>UNHABITAT!V48</f>
        <v>14870</v>
      </c>
      <c r="T482" s="591">
        <f t="shared" si="227"/>
        <v>0.99133333333333329</v>
      </c>
      <c r="U482" s="595" t="s">
        <v>191</v>
      </c>
      <c r="V482" s="591">
        <v>0</v>
      </c>
      <c r="W482" s="706">
        <v>0</v>
      </c>
      <c r="X482" s="266" t="s">
        <v>191</v>
      </c>
    </row>
    <row r="483" spans="1:24" s="450" customFormat="1" ht="37.5" x14ac:dyDescent="0.25">
      <c r="A483" s="3018"/>
      <c r="B483" s="595" t="s">
        <v>140</v>
      </c>
      <c r="C483" s="266" t="s">
        <v>14</v>
      </c>
      <c r="D483" s="467" t="s">
        <v>100</v>
      </c>
      <c r="E483" s="724">
        <v>1</v>
      </c>
      <c r="F483" s="1743">
        <v>4942.3100000000004</v>
      </c>
      <c r="G483" s="266">
        <v>12</v>
      </c>
      <c r="H483" s="451">
        <f t="shared" si="228"/>
        <v>59307.72</v>
      </c>
      <c r="I483" s="675">
        <v>0</v>
      </c>
      <c r="J483" s="437">
        <v>1</v>
      </c>
      <c r="K483" s="1796">
        <v>4942.3100000000004</v>
      </c>
      <c r="L483" s="437">
        <v>14</v>
      </c>
      <c r="M483" s="1834">
        <f t="shared" ref="M483:M491" si="229">J483*K483*L483</f>
        <v>69192.340000000011</v>
      </c>
      <c r="N483" s="675">
        <v>0</v>
      </c>
      <c r="O483" s="696">
        <f t="shared" si="225"/>
        <v>128500.06000000001</v>
      </c>
      <c r="P483" s="675"/>
      <c r="Q483" s="451">
        <f t="shared" si="226"/>
        <v>0</v>
      </c>
      <c r="R483" s="522"/>
      <c r="S483" s="706">
        <f>UNHABITAT!V49</f>
        <v>121919.55</v>
      </c>
      <c r="T483" s="591">
        <f>S483/O483</f>
        <v>0.94878982935883449</v>
      </c>
      <c r="U483" s="1044" t="s">
        <v>1495</v>
      </c>
      <c r="V483" s="591">
        <v>0</v>
      </c>
      <c r="W483" s="706">
        <v>0</v>
      </c>
      <c r="X483" s="1044" t="s">
        <v>1495</v>
      </c>
    </row>
    <row r="484" spans="1:24" s="450" customFormat="1" ht="39" x14ac:dyDescent="0.25">
      <c r="A484" s="3018"/>
      <c r="B484" s="595" t="s">
        <v>141</v>
      </c>
      <c r="C484" s="266" t="s">
        <v>149</v>
      </c>
      <c r="D484" s="467" t="s">
        <v>100</v>
      </c>
      <c r="E484" s="724">
        <v>1</v>
      </c>
      <c r="F484" s="1743">
        <v>8333.33</v>
      </c>
      <c r="G484" s="266">
        <v>3</v>
      </c>
      <c r="H484" s="451">
        <f t="shared" si="228"/>
        <v>24999.989999999998</v>
      </c>
      <c r="I484" s="675">
        <v>0</v>
      </c>
      <c r="J484" s="437">
        <v>1</v>
      </c>
      <c r="K484" s="1796">
        <v>8333.33</v>
      </c>
      <c r="L484" s="437">
        <v>3</v>
      </c>
      <c r="M484" s="1834">
        <f t="shared" si="229"/>
        <v>24999.989999999998</v>
      </c>
      <c r="N484" s="675">
        <v>0</v>
      </c>
      <c r="O484" s="696">
        <f t="shared" si="225"/>
        <v>49999.979999999996</v>
      </c>
      <c r="P484" s="675"/>
      <c r="Q484" s="451">
        <f t="shared" si="226"/>
        <v>0</v>
      </c>
      <c r="R484" s="522" t="s">
        <v>152</v>
      </c>
      <c r="S484" s="706">
        <f>UNHABITAT!V50</f>
        <v>50828.43</v>
      </c>
      <c r="T484" s="591">
        <f t="shared" si="227"/>
        <v>2.0331380132552055</v>
      </c>
      <c r="U484" s="595" t="s">
        <v>717</v>
      </c>
      <c r="V484" s="591">
        <v>0</v>
      </c>
      <c r="W484" s="706">
        <v>0</v>
      </c>
      <c r="X484" s="266" t="s">
        <v>717</v>
      </c>
    </row>
    <row r="485" spans="1:24" s="450" customFormat="1" ht="39" x14ac:dyDescent="0.25">
      <c r="A485" s="3018"/>
      <c r="B485" s="595" t="s">
        <v>142</v>
      </c>
      <c r="C485" s="266" t="s">
        <v>15</v>
      </c>
      <c r="D485" s="467" t="s">
        <v>100</v>
      </c>
      <c r="E485" s="724">
        <v>1</v>
      </c>
      <c r="F485" s="1743">
        <v>1500</v>
      </c>
      <c r="G485" s="266">
        <v>3</v>
      </c>
      <c r="H485" s="451">
        <f t="shared" si="228"/>
        <v>4500</v>
      </c>
      <c r="I485" s="675">
        <v>0</v>
      </c>
      <c r="J485" s="437">
        <v>1</v>
      </c>
      <c r="K485" s="1796">
        <v>1500</v>
      </c>
      <c r="L485" s="437">
        <v>3</v>
      </c>
      <c r="M485" s="1834">
        <f t="shared" si="229"/>
        <v>4500</v>
      </c>
      <c r="N485" s="675">
        <v>0</v>
      </c>
      <c r="O485" s="696">
        <f t="shared" si="225"/>
        <v>9000</v>
      </c>
      <c r="P485" s="675"/>
      <c r="Q485" s="451">
        <f t="shared" si="226"/>
        <v>0</v>
      </c>
      <c r="R485" s="894"/>
      <c r="S485" s="706">
        <f>UNHABITAT!V51</f>
        <v>8508.64</v>
      </c>
      <c r="T485" s="591">
        <f t="shared" si="227"/>
        <v>1.8908088888888888</v>
      </c>
      <c r="U485" s="595" t="s">
        <v>718</v>
      </c>
      <c r="V485" s="591">
        <v>0</v>
      </c>
      <c r="W485" s="706">
        <v>0</v>
      </c>
      <c r="X485" s="266" t="s">
        <v>718</v>
      </c>
    </row>
    <row r="486" spans="1:24" s="450" customFormat="1" ht="52" x14ac:dyDescent="0.25">
      <c r="A486" s="3018"/>
      <c r="B486" s="595" t="s">
        <v>143</v>
      </c>
      <c r="C486" s="266" t="s">
        <v>15</v>
      </c>
      <c r="D486" s="467" t="s">
        <v>100</v>
      </c>
      <c r="E486" s="724">
        <v>1</v>
      </c>
      <c r="F486" s="1743">
        <v>10000</v>
      </c>
      <c r="G486" s="266">
        <v>1</v>
      </c>
      <c r="H486" s="451">
        <f t="shared" si="228"/>
        <v>10000</v>
      </c>
      <c r="I486" s="675">
        <v>0</v>
      </c>
      <c r="J486" s="676">
        <v>0</v>
      </c>
      <c r="K486" s="676">
        <v>0</v>
      </c>
      <c r="L486" s="676">
        <v>0</v>
      </c>
      <c r="M486" s="1834">
        <v>0</v>
      </c>
      <c r="N486" s="675">
        <v>0</v>
      </c>
      <c r="O486" s="696">
        <f t="shared" si="225"/>
        <v>10000</v>
      </c>
      <c r="P486" s="675"/>
      <c r="Q486" s="451">
        <f t="shared" si="226"/>
        <v>0</v>
      </c>
      <c r="R486" s="894"/>
      <c r="S486" s="706">
        <f>UNHABITAT!V52</f>
        <v>9664.68</v>
      </c>
      <c r="T486" s="591">
        <f t="shared" si="227"/>
        <v>0.96646799999999999</v>
      </c>
      <c r="U486" s="595" t="s">
        <v>719</v>
      </c>
      <c r="V486" s="591">
        <v>0</v>
      </c>
      <c r="W486" s="706">
        <v>0</v>
      </c>
      <c r="X486" s="266" t="s">
        <v>719</v>
      </c>
    </row>
    <row r="487" spans="1:24" s="450" customFormat="1" ht="39" x14ac:dyDescent="0.25">
      <c r="A487" s="3018"/>
      <c r="B487" s="595" t="s">
        <v>144</v>
      </c>
      <c r="C487" s="266" t="s">
        <v>19</v>
      </c>
      <c r="D487" s="467" t="s">
        <v>100</v>
      </c>
      <c r="E487" s="724">
        <v>1</v>
      </c>
      <c r="F487" s="1743">
        <v>500</v>
      </c>
      <c r="G487" s="266">
        <v>12</v>
      </c>
      <c r="H487" s="451">
        <f t="shared" si="228"/>
        <v>6000</v>
      </c>
      <c r="I487" s="675">
        <v>0</v>
      </c>
      <c r="J487" s="437">
        <v>1</v>
      </c>
      <c r="K487" s="1796">
        <v>500</v>
      </c>
      <c r="L487" s="437">
        <v>12</v>
      </c>
      <c r="M487" s="1834">
        <f t="shared" si="229"/>
        <v>6000</v>
      </c>
      <c r="N487" s="675">
        <v>0</v>
      </c>
      <c r="O487" s="696">
        <f t="shared" si="225"/>
        <v>12000</v>
      </c>
      <c r="P487" s="675"/>
      <c r="Q487" s="451">
        <f t="shared" si="226"/>
        <v>0</v>
      </c>
      <c r="R487" s="522" t="s">
        <v>153</v>
      </c>
      <c r="S487" s="706">
        <f>UNHABITAT!V53</f>
        <v>10000</v>
      </c>
      <c r="T487" s="591">
        <f t="shared" si="227"/>
        <v>1.6666666666666667</v>
      </c>
      <c r="U487" s="595" t="s">
        <v>192</v>
      </c>
      <c r="V487" s="591">
        <v>0</v>
      </c>
      <c r="W487" s="706">
        <v>0</v>
      </c>
      <c r="X487" s="266" t="s">
        <v>192</v>
      </c>
    </row>
    <row r="488" spans="1:24" s="450" customFormat="1" ht="26" x14ac:dyDescent="0.25">
      <c r="A488" s="3018"/>
      <c r="B488" s="595" t="s">
        <v>145</v>
      </c>
      <c r="C488" s="266" t="s">
        <v>19</v>
      </c>
      <c r="D488" s="467" t="s">
        <v>100</v>
      </c>
      <c r="E488" s="724">
        <v>1</v>
      </c>
      <c r="F488" s="1743">
        <v>7500</v>
      </c>
      <c r="G488" s="266">
        <v>1</v>
      </c>
      <c r="H488" s="451">
        <f t="shared" si="228"/>
        <v>7500</v>
      </c>
      <c r="I488" s="675">
        <v>0</v>
      </c>
      <c r="J488" s="437">
        <v>1</v>
      </c>
      <c r="K488" s="1796">
        <v>7500</v>
      </c>
      <c r="L488" s="437">
        <v>1</v>
      </c>
      <c r="M488" s="1834">
        <f t="shared" si="229"/>
        <v>7500</v>
      </c>
      <c r="N488" s="675">
        <v>0</v>
      </c>
      <c r="O488" s="696">
        <f t="shared" si="225"/>
        <v>15000</v>
      </c>
      <c r="P488" s="675"/>
      <c r="Q488" s="451">
        <f t="shared" si="226"/>
        <v>0</v>
      </c>
      <c r="R488" s="522" t="s">
        <v>154</v>
      </c>
      <c r="S488" s="706">
        <f>UNHABITAT!V54</f>
        <v>9904.6</v>
      </c>
      <c r="T488" s="591">
        <f t="shared" si="227"/>
        <v>1.3206133333333334</v>
      </c>
      <c r="U488" s="595" t="s">
        <v>562</v>
      </c>
      <c r="V488" s="591">
        <v>0</v>
      </c>
      <c r="W488" s="706">
        <v>0</v>
      </c>
      <c r="X488" s="266" t="s">
        <v>562</v>
      </c>
    </row>
    <row r="489" spans="1:24" s="450" customFormat="1" ht="52" x14ac:dyDescent="0.25">
      <c r="A489" s="3018"/>
      <c r="B489" s="595" t="s">
        <v>146</v>
      </c>
      <c r="C489" s="266" t="s">
        <v>15</v>
      </c>
      <c r="D489" s="467" t="s">
        <v>100</v>
      </c>
      <c r="E489" s="724">
        <v>1</v>
      </c>
      <c r="F489" s="1743">
        <v>1750</v>
      </c>
      <c r="G489" s="266">
        <v>3</v>
      </c>
      <c r="H489" s="451">
        <f t="shared" si="228"/>
        <v>5250</v>
      </c>
      <c r="I489" s="675">
        <v>0</v>
      </c>
      <c r="J489" s="437">
        <v>1</v>
      </c>
      <c r="K489" s="1796">
        <v>1750</v>
      </c>
      <c r="L489" s="437">
        <v>3</v>
      </c>
      <c r="M489" s="1834">
        <f t="shared" si="229"/>
        <v>5250</v>
      </c>
      <c r="N489" s="675">
        <v>0</v>
      </c>
      <c r="O489" s="696">
        <f t="shared" si="225"/>
        <v>10500</v>
      </c>
      <c r="P489" s="675"/>
      <c r="Q489" s="451">
        <f t="shared" si="226"/>
        <v>0</v>
      </c>
      <c r="R489" s="522" t="s">
        <v>155</v>
      </c>
      <c r="S489" s="706">
        <f>UNHABITAT!V55</f>
        <v>11653.380000000001</v>
      </c>
      <c r="T489" s="591">
        <f t="shared" si="227"/>
        <v>2.2196914285714286</v>
      </c>
      <c r="U489" s="595" t="s">
        <v>720</v>
      </c>
      <c r="V489" s="591">
        <v>0</v>
      </c>
      <c r="W489" s="706">
        <v>0</v>
      </c>
      <c r="X489" s="266" t="s">
        <v>720</v>
      </c>
    </row>
    <row r="490" spans="1:24" s="450" customFormat="1" x14ac:dyDescent="0.25">
      <c r="A490" s="3018"/>
      <c r="B490" s="595" t="s">
        <v>147</v>
      </c>
      <c r="C490" s="266" t="s">
        <v>15</v>
      </c>
      <c r="D490" s="467" t="s">
        <v>100</v>
      </c>
      <c r="E490" s="724"/>
      <c r="F490" s="1743"/>
      <c r="G490" s="266"/>
      <c r="H490" s="451">
        <f t="shared" si="228"/>
        <v>0</v>
      </c>
      <c r="I490" s="675">
        <v>0</v>
      </c>
      <c r="J490" s="437">
        <v>1</v>
      </c>
      <c r="K490" s="1796">
        <v>10000</v>
      </c>
      <c r="L490" s="437">
        <v>1</v>
      </c>
      <c r="M490" s="1834">
        <f t="shared" si="229"/>
        <v>10000</v>
      </c>
      <c r="N490" s="675">
        <v>0</v>
      </c>
      <c r="O490" s="696">
        <f t="shared" si="225"/>
        <v>10000</v>
      </c>
      <c r="P490" s="675"/>
      <c r="Q490" s="451">
        <f t="shared" si="226"/>
        <v>0</v>
      </c>
      <c r="R490" s="894" t="s">
        <v>156</v>
      </c>
      <c r="S490" s="706">
        <f>UNHABITAT!V56</f>
        <v>9986.8799999999992</v>
      </c>
      <c r="T490" s="591">
        <v>0</v>
      </c>
      <c r="U490" s="541"/>
      <c r="V490" s="591">
        <v>0</v>
      </c>
      <c r="W490" s="706">
        <v>0</v>
      </c>
      <c r="X490" s="594"/>
    </row>
    <row r="491" spans="1:24" s="450" customFormat="1" ht="39" x14ac:dyDescent="0.25">
      <c r="A491" s="3019"/>
      <c r="B491" s="595" t="s">
        <v>148</v>
      </c>
      <c r="C491" s="266" t="s">
        <v>118</v>
      </c>
      <c r="D491" s="467" t="s">
        <v>100</v>
      </c>
      <c r="E491" s="724"/>
      <c r="F491" s="1743"/>
      <c r="G491" s="266"/>
      <c r="H491" s="451">
        <f t="shared" si="228"/>
        <v>0</v>
      </c>
      <c r="I491" s="675">
        <v>0</v>
      </c>
      <c r="J491" s="437">
        <v>1</v>
      </c>
      <c r="K491" s="1796">
        <v>35000</v>
      </c>
      <c r="L491" s="437">
        <v>1</v>
      </c>
      <c r="M491" s="1834">
        <f t="shared" si="229"/>
        <v>35000</v>
      </c>
      <c r="N491" s="675">
        <v>0</v>
      </c>
      <c r="O491" s="696">
        <f t="shared" si="225"/>
        <v>35000</v>
      </c>
      <c r="P491" s="675"/>
      <c r="Q491" s="451">
        <f t="shared" si="226"/>
        <v>0</v>
      </c>
      <c r="R491" s="522" t="s">
        <v>157</v>
      </c>
      <c r="S491" s="706">
        <f>UNHABITAT!V57</f>
        <v>35350</v>
      </c>
      <c r="T491" s="591">
        <v>0</v>
      </c>
      <c r="U491" s="541"/>
      <c r="V491" s="591">
        <v>0</v>
      </c>
      <c r="W491" s="706">
        <v>0</v>
      </c>
      <c r="X491" s="594"/>
    </row>
    <row r="492" spans="1:24" s="454" customFormat="1" x14ac:dyDescent="0.25">
      <c r="A492" s="2983" t="s">
        <v>158</v>
      </c>
      <c r="B492" s="2984"/>
      <c r="C492" s="593"/>
      <c r="D492" s="903" t="s">
        <v>0</v>
      </c>
      <c r="E492" s="1131"/>
      <c r="F492" s="1055"/>
      <c r="G492" s="593"/>
      <c r="H492" s="476">
        <f>SUM(H481:H491)</f>
        <v>162557.71</v>
      </c>
      <c r="I492" s="677"/>
      <c r="J492" s="1080"/>
      <c r="K492" s="1080"/>
      <c r="L492" s="1080"/>
      <c r="M492" s="2876">
        <f>SUM(M481:M491)</f>
        <v>162442.33000000002</v>
      </c>
      <c r="N492" s="677"/>
      <c r="O492" s="704">
        <f t="shared" ref="O492:R492" si="230">SUM(O481:O491)</f>
        <v>325000.03999999998</v>
      </c>
      <c r="P492" s="704">
        <f t="shared" si="230"/>
        <v>0</v>
      </c>
      <c r="Q492" s="704">
        <f t="shared" si="230"/>
        <v>0</v>
      </c>
      <c r="R492" s="704">
        <f t="shared" si="230"/>
        <v>0</v>
      </c>
      <c r="S492" s="704">
        <f>SUM(S481:S491)</f>
        <v>312404.25999999995</v>
      </c>
      <c r="T492" s="1056">
        <f>S492/H492</f>
        <v>1.9218052468873974</v>
      </c>
      <c r="U492" s="895"/>
      <c r="V492" s="1056">
        <v>0</v>
      </c>
      <c r="W492" s="704">
        <f>SUM(W481:W491)</f>
        <v>0</v>
      </c>
      <c r="X492" s="678"/>
    </row>
    <row r="493" spans="1:24" s="1132" customFormat="1" ht="21" customHeight="1" x14ac:dyDescent="0.25">
      <c r="A493" s="3039" t="s">
        <v>53</v>
      </c>
      <c r="B493" s="3040"/>
      <c r="C493" s="3041"/>
      <c r="D493" s="1133"/>
      <c r="E493" s="1134"/>
      <c r="F493" s="1134"/>
      <c r="G493" s="1134"/>
      <c r="H493" s="1135">
        <f>H107+H128+H178+H208+H282+H416+H479+H492</f>
        <v>2071989.6850000001</v>
      </c>
      <c r="I493" s="1136"/>
      <c r="J493" s="1137"/>
      <c r="K493" s="1137"/>
      <c r="L493" s="1137"/>
      <c r="M493" s="2877">
        <f>M107+M128+M178+M208+M282+M416+M479+M492</f>
        <v>2222710.88</v>
      </c>
      <c r="N493" s="1136"/>
      <c r="O493" s="1142">
        <f t="shared" ref="O493:R493" si="231">O107+O128+O178+O208+O282+O416+O479+O492</f>
        <v>4294700.5650000004</v>
      </c>
      <c r="P493" s="1142">
        <f t="shared" si="231"/>
        <v>63.793999999999997</v>
      </c>
      <c r="Q493" s="1142">
        <f t="shared" si="231"/>
        <v>1552492.3593981483</v>
      </c>
      <c r="R493" s="1142">
        <f t="shared" si="231"/>
        <v>0</v>
      </c>
      <c r="S493" s="1142">
        <f>S107+S128+S178+S208+S282+S416+S479+S492</f>
        <v>3978740.8802573662</v>
      </c>
      <c r="T493" s="1140">
        <f>S493/O493</f>
        <v>0.92643033432468558</v>
      </c>
      <c r="U493" s="1141"/>
      <c r="V493" s="1140">
        <f>W493/Q493</f>
        <v>0.88678689226040341</v>
      </c>
      <c r="W493" s="1142">
        <f>W107+W128+W178+W208+W282+W416+W479+W492</f>
        <v>1376729.8746487051</v>
      </c>
      <c r="X493" s="1142"/>
    </row>
    <row r="494" spans="1:24" s="281" customFormat="1" ht="29.5" customHeight="1" x14ac:dyDescent="0.25">
      <c r="A494" s="2988" t="s">
        <v>85</v>
      </c>
      <c r="B494" s="2989"/>
      <c r="C494" s="2989"/>
      <c r="D494" s="2989"/>
      <c r="E494" s="2989"/>
      <c r="F494" s="2989"/>
      <c r="G494" s="2989"/>
      <c r="H494" s="2989"/>
      <c r="I494" s="2989"/>
      <c r="J494" s="2989"/>
      <c r="K494" s="2989"/>
      <c r="L494" s="2989"/>
      <c r="M494" s="2989"/>
      <c r="N494" s="2989"/>
      <c r="O494" s="2989"/>
      <c r="P494" s="2989"/>
      <c r="Q494" s="2989"/>
      <c r="R494" s="2989"/>
      <c r="S494" s="2989"/>
      <c r="T494" s="2989"/>
      <c r="U494" s="2989"/>
      <c r="V494" s="2989"/>
      <c r="W494" s="2989"/>
      <c r="X494" s="2989"/>
    </row>
    <row r="495" spans="1:24" s="281" customFormat="1" x14ac:dyDescent="0.25">
      <c r="A495" s="1682" t="s">
        <v>54</v>
      </c>
      <c r="B495" s="282"/>
      <c r="C495" s="282"/>
      <c r="D495" s="898"/>
      <c r="E495" s="686"/>
      <c r="F495" s="686"/>
      <c r="G495" s="686"/>
      <c r="H495" s="700"/>
      <c r="I495" s="688"/>
      <c r="J495" s="1081"/>
      <c r="K495" s="1081"/>
      <c r="L495" s="1081"/>
      <c r="M495" s="2878"/>
      <c r="N495" s="688"/>
      <c r="O495" s="700"/>
      <c r="P495" s="688"/>
      <c r="Q495" s="700"/>
      <c r="R495" s="2492"/>
      <c r="S495" s="705"/>
      <c r="T495" s="687"/>
      <c r="U495" s="1683"/>
      <c r="V495" s="687"/>
      <c r="W495" s="705"/>
      <c r="X495" s="283"/>
    </row>
    <row r="496" spans="1:24" s="450" customFormat="1" ht="25" x14ac:dyDescent="0.25">
      <c r="A496" s="539" t="s">
        <v>159</v>
      </c>
      <c r="B496" s="541" t="s">
        <v>164</v>
      </c>
      <c r="C496" s="1720" t="s">
        <v>14</v>
      </c>
      <c r="D496" s="467" t="s">
        <v>100</v>
      </c>
      <c r="E496" s="724">
        <v>1</v>
      </c>
      <c r="F496" s="1765">
        <v>3660</v>
      </c>
      <c r="G496" s="266">
        <v>12</v>
      </c>
      <c r="H496" s="451">
        <f>E496*F496*G496</f>
        <v>43920</v>
      </c>
      <c r="I496" s="675">
        <v>0</v>
      </c>
      <c r="J496" s="437">
        <v>1</v>
      </c>
      <c r="K496" s="1796">
        <v>3660</v>
      </c>
      <c r="L496" s="437">
        <v>12</v>
      </c>
      <c r="M496" s="1834">
        <f>J496*K496*L496</f>
        <v>43920</v>
      </c>
      <c r="N496" s="675">
        <v>0</v>
      </c>
      <c r="O496" s="696">
        <f t="shared" ref="O496:O523" si="232">+H496+M496</f>
        <v>87840</v>
      </c>
      <c r="P496" s="675"/>
      <c r="Q496" s="451">
        <f t="shared" ref="Q496:Q560" si="233">O496*P496</f>
        <v>0</v>
      </c>
      <c r="R496" s="540" t="s">
        <v>165</v>
      </c>
      <c r="S496" s="1860">
        <f>UNHABITAT!V62</f>
        <v>92104.53</v>
      </c>
      <c r="T496" s="591">
        <f>S496/O496</f>
        <v>1.0485488387978141</v>
      </c>
      <c r="U496" s="1044" t="s">
        <v>1496</v>
      </c>
      <c r="V496" s="591">
        <v>0</v>
      </c>
      <c r="W496" s="706">
        <f>P496*S496</f>
        <v>0</v>
      </c>
      <c r="X496" s="1044" t="s">
        <v>1496</v>
      </c>
    </row>
    <row r="497" spans="1:43" s="450" customFormat="1" ht="25" x14ac:dyDescent="0.25">
      <c r="A497" s="1781" t="s">
        <v>160</v>
      </c>
      <c r="B497" s="541" t="s">
        <v>164</v>
      </c>
      <c r="C497" s="1720" t="s">
        <v>14</v>
      </c>
      <c r="D497" s="467" t="s">
        <v>100</v>
      </c>
      <c r="E497" s="724">
        <v>1</v>
      </c>
      <c r="F497" s="1765">
        <v>2714</v>
      </c>
      <c r="G497" s="266">
        <v>12</v>
      </c>
      <c r="H497" s="451">
        <f>E497*F497*G497</f>
        <v>32568</v>
      </c>
      <c r="I497" s="675">
        <v>0</v>
      </c>
      <c r="J497" s="437">
        <v>1</v>
      </c>
      <c r="K497" s="1796">
        <v>2714</v>
      </c>
      <c r="L497" s="437">
        <v>12</v>
      </c>
      <c r="M497" s="1834">
        <f>J497*K497*L497</f>
        <v>32568</v>
      </c>
      <c r="N497" s="675">
        <v>0</v>
      </c>
      <c r="O497" s="696">
        <f t="shared" si="232"/>
        <v>65136</v>
      </c>
      <c r="P497" s="675"/>
      <c r="Q497" s="451">
        <f t="shared" si="233"/>
        <v>0</v>
      </c>
      <c r="R497" s="540" t="s">
        <v>166</v>
      </c>
      <c r="S497" s="1860">
        <f>UNHABITAT!V63</f>
        <v>68058.44</v>
      </c>
      <c r="T497" s="591">
        <f t="shared" ref="T497:T561" si="234">S497/O497</f>
        <v>1.0448667403586342</v>
      </c>
      <c r="U497" s="1044" t="s">
        <v>1496</v>
      </c>
      <c r="V497" s="591">
        <v>0</v>
      </c>
      <c r="W497" s="706">
        <f t="shared" ref="W497:W561" si="235">P497*S497</f>
        <v>0</v>
      </c>
      <c r="X497" s="1044" t="s">
        <v>1496</v>
      </c>
    </row>
    <row r="498" spans="1:43" s="450" customFormat="1" ht="25" x14ac:dyDescent="0.25">
      <c r="A498" s="539" t="s">
        <v>161</v>
      </c>
      <c r="B498" s="541" t="s">
        <v>164</v>
      </c>
      <c r="C498" s="1720" t="s">
        <v>14</v>
      </c>
      <c r="D498" s="467" t="s">
        <v>100</v>
      </c>
      <c r="E498" s="724">
        <v>1</v>
      </c>
      <c r="F498" s="1765">
        <v>2714</v>
      </c>
      <c r="G498" s="266">
        <v>12</v>
      </c>
      <c r="H498" s="451">
        <f>E498*F498*G498</f>
        <v>32568</v>
      </c>
      <c r="I498" s="675">
        <v>0</v>
      </c>
      <c r="J498" s="437">
        <v>1</v>
      </c>
      <c r="K498" s="1796">
        <v>2714</v>
      </c>
      <c r="L498" s="437">
        <v>12</v>
      </c>
      <c r="M498" s="1834">
        <f>J498*K498*L498</f>
        <v>32568</v>
      </c>
      <c r="N498" s="675">
        <v>0</v>
      </c>
      <c r="O498" s="696">
        <f t="shared" si="232"/>
        <v>65136</v>
      </c>
      <c r="P498" s="675"/>
      <c r="Q498" s="451">
        <f t="shared" si="233"/>
        <v>0</v>
      </c>
      <c r="R498" s="540" t="s">
        <v>167</v>
      </c>
      <c r="S498" s="1860">
        <f>UNHABITAT!V64</f>
        <v>66917.98000000001</v>
      </c>
      <c r="T498" s="591">
        <f t="shared" si="234"/>
        <v>1.0273578359125524</v>
      </c>
      <c r="U498" s="1044" t="s">
        <v>1496</v>
      </c>
      <c r="V498" s="591">
        <v>0</v>
      </c>
      <c r="W498" s="706">
        <f t="shared" si="235"/>
        <v>0</v>
      </c>
      <c r="X498" s="1044" t="s">
        <v>1496</v>
      </c>
    </row>
    <row r="499" spans="1:43" s="450" customFormat="1" ht="25" x14ac:dyDescent="0.25">
      <c r="A499" s="539" t="s">
        <v>162</v>
      </c>
      <c r="B499" s="541" t="s">
        <v>164</v>
      </c>
      <c r="C499" s="1720" t="s">
        <v>14</v>
      </c>
      <c r="D499" s="467" t="s">
        <v>100</v>
      </c>
      <c r="E499" s="724">
        <v>1</v>
      </c>
      <c r="F499" s="1765">
        <v>1600</v>
      </c>
      <c r="G499" s="266">
        <v>12</v>
      </c>
      <c r="H499" s="451">
        <f>E499*F499*G499</f>
        <v>19200</v>
      </c>
      <c r="I499" s="675">
        <v>0</v>
      </c>
      <c r="J499" s="437">
        <v>1</v>
      </c>
      <c r="K499" s="1796">
        <v>1600</v>
      </c>
      <c r="L499" s="437">
        <v>12</v>
      </c>
      <c r="M499" s="1834">
        <f>J499*K499*L499</f>
        <v>19200</v>
      </c>
      <c r="N499" s="675">
        <v>0</v>
      </c>
      <c r="O499" s="696">
        <f t="shared" si="232"/>
        <v>38400</v>
      </c>
      <c r="P499" s="675"/>
      <c r="Q499" s="451">
        <f t="shared" si="233"/>
        <v>0</v>
      </c>
      <c r="R499" s="540" t="s">
        <v>168</v>
      </c>
      <c r="S499" s="1860">
        <f>UNHABITAT!V65</f>
        <v>38425.57</v>
      </c>
      <c r="T499" s="591">
        <f t="shared" si="234"/>
        <v>1.0006658854166666</v>
      </c>
      <c r="U499" s="1044" t="s">
        <v>1496</v>
      </c>
      <c r="V499" s="591">
        <v>0</v>
      </c>
      <c r="W499" s="706">
        <f t="shared" si="235"/>
        <v>0</v>
      </c>
      <c r="X499" s="1044" t="s">
        <v>1496</v>
      </c>
    </row>
    <row r="500" spans="1:43" s="450" customFormat="1" ht="25" x14ac:dyDescent="0.25">
      <c r="A500" s="539" t="s">
        <v>163</v>
      </c>
      <c r="B500" s="541" t="s">
        <v>164</v>
      </c>
      <c r="C500" s="1720" t="s">
        <v>14</v>
      </c>
      <c r="D500" s="467" t="s">
        <v>100</v>
      </c>
      <c r="E500" s="2978">
        <v>0.1</v>
      </c>
      <c r="F500" s="1765">
        <v>2714</v>
      </c>
      <c r="G500" s="266">
        <v>12</v>
      </c>
      <c r="H500" s="451">
        <f>E500*F500*G500</f>
        <v>3256.8</v>
      </c>
      <c r="I500" s="675">
        <v>0</v>
      </c>
      <c r="J500" s="714">
        <v>0.1</v>
      </c>
      <c r="K500" s="1796">
        <v>2714</v>
      </c>
      <c r="L500" s="437">
        <v>12</v>
      </c>
      <c r="M500" s="1834">
        <f>J500*K500*L500</f>
        <v>3256.8</v>
      </c>
      <c r="N500" s="675">
        <v>0</v>
      </c>
      <c r="O500" s="696">
        <f t="shared" si="232"/>
        <v>6513.6</v>
      </c>
      <c r="P500" s="675"/>
      <c r="Q500" s="1741">
        <f t="shared" si="233"/>
        <v>0</v>
      </c>
      <c r="R500" s="1143"/>
      <c r="S500" s="1860">
        <f>UNHABITAT!V66</f>
        <v>7100</v>
      </c>
      <c r="T500" s="591">
        <f t="shared" si="234"/>
        <v>1.0900270203881111</v>
      </c>
      <c r="U500" s="1044" t="s">
        <v>1496</v>
      </c>
      <c r="V500" s="591">
        <v>0</v>
      </c>
      <c r="W500" s="706">
        <f t="shared" si="235"/>
        <v>0</v>
      </c>
      <c r="X500" s="1044" t="s">
        <v>1496</v>
      </c>
    </row>
    <row r="501" spans="1:43" s="450" customFormat="1" x14ac:dyDescent="0.25">
      <c r="A501" s="1144" t="s">
        <v>686</v>
      </c>
      <c r="B501" s="595"/>
      <c r="C501" s="595"/>
      <c r="D501" s="467"/>
      <c r="E501" s="724"/>
      <c r="F501" s="724"/>
      <c r="G501" s="724"/>
      <c r="H501" s="2737"/>
      <c r="I501" s="2693"/>
      <c r="J501" s="2736"/>
      <c r="K501" s="2736"/>
      <c r="L501" s="2736"/>
      <c r="M501" s="2871"/>
      <c r="N501" s="675"/>
      <c r="O501" s="1780"/>
      <c r="P501" s="714"/>
      <c r="Q501" s="592">
        <f t="shared" si="233"/>
        <v>0</v>
      </c>
      <c r="R501" s="1061"/>
      <c r="S501" s="1069"/>
      <c r="T501" s="591"/>
      <c r="U501" s="1061"/>
      <c r="V501" s="591">
        <v>0</v>
      </c>
      <c r="W501" s="706">
        <f t="shared" si="235"/>
        <v>0</v>
      </c>
      <c r="X501" s="594"/>
      <c r="Y501" s="273"/>
      <c r="Z501" s="273"/>
      <c r="AA501" s="273"/>
      <c r="AB501" s="273"/>
      <c r="AC501" s="273"/>
      <c r="AD501" s="273"/>
      <c r="AE501" s="273"/>
      <c r="AF501" s="273"/>
      <c r="AG501" s="273"/>
      <c r="AH501" s="273"/>
      <c r="AI501" s="273"/>
      <c r="AJ501" s="273"/>
      <c r="AK501" s="273"/>
      <c r="AL501" s="273"/>
      <c r="AM501" s="273"/>
      <c r="AN501" s="273"/>
      <c r="AO501" s="273"/>
      <c r="AP501" s="273"/>
      <c r="AQ501" s="273"/>
    </row>
    <row r="502" spans="1:43" s="450" customFormat="1" ht="27" customHeight="1" x14ac:dyDescent="0.25">
      <c r="A502" s="541" t="s">
        <v>687</v>
      </c>
      <c r="B502" s="1720"/>
      <c r="C502" s="595" t="s">
        <v>14</v>
      </c>
      <c r="D502" s="1804" t="s">
        <v>563</v>
      </c>
      <c r="E502" s="1805">
        <v>1</v>
      </c>
      <c r="F502" s="1769">
        <v>700</v>
      </c>
      <c r="G502" s="1769">
        <v>6</v>
      </c>
      <c r="H502" s="592">
        <f t="shared" ref="H502:H506" si="236">F502*G502</f>
        <v>4200</v>
      </c>
      <c r="I502" s="675"/>
      <c r="J502" s="1769">
        <v>1</v>
      </c>
      <c r="K502" s="1769">
        <v>700</v>
      </c>
      <c r="L502" s="1769">
        <v>6</v>
      </c>
      <c r="M502" s="2893">
        <f>K502*L502</f>
        <v>4200</v>
      </c>
      <c r="N502" s="675"/>
      <c r="O502" s="2920">
        <f>+H502+M502</f>
        <v>8400</v>
      </c>
      <c r="P502" s="697"/>
      <c r="Q502" s="709">
        <f t="shared" si="233"/>
        <v>0</v>
      </c>
      <c r="R502" s="521"/>
      <c r="S502" s="1069">
        <f>OIM!T139</f>
        <v>17379.3</v>
      </c>
      <c r="T502" s="591">
        <f t="shared" si="234"/>
        <v>2.0689642857142858</v>
      </c>
      <c r="U502" s="521"/>
      <c r="V502" s="591">
        <v>0</v>
      </c>
      <c r="W502" s="706">
        <f t="shared" si="235"/>
        <v>0</v>
      </c>
      <c r="X502" s="594"/>
      <c r="Y502" s="273"/>
      <c r="Z502" s="273"/>
      <c r="AA502" s="273"/>
      <c r="AB502" s="273"/>
      <c r="AC502" s="273"/>
      <c r="AD502" s="273"/>
      <c r="AE502" s="273"/>
      <c r="AF502" s="273"/>
      <c r="AG502" s="273"/>
      <c r="AH502" s="273"/>
      <c r="AI502" s="273"/>
      <c r="AJ502" s="273"/>
      <c r="AK502" s="273"/>
      <c r="AL502" s="273"/>
      <c r="AM502" s="273"/>
      <c r="AN502" s="273"/>
      <c r="AO502" s="273"/>
      <c r="AP502" s="273"/>
      <c r="AQ502" s="273"/>
    </row>
    <row r="503" spans="1:43" s="450" customFormat="1" ht="24" customHeight="1" x14ac:dyDescent="0.25">
      <c r="A503" s="1806" t="s">
        <v>688</v>
      </c>
      <c r="B503" s="1720"/>
      <c r="C503" s="595" t="s">
        <v>14</v>
      </c>
      <c r="D503" s="1804" t="s">
        <v>563</v>
      </c>
      <c r="E503" s="1805">
        <v>1</v>
      </c>
      <c r="F503" s="1769">
        <v>2500</v>
      </c>
      <c r="G503" s="1769">
        <v>6</v>
      </c>
      <c r="H503" s="592">
        <f t="shared" si="236"/>
        <v>15000</v>
      </c>
      <c r="I503" s="675"/>
      <c r="J503" s="1769">
        <v>1</v>
      </c>
      <c r="K503" s="1769">
        <v>2500</v>
      </c>
      <c r="L503" s="1769">
        <v>6</v>
      </c>
      <c r="M503" s="2894">
        <f>K503*L503+12000</f>
        <v>27000</v>
      </c>
      <c r="N503" s="675"/>
      <c r="O503" s="2920">
        <f t="shared" si="232"/>
        <v>42000</v>
      </c>
      <c r="P503" s="697"/>
      <c r="Q503" s="709">
        <f t="shared" si="233"/>
        <v>0</v>
      </c>
      <c r="R503" s="521"/>
      <c r="S503" s="1069">
        <f>OIM!T140</f>
        <v>71513.210000000006</v>
      </c>
      <c r="T503" s="591">
        <f t="shared" si="234"/>
        <v>1.7026954761904765</v>
      </c>
      <c r="U503" s="521"/>
      <c r="V503" s="591">
        <v>0</v>
      </c>
      <c r="W503" s="706">
        <f t="shared" si="235"/>
        <v>0</v>
      </c>
      <c r="X503" s="594"/>
      <c r="Y503" s="273"/>
      <c r="Z503" s="273"/>
      <c r="AA503" s="273"/>
      <c r="AB503" s="273"/>
      <c r="AC503" s="273"/>
      <c r="AD503" s="273"/>
      <c r="AE503" s="273"/>
      <c r="AF503" s="273"/>
      <c r="AG503" s="273"/>
      <c r="AH503" s="273"/>
      <c r="AI503" s="273"/>
      <c r="AJ503" s="273"/>
      <c r="AK503" s="273"/>
      <c r="AL503" s="273"/>
      <c r="AM503" s="273"/>
      <c r="AN503" s="273"/>
      <c r="AO503" s="273"/>
      <c r="AP503" s="273"/>
      <c r="AQ503" s="273"/>
    </row>
    <row r="504" spans="1:43" s="450" customFormat="1" ht="33" customHeight="1" x14ac:dyDescent="0.25">
      <c r="A504" s="1806" t="s">
        <v>1631</v>
      </c>
      <c r="B504" s="2487"/>
      <c r="C504" s="595" t="s">
        <v>14</v>
      </c>
      <c r="D504" s="1804" t="s">
        <v>563</v>
      </c>
      <c r="E504" s="1805">
        <v>1</v>
      </c>
      <c r="F504" s="1769">
        <v>0</v>
      </c>
      <c r="G504" s="1769">
        <v>6</v>
      </c>
      <c r="H504" s="592">
        <f>F504*G504</f>
        <v>0</v>
      </c>
      <c r="I504" s="675"/>
      <c r="J504" s="1769">
        <v>1</v>
      </c>
      <c r="K504" s="1769">
        <v>2200</v>
      </c>
      <c r="L504" s="1769">
        <v>3</v>
      </c>
      <c r="M504" s="2894">
        <f>6600+7000</f>
        <v>13600</v>
      </c>
      <c r="N504" s="675"/>
      <c r="O504" s="2920">
        <f t="shared" ref="O504" si="237">+H504+M504</f>
        <v>13600</v>
      </c>
      <c r="P504" s="697"/>
      <c r="Q504" s="709">
        <f t="shared" ref="Q504" si="238">O504*P504</f>
        <v>0</v>
      </c>
      <c r="R504" s="521"/>
      <c r="S504" s="1069">
        <f>OIM!T141</f>
        <v>6028.58</v>
      </c>
      <c r="T504" s="591">
        <f t="shared" ref="T504" si="239">S504/O504</f>
        <v>0.44327794117647057</v>
      </c>
      <c r="U504" s="521"/>
      <c r="V504" s="591">
        <v>0</v>
      </c>
      <c r="W504" s="706">
        <f t="shared" ref="W504" si="240">P504*S504</f>
        <v>0</v>
      </c>
      <c r="X504" s="594"/>
      <c r="Y504" s="273"/>
      <c r="Z504" s="273"/>
      <c r="AA504" s="273"/>
      <c r="AB504" s="273"/>
      <c r="AC504" s="273"/>
      <c r="AD504" s="273"/>
      <c r="AE504" s="273"/>
      <c r="AF504" s="273"/>
      <c r="AG504" s="273"/>
      <c r="AH504" s="273"/>
      <c r="AI504" s="273"/>
      <c r="AJ504" s="273"/>
      <c r="AK504" s="273"/>
      <c r="AL504" s="273"/>
      <c r="AM504" s="273"/>
      <c r="AN504" s="273"/>
      <c r="AO504" s="273"/>
      <c r="AP504" s="273"/>
      <c r="AQ504" s="273"/>
    </row>
    <row r="505" spans="1:43" s="450" customFormat="1" ht="33" customHeight="1" x14ac:dyDescent="0.25">
      <c r="A505" s="1806" t="s">
        <v>689</v>
      </c>
      <c r="B505" s="1720"/>
      <c r="C505" s="595" t="s">
        <v>14</v>
      </c>
      <c r="D505" s="1804" t="s">
        <v>563</v>
      </c>
      <c r="E505" s="1805">
        <v>1</v>
      </c>
      <c r="F505" s="1769">
        <v>1000</v>
      </c>
      <c r="G505" s="1769">
        <v>6</v>
      </c>
      <c r="H505" s="592">
        <f>F505*G505</f>
        <v>6000</v>
      </c>
      <c r="I505" s="675"/>
      <c r="J505" s="1769">
        <v>1</v>
      </c>
      <c r="K505" s="1769">
        <v>1000</v>
      </c>
      <c r="L505" s="1769">
        <v>6</v>
      </c>
      <c r="M505" s="2894">
        <f>K505*L505+8790</f>
        <v>14790</v>
      </c>
      <c r="N505" s="675"/>
      <c r="O505" s="2920">
        <f t="shared" si="232"/>
        <v>20790</v>
      </c>
      <c r="P505" s="697"/>
      <c r="Q505" s="709">
        <f t="shared" si="233"/>
        <v>0</v>
      </c>
      <c r="R505" s="521"/>
      <c r="S505" s="1069">
        <f>OIM!T142</f>
        <v>32625.58</v>
      </c>
      <c r="T505" s="591">
        <f t="shared" si="234"/>
        <v>1.5692919672919674</v>
      </c>
      <c r="U505" s="521"/>
      <c r="V505" s="591">
        <v>0</v>
      </c>
      <c r="W505" s="706">
        <f t="shared" si="235"/>
        <v>0</v>
      </c>
      <c r="X505" s="594"/>
      <c r="Y505" s="273"/>
      <c r="Z505" s="273"/>
      <c r="AA505" s="273"/>
      <c r="AB505" s="273"/>
      <c r="AC505" s="273"/>
      <c r="AD505" s="273"/>
      <c r="AE505" s="273"/>
      <c r="AF505" s="273"/>
      <c r="AG505" s="273"/>
      <c r="AH505" s="273"/>
      <c r="AI505" s="273"/>
      <c r="AJ505" s="273"/>
      <c r="AK505" s="273"/>
      <c r="AL505" s="273"/>
      <c r="AM505" s="273"/>
      <c r="AN505" s="273"/>
      <c r="AO505" s="273"/>
      <c r="AP505" s="273"/>
      <c r="AQ505" s="273"/>
    </row>
    <row r="506" spans="1:43" s="450" customFormat="1" ht="34.5" customHeight="1" x14ac:dyDescent="0.25">
      <c r="A506" s="1806" t="s">
        <v>690</v>
      </c>
      <c r="B506" s="1720"/>
      <c r="C506" s="595" t="s">
        <v>14</v>
      </c>
      <c r="D506" s="1804" t="s">
        <v>563</v>
      </c>
      <c r="E506" s="1805">
        <v>1</v>
      </c>
      <c r="F506" s="1769">
        <v>800</v>
      </c>
      <c r="G506" s="1769">
        <v>6</v>
      </c>
      <c r="H506" s="592">
        <f t="shared" si="236"/>
        <v>4800</v>
      </c>
      <c r="I506" s="675"/>
      <c r="J506" s="1769">
        <v>1</v>
      </c>
      <c r="K506" s="1769">
        <v>800</v>
      </c>
      <c r="L506" s="1769">
        <v>6</v>
      </c>
      <c r="M506" s="2894">
        <f>K506*L506+1875</f>
        <v>6675</v>
      </c>
      <c r="N506" s="675"/>
      <c r="O506" s="2920">
        <f t="shared" si="232"/>
        <v>11475</v>
      </c>
      <c r="P506" s="697"/>
      <c r="Q506" s="709">
        <f t="shared" si="233"/>
        <v>0</v>
      </c>
      <c r="R506" s="521"/>
      <c r="S506" s="1069">
        <f>OIM!T143</f>
        <v>21123</v>
      </c>
      <c r="T506" s="591">
        <f t="shared" si="234"/>
        <v>1.8407843137254902</v>
      </c>
      <c r="U506" s="521"/>
      <c r="V506" s="591">
        <v>0</v>
      </c>
      <c r="W506" s="706">
        <f t="shared" si="235"/>
        <v>0</v>
      </c>
      <c r="X506" s="594"/>
      <c r="Y506" s="273"/>
      <c r="Z506" s="273"/>
      <c r="AA506" s="273"/>
      <c r="AB506" s="273"/>
      <c r="AC506" s="273"/>
      <c r="AD506" s="273"/>
      <c r="AE506" s="273"/>
      <c r="AF506" s="273"/>
      <c r="AG506" s="273"/>
      <c r="AH506" s="273"/>
      <c r="AI506" s="273"/>
      <c r="AJ506" s="273"/>
      <c r="AK506" s="273"/>
      <c r="AL506" s="273"/>
      <c r="AM506" s="273"/>
      <c r="AN506" s="273"/>
      <c r="AO506" s="273"/>
      <c r="AP506" s="273"/>
      <c r="AQ506" s="273"/>
    </row>
    <row r="507" spans="1:43" s="450" customFormat="1" ht="13.9" customHeight="1" x14ac:dyDescent="0.25">
      <c r="A507" s="1144" t="s">
        <v>691</v>
      </c>
      <c r="B507" s="595"/>
      <c r="C507" s="1861"/>
      <c r="D507" s="1804" t="s">
        <v>563</v>
      </c>
      <c r="E507" s="1805"/>
      <c r="F507" s="1769"/>
      <c r="G507" s="1807"/>
      <c r="H507" s="592"/>
      <c r="I507" s="675"/>
      <c r="J507" s="1769"/>
      <c r="K507" s="1769"/>
      <c r="L507" s="1807"/>
      <c r="M507" s="2874"/>
      <c r="N507" s="675"/>
      <c r="O507" s="2920">
        <f t="shared" si="232"/>
        <v>0</v>
      </c>
      <c r="P507" s="697"/>
      <c r="Q507" s="709">
        <f t="shared" si="233"/>
        <v>0</v>
      </c>
      <c r="R507" s="1061"/>
      <c r="S507" s="1069">
        <f>OIM!T144</f>
        <v>0</v>
      </c>
      <c r="T507" s="591"/>
      <c r="U507" s="1061"/>
      <c r="V507" s="591">
        <v>0</v>
      </c>
      <c r="W507" s="706">
        <f t="shared" si="235"/>
        <v>0</v>
      </c>
      <c r="X507" s="594"/>
      <c r="Y507" s="273"/>
      <c r="Z507" s="273"/>
      <c r="AA507" s="273"/>
      <c r="AB507" s="273"/>
      <c r="AC507" s="273"/>
      <c r="AD507" s="273"/>
      <c r="AE507" s="273"/>
      <c r="AF507" s="273"/>
      <c r="AG507" s="273"/>
      <c r="AH507" s="273"/>
      <c r="AI507" s="273"/>
      <c r="AJ507" s="273"/>
      <c r="AK507" s="273"/>
      <c r="AL507" s="273"/>
      <c r="AM507" s="273"/>
      <c r="AN507" s="273"/>
      <c r="AO507" s="273"/>
      <c r="AP507" s="273"/>
      <c r="AQ507" s="273"/>
    </row>
    <row r="508" spans="1:43" s="450" customFormat="1" ht="13.9" customHeight="1" x14ac:dyDescent="0.25">
      <c r="A508" s="541" t="s">
        <v>687</v>
      </c>
      <c r="B508" s="541"/>
      <c r="C508" s="595" t="s">
        <v>14</v>
      </c>
      <c r="D508" s="1804" t="s">
        <v>563</v>
      </c>
      <c r="E508" s="724">
        <v>1</v>
      </c>
      <c r="F508" s="1805">
        <v>700</v>
      </c>
      <c r="G508" s="724">
        <v>6</v>
      </c>
      <c r="H508" s="1808">
        <f t="shared" ref="H508:H511" si="241">+E508*F508*G508</f>
        <v>4200</v>
      </c>
      <c r="I508" s="714"/>
      <c r="J508" s="710">
        <v>1</v>
      </c>
      <c r="K508" s="1769">
        <v>700</v>
      </c>
      <c r="L508" s="710">
        <v>6</v>
      </c>
      <c r="M508" s="1798">
        <f>+J508*K508*L508</f>
        <v>4200</v>
      </c>
      <c r="N508" s="714"/>
      <c r="O508" s="2920">
        <f t="shared" si="232"/>
        <v>8400</v>
      </c>
      <c r="P508" s="675"/>
      <c r="Q508" s="725">
        <f t="shared" si="233"/>
        <v>0</v>
      </c>
      <c r="R508" s="1061"/>
      <c r="S508" s="1069">
        <f>OIM!T145</f>
        <v>0</v>
      </c>
      <c r="T508" s="591">
        <f t="shared" si="234"/>
        <v>0</v>
      </c>
      <c r="U508" s="1061"/>
      <c r="V508" s="591">
        <v>0</v>
      </c>
      <c r="W508" s="706">
        <f t="shared" si="235"/>
        <v>0</v>
      </c>
      <c r="X508" s="594"/>
      <c r="Y508" s="273"/>
      <c r="Z508" s="273"/>
      <c r="AA508" s="273"/>
      <c r="AB508" s="273"/>
      <c r="AC508" s="273"/>
      <c r="AD508" s="273"/>
      <c r="AE508" s="273"/>
      <c r="AF508" s="273"/>
      <c r="AG508" s="273"/>
      <c r="AH508" s="273"/>
      <c r="AI508" s="273"/>
      <c r="AJ508" s="273"/>
      <c r="AK508" s="273"/>
      <c r="AL508" s="273"/>
      <c r="AM508" s="273"/>
      <c r="AN508" s="273"/>
      <c r="AO508" s="273"/>
      <c r="AP508" s="273"/>
      <c r="AQ508" s="273"/>
    </row>
    <row r="509" spans="1:43" s="450" customFormat="1" ht="13.9" customHeight="1" x14ac:dyDescent="0.25">
      <c r="A509" s="1806" t="s">
        <v>688</v>
      </c>
      <c r="B509" s="541"/>
      <c r="C509" s="595" t="s">
        <v>14</v>
      </c>
      <c r="D509" s="1804" t="s">
        <v>563</v>
      </c>
      <c r="E509" s="724">
        <v>1</v>
      </c>
      <c r="F509" s="1805">
        <v>2500</v>
      </c>
      <c r="G509" s="724">
        <v>6</v>
      </c>
      <c r="H509" s="1808">
        <f t="shared" si="241"/>
        <v>15000</v>
      </c>
      <c r="I509" s="714"/>
      <c r="J509" s="710">
        <v>1</v>
      </c>
      <c r="K509" s="1769">
        <v>2500</v>
      </c>
      <c r="L509" s="710">
        <v>6</v>
      </c>
      <c r="M509" s="2879">
        <f>+J509*K509*L509</f>
        <v>15000</v>
      </c>
      <c r="N509" s="714"/>
      <c r="O509" s="2920">
        <f t="shared" si="232"/>
        <v>30000</v>
      </c>
      <c r="P509" s="675"/>
      <c r="Q509" s="725">
        <f t="shared" si="233"/>
        <v>0</v>
      </c>
      <c r="R509" s="1061"/>
      <c r="S509" s="1069">
        <f>OIM!T146</f>
        <v>0</v>
      </c>
      <c r="T509" s="591">
        <f t="shared" si="234"/>
        <v>0</v>
      </c>
      <c r="U509" s="1061"/>
      <c r="V509" s="591">
        <v>0</v>
      </c>
      <c r="W509" s="706">
        <f t="shared" si="235"/>
        <v>0</v>
      </c>
      <c r="X509" s="594"/>
      <c r="Y509" s="273"/>
      <c r="Z509" s="273"/>
      <c r="AA509" s="273"/>
      <c r="AB509" s="273"/>
      <c r="AC509" s="273"/>
      <c r="AD509" s="273"/>
      <c r="AE509" s="273"/>
      <c r="AF509" s="273"/>
      <c r="AG509" s="273"/>
      <c r="AH509" s="273"/>
      <c r="AI509" s="273"/>
      <c r="AJ509" s="273"/>
      <c r="AK509" s="273"/>
      <c r="AL509" s="273"/>
      <c r="AM509" s="273"/>
      <c r="AN509" s="273"/>
      <c r="AO509" s="273"/>
      <c r="AP509" s="273"/>
      <c r="AQ509" s="273"/>
    </row>
    <row r="510" spans="1:43" s="450" customFormat="1" ht="13.9" customHeight="1" x14ac:dyDescent="0.25">
      <c r="A510" s="1806" t="s">
        <v>689</v>
      </c>
      <c r="B510" s="541"/>
      <c r="C510" s="595" t="s">
        <v>14</v>
      </c>
      <c r="D510" s="1804" t="s">
        <v>563</v>
      </c>
      <c r="E510" s="724">
        <v>1</v>
      </c>
      <c r="F510" s="1805">
        <v>1000</v>
      </c>
      <c r="G510" s="724">
        <v>6</v>
      </c>
      <c r="H510" s="1808">
        <f t="shared" si="241"/>
        <v>6000</v>
      </c>
      <c r="I510" s="714"/>
      <c r="J510" s="710">
        <v>1</v>
      </c>
      <c r="K510" s="1769">
        <v>1000</v>
      </c>
      <c r="L510" s="710">
        <v>6</v>
      </c>
      <c r="M510" s="2879">
        <f>+J510*K510*L510</f>
        <v>6000</v>
      </c>
      <c r="N510" s="714"/>
      <c r="O510" s="2920">
        <f t="shared" si="232"/>
        <v>12000</v>
      </c>
      <c r="P510" s="675"/>
      <c r="Q510" s="725">
        <f t="shared" si="233"/>
        <v>0</v>
      </c>
      <c r="R510" s="1061"/>
      <c r="S510" s="1069">
        <f>OIM!T147</f>
        <v>0</v>
      </c>
      <c r="T510" s="591">
        <f t="shared" si="234"/>
        <v>0</v>
      </c>
      <c r="U510" s="1061"/>
      <c r="V510" s="591">
        <v>0</v>
      </c>
      <c r="W510" s="706">
        <f t="shared" si="235"/>
        <v>0</v>
      </c>
      <c r="X510" s="594"/>
      <c r="Y510" s="273"/>
      <c r="Z510" s="273"/>
      <c r="AA510" s="273"/>
      <c r="AB510" s="273"/>
      <c r="AC510" s="273"/>
      <c r="AD510" s="273"/>
      <c r="AE510" s="273"/>
      <c r="AF510" s="273"/>
      <c r="AG510" s="273"/>
      <c r="AH510" s="273"/>
      <c r="AI510" s="273"/>
      <c r="AJ510" s="273"/>
      <c r="AK510" s="273"/>
      <c r="AL510" s="273"/>
      <c r="AM510" s="273"/>
      <c r="AN510" s="273"/>
      <c r="AO510" s="273"/>
      <c r="AP510" s="273"/>
      <c r="AQ510" s="273"/>
    </row>
    <row r="511" spans="1:43" s="450" customFormat="1" ht="13.5" customHeight="1" x14ac:dyDescent="0.25">
      <c r="A511" s="1806" t="s">
        <v>690</v>
      </c>
      <c r="B511" s="541"/>
      <c r="C511" s="595" t="s">
        <v>14</v>
      </c>
      <c r="D511" s="1804" t="s">
        <v>563</v>
      </c>
      <c r="E511" s="724">
        <v>1</v>
      </c>
      <c r="F511" s="1805">
        <v>800</v>
      </c>
      <c r="G511" s="724">
        <v>6</v>
      </c>
      <c r="H511" s="1808">
        <f t="shared" si="241"/>
        <v>4800</v>
      </c>
      <c r="I511" s="714"/>
      <c r="J511" s="710">
        <v>1</v>
      </c>
      <c r="K511" s="1769">
        <v>800</v>
      </c>
      <c r="L511" s="710">
        <v>6</v>
      </c>
      <c r="M511" s="2879">
        <f>+J511*K511*L511</f>
        <v>4800</v>
      </c>
      <c r="N511" s="714"/>
      <c r="O511" s="2920">
        <f t="shared" si="232"/>
        <v>9600</v>
      </c>
      <c r="P511" s="675"/>
      <c r="Q511" s="725">
        <f t="shared" si="233"/>
        <v>0</v>
      </c>
      <c r="R511" s="1061"/>
      <c r="S511" s="1069">
        <f>OIM!T148</f>
        <v>0</v>
      </c>
      <c r="T511" s="591">
        <f t="shared" si="234"/>
        <v>0</v>
      </c>
      <c r="U511" s="1061"/>
      <c r="V511" s="591">
        <v>0</v>
      </c>
      <c r="W511" s="706">
        <f t="shared" si="235"/>
        <v>0</v>
      </c>
      <c r="X511" s="594"/>
      <c r="Y511" s="273"/>
      <c r="Z511" s="273"/>
      <c r="AA511" s="273"/>
      <c r="AB511" s="273"/>
      <c r="AC511" s="273"/>
      <c r="AD511" s="273"/>
      <c r="AE511" s="273"/>
      <c r="AF511" s="273"/>
      <c r="AG511" s="273"/>
      <c r="AH511" s="273"/>
      <c r="AI511" s="273"/>
      <c r="AJ511" s="273"/>
      <c r="AK511" s="273"/>
      <c r="AL511" s="273"/>
      <c r="AM511" s="273"/>
      <c r="AN511" s="273"/>
      <c r="AO511" s="273"/>
      <c r="AP511" s="273"/>
      <c r="AQ511" s="273"/>
    </row>
    <row r="512" spans="1:43" s="450" customFormat="1" ht="65" x14ac:dyDescent="0.25">
      <c r="A512" s="594"/>
      <c r="B512" s="284" t="s">
        <v>462</v>
      </c>
      <c r="C512" s="595" t="s">
        <v>14</v>
      </c>
      <c r="D512" s="467" t="s">
        <v>398</v>
      </c>
      <c r="E512" s="468">
        <v>2.1499999999999998E-2</v>
      </c>
      <c r="F512" s="468">
        <v>4500</v>
      </c>
      <c r="G512" s="468">
        <v>11</v>
      </c>
      <c r="H512" s="451">
        <f>SFCG!H89</f>
        <v>1064.2499999999998</v>
      </c>
      <c r="I512" s="675"/>
      <c r="J512" s="710">
        <v>2.1499999999999998E-2</v>
      </c>
      <c r="K512" s="710">
        <f>F512</f>
        <v>4500</v>
      </c>
      <c r="L512" s="710">
        <v>11</v>
      </c>
      <c r="M512" s="1834">
        <f>SFCG!M89+SFCG!N89</f>
        <v>1064.2499999999998</v>
      </c>
      <c r="N512" s="697"/>
      <c r="O512" s="696">
        <f t="shared" si="232"/>
        <v>2128.4999999999995</v>
      </c>
      <c r="P512" s="675"/>
      <c r="Q512" s="709">
        <f t="shared" si="233"/>
        <v>0</v>
      </c>
      <c r="R512" s="1145" t="s">
        <v>1204</v>
      </c>
      <c r="S512" s="706">
        <f>SFCG!T89</f>
        <v>5667.09</v>
      </c>
      <c r="T512" s="591">
        <f t="shared" si="234"/>
        <v>2.6624806201550393</v>
      </c>
      <c r="U512" s="595" t="s">
        <v>463</v>
      </c>
      <c r="V512" s="591">
        <v>0</v>
      </c>
      <c r="W512" s="706">
        <f t="shared" si="235"/>
        <v>0</v>
      </c>
      <c r="X512" s="266"/>
    </row>
    <row r="513" spans="1:24" s="450" customFormat="1" ht="65" x14ac:dyDescent="0.25">
      <c r="A513" s="594"/>
      <c r="B513" s="284" t="s">
        <v>464</v>
      </c>
      <c r="C513" s="595" t="s">
        <v>14</v>
      </c>
      <c r="D513" s="467" t="s">
        <v>398</v>
      </c>
      <c r="E513" s="468">
        <v>0.02</v>
      </c>
      <c r="F513" s="468">
        <v>4000</v>
      </c>
      <c r="G513" s="468">
        <v>11</v>
      </c>
      <c r="H513" s="451">
        <f>SFCG!H90</f>
        <v>880</v>
      </c>
      <c r="I513" s="675"/>
      <c r="J513" s="710">
        <v>0.02</v>
      </c>
      <c r="K513" s="710">
        <f>F513</f>
        <v>4000</v>
      </c>
      <c r="L513" s="710">
        <v>11</v>
      </c>
      <c r="M513" s="1834">
        <f>SFCG!M90+SFCG!N90</f>
        <v>880</v>
      </c>
      <c r="N513" s="697"/>
      <c r="O513" s="696">
        <f t="shared" si="232"/>
        <v>1760</v>
      </c>
      <c r="P513" s="675"/>
      <c r="Q513" s="709">
        <f t="shared" si="233"/>
        <v>0</v>
      </c>
      <c r="R513" s="1145" t="s">
        <v>1204</v>
      </c>
      <c r="S513" s="706">
        <f>SFCG!T90</f>
        <v>4294.53</v>
      </c>
      <c r="T513" s="591">
        <f t="shared" si="234"/>
        <v>2.4400738636363637</v>
      </c>
      <c r="U513" s="595" t="s">
        <v>465</v>
      </c>
      <c r="V513" s="591">
        <v>0</v>
      </c>
      <c r="W513" s="706">
        <f t="shared" si="235"/>
        <v>0</v>
      </c>
      <c r="X513" s="266"/>
    </row>
    <row r="514" spans="1:24" s="450" customFormat="1" ht="26" x14ac:dyDescent="0.25">
      <c r="A514" s="594"/>
      <c r="B514" s="284" t="s">
        <v>466</v>
      </c>
      <c r="C514" s="595" t="s">
        <v>14</v>
      </c>
      <c r="D514" s="467" t="s">
        <v>398</v>
      </c>
      <c r="E514" s="468">
        <v>0.02</v>
      </c>
      <c r="F514" s="468">
        <v>7000</v>
      </c>
      <c r="G514" s="468">
        <v>11</v>
      </c>
      <c r="H514" s="451">
        <f>SFCG!H91</f>
        <v>1540</v>
      </c>
      <c r="I514" s="675"/>
      <c r="J514" s="710">
        <v>0.02</v>
      </c>
      <c r="K514" s="710">
        <v>7500</v>
      </c>
      <c r="L514" s="710">
        <v>11</v>
      </c>
      <c r="M514" s="1834">
        <f>SFCG!M91+SFCG!N91</f>
        <v>1650</v>
      </c>
      <c r="N514" s="697"/>
      <c r="O514" s="696">
        <f t="shared" si="232"/>
        <v>3190</v>
      </c>
      <c r="P514" s="675"/>
      <c r="Q514" s="709">
        <f t="shared" si="233"/>
        <v>0</v>
      </c>
      <c r="R514" s="1145"/>
      <c r="S514" s="706">
        <f>SFCG!T91</f>
        <v>9265.9599999999991</v>
      </c>
      <c r="T514" s="591">
        <f t="shared" si="234"/>
        <v>2.9046896551724135</v>
      </c>
      <c r="U514" s="595" t="s">
        <v>465</v>
      </c>
      <c r="V514" s="591">
        <v>0</v>
      </c>
      <c r="W514" s="706">
        <f t="shared" si="235"/>
        <v>0</v>
      </c>
      <c r="X514" s="266"/>
    </row>
    <row r="515" spans="1:24" s="450" customFormat="1" ht="26" x14ac:dyDescent="0.25">
      <c r="A515" s="594"/>
      <c r="B515" s="284" t="s">
        <v>467</v>
      </c>
      <c r="C515" s="595" t="s">
        <v>14</v>
      </c>
      <c r="D515" s="467" t="s">
        <v>398</v>
      </c>
      <c r="E515" s="468">
        <v>0.02</v>
      </c>
      <c r="F515" s="468">
        <v>4000</v>
      </c>
      <c r="G515" s="468">
        <v>11</v>
      </c>
      <c r="H515" s="451">
        <f>SFCG!H92</f>
        <v>880</v>
      </c>
      <c r="I515" s="675"/>
      <c r="J515" s="710">
        <v>0.02</v>
      </c>
      <c r="K515" s="710">
        <f t="shared" ref="K515:K523" si="242">F515</f>
        <v>4000</v>
      </c>
      <c r="L515" s="710">
        <v>11</v>
      </c>
      <c r="M515" s="1834">
        <f>SFCG!M92+SFCG!N92</f>
        <v>880</v>
      </c>
      <c r="N515" s="697"/>
      <c r="O515" s="696">
        <f t="shared" si="232"/>
        <v>1760</v>
      </c>
      <c r="P515" s="675"/>
      <c r="Q515" s="709">
        <f t="shared" si="233"/>
        <v>0</v>
      </c>
      <c r="R515" s="1145" t="s">
        <v>1205</v>
      </c>
      <c r="S515" s="706">
        <f>SFCG!T92</f>
        <v>685.17</v>
      </c>
      <c r="T515" s="591">
        <f t="shared" si="234"/>
        <v>0.38930113636363634</v>
      </c>
      <c r="U515" s="595" t="s">
        <v>468</v>
      </c>
      <c r="V515" s="591">
        <v>0</v>
      </c>
      <c r="W515" s="706">
        <f t="shared" si="235"/>
        <v>0</v>
      </c>
      <c r="X515" s="266"/>
    </row>
    <row r="516" spans="1:24" s="450" customFormat="1" ht="91" x14ac:dyDescent="0.25">
      <c r="A516" s="594"/>
      <c r="B516" s="284" t="s">
        <v>469</v>
      </c>
      <c r="C516" s="595" t="s">
        <v>14</v>
      </c>
      <c r="D516" s="467" t="s">
        <v>398</v>
      </c>
      <c r="E516" s="468">
        <v>0.02</v>
      </c>
      <c r="F516" s="468">
        <v>5000</v>
      </c>
      <c r="G516" s="468">
        <v>11</v>
      </c>
      <c r="H516" s="451">
        <f>SFCG!H93</f>
        <v>1100</v>
      </c>
      <c r="I516" s="675"/>
      <c r="J516" s="710">
        <v>0.02</v>
      </c>
      <c r="K516" s="710">
        <f t="shared" si="242"/>
        <v>5000</v>
      </c>
      <c r="L516" s="710">
        <v>11</v>
      </c>
      <c r="M516" s="1834">
        <f>SFCG!M93+SFCG!N93</f>
        <v>1100</v>
      </c>
      <c r="N516" s="697"/>
      <c r="O516" s="696">
        <f t="shared" si="232"/>
        <v>2200</v>
      </c>
      <c r="P516" s="675"/>
      <c r="Q516" s="709">
        <f t="shared" si="233"/>
        <v>0</v>
      </c>
      <c r="R516" s="1145" t="s">
        <v>1206</v>
      </c>
      <c r="S516" s="706">
        <f>SFCG!T93</f>
        <v>0</v>
      </c>
      <c r="T516" s="591">
        <f t="shared" si="234"/>
        <v>0</v>
      </c>
      <c r="U516" s="595" t="s">
        <v>468</v>
      </c>
      <c r="V516" s="591">
        <v>0</v>
      </c>
      <c r="W516" s="706">
        <f t="shared" si="235"/>
        <v>0</v>
      </c>
      <c r="X516" s="266"/>
    </row>
    <row r="517" spans="1:24" s="450" customFormat="1" ht="26" x14ac:dyDescent="0.25">
      <c r="A517" s="594"/>
      <c r="B517" s="284" t="s">
        <v>470</v>
      </c>
      <c r="C517" s="595" t="s">
        <v>14</v>
      </c>
      <c r="D517" s="467" t="s">
        <v>398</v>
      </c>
      <c r="E517" s="726">
        <v>0.1</v>
      </c>
      <c r="F517" s="721">
        <v>3500</v>
      </c>
      <c r="G517" s="1068">
        <v>11</v>
      </c>
      <c r="H517" s="451">
        <f>SFCG!H94</f>
        <v>3850</v>
      </c>
      <c r="I517" s="675"/>
      <c r="J517" s="1079">
        <v>0.15</v>
      </c>
      <c r="K517" s="710">
        <f t="shared" si="242"/>
        <v>3500</v>
      </c>
      <c r="L517" s="1078">
        <v>11</v>
      </c>
      <c r="M517" s="1834">
        <f>SFCG!M94+SFCG!N94</f>
        <v>5775</v>
      </c>
      <c r="N517" s="697"/>
      <c r="O517" s="696">
        <f t="shared" si="232"/>
        <v>9625</v>
      </c>
      <c r="P517" s="675"/>
      <c r="Q517" s="709">
        <f t="shared" si="233"/>
        <v>0</v>
      </c>
      <c r="R517" s="1129" t="s">
        <v>1207</v>
      </c>
      <c r="S517" s="706">
        <f>SFCG!T94</f>
        <v>387.54</v>
      </c>
      <c r="T517" s="591">
        <f t="shared" si="234"/>
        <v>4.0263896103896107E-2</v>
      </c>
      <c r="U517" s="595" t="s">
        <v>468</v>
      </c>
      <c r="V517" s="591">
        <v>0</v>
      </c>
      <c r="W517" s="706">
        <f t="shared" si="235"/>
        <v>0</v>
      </c>
      <c r="X517" s="266"/>
    </row>
    <row r="518" spans="1:24" s="450" customFormat="1" x14ac:dyDescent="0.25">
      <c r="A518" s="594"/>
      <c r="B518" s="284" t="s">
        <v>471</v>
      </c>
      <c r="C518" s="595" t="s">
        <v>14</v>
      </c>
      <c r="D518" s="467" t="s">
        <v>398</v>
      </c>
      <c r="E518" s="726">
        <v>0.25</v>
      </c>
      <c r="F518" s="721">
        <v>850</v>
      </c>
      <c r="G518" s="1068">
        <v>12</v>
      </c>
      <c r="H518" s="451">
        <f>SFCG!H95</f>
        <v>2550</v>
      </c>
      <c r="I518" s="675"/>
      <c r="J518" s="1079">
        <v>0.25</v>
      </c>
      <c r="K518" s="710">
        <f t="shared" si="242"/>
        <v>850</v>
      </c>
      <c r="L518" s="1078">
        <v>11</v>
      </c>
      <c r="M518" s="1834">
        <f>SFCG!M95+SFCG!N95</f>
        <v>2337.5</v>
      </c>
      <c r="N518" s="697"/>
      <c r="O518" s="696">
        <f t="shared" si="232"/>
        <v>4887.5</v>
      </c>
      <c r="P518" s="675"/>
      <c r="Q518" s="709">
        <f t="shared" si="233"/>
        <v>0</v>
      </c>
      <c r="R518" s="1129" t="s">
        <v>1208</v>
      </c>
      <c r="S518" s="706">
        <f>SFCG!T95</f>
        <v>8923.82</v>
      </c>
      <c r="T518" s="591">
        <f t="shared" si="234"/>
        <v>1.8258455242966751</v>
      </c>
      <c r="U518" s="595"/>
      <c r="V518" s="591">
        <v>0</v>
      </c>
      <c r="W518" s="706">
        <f t="shared" si="235"/>
        <v>0</v>
      </c>
      <c r="X518" s="266"/>
    </row>
    <row r="519" spans="1:24" s="450" customFormat="1" ht="91" x14ac:dyDescent="0.25">
      <c r="A519" s="594"/>
      <c r="B519" s="284" t="s">
        <v>472</v>
      </c>
      <c r="C519" s="595" t="s">
        <v>14</v>
      </c>
      <c r="D519" s="467" t="s">
        <v>398</v>
      </c>
      <c r="E519" s="468">
        <v>0.05</v>
      </c>
      <c r="F519" s="468">
        <v>5000</v>
      </c>
      <c r="G519" s="468">
        <v>12</v>
      </c>
      <c r="H519" s="451">
        <f>SFCG!H96</f>
        <v>3000</v>
      </c>
      <c r="I519" s="675"/>
      <c r="J519" s="710">
        <v>0.05</v>
      </c>
      <c r="K519" s="710">
        <f t="shared" si="242"/>
        <v>5000</v>
      </c>
      <c r="L519" s="710">
        <v>12</v>
      </c>
      <c r="M519" s="1834">
        <f>SFCG!M96+SFCG!N96</f>
        <v>3000</v>
      </c>
      <c r="N519" s="697"/>
      <c r="O519" s="696">
        <f t="shared" si="232"/>
        <v>6000</v>
      </c>
      <c r="P519" s="675"/>
      <c r="Q519" s="709">
        <f t="shared" si="233"/>
        <v>0</v>
      </c>
      <c r="R519" s="1145" t="s">
        <v>1206</v>
      </c>
      <c r="S519" s="706">
        <f>SFCG!T96</f>
        <v>14654.86</v>
      </c>
      <c r="T519" s="591">
        <f t="shared" si="234"/>
        <v>2.4424766666666669</v>
      </c>
      <c r="U519" s="595"/>
      <c r="V519" s="591">
        <v>0</v>
      </c>
      <c r="W519" s="706">
        <f t="shared" si="235"/>
        <v>0</v>
      </c>
      <c r="X519" s="266"/>
    </row>
    <row r="520" spans="1:24" s="450" customFormat="1" ht="52" x14ac:dyDescent="0.25">
      <c r="A520" s="594"/>
      <c r="B520" s="284" t="s">
        <v>473</v>
      </c>
      <c r="C520" s="595" t="s">
        <v>14</v>
      </c>
      <c r="D520" s="467" t="s">
        <v>398</v>
      </c>
      <c r="E520" s="468">
        <v>0.1</v>
      </c>
      <c r="F520" s="468">
        <v>1400</v>
      </c>
      <c r="G520" s="468">
        <v>12</v>
      </c>
      <c r="H520" s="451">
        <f>SFCG!H97</f>
        <v>1680</v>
      </c>
      <c r="I520" s="675"/>
      <c r="J520" s="710">
        <v>0.1</v>
      </c>
      <c r="K520" s="710">
        <f t="shared" si="242"/>
        <v>1400</v>
      </c>
      <c r="L520" s="710">
        <v>12</v>
      </c>
      <c r="M520" s="1834">
        <f>SFCG!M97+SFCG!N97</f>
        <v>1680</v>
      </c>
      <c r="N520" s="697"/>
      <c r="O520" s="696">
        <f t="shared" si="232"/>
        <v>3360</v>
      </c>
      <c r="P520" s="675"/>
      <c r="Q520" s="709">
        <f t="shared" si="233"/>
        <v>0</v>
      </c>
      <c r="R520" s="1145" t="s">
        <v>1209</v>
      </c>
      <c r="S520" s="706">
        <f>SFCG!T97</f>
        <v>3338.76</v>
      </c>
      <c r="T520" s="591">
        <f t="shared" si="234"/>
        <v>0.99367857142857152</v>
      </c>
      <c r="U520" s="595"/>
      <c r="V520" s="591">
        <v>0</v>
      </c>
      <c r="W520" s="706">
        <f t="shared" si="235"/>
        <v>0</v>
      </c>
      <c r="X520" s="266"/>
    </row>
    <row r="521" spans="1:24" s="450" customFormat="1" ht="52" x14ac:dyDescent="0.25">
      <c r="A521" s="594"/>
      <c r="B521" s="284" t="s">
        <v>474</v>
      </c>
      <c r="C521" s="595" t="s">
        <v>14</v>
      </c>
      <c r="D521" s="467" t="s">
        <v>398</v>
      </c>
      <c r="E521" s="468">
        <v>0.5</v>
      </c>
      <c r="F521" s="468">
        <v>850</v>
      </c>
      <c r="G521" s="468">
        <v>12</v>
      </c>
      <c r="H521" s="451">
        <f>SFCG!H98</f>
        <v>5100</v>
      </c>
      <c r="I521" s="675"/>
      <c r="J521" s="710">
        <v>0.5</v>
      </c>
      <c r="K521" s="710">
        <f t="shared" si="242"/>
        <v>850</v>
      </c>
      <c r="L521" s="710">
        <v>12</v>
      </c>
      <c r="M521" s="1834">
        <f>SFCG!M98+SFCG!N98</f>
        <v>13992</v>
      </c>
      <c r="N521" s="697"/>
      <c r="O521" s="696">
        <f t="shared" si="232"/>
        <v>19092</v>
      </c>
      <c r="P521" s="675"/>
      <c r="Q521" s="709">
        <f t="shared" si="233"/>
        <v>0</v>
      </c>
      <c r="R521" s="1145" t="s">
        <v>1209</v>
      </c>
      <c r="S521" s="706">
        <f>SFCG!T98</f>
        <v>15768.880000000001</v>
      </c>
      <c r="T521" s="591">
        <f t="shared" si="234"/>
        <v>0.82594175570919759</v>
      </c>
      <c r="U521" s="595"/>
      <c r="V521" s="591">
        <v>0</v>
      </c>
      <c r="W521" s="706">
        <f t="shared" si="235"/>
        <v>0</v>
      </c>
      <c r="X521" s="266"/>
    </row>
    <row r="522" spans="1:24" s="450" customFormat="1" ht="52" x14ac:dyDescent="0.25">
      <c r="A522" s="594"/>
      <c r="B522" s="284" t="s">
        <v>475</v>
      </c>
      <c r="C522" s="595" t="s">
        <v>14</v>
      </c>
      <c r="D522" s="467" t="s">
        <v>398</v>
      </c>
      <c r="E522" s="468">
        <v>0.5</v>
      </c>
      <c r="F522" s="468">
        <v>650</v>
      </c>
      <c r="G522" s="468">
        <v>12</v>
      </c>
      <c r="H522" s="451">
        <f>SFCG!H99</f>
        <v>3900</v>
      </c>
      <c r="I522" s="675"/>
      <c r="J522" s="710">
        <v>0.5</v>
      </c>
      <c r="K522" s="710">
        <f t="shared" si="242"/>
        <v>650</v>
      </c>
      <c r="L522" s="710">
        <v>12</v>
      </c>
      <c r="M522" s="1834">
        <f>SFCG!M99+SFCG!N99</f>
        <v>9210</v>
      </c>
      <c r="N522" s="697"/>
      <c r="O522" s="696">
        <f t="shared" si="232"/>
        <v>13110</v>
      </c>
      <c r="P522" s="675"/>
      <c r="Q522" s="709">
        <f t="shared" si="233"/>
        <v>0</v>
      </c>
      <c r="R522" s="1145" t="s">
        <v>1209</v>
      </c>
      <c r="S522" s="706">
        <f>SFCG!T99</f>
        <v>11826.169999999998</v>
      </c>
      <c r="T522" s="591">
        <f t="shared" si="234"/>
        <v>0.90207246376811578</v>
      </c>
      <c r="U522" s="595"/>
      <c r="V522" s="591">
        <v>0</v>
      </c>
      <c r="W522" s="706">
        <f t="shared" si="235"/>
        <v>0</v>
      </c>
      <c r="X522" s="266"/>
    </row>
    <row r="523" spans="1:24" s="450" customFormat="1" ht="26" x14ac:dyDescent="0.25">
      <c r="A523" s="594"/>
      <c r="B523" s="284" t="s">
        <v>476</v>
      </c>
      <c r="C523" s="595" t="s">
        <v>14</v>
      </c>
      <c r="D523" s="467" t="s">
        <v>398</v>
      </c>
      <c r="E523" s="468">
        <v>0.5</v>
      </c>
      <c r="F523" s="468">
        <v>600</v>
      </c>
      <c r="G523" s="468">
        <v>12</v>
      </c>
      <c r="H523" s="451">
        <f>SFCG!H100</f>
        <v>3600</v>
      </c>
      <c r="I523" s="675"/>
      <c r="J523" s="710">
        <v>0.5</v>
      </c>
      <c r="K523" s="710">
        <f t="shared" si="242"/>
        <v>600</v>
      </c>
      <c r="L523" s="710">
        <v>12</v>
      </c>
      <c r="M523" s="1834">
        <f>SFCG!M100+SFCG!N100</f>
        <v>8100</v>
      </c>
      <c r="N523" s="697"/>
      <c r="O523" s="696">
        <f t="shared" si="232"/>
        <v>11700</v>
      </c>
      <c r="P523" s="675"/>
      <c r="Q523" s="709">
        <f t="shared" si="233"/>
        <v>0</v>
      </c>
      <c r="R523" s="1145" t="s">
        <v>1210</v>
      </c>
      <c r="S523" s="706">
        <f>SFCG!T100</f>
        <v>3370.46</v>
      </c>
      <c r="T523" s="591">
        <f t="shared" si="234"/>
        <v>0.28807350427350426</v>
      </c>
      <c r="U523" s="595" t="s">
        <v>477</v>
      </c>
      <c r="V523" s="591">
        <v>0</v>
      </c>
      <c r="W523" s="706">
        <f t="shared" si="235"/>
        <v>0</v>
      </c>
      <c r="X523" s="266"/>
    </row>
    <row r="524" spans="1:24" s="450" customFormat="1" ht="65" x14ac:dyDescent="0.25">
      <c r="A524" s="1809" t="s">
        <v>261</v>
      </c>
      <c r="B524" s="87" t="s">
        <v>262</v>
      </c>
      <c r="C524" s="88" t="s">
        <v>14</v>
      </c>
      <c r="D524" s="1761" t="s">
        <v>1372</v>
      </c>
      <c r="E524" s="724">
        <v>1</v>
      </c>
      <c r="F524" s="724">
        <v>512.16</v>
      </c>
      <c r="G524" s="724">
        <v>12</v>
      </c>
      <c r="H524" s="1777">
        <f t="shared" ref="H524:H573" si="243">O524/2</f>
        <v>6268.84</v>
      </c>
      <c r="I524" s="675"/>
      <c r="J524" s="1722">
        <v>1</v>
      </c>
      <c r="K524" s="1722">
        <v>682.88</v>
      </c>
      <c r="L524" s="1722">
        <v>12</v>
      </c>
      <c r="M524" s="1834">
        <f t="shared" ref="M524:M572" si="244">H524</f>
        <v>6268.84</v>
      </c>
      <c r="N524" s="697">
        <v>0</v>
      </c>
      <c r="O524" s="696">
        <v>12537.68</v>
      </c>
      <c r="P524" s="675">
        <v>0</v>
      </c>
      <c r="Q524" s="1741">
        <f t="shared" si="233"/>
        <v>0</v>
      </c>
      <c r="R524" s="1810" t="s">
        <v>263</v>
      </c>
      <c r="S524" s="706">
        <f>'MERCY COPRS'!H74</f>
        <v>10737.740000000007</v>
      </c>
      <c r="T524" s="591">
        <f t="shared" si="234"/>
        <v>0.85643755463530791</v>
      </c>
      <c r="U524" s="595"/>
      <c r="V524" s="591">
        <v>0</v>
      </c>
      <c r="W524" s="706">
        <f t="shared" si="235"/>
        <v>0</v>
      </c>
      <c r="X524" s="92"/>
    </row>
    <row r="525" spans="1:24" s="450" customFormat="1" ht="91" x14ac:dyDescent="0.25">
      <c r="A525" s="1809"/>
      <c r="B525" s="87" t="s">
        <v>264</v>
      </c>
      <c r="C525" s="88" t="s">
        <v>14</v>
      </c>
      <c r="D525" s="1761" t="s">
        <v>1372</v>
      </c>
      <c r="E525" s="724">
        <v>1</v>
      </c>
      <c r="F525" s="724">
        <v>356.4</v>
      </c>
      <c r="G525" s="724">
        <v>12</v>
      </c>
      <c r="H525" s="1777">
        <f t="shared" si="243"/>
        <v>5341.25</v>
      </c>
      <c r="I525" s="675">
        <v>0.2</v>
      </c>
      <c r="J525" s="1722">
        <v>1</v>
      </c>
      <c r="K525" s="1722">
        <v>475.2</v>
      </c>
      <c r="L525" s="1722">
        <v>12</v>
      </c>
      <c r="M525" s="1834">
        <f t="shared" si="244"/>
        <v>5341.25</v>
      </c>
      <c r="N525" s="697">
        <v>0.2</v>
      </c>
      <c r="O525" s="696">
        <v>10682.5</v>
      </c>
      <c r="P525" s="675">
        <v>0.2</v>
      </c>
      <c r="Q525" s="1741">
        <f t="shared" si="233"/>
        <v>2136.5</v>
      </c>
      <c r="R525" s="1810" t="s">
        <v>265</v>
      </c>
      <c r="S525" s="706">
        <f>'MERCY COPRS'!H75</f>
        <v>9751.130000000001</v>
      </c>
      <c r="T525" s="591">
        <f t="shared" si="234"/>
        <v>0.912813479990639</v>
      </c>
      <c r="U525" s="595"/>
      <c r="V525" s="591">
        <f t="shared" ref="V525:V550" si="245">W525/Q525</f>
        <v>0.91281347999063911</v>
      </c>
      <c r="W525" s="706">
        <f t="shared" si="235"/>
        <v>1950.2260000000003</v>
      </c>
      <c r="X525" s="92" t="s">
        <v>220</v>
      </c>
    </row>
    <row r="526" spans="1:24" s="450" customFormat="1" ht="78" x14ac:dyDescent="0.25">
      <c r="A526" s="1809"/>
      <c r="B526" s="87" t="s">
        <v>266</v>
      </c>
      <c r="C526" s="88" t="s">
        <v>14</v>
      </c>
      <c r="D526" s="1761" t="s">
        <v>1372</v>
      </c>
      <c r="E526" s="724">
        <v>1</v>
      </c>
      <c r="F526" s="724">
        <v>293.03999999999996</v>
      </c>
      <c r="G526" s="724">
        <v>12</v>
      </c>
      <c r="H526" s="1777">
        <f t="shared" si="243"/>
        <v>4782.415</v>
      </c>
      <c r="I526" s="675"/>
      <c r="J526" s="1722">
        <v>1</v>
      </c>
      <c r="K526" s="1722">
        <v>390.72</v>
      </c>
      <c r="L526" s="1722">
        <v>12</v>
      </c>
      <c r="M526" s="1834">
        <f t="shared" si="244"/>
        <v>4782.415</v>
      </c>
      <c r="N526" s="697">
        <v>0</v>
      </c>
      <c r="O526" s="696">
        <v>9564.83</v>
      </c>
      <c r="P526" s="675">
        <v>0</v>
      </c>
      <c r="Q526" s="1741">
        <f t="shared" si="233"/>
        <v>0</v>
      </c>
      <c r="R526" s="1810" t="s">
        <v>267</v>
      </c>
      <c r="S526" s="706">
        <f>'MERCY COPRS'!H76</f>
        <v>8305.5699999999961</v>
      </c>
      <c r="T526" s="591">
        <f t="shared" si="234"/>
        <v>0.86834475887182483</v>
      </c>
      <c r="U526" s="595"/>
      <c r="V526" s="591">
        <v>0</v>
      </c>
      <c r="W526" s="706">
        <f t="shared" si="235"/>
        <v>0</v>
      </c>
      <c r="X526" s="92"/>
    </row>
    <row r="527" spans="1:24" s="450" customFormat="1" ht="104" x14ac:dyDescent="0.25">
      <c r="A527" s="1809"/>
      <c r="B527" s="87" t="s">
        <v>268</v>
      </c>
      <c r="C527" s="88" t="s">
        <v>14</v>
      </c>
      <c r="D527" s="1761" t="s">
        <v>1372</v>
      </c>
      <c r="E527" s="724">
        <v>1</v>
      </c>
      <c r="F527" s="724">
        <v>343.2</v>
      </c>
      <c r="G527" s="724">
        <v>12</v>
      </c>
      <c r="H527" s="1777">
        <f t="shared" si="243"/>
        <v>4804.7999999999993</v>
      </c>
      <c r="I527" s="675"/>
      <c r="J527" s="1722">
        <v>1</v>
      </c>
      <c r="K527" s="1722">
        <v>457.6</v>
      </c>
      <c r="L527" s="1722">
        <v>12</v>
      </c>
      <c r="M527" s="1834">
        <f t="shared" si="244"/>
        <v>4804.7999999999993</v>
      </c>
      <c r="N527" s="697">
        <v>0</v>
      </c>
      <c r="O527" s="696">
        <v>9609.5999999999985</v>
      </c>
      <c r="P527" s="675">
        <v>0</v>
      </c>
      <c r="Q527" s="1741">
        <f t="shared" si="233"/>
        <v>0</v>
      </c>
      <c r="R527" s="1810" t="s">
        <v>269</v>
      </c>
      <c r="S527" s="706">
        <f>'MERCY COPRS'!H77</f>
        <v>9943.8000000000011</v>
      </c>
      <c r="T527" s="591">
        <f t="shared" si="234"/>
        <v>1.0347777222777226</v>
      </c>
      <c r="U527" s="595"/>
      <c r="V527" s="591">
        <v>0</v>
      </c>
      <c r="W527" s="706">
        <f t="shared" si="235"/>
        <v>0</v>
      </c>
      <c r="X527" s="92"/>
    </row>
    <row r="528" spans="1:24" s="450" customFormat="1" ht="78" x14ac:dyDescent="0.25">
      <c r="A528" s="1809"/>
      <c r="B528" s="87" t="s">
        <v>270</v>
      </c>
      <c r="C528" s="88" t="s">
        <v>14</v>
      </c>
      <c r="D528" s="1761" t="s">
        <v>1372</v>
      </c>
      <c r="E528" s="724">
        <v>1</v>
      </c>
      <c r="F528" s="724">
        <v>184.79999999999998</v>
      </c>
      <c r="G528" s="724">
        <v>12</v>
      </c>
      <c r="H528" s="1777">
        <f t="shared" si="243"/>
        <v>3015.9350000000004</v>
      </c>
      <c r="I528" s="675"/>
      <c r="J528" s="1722">
        <v>1</v>
      </c>
      <c r="K528" s="1722">
        <v>246.4</v>
      </c>
      <c r="L528" s="1722">
        <v>12</v>
      </c>
      <c r="M528" s="1834">
        <f t="shared" si="244"/>
        <v>3015.9350000000004</v>
      </c>
      <c r="N528" s="697">
        <v>0</v>
      </c>
      <c r="O528" s="696">
        <v>6031.8700000000008</v>
      </c>
      <c r="P528" s="675">
        <v>0</v>
      </c>
      <c r="Q528" s="1741">
        <f t="shared" si="233"/>
        <v>0</v>
      </c>
      <c r="R528" s="1810" t="s">
        <v>271</v>
      </c>
      <c r="S528" s="706">
        <f>'MERCY COPRS'!H78</f>
        <v>6360.98</v>
      </c>
      <c r="T528" s="591">
        <f t="shared" si="234"/>
        <v>1.0545618522945619</v>
      </c>
      <c r="U528" s="595"/>
      <c r="V528" s="591">
        <v>0</v>
      </c>
      <c r="W528" s="706">
        <f t="shared" si="235"/>
        <v>0</v>
      </c>
      <c r="X528" s="92"/>
    </row>
    <row r="529" spans="1:24" s="450" customFormat="1" ht="78" x14ac:dyDescent="0.25">
      <c r="A529" s="1809"/>
      <c r="B529" s="141" t="s">
        <v>272</v>
      </c>
      <c r="C529" s="88" t="s">
        <v>14</v>
      </c>
      <c r="D529" s="1761" t="s">
        <v>1372</v>
      </c>
      <c r="E529" s="724">
        <v>1</v>
      </c>
      <c r="F529" s="724">
        <v>224.4</v>
      </c>
      <c r="G529" s="724">
        <v>12</v>
      </c>
      <c r="H529" s="1777">
        <f t="shared" si="243"/>
        <v>3662.21</v>
      </c>
      <c r="I529" s="675"/>
      <c r="J529" s="1722">
        <v>1</v>
      </c>
      <c r="K529" s="1722">
        <v>299.2</v>
      </c>
      <c r="L529" s="1722">
        <v>12</v>
      </c>
      <c r="M529" s="1834">
        <f t="shared" si="244"/>
        <v>3662.21</v>
      </c>
      <c r="N529" s="697">
        <v>0</v>
      </c>
      <c r="O529" s="696">
        <v>7324.42</v>
      </c>
      <c r="P529" s="675">
        <v>0</v>
      </c>
      <c r="Q529" s="1741">
        <f t="shared" si="233"/>
        <v>0</v>
      </c>
      <c r="R529" s="1810" t="s">
        <v>273</v>
      </c>
      <c r="S529" s="706">
        <f>'MERCY COPRS'!H79</f>
        <v>9043.2000000000007</v>
      </c>
      <c r="T529" s="591">
        <f t="shared" si="234"/>
        <v>1.2346643147170699</v>
      </c>
      <c r="U529" s="595"/>
      <c r="V529" s="591">
        <v>0</v>
      </c>
      <c r="W529" s="706">
        <f t="shared" si="235"/>
        <v>0</v>
      </c>
      <c r="X529" s="92"/>
    </row>
    <row r="530" spans="1:24" s="450" customFormat="1" ht="117" x14ac:dyDescent="0.25">
      <c r="A530" s="1809"/>
      <c r="B530" s="87" t="s">
        <v>274</v>
      </c>
      <c r="C530" s="88" t="s">
        <v>14</v>
      </c>
      <c r="D530" s="1761" t="s">
        <v>1372</v>
      </c>
      <c r="E530" s="724">
        <v>1</v>
      </c>
      <c r="F530" s="724">
        <v>258.71999999999997</v>
      </c>
      <c r="G530" s="724">
        <v>12</v>
      </c>
      <c r="H530" s="1777">
        <f t="shared" si="243"/>
        <v>4222.3100000000004</v>
      </c>
      <c r="I530" s="675"/>
      <c r="J530" s="1722">
        <v>1</v>
      </c>
      <c r="K530" s="1722">
        <v>344.96</v>
      </c>
      <c r="L530" s="1722">
        <v>12</v>
      </c>
      <c r="M530" s="1834">
        <f t="shared" si="244"/>
        <v>4222.3100000000004</v>
      </c>
      <c r="N530" s="697">
        <v>0</v>
      </c>
      <c r="O530" s="696">
        <v>8444.6200000000008</v>
      </c>
      <c r="P530" s="675">
        <v>0</v>
      </c>
      <c r="Q530" s="1741">
        <f t="shared" si="233"/>
        <v>0</v>
      </c>
      <c r="R530" s="1810" t="s">
        <v>275</v>
      </c>
      <c r="S530" s="706">
        <f>'MERCY COPRS'!H80</f>
        <v>7329.66</v>
      </c>
      <c r="T530" s="591">
        <f t="shared" si="234"/>
        <v>0.86796800803351715</v>
      </c>
      <c r="U530" s="595"/>
      <c r="V530" s="591" t="e">
        <f t="shared" si="245"/>
        <v>#DIV/0!</v>
      </c>
      <c r="W530" s="706">
        <f t="shared" si="235"/>
        <v>0</v>
      </c>
      <c r="X530" s="92"/>
    </row>
    <row r="531" spans="1:24" s="450" customFormat="1" ht="91" x14ac:dyDescent="0.25">
      <c r="A531" s="1809"/>
      <c r="B531" s="87" t="s">
        <v>276</v>
      </c>
      <c r="C531" s="88" t="s">
        <v>14</v>
      </c>
      <c r="D531" s="1761" t="s">
        <v>1372</v>
      </c>
      <c r="E531" s="724">
        <v>1</v>
      </c>
      <c r="F531" s="724">
        <v>294.89999999999998</v>
      </c>
      <c r="G531" s="724">
        <v>12</v>
      </c>
      <c r="H531" s="1777">
        <f t="shared" si="243"/>
        <v>4812.7700000000004</v>
      </c>
      <c r="I531" s="675">
        <v>1</v>
      </c>
      <c r="J531" s="1722">
        <v>1</v>
      </c>
      <c r="K531" s="1722">
        <v>393.2</v>
      </c>
      <c r="L531" s="1722">
        <v>12</v>
      </c>
      <c r="M531" s="1834">
        <f t="shared" si="244"/>
        <v>4812.7700000000004</v>
      </c>
      <c r="N531" s="697">
        <v>1</v>
      </c>
      <c r="O531" s="696">
        <v>9625.5400000000009</v>
      </c>
      <c r="P531" s="675">
        <v>1</v>
      </c>
      <c r="Q531" s="1741">
        <f t="shared" si="233"/>
        <v>9625.5400000000009</v>
      </c>
      <c r="R531" s="1810" t="s">
        <v>277</v>
      </c>
      <c r="S531" s="706">
        <f>'MERCY COPRS'!H81</f>
        <v>5878.0399999999991</v>
      </c>
      <c r="T531" s="591">
        <f t="shared" si="234"/>
        <v>0.61067119351225996</v>
      </c>
      <c r="U531" s="595"/>
      <c r="V531" s="591">
        <f t="shared" si="245"/>
        <v>0.61067119351225996</v>
      </c>
      <c r="W531" s="706">
        <f t="shared" si="235"/>
        <v>5878.0399999999991</v>
      </c>
      <c r="X531" s="92" t="s">
        <v>220</v>
      </c>
    </row>
    <row r="532" spans="1:24" s="450" customFormat="1" ht="78" x14ac:dyDescent="0.25">
      <c r="A532" s="1809"/>
      <c r="B532" s="87" t="s">
        <v>278</v>
      </c>
      <c r="C532" s="88" t="s">
        <v>14</v>
      </c>
      <c r="D532" s="1761" t="s">
        <v>1372</v>
      </c>
      <c r="E532" s="724">
        <v>1</v>
      </c>
      <c r="F532" s="724">
        <v>264</v>
      </c>
      <c r="G532" s="724">
        <v>12</v>
      </c>
      <c r="H532" s="1777">
        <f t="shared" si="243"/>
        <v>4308.4799999999996</v>
      </c>
      <c r="I532" s="675">
        <v>0.5</v>
      </c>
      <c r="J532" s="1722">
        <v>1</v>
      </c>
      <c r="K532" s="1722">
        <v>352</v>
      </c>
      <c r="L532" s="1722">
        <v>12</v>
      </c>
      <c r="M532" s="1834">
        <f t="shared" si="244"/>
        <v>4308.4799999999996</v>
      </c>
      <c r="N532" s="697">
        <v>0.5</v>
      </c>
      <c r="O532" s="696">
        <v>8616.9599999999991</v>
      </c>
      <c r="P532" s="675">
        <v>0.5</v>
      </c>
      <c r="Q532" s="1741">
        <f t="shared" si="233"/>
        <v>4308.4799999999996</v>
      </c>
      <c r="R532" s="1810" t="s">
        <v>279</v>
      </c>
      <c r="S532" s="706">
        <f>'MERCY COPRS'!H82</f>
        <v>7045.1500000000024</v>
      </c>
      <c r="T532" s="591">
        <f t="shared" si="234"/>
        <v>0.81759112262329214</v>
      </c>
      <c r="U532" s="595"/>
      <c r="V532" s="591">
        <f t="shared" si="245"/>
        <v>0.81759112262329214</v>
      </c>
      <c r="W532" s="706">
        <f t="shared" si="235"/>
        <v>3522.5750000000012</v>
      </c>
      <c r="X532" s="92" t="s">
        <v>220</v>
      </c>
    </row>
    <row r="533" spans="1:24" s="450" customFormat="1" ht="78" x14ac:dyDescent="0.25">
      <c r="A533" s="1809"/>
      <c r="B533" s="87" t="s">
        <v>280</v>
      </c>
      <c r="C533" s="88" t="s">
        <v>14</v>
      </c>
      <c r="D533" s="1761" t="s">
        <v>1372</v>
      </c>
      <c r="E533" s="724">
        <v>1</v>
      </c>
      <c r="F533" s="724">
        <v>105.60000000000001</v>
      </c>
      <c r="G533" s="724">
        <v>6</v>
      </c>
      <c r="H533" s="1777">
        <f t="shared" si="243"/>
        <v>0</v>
      </c>
      <c r="I533" s="675">
        <v>0.25</v>
      </c>
      <c r="J533" s="1722"/>
      <c r="K533" s="1722">
        <v>105.60000000000001</v>
      </c>
      <c r="L533" s="1722"/>
      <c r="M533" s="1834">
        <f t="shared" si="244"/>
        <v>0</v>
      </c>
      <c r="N533" s="697">
        <v>0.25</v>
      </c>
      <c r="O533" s="696">
        <v>0</v>
      </c>
      <c r="P533" s="675">
        <v>0</v>
      </c>
      <c r="Q533" s="1741">
        <f t="shared" si="233"/>
        <v>0</v>
      </c>
      <c r="R533" s="1810" t="s">
        <v>281</v>
      </c>
      <c r="S533" s="706">
        <f>'MERCY COPRS'!H83</f>
        <v>0</v>
      </c>
      <c r="T533" s="591"/>
      <c r="U533" s="595"/>
      <c r="V533" s="591">
        <v>0</v>
      </c>
      <c r="W533" s="706">
        <f t="shared" si="235"/>
        <v>0</v>
      </c>
      <c r="X533" s="92"/>
    </row>
    <row r="534" spans="1:24" s="450" customFormat="1" ht="65" x14ac:dyDescent="0.25">
      <c r="A534" s="1809"/>
      <c r="B534" s="87" t="s">
        <v>282</v>
      </c>
      <c r="C534" s="88" t="s">
        <v>14</v>
      </c>
      <c r="D534" s="1761" t="s">
        <v>1372</v>
      </c>
      <c r="E534" s="724">
        <v>1</v>
      </c>
      <c r="F534" s="724">
        <v>211.2</v>
      </c>
      <c r="G534" s="724">
        <v>12</v>
      </c>
      <c r="H534" s="1777">
        <f t="shared" si="243"/>
        <v>3574.08</v>
      </c>
      <c r="I534" s="675"/>
      <c r="J534" s="1722">
        <v>1</v>
      </c>
      <c r="K534" s="1722">
        <v>281.60000000000002</v>
      </c>
      <c r="L534" s="1722">
        <v>12</v>
      </c>
      <c r="M534" s="1834">
        <f t="shared" si="244"/>
        <v>3574.08</v>
      </c>
      <c r="N534" s="697">
        <v>0</v>
      </c>
      <c r="O534" s="696">
        <v>7148.16</v>
      </c>
      <c r="P534" s="675">
        <v>0</v>
      </c>
      <c r="Q534" s="1741">
        <f t="shared" si="233"/>
        <v>0</v>
      </c>
      <c r="R534" s="1810" t="s">
        <v>283</v>
      </c>
      <c r="S534" s="706">
        <f>'MERCY COPRS'!H84</f>
        <v>7589.2899999999981</v>
      </c>
      <c r="T534" s="591">
        <f t="shared" si="234"/>
        <v>1.0617123847255794</v>
      </c>
      <c r="U534" s="595"/>
      <c r="V534" s="591">
        <v>0</v>
      </c>
      <c r="W534" s="706">
        <f t="shared" si="235"/>
        <v>0</v>
      </c>
      <c r="X534" s="92"/>
    </row>
    <row r="535" spans="1:24" s="450" customFormat="1" ht="104" x14ac:dyDescent="0.25">
      <c r="A535" s="1809"/>
      <c r="B535" s="87" t="s">
        <v>284</v>
      </c>
      <c r="C535" s="88" t="s">
        <v>14</v>
      </c>
      <c r="D535" s="1761" t="s">
        <v>1372</v>
      </c>
      <c r="E535" s="724">
        <v>1</v>
      </c>
      <c r="F535" s="724">
        <v>211.2</v>
      </c>
      <c r="G535" s="724">
        <v>12</v>
      </c>
      <c r="H535" s="1777">
        <f t="shared" si="243"/>
        <v>4333.5750000000007</v>
      </c>
      <c r="I535" s="675"/>
      <c r="J535" s="1722">
        <v>1</v>
      </c>
      <c r="K535" s="1722">
        <v>281.60000000000002</v>
      </c>
      <c r="L535" s="1722">
        <v>12</v>
      </c>
      <c r="M535" s="1834">
        <f t="shared" si="244"/>
        <v>4333.5750000000007</v>
      </c>
      <c r="N535" s="697">
        <v>0</v>
      </c>
      <c r="O535" s="696">
        <v>8667.1500000000015</v>
      </c>
      <c r="P535" s="675">
        <v>0</v>
      </c>
      <c r="Q535" s="1741">
        <f t="shared" si="233"/>
        <v>0</v>
      </c>
      <c r="R535" s="1810" t="s">
        <v>285</v>
      </c>
      <c r="S535" s="706">
        <f>'MERCY COPRS'!H85</f>
        <v>7292.5000000000009</v>
      </c>
      <c r="T535" s="591">
        <f t="shared" si="234"/>
        <v>0.84139538371898481</v>
      </c>
      <c r="U535" s="595"/>
      <c r="V535" s="591">
        <v>0</v>
      </c>
      <c r="W535" s="706">
        <f t="shared" si="235"/>
        <v>0</v>
      </c>
      <c r="X535" s="92"/>
    </row>
    <row r="536" spans="1:24" s="450" customFormat="1" ht="65" x14ac:dyDescent="0.25">
      <c r="A536" s="1809"/>
      <c r="B536" s="87" t="s">
        <v>286</v>
      </c>
      <c r="C536" s="88" t="s">
        <v>14</v>
      </c>
      <c r="D536" s="1761" t="s">
        <v>1372</v>
      </c>
      <c r="E536" s="724">
        <v>1</v>
      </c>
      <c r="F536" s="724">
        <v>60</v>
      </c>
      <c r="G536" s="724">
        <v>12</v>
      </c>
      <c r="H536" s="1777">
        <f t="shared" si="243"/>
        <v>840</v>
      </c>
      <c r="I536" s="675">
        <v>0.5</v>
      </c>
      <c r="J536" s="1722">
        <v>1</v>
      </c>
      <c r="K536" s="1722">
        <v>80</v>
      </c>
      <c r="L536" s="1722">
        <v>12</v>
      </c>
      <c r="M536" s="1834">
        <f t="shared" si="244"/>
        <v>840</v>
      </c>
      <c r="N536" s="697">
        <v>0.5</v>
      </c>
      <c r="O536" s="696">
        <v>1680</v>
      </c>
      <c r="P536" s="675">
        <v>0.5</v>
      </c>
      <c r="Q536" s="1741">
        <f t="shared" si="233"/>
        <v>840</v>
      </c>
      <c r="R536" s="1810" t="s">
        <v>287</v>
      </c>
      <c r="S536" s="706">
        <f>'MERCY COPRS'!H86</f>
        <v>1094.8900000000001</v>
      </c>
      <c r="T536" s="591">
        <f t="shared" si="234"/>
        <v>0.65172023809523816</v>
      </c>
      <c r="U536" s="595"/>
      <c r="V536" s="591">
        <f t="shared" si="245"/>
        <v>0.65172023809523816</v>
      </c>
      <c r="W536" s="706">
        <f t="shared" si="235"/>
        <v>547.44500000000005</v>
      </c>
      <c r="X536" s="92" t="s">
        <v>220</v>
      </c>
    </row>
    <row r="537" spans="1:24" s="450" customFormat="1" x14ac:dyDescent="0.25">
      <c r="A537" s="1809" t="s">
        <v>288</v>
      </c>
      <c r="B537" s="87"/>
      <c r="C537" s="88"/>
      <c r="D537" s="1761" t="s">
        <v>1372</v>
      </c>
      <c r="E537" s="1811"/>
      <c r="F537" s="1812"/>
      <c r="G537" s="1812"/>
      <c r="H537" s="1777">
        <f t="shared" si="243"/>
        <v>0</v>
      </c>
      <c r="I537" s="1815"/>
      <c r="J537" s="1814"/>
      <c r="K537" s="1814"/>
      <c r="L537" s="1814"/>
      <c r="M537" s="1834">
        <f t="shared" si="244"/>
        <v>0</v>
      </c>
      <c r="N537" s="1815"/>
      <c r="O537" s="696"/>
      <c r="P537" s="1815"/>
      <c r="Q537" s="1813">
        <f t="shared" si="233"/>
        <v>0</v>
      </c>
      <c r="R537" s="1143"/>
      <c r="S537" s="706"/>
      <c r="T537" s="591"/>
      <c r="U537" s="595"/>
      <c r="V537" s="591">
        <v>0</v>
      </c>
      <c r="W537" s="706">
        <f t="shared" si="235"/>
        <v>0</v>
      </c>
      <c r="X537" s="594"/>
    </row>
    <row r="538" spans="1:24" s="450" customFormat="1" ht="39" x14ac:dyDescent="0.25">
      <c r="A538" s="1809"/>
      <c r="B538" s="87" t="s">
        <v>289</v>
      </c>
      <c r="C538" s="88" t="s">
        <v>14</v>
      </c>
      <c r="D538" s="1761" t="s">
        <v>1372</v>
      </c>
      <c r="E538" s="724">
        <v>1</v>
      </c>
      <c r="F538" s="724">
        <v>74.25</v>
      </c>
      <c r="G538" s="724">
        <v>12</v>
      </c>
      <c r="H538" s="1777">
        <f t="shared" si="243"/>
        <v>1891.08</v>
      </c>
      <c r="I538" s="675">
        <v>1</v>
      </c>
      <c r="J538" s="1722">
        <v>76.477500000000006</v>
      </c>
      <c r="K538" s="1722">
        <v>12</v>
      </c>
      <c r="L538" s="1722">
        <v>917.73</v>
      </c>
      <c r="M538" s="1834">
        <f t="shared" si="244"/>
        <v>1891.08</v>
      </c>
      <c r="N538" s="697">
        <v>0</v>
      </c>
      <c r="O538" s="696">
        <v>3782.16</v>
      </c>
      <c r="P538" s="675">
        <v>0</v>
      </c>
      <c r="Q538" s="1741">
        <f t="shared" si="233"/>
        <v>0</v>
      </c>
      <c r="R538" s="1810" t="s">
        <v>290</v>
      </c>
      <c r="S538" s="706">
        <f>'MERCY COPRS'!H88</f>
        <v>3692.4600000000014</v>
      </c>
      <c r="T538" s="591">
        <f t="shared" si="234"/>
        <v>0.97628339361634664</v>
      </c>
      <c r="U538" s="595"/>
      <c r="V538" s="591">
        <v>0</v>
      </c>
      <c r="W538" s="706">
        <f t="shared" si="235"/>
        <v>0</v>
      </c>
      <c r="X538" s="594"/>
    </row>
    <row r="539" spans="1:24" s="450" customFormat="1" ht="39" x14ac:dyDescent="0.25">
      <c r="A539" s="1809"/>
      <c r="B539" s="87" t="s">
        <v>291</v>
      </c>
      <c r="C539" s="88" t="s">
        <v>14</v>
      </c>
      <c r="D539" s="1761" t="s">
        <v>1372</v>
      </c>
      <c r="E539" s="724">
        <v>1</v>
      </c>
      <c r="F539" s="724">
        <v>45</v>
      </c>
      <c r="G539" s="724">
        <v>12</v>
      </c>
      <c r="H539" s="1777">
        <f t="shared" si="243"/>
        <v>548.1</v>
      </c>
      <c r="I539" s="675">
        <v>1</v>
      </c>
      <c r="J539" s="1722">
        <v>46.35</v>
      </c>
      <c r="K539" s="1722">
        <v>12</v>
      </c>
      <c r="L539" s="1722">
        <v>556.20000000000005</v>
      </c>
      <c r="M539" s="1834">
        <f t="shared" si="244"/>
        <v>548.1</v>
      </c>
      <c r="N539" s="697">
        <v>0</v>
      </c>
      <c r="O539" s="696">
        <v>1096.2</v>
      </c>
      <c r="P539" s="675">
        <v>0</v>
      </c>
      <c r="Q539" s="1741">
        <f t="shared" si="233"/>
        <v>0</v>
      </c>
      <c r="R539" s="1810" t="s">
        <v>290</v>
      </c>
      <c r="S539" s="706">
        <f>'MERCY COPRS'!H89</f>
        <v>1224.3800000000001</v>
      </c>
      <c r="T539" s="591">
        <f t="shared" si="234"/>
        <v>1.1169312169312169</v>
      </c>
      <c r="U539" s="595"/>
      <c r="V539" s="591">
        <v>0</v>
      </c>
      <c r="W539" s="706">
        <f t="shared" si="235"/>
        <v>0</v>
      </c>
      <c r="X539" s="594"/>
    </row>
    <row r="540" spans="1:24" s="450" customFormat="1" x14ac:dyDescent="0.25">
      <c r="A540" s="1809"/>
      <c r="B540" s="87" t="s">
        <v>292</v>
      </c>
      <c r="C540" s="88" t="s">
        <v>14</v>
      </c>
      <c r="D540" s="1761" t="s">
        <v>1372</v>
      </c>
      <c r="E540" s="724"/>
      <c r="F540" s="724"/>
      <c r="G540" s="724"/>
      <c r="H540" s="1777">
        <f t="shared" si="243"/>
        <v>0</v>
      </c>
      <c r="I540" s="675"/>
      <c r="J540" s="1722"/>
      <c r="K540" s="1722"/>
      <c r="L540" s="1722"/>
      <c r="M540" s="1834">
        <f t="shared" si="244"/>
        <v>0</v>
      </c>
      <c r="N540" s="697"/>
      <c r="O540" s="696"/>
      <c r="P540" s="675">
        <v>0</v>
      </c>
      <c r="Q540" s="1741">
        <f t="shared" si="233"/>
        <v>0</v>
      </c>
      <c r="R540" s="1810"/>
      <c r="S540" s="706"/>
      <c r="T540" s="591"/>
      <c r="U540" s="595"/>
      <c r="V540" s="591">
        <v>0</v>
      </c>
      <c r="W540" s="706">
        <f t="shared" si="235"/>
        <v>0</v>
      </c>
      <c r="X540" s="594"/>
    </row>
    <row r="541" spans="1:24" s="450" customFormat="1" ht="52" x14ac:dyDescent="0.25">
      <c r="A541" s="1809"/>
      <c r="B541" s="87" t="s">
        <v>293</v>
      </c>
      <c r="C541" s="88" t="s">
        <v>14</v>
      </c>
      <c r="D541" s="1761" t="s">
        <v>1372</v>
      </c>
      <c r="E541" s="724">
        <v>1</v>
      </c>
      <c r="F541" s="724">
        <v>100.2</v>
      </c>
      <c r="G541" s="724">
        <v>12</v>
      </c>
      <c r="H541" s="1777">
        <f t="shared" si="243"/>
        <v>1220.4349999999999</v>
      </c>
      <c r="I541" s="675">
        <v>1</v>
      </c>
      <c r="J541" s="1722">
        <v>103.206</v>
      </c>
      <c r="K541" s="1722">
        <v>12</v>
      </c>
      <c r="L541" s="1722">
        <v>1238.47</v>
      </c>
      <c r="M541" s="1834">
        <f t="shared" si="244"/>
        <v>1220.4349999999999</v>
      </c>
      <c r="N541" s="697">
        <v>0</v>
      </c>
      <c r="O541" s="696">
        <v>2440.87</v>
      </c>
      <c r="P541" s="675">
        <v>0</v>
      </c>
      <c r="Q541" s="1741">
        <f t="shared" si="233"/>
        <v>0</v>
      </c>
      <c r="R541" s="1810" t="s">
        <v>294</v>
      </c>
      <c r="S541" s="706">
        <f>'MERCY COPRS'!H91</f>
        <v>2785.9299999999985</v>
      </c>
      <c r="T541" s="591">
        <f t="shared" si="234"/>
        <v>1.1413676271165603</v>
      </c>
      <c r="U541" s="595"/>
      <c r="V541" s="591">
        <v>0</v>
      </c>
      <c r="W541" s="706">
        <f t="shared" si="235"/>
        <v>0</v>
      </c>
      <c r="X541" s="594"/>
    </row>
    <row r="542" spans="1:24" s="450" customFormat="1" ht="52" x14ac:dyDescent="0.25">
      <c r="A542" s="1809"/>
      <c r="B542" s="87" t="s">
        <v>295</v>
      </c>
      <c r="C542" s="88" t="s">
        <v>14</v>
      </c>
      <c r="D542" s="1761" t="s">
        <v>1372</v>
      </c>
      <c r="E542" s="724">
        <v>1</v>
      </c>
      <c r="F542" s="724">
        <v>71.55</v>
      </c>
      <c r="G542" s="724">
        <v>12</v>
      </c>
      <c r="H542" s="1777">
        <f t="shared" si="243"/>
        <v>871.48</v>
      </c>
      <c r="I542" s="675">
        <v>1</v>
      </c>
      <c r="J542" s="1722">
        <v>73.6965</v>
      </c>
      <c r="K542" s="1722">
        <v>12</v>
      </c>
      <c r="L542" s="1722">
        <v>884.36</v>
      </c>
      <c r="M542" s="1834">
        <f t="shared" si="244"/>
        <v>871.48</v>
      </c>
      <c r="N542" s="697">
        <v>0</v>
      </c>
      <c r="O542" s="696">
        <v>1742.96</v>
      </c>
      <c r="P542" s="675">
        <v>0</v>
      </c>
      <c r="Q542" s="1741">
        <f t="shared" si="233"/>
        <v>0</v>
      </c>
      <c r="R542" s="1810" t="s">
        <v>296</v>
      </c>
      <c r="S542" s="706">
        <f>'MERCY COPRS'!H92</f>
        <v>2243.1000000000004</v>
      </c>
      <c r="T542" s="591">
        <f t="shared" si="234"/>
        <v>1.2869486390967093</v>
      </c>
      <c r="U542" s="595"/>
      <c r="V542" s="591">
        <v>0</v>
      </c>
      <c r="W542" s="706">
        <f t="shared" si="235"/>
        <v>0</v>
      </c>
      <c r="X542" s="594"/>
    </row>
    <row r="543" spans="1:24" s="450" customFormat="1" ht="39" x14ac:dyDescent="0.25">
      <c r="A543" s="1809"/>
      <c r="B543" s="87" t="s">
        <v>297</v>
      </c>
      <c r="C543" s="88" t="s">
        <v>14</v>
      </c>
      <c r="D543" s="1761" t="s">
        <v>1372</v>
      </c>
      <c r="E543" s="724">
        <v>1</v>
      </c>
      <c r="F543" s="724">
        <v>28.65</v>
      </c>
      <c r="G543" s="724">
        <v>12</v>
      </c>
      <c r="H543" s="1777">
        <f t="shared" si="243"/>
        <v>348.95500000000004</v>
      </c>
      <c r="I543" s="675">
        <v>1</v>
      </c>
      <c r="J543" s="1722">
        <v>29.509499999999999</v>
      </c>
      <c r="K543" s="1722">
        <v>12</v>
      </c>
      <c r="L543" s="1722">
        <v>354.11</v>
      </c>
      <c r="M543" s="1834">
        <f t="shared" si="244"/>
        <v>348.95500000000004</v>
      </c>
      <c r="N543" s="697">
        <v>0</v>
      </c>
      <c r="O543" s="696">
        <v>697.91000000000008</v>
      </c>
      <c r="P543" s="675">
        <v>0</v>
      </c>
      <c r="Q543" s="1741">
        <f t="shared" si="233"/>
        <v>0</v>
      </c>
      <c r="R543" s="1810" t="s">
        <v>298</v>
      </c>
      <c r="S543" s="706">
        <f>'MERCY COPRS'!H93</f>
        <v>680.81</v>
      </c>
      <c r="T543" s="591">
        <f t="shared" si="234"/>
        <v>0.97549827341634288</v>
      </c>
      <c r="U543" s="595"/>
      <c r="V543" s="591">
        <v>0</v>
      </c>
      <c r="W543" s="706">
        <f t="shared" si="235"/>
        <v>0</v>
      </c>
      <c r="X543" s="594"/>
    </row>
    <row r="544" spans="1:24" s="450" customFormat="1" ht="39" x14ac:dyDescent="0.25">
      <c r="A544" s="1809"/>
      <c r="B544" s="87" t="s">
        <v>299</v>
      </c>
      <c r="C544" s="88" t="s">
        <v>14</v>
      </c>
      <c r="D544" s="1761" t="s">
        <v>1372</v>
      </c>
      <c r="E544" s="724">
        <v>1</v>
      </c>
      <c r="F544" s="724">
        <v>27</v>
      </c>
      <c r="G544" s="724">
        <v>12</v>
      </c>
      <c r="H544" s="1777">
        <f t="shared" si="243"/>
        <v>328.86</v>
      </c>
      <c r="I544" s="675">
        <v>1</v>
      </c>
      <c r="J544" s="1722">
        <v>27.810000000000002</v>
      </c>
      <c r="K544" s="1722">
        <v>12</v>
      </c>
      <c r="L544" s="1722">
        <v>333.72</v>
      </c>
      <c r="M544" s="1834">
        <f t="shared" si="244"/>
        <v>328.86</v>
      </c>
      <c r="N544" s="697">
        <v>0</v>
      </c>
      <c r="O544" s="696">
        <v>657.72</v>
      </c>
      <c r="P544" s="675">
        <v>0</v>
      </c>
      <c r="Q544" s="1741">
        <f t="shared" si="233"/>
        <v>0</v>
      </c>
      <c r="R544" s="1810" t="s">
        <v>298</v>
      </c>
      <c r="S544" s="706">
        <f>'MERCY COPRS'!H94</f>
        <v>804.98999999999933</v>
      </c>
      <c r="T544" s="591">
        <f t="shared" si="234"/>
        <v>1.2239098704615936</v>
      </c>
      <c r="U544" s="595"/>
      <c r="V544" s="591">
        <v>0</v>
      </c>
      <c r="W544" s="706">
        <f t="shared" si="235"/>
        <v>0</v>
      </c>
      <c r="X544" s="594"/>
    </row>
    <row r="545" spans="1:24" s="450" customFormat="1" ht="39" x14ac:dyDescent="0.25">
      <c r="A545" s="1809"/>
      <c r="B545" s="87" t="s">
        <v>300</v>
      </c>
      <c r="C545" s="88" t="s">
        <v>14</v>
      </c>
      <c r="D545" s="1761" t="s">
        <v>1372</v>
      </c>
      <c r="E545" s="724">
        <v>1</v>
      </c>
      <c r="F545" s="724">
        <v>24</v>
      </c>
      <c r="G545" s="724">
        <v>12</v>
      </c>
      <c r="H545" s="1777">
        <f t="shared" si="243"/>
        <v>292.32</v>
      </c>
      <c r="I545" s="675">
        <v>1</v>
      </c>
      <c r="J545" s="1722">
        <v>24.72</v>
      </c>
      <c r="K545" s="1722">
        <v>12</v>
      </c>
      <c r="L545" s="1722">
        <v>296.64</v>
      </c>
      <c r="M545" s="1834">
        <f t="shared" si="244"/>
        <v>292.32</v>
      </c>
      <c r="N545" s="697">
        <v>0</v>
      </c>
      <c r="O545" s="696">
        <v>584.64</v>
      </c>
      <c r="P545" s="675">
        <v>0</v>
      </c>
      <c r="Q545" s="1741">
        <f t="shared" si="233"/>
        <v>0</v>
      </c>
      <c r="R545" s="1810" t="s">
        <v>301</v>
      </c>
      <c r="S545" s="706">
        <f>'MERCY COPRS'!H95</f>
        <v>325.61999999999995</v>
      </c>
      <c r="T545" s="591">
        <f t="shared" si="234"/>
        <v>0.55695812807881762</v>
      </c>
      <c r="U545" s="595"/>
      <c r="V545" s="591">
        <v>0</v>
      </c>
      <c r="W545" s="706">
        <f t="shared" si="235"/>
        <v>0</v>
      </c>
      <c r="X545" s="594"/>
    </row>
    <row r="546" spans="1:24" s="450" customFormat="1" x14ac:dyDescent="0.25">
      <c r="A546" s="1809"/>
      <c r="B546" s="87" t="s">
        <v>302</v>
      </c>
      <c r="C546" s="88"/>
      <c r="D546" s="1761" t="s">
        <v>1372</v>
      </c>
      <c r="E546" s="1816"/>
      <c r="F546" s="256"/>
      <c r="G546" s="256"/>
      <c r="H546" s="1777">
        <f t="shared" si="243"/>
        <v>0</v>
      </c>
      <c r="I546" s="1815"/>
      <c r="J546" s="1814"/>
      <c r="K546" s="1814"/>
      <c r="L546" s="1814"/>
      <c r="M546" s="1834">
        <f t="shared" si="244"/>
        <v>0</v>
      </c>
      <c r="N546" s="1815"/>
      <c r="O546" s="696"/>
      <c r="P546" s="1815"/>
      <c r="Q546" s="1813"/>
      <c r="R546" s="1143"/>
      <c r="S546" s="706"/>
      <c r="T546" s="591"/>
      <c r="U546" s="595"/>
      <c r="V546" s="591"/>
      <c r="W546" s="706"/>
      <c r="X546" s="594"/>
    </row>
    <row r="547" spans="1:24" s="450" customFormat="1" ht="52" x14ac:dyDescent="0.25">
      <c r="A547" s="1809"/>
      <c r="B547" s="87" t="s">
        <v>303</v>
      </c>
      <c r="C547" s="88" t="s">
        <v>14</v>
      </c>
      <c r="D547" s="1761" t="s">
        <v>1372</v>
      </c>
      <c r="E547" s="724">
        <v>1</v>
      </c>
      <c r="F547" s="724">
        <v>60</v>
      </c>
      <c r="G547" s="724">
        <v>12</v>
      </c>
      <c r="H547" s="1777">
        <f t="shared" si="243"/>
        <v>998.4</v>
      </c>
      <c r="I547" s="675">
        <v>0.25</v>
      </c>
      <c r="J547" s="1722">
        <v>1</v>
      </c>
      <c r="K547" s="1722">
        <v>61.800000000000004</v>
      </c>
      <c r="L547" s="1722">
        <v>12</v>
      </c>
      <c r="M547" s="1834">
        <f t="shared" si="244"/>
        <v>998.4</v>
      </c>
      <c r="N547" s="697">
        <v>0.25</v>
      </c>
      <c r="O547" s="696">
        <v>1996.8</v>
      </c>
      <c r="P547" s="675">
        <v>0.25</v>
      </c>
      <c r="Q547" s="1741">
        <f t="shared" si="233"/>
        <v>499.2</v>
      </c>
      <c r="R547" s="1810" t="s">
        <v>304</v>
      </c>
      <c r="S547" s="706">
        <f>'MERCY COPRS'!H97</f>
        <v>1262.0100000000004</v>
      </c>
      <c r="T547" s="591">
        <f t="shared" si="234"/>
        <v>0.63201622596153872</v>
      </c>
      <c r="U547" s="595"/>
      <c r="V547" s="591">
        <f t="shared" si="245"/>
        <v>0.63201622596153872</v>
      </c>
      <c r="W547" s="706">
        <f t="shared" si="235"/>
        <v>315.50250000000011</v>
      </c>
      <c r="X547" s="92" t="s">
        <v>220</v>
      </c>
    </row>
    <row r="548" spans="1:24" s="450" customFormat="1" ht="65" x14ac:dyDescent="0.25">
      <c r="A548" s="1809"/>
      <c r="B548" s="87" t="s">
        <v>305</v>
      </c>
      <c r="C548" s="88" t="s">
        <v>14</v>
      </c>
      <c r="D548" s="1761" t="s">
        <v>1372</v>
      </c>
      <c r="E548" s="724">
        <v>1</v>
      </c>
      <c r="F548" s="724">
        <v>78</v>
      </c>
      <c r="G548" s="724">
        <v>12</v>
      </c>
      <c r="H548" s="1777">
        <f t="shared" si="243"/>
        <v>1364.1599999999999</v>
      </c>
      <c r="I548" s="675"/>
      <c r="J548" s="1722">
        <v>1</v>
      </c>
      <c r="K548" s="1722">
        <v>80.34</v>
      </c>
      <c r="L548" s="1722">
        <v>12</v>
      </c>
      <c r="M548" s="1834">
        <f t="shared" si="244"/>
        <v>1364.1599999999999</v>
      </c>
      <c r="N548" s="697">
        <v>0</v>
      </c>
      <c r="O548" s="696">
        <v>2728.3199999999997</v>
      </c>
      <c r="P548" s="675">
        <v>0</v>
      </c>
      <c r="Q548" s="1741">
        <f t="shared" si="233"/>
        <v>0</v>
      </c>
      <c r="R548" s="1810" t="s">
        <v>306</v>
      </c>
      <c r="S548" s="706">
        <f>'MERCY COPRS'!H98</f>
        <v>2382.63</v>
      </c>
      <c r="T548" s="591">
        <f t="shared" si="234"/>
        <v>0.87329565446868418</v>
      </c>
      <c r="U548" s="595"/>
      <c r="V548" s="591">
        <v>0</v>
      </c>
      <c r="W548" s="706">
        <f t="shared" si="235"/>
        <v>0</v>
      </c>
      <c r="X548" s="92"/>
    </row>
    <row r="549" spans="1:24" s="450" customFormat="1" ht="39" x14ac:dyDescent="0.25">
      <c r="A549" s="1809"/>
      <c r="B549" s="87" t="s">
        <v>307</v>
      </c>
      <c r="C549" s="88" t="s">
        <v>14</v>
      </c>
      <c r="D549" s="1761" t="s">
        <v>1372</v>
      </c>
      <c r="E549" s="724">
        <v>1</v>
      </c>
      <c r="F549" s="724">
        <v>27.9</v>
      </c>
      <c r="G549" s="724">
        <v>12</v>
      </c>
      <c r="H549" s="1777">
        <f t="shared" si="243"/>
        <v>1046.52</v>
      </c>
      <c r="I549" s="675">
        <v>0.25</v>
      </c>
      <c r="J549" s="1722">
        <v>1</v>
      </c>
      <c r="K549" s="1722">
        <v>28.736999999999998</v>
      </c>
      <c r="L549" s="1722">
        <v>12</v>
      </c>
      <c r="M549" s="1834">
        <f t="shared" si="244"/>
        <v>1046.52</v>
      </c>
      <c r="N549" s="697">
        <v>0.25</v>
      </c>
      <c r="O549" s="696">
        <v>2093.04</v>
      </c>
      <c r="P549" s="675">
        <v>0.25</v>
      </c>
      <c r="Q549" s="1741">
        <f t="shared" si="233"/>
        <v>523.26</v>
      </c>
      <c r="R549" s="1810" t="s">
        <v>308</v>
      </c>
      <c r="S549" s="706">
        <f>'MERCY COPRS'!H99</f>
        <v>2913.3600000000006</v>
      </c>
      <c r="T549" s="591">
        <f t="shared" si="234"/>
        <v>1.391927531246417</v>
      </c>
      <c r="U549" s="595"/>
      <c r="V549" s="591">
        <f t="shared" si="245"/>
        <v>1.391927531246417</v>
      </c>
      <c r="W549" s="706">
        <f t="shared" si="235"/>
        <v>728.34000000000015</v>
      </c>
      <c r="X549" s="92" t="s">
        <v>220</v>
      </c>
    </row>
    <row r="550" spans="1:24" s="450" customFormat="1" ht="39" x14ac:dyDescent="0.25">
      <c r="A550" s="1809"/>
      <c r="B550" s="87" t="s">
        <v>309</v>
      </c>
      <c r="C550" s="88" t="s">
        <v>14</v>
      </c>
      <c r="D550" s="1761" t="s">
        <v>1372</v>
      </c>
      <c r="E550" s="724">
        <v>1</v>
      </c>
      <c r="F550" s="724">
        <v>24.9</v>
      </c>
      <c r="G550" s="724">
        <v>12</v>
      </c>
      <c r="H550" s="1777">
        <f t="shared" si="243"/>
        <v>802.77500000000009</v>
      </c>
      <c r="I550" s="675">
        <v>0.25</v>
      </c>
      <c r="J550" s="1722">
        <v>1</v>
      </c>
      <c r="K550" s="1722">
        <v>25.646999999999998</v>
      </c>
      <c r="L550" s="1722">
        <v>12</v>
      </c>
      <c r="M550" s="1834">
        <f t="shared" si="244"/>
        <v>802.77500000000009</v>
      </c>
      <c r="N550" s="697">
        <v>0.25</v>
      </c>
      <c r="O550" s="696">
        <v>1605.5500000000002</v>
      </c>
      <c r="P550" s="675">
        <v>0.25</v>
      </c>
      <c r="Q550" s="1741">
        <f t="shared" si="233"/>
        <v>401.38750000000005</v>
      </c>
      <c r="R550" s="1810" t="s">
        <v>308</v>
      </c>
      <c r="S550" s="706">
        <f>'MERCY COPRS'!H100</f>
        <v>2035.9100000000003</v>
      </c>
      <c r="T550" s="591">
        <f t="shared" si="234"/>
        <v>1.2680452181495439</v>
      </c>
      <c r="U550" s="595"/>
      <c r="V550" s="591">
        <f t="shared" si="245"/>
        <v>1.2680452181495439</v>
      </c>
      <c r="W550" s="706">
        <f t="shared" si="235"/>
        <v>508.97750000000008</v>
      </c>
      <c r="X550" s="92" t="s">
        <v>220</v>
      </c>
    </row>
    <row r="551" spans="1:24" s="450" customFormat="1" ht="91" x14ac:dyDescent="0.25">
      <c r="A551" s="1809"/>
      <c r="B551" s="87" t="s">
        <v>310</v>
      </c>
      <c r="C551" s="88" t="s">
        <v>14</v>
      </c>
      <c r="D551" s="1761" t="s">
        <v>1372</v>
      </c>
      <c r="E551" s="724">
        <v>1</v>
      </c>
      <c r="F551" s="724">
        <v>57</v>
      </c>
      <c r="G551" s="724">
        <v>12</v>
      </c>
      <c r="H551" s="1777">
        <f t="shared" si="243"/>
        <v>925.68000000000006</v>
      </c>
      <c r="I551" s="675"/>
      <c r="J551" s="1722">
        <v>1</v>
      </c>
      <c r="K551" s="1722">
        <v>58.71</v>
      </c>
      <c r="L551" s="1722">
        <v>12</v>
      </c>
      <c r="M551" s="1834">
        <f t="shared" si="244"/>
        <v>925.68000000000006</v>
      </c>
      <c r="N551" s="697">
        <v>0</v>
      </c>
      <c r="O551" s="696">
        <v>1851.3600000000001</v>
      </c>
      <c r="P551" s="675">
        <v>0</v>
      </c>
      <c r="Q551" s="1741">
        <f t="shared" si="233"/>
        <v>0</v>
      </c>
      <c r="R551" s="1810" t="s">
        <v>311</v>
      </c>
      <c r="S551" s="706">
        <f>'MERCY COPRS'!H101</f>
        <v>2295.1999999999998</v>
      </c>
      <c r="T551" s="591">
        <f t="shared" si="234"/>
        <v>1.2397372742200325</v>
      </c>
      <c r="U551" s="595"/>
      <c r="V551" s="591">
        <v>0</v>
      </c>
      <c r="W551" s="706">
        <f t="shared" si="235"/>
        <v>0</v>
      </c>
      <c r="X551" s="92"/>
    </row>
    <row r="552" spans="1:24" s="450" customFormat="1" ht="39" x14ac:dyDescent="0.25">
      <c r="A552" s="1809"/>
      <c r="B552" s="87" t="s">
        <v>312</v>
      </c>
      <c r="C552" s="88" t="s">
        <v>14</v>
      </c>
      <c r="D552" s="1761" t="s">
        <v>1372</v>
      </c>
      <c r="E552" s="724">
        <v>1</v>
      </c>
      <c r="F552" s="724">
        <v>28.5</v>
      </c>
      <c r="G552" s="724">
        <v>12</v>
      </c>
      <c r="H552" s="1777">
        <f t="shared" si="243"/>
        <v>584.64</v>
      </c>
      <c r="I552" s="675"/>
      <c r="J552" s="1722">
        <v>1</v>
      </c>
      <c r="K552" s="1722">
        <v>29.355</v>
      </c>
      <c r="L552" s="1722">
        <v>12</v>
      </c>
      <c r="M552" s="1834">
        <f t="shared" si="244"/>
        <v>584.64</v>
      </c>
      <c r="N552" s="697">
        <v>0</v>
      </c>
      <c r="O552" s="696">
        <v>1169.28</v>
      </c>
      <c r="P552" s="675">
        <v>0</v>
      </c>
      <c r="Q552" s="1741">
        <f t="shared" si="233"/>
        <v>0</v>
      </c>
      <c r="R552" s="1810" t="s">
        <v>313</v>
      </c>
      <c r="S552" s="706">
        <f>'MERCY COPRS'!H102</f>
        <v>1022.6899999999998</v>
      </c>
      <c r="T552" s="591">
        <f t="shared" si="234"/>
        <v>0.87463225232621766</v>
      </c>
      <c r="U552" s="595"/>
      <c r="V552" s="591">
        <v>0</v>
      </c>
      <c r="W552" s="706">
        <f t="shared" si="235"/>
        <v>0</v>
      </c>
      <c r="X552" s="92"/>
    </row>
    <row r="553" spans="1:24" s="450" customFormat="1" ht="52" x14ac:dyDescent="0.25">
      <c r="A553" s="1809"/>
      <c r="B553" s="87" t="s">
        <v>314</v>
      </c>
      <c r="C553" s="88" t="s">
        <v>14</v>
      </c>
      <c r="D553" s="1761" t="s">
        <v>1372</v>
      </c>
      <c r="E553" s="724">
        <v>1</v>
      </c>
      <c r="F553" s="724">
        <v>27</v>
      </c>
      <c r="G553" s="724">
        <v>12</v>
      </c>
      <c r="H553" s="1777">
        <f t="shared" si="243"/>
        <v>972.96</v>
      </c>
      <c r="I553" s="675"/>
      <c r="J553" s="1722">
        <v>1</v>
      </c>
      <c r="K553" s="1722">
        <v>27.810000000000002</v>
      </c>
      <c r="L553" s="1722">
        <v>12</v>
      </c>
      <c r="M553" s="1834">
        <f t="shared" si="244"/>
        <v>972.96</v>
      </c>
      <c r="N553" s="697">
        <v>0</v>
      </c>
      <c r="O553" s="696">
        <v>1945.92</v>
      </c>
      <c r="P553" s="675">
        <v>0</v>
      </c>
      <c r="Q553" s="1741">
        <f t="shared" si="233"/>
        <v>0</v>
      </c>
      <c r="R553" s="1810" t="s">
        <v>315</v>
      </c>
      <c r="S553" s="706">
        <f>'MERCY COPRS'!H103</f>
        <v>2067.9100000000003</v>
      </c>
      <c r="T553" s="591">
        <f t="shared" si="234"/>
        <v>1.0626901414241079</v>
      </c>
      <c r="U553" s="595"/>
      <c r="V553" s="591">
        <v>0</v>
      </c>
      <c r="W553" s="706">
        <f t="shared" si="235"/>
        <v>0</v>
      </c>
      <c r="X553" s="92"/>
    </row>
    <row r="554" spans="1:24" s="450" customFormat="1" x14ac:dyDescent="0.25">
      <c r="A554" s="1809"/>
      <c r="B554" s="87" t="s">
        <v>316</v>
      </c>
      <c r="C554" s="88"/>
      <c r="D554" s="1761" t="s">
        <v>1372</v>
      </c>
      <c r="E554" s="724"/>
      <c r="F554" s="724"/>
      <c r="G554" s="724"/>
      <c r="H554" s="1777">
        <f t="shared" si="243"/>
        <v>0</v>
      </c>
      <c r="I554" s="675"/>
      <c r="J554" s="1722"/>
      <c r="K554" s="1722"/>
      <c r="L554" s="1722"/>
      <c r="M554" s="1834">
        <f t="shared" si="244"/>
        <v>0</v>
      </c>
      <c r="N554" s="697">
        <v>0</v>
      </c>
      <c r="O554" s="696"/>
      <c r="P554" s="675"/>
      <c r="Q554" s="1741">
        <f t="shared" si="233"/>
        <v>0</v>
      </c>
      <c r="R554" s="1810"/>
      <c r="S554" s="706"/>
      <c r="T554" s="591"/>
      <c r="U554" s="595"/>
      <c r="V554" s="591"/>
      <c r="W554" s="706"/>
      <c r="X554" s="92"/>
    </row>
    <row r="555" spans="1:24" s="450" customFormat="1" ht="52" x14ac:dyDescent="0.25">
      <c r="A555" s="1809"/>
      <c r="B555" s="87" t="s">
        <v>317</v>
      </c>
      <c r="C555" s="88" t="s">
        <v>14</v>
      </c>
      <c r="D555" s="1761" t="s">
        <v>1372</v>
      </c>
      <c r="E555" s="724">
        <v>1</v>
      </c>
      <c r="F555" s="724">
        <v>63</v>
      </c>
      <c r="G555" s="724">
        <v>12</v>
      </c>
      <c r="H555" s="1777">
        <f t="shared" si="243"/>
        <v>767.33999999999992</v>
      </c>
      <c r="I555" s="675"/>
      <c r="J555" s="1722">
        <v>1</v>
      </c>
      <c r="K555" s="1722">
        <v>64.89</v>
      </c>
      <c r="L555" s="1722">
        <v>12</v>
      </c>
      <c r="M555" s="1834">
        <f t="shared" si="244"/>
        <v>767.33999999999992</v>
      </c>
      <c r="N555" s="697">
        <v>0</v>
      </c>
      <c r="O555" s="696">
        <v>1534.6799999999998</v>
      </c>
      <c r="P555" s="675">
        <v>0</v>
      </c>
      <c r="Q555" s="1741">
        <f t="shared" si="233"/>
        <v>0</v>
      </c>
      <c r="R555" s="1810" t="s">
        <v>318</v>
      </c>
      <c r="S555" s="706">
        <f>'MERCY COPRS'!H105</f>
        <v>1665.3100000000002</v>
      </c>
      <c r="T555" s="591">
        <f t="shared" si="234"/>
        <v>1.0851187218182294</v>
      </c>
      <c r="U555" s="595"/>
      <c r="V555" s="591">
        <v>0</v>
      </c>
      <c r="W555" s="706">
        <f t="shared" si="235"/>
        <v>0</v>
      </c>
      <c r="X555" s="92"/>
    </row>
    <row r="556" spans="1:24" s="450" customFormat="1" ht="52" x14ac:dyDescent="0.25">
      <c r="A556" s="1809"/>
      <c r="B556" s="87" t="s">
        <v>319</v>
      </c>
      <c r="C556" s="88" t="s">
        <v>14</v>
      </c>
      <c r="D556" s="1761" t="s">
        <v>1372</v>
      </c>
      <c r="E556" s="724">
        <v>3</v>
      </c>
      <c r="F556" s="724">
        <v>27.75</v>
      </c>
      <c r="G556" s="724">
        <v>12</v>
      </c>
      <c r="H556" s="1777">
        <f t="shared" si="243"/>
        <v>2014.575</v>
      </c>
      <c r="I556" s="675"/>
      <c r="J556" s="1722">
        <v>3</v>
      </c>
      <c r="K556" s="1722">
        <v>28.5825</v>
      </c>
      <c r="L556" s="1722">
        <v>12</v>
      </c>
      <c r="M556" s="1834">
        <f t="shared" si="244"/>
        <v>2014.575</v>
      </c>
      <c r="N556" s="697">
        <v>0</v>
      </c>
      <c r="O556" s="696">
        <v>4029.15</v>
      </c>
      <c r="P556" s="675">
        <v>0</v>
      </c>
      <c r="Q556" s="1741">
        <f t="shared" si="233"/>
        <v>0</v>
      </c>
      <c r="R556" s="1810" t="s">
        <v>320</v>
      </c>
      <c r="S556" s="706">
        <f>'MERCY COPRS'!H106</f>
        <v>3087.1899999999996</v>
      </c>
      <c r="T556" s="591">
        <f t="shared" si="234"/>
        <v>0.76621371753347467</v>
      </c>
      <c r="U556" s="595"/>
      <c r="V556" s="591">
        <v>0</v>
      </c>
      <c r="W556" s="706">
        <f t="shared" si="235"/>
        <v>0</v>
      </c>
      <c r="X556" s="92"/>
    </row>
    <row r="557" spans="1:24" s="450" customFormat="1" ht="65" x14ac:dyDescent="0.25">
      <c r="A557" s="1809"/>
      <c r="B557" s="87" t="s">
        <v>321</v>
      </c>
      <c r="C557" s="88" t="s">
        <v>14</v>
      </c>
      <c r="D557" s="1761" t="s">
        <v>1372</v>
      </c>
      <c r="E557" s="724">
        <v>1</v>
      </c>
      <c r="F557" s="724">
        <v>26.099999999999998</v>
      </c>
      <c r="G557" s="724">
        <v>12</v>
      </c>
      <c r="H557" s="1777">
        <f t="shared" si="243"/>
        <v>317.89999999999998</v>
      </c>
      <c r="I557" s="675"/>
      <c r="J557" s="1722">
        <v>1</v>
      </c>
      <c r="K557" s="1722">
        <v>26.882999999999999</v>
      </c>
      <c r="L557" s="1722">
        <v>12</v>
      </c>
      <c r="M557" s="1834">
        <f t="shared" si="244"/>
        <v>317.89999999999998</v>
      </c>
      <c r="N557" s="697">
        <v>0</v>
      </c>
      <c r="O557" s="696">
        <v>635.79999999999995</v>
      </c>
      <c r="P557" s="675">
        <v>0</v>
      </c>
      <c r="Q557" s="1741">
        <f t="shared" si="233"/>
        <v>0</v>
      </c>
      <c r="R557" s="1810" t="s">
        <v>322</v>
      </c>
      <c r="S557" s="706">
        <f>'MERCY COPRS'!H107</f>
        <v>779.81999999999982</v>
      </c>
      <c r="T557" s="591">
        <f t="shared" si="234"/>
        <v>1.2265177728845547</v>
      </c>
      <c r="U557" s="595"/>
      <c r="V557" s="591">
        <v>0</v>
      </c>
      <c r="W557" s="706">
        <f t="shared" si="235"/>
        <v>0</v>
      </c>
      <c r="X557" s="92"/>
    </row>
    <row r="558" spans="1:24" s="450" customFormat="1" x14ac:dyDescent="0.25">
      <c r="A558" s="1809"/>
      <c r="B558" s="87" t="s">
        <v>323</v>
      </c>
      <c r="C558" s="88"/>
      <c r="D558" s="1761" t="s">
        <v>1372</v>
      </c>
      <c r="E558" s="724"/>
      <c r="F558" s="724"/>
      <c r="G558" s="724"/>
      <c r="H558" s="1777">
        <f t="shared" si="243"/>
        <v>0</v>
      </c>
      <c r="I558" s="675"/>
      <c r="J558" s="1722"/>
      <c r="K558" s="1722"/>
      <c r="L558" s="1722"/>
      <c r="M558" s="1834">
        <f t="shared" si="244"/>
        <v>0</v>
      </c>
      <c r="N558" s="697">
        <v>0</v>
      </c>
      <c r="O558" s="696"/>
      <c r="P558" s="675"/>
      <c r="Q558" s="1741"/>
      <c r="R558" s="1810"/>
      <c r="S558" s="706"/>
      <c r="T558" s="591"/>
      <c r="U558" s="595"/>
      <c r="V558" s="591"/>
      <c r="W558" s="706"/>
      <c r="X558" s="92"/>
    </row>
    <row r="559" spans="1:24" s="450" customFormat="1" ht="52" x14ac:dyDescent="0.25">
      <c r="A559" s="1809"/>
      <c r="B559" s="87" t="s">
        <v>324</v>
      </c>
      <c r="C559" s="88" t="s">
        <v>14</v>
      </c>
      <c r="D559" s="1761" t="s">
        <v>1372</v>
      </c>
      <c r="E559" s="724">
        <v>1</v>
      </c>
      <c r="F559" s="724">
        <v>57</v>
      </c>
      <c r="G559" s="724">
        <v>12</v>
      </c>
      <c r="H559" s="1777">
        <f t="shared" si="243"/>
        <v>518.13</v>
      </c>
      <c r="I559" s="675"/>
      <c r="J559" s="1722">
        <v>1</v>
      </c>
      <c r="K559" s="1722">
        <v>58.71</v>
      </c>
      <c r="L559" s="1722">
        <v>12</v>
      </c>
      <c r="M559" s="1834">
        <f t="shared" si="244"/>
        <v>518.13</v>
      </c>
      <c r="N559" s="697">
        <v>0</v>
      </c>
      <c r="O559" s="696">
        <v>1036.26</v>
      </c>
      <c r="P559" s="675">
        <v>0</v>
      </c>
      <c r="Q559" s="1741">
        <f t="shared" si="233"/>
        <v>0</v>
      </c>
      <c r="R559" s="1810" t="s">
        <v>325</v>
      </c>
      <c r="S559" s="706">
        <f>'MERCY COPRS'!H109</f>
        <v>68.55</v>
      </c>
      <c r="T559" s="591">
        <f t="shared" si="234"/>
        <v>6.6151351977302986E-2</v>
      </c>
      <c r="U559" s="595"/>
      <c r="V559" s="591">
        <v>0</v>
      </c>
      <c r="W559" s="706">
        <f t="shared" si="235"/>
        <v>0</v>
      </c>
      <c r="X559" s="92"/>
    </row>
    <row r="560" spans="1:24" s="450" customFormat="1" ht="52" x14ac:dyDescent="0.25">
      <c r="A560" s="1809"/>
      <c r="B560" s="87" t="s">
        <v>326</v>
      </c>
      <c r="C560" s="88" t="s">
        <v>14</v>
      </c>
      <c r="D560" s="1761" t="s">
        <v>1372</v>
      </c>
      <c r="E560" s="724">
        <v>1</v>
      </c>
      <c r="F560" s="724">
        <v>30</v>
      </c>
      <c r="G560" s="724">
        <v>12</v>
      </c>
      <c r="H560" s="1777">
        <f t="shared" si="243"/>
        <v>741.6</v>
      </c>
      <c r="I560" s="675"/>
      <c r="J560" s="1722">
        <v>1</v>
      </c>
      <c r="K560" s="1722">
        <v>30.900000000000002</v>
      </c>
      <c r="L560" s="1722">
        <v>12</v>
      </c>
      <c r="M560" s="1834">
        <f t="shared" si="244"/>
        <v>741.6</v>
      </c>
      <c r="N560" s="697">
        <v>0</v>
      </c>
      <c r="O560" s="696">
        <v>1483.2</v>
      </c>
      <c r="P560" s="675">
        <v>0</v>
      </c>
      <c r="Q560" s="1741">
        <f t="shared" si="233"/>
        <v>0</v>
      </c>
      <c r="R560" s="1810" t="s">
        <v>327</v>
      </c>
      <c r="S560" s="706">
        <f>'MERCY COPRS'!H110</f>
        <v>1510.79</v>
      </c>
      <c r="T560" s="591">
        <f t="shared" si="234"/>
        <v>1.0186016720604099</v>
      </c>
      <c r="U560" s="595"/>
      <c r="V560" s="591">
        <v>0</v>
      </c>
      <c r="W560" s="706">
        <f t="shared" si="235"/>
        <v>0</v>
      </c>
      <c r="X560" s="92"/>
    </row>
    <row r="561" spans="1:24" s="450" customFormat="1" ht="52" x14ac:dyDescent="0.25">
      <c r="A561" s="1809"/>
      <c r="B561" s="87" t="s">
        <v>328</v>
      </c>
      <c r="C561" s="88" t="s">
        <v>14</v>
      </c>
      <c r="D561" s="1761" t="s">
        <v>1372</v>
      </c>
      <c r="E561" s="724">
        <v>1</v>
      </c>
      <c r="F561" s="724">
        <v>30</v>
      </c>
      <c r="G561" s="724">
        <v>12</v>
      </c>
      <c r="H561" s="1777">
        <f t="shared" si="243"/>
        <v>487.2</v>
      </c>
      <c r="I561" s="675"/>
      <c r="J561" s="1722">
        <v>1</v>
      </c>
      <c r="K561" s="1722">
        <v>30.900000000000002</v>
      </c>
      <c r="L561" s="1722">
        <v>12</v>
      </c>
      <c r="M561" s="1834">
        <f t="shared" si="244"/>
        <v>487.2</v>
      </c>
      <c r="N561" s="697">
        <v>0</v>
      </c>
      <c r="O561" s="696">
        <v>974.4</v>
      </c>
      <c r="P561" s="675">
        <v>0</v>
      </c>
      <c r="Q561" s="1741">
        <f t="shared" ref="Q561:Q590" si="246">O561*P561</f>
        <v>0</v>
      </c>
      <c r="R561" s="1810" t="s">
        <v>327</v>
      </c>
      <c r="S561" s="706">
        <f>'MERCY COPRS'!H111</f>
        <v>966.55000000000018</v>
      </c>
      <c r="T561" s="591">
        <f t="shared" si="234"/>
        <v>0.99194376026272602</v>
      </c>
      <c r="U561" s="595"/>
      <c r="V561" s="591">
        <v>0</v>
      </c>
      <c r="W561" s="706">
        <f t="shared" si="235"/>
        <v>0</v>
      </c>
      <c r="X561" s="92"/>
    </row>
    <row r="562" spans="1:24" s="450" customFormat="1" ht="52" x14ac:dyDescent="0.25">
      <c r="A562" s="1809"/>
      <c r="B562" s="87" t="s">
        <v>329</v>
      </c>
      <c r="C562" s="88" t="s">
        <v>14</v>
      </c>
      <c r="D562" s="1761" t="s">
        <v>1372</v>
      </c>
      <c r="E562" s="724">
        <v>2</v>
      </c>
      <c r="F562" s="724">
        <v>28.5</v>
      </c>
      <c r="G562" s="724">
        <v>12</v>
      </c>
      <c r="H562" s="1777">
        <f t="shared" si="243"/>
        <v>550.08500000000004</v>
      </c>
      <c r="I562" s="675"/>
      <c r="J562" s="1722">
        <v>2</v>
      </c>
      <c r="K562" s="1722">
        <v>29.355</v>
      </c>
      <c r="L562" s="1722">
        <v>12</v>
      </c>
      <c r="M562" s="1834">
        <f t="shared" si="244"/>
        <v>550.08500000000004</v>
      </c>
      <c r="N562" s="697">
        <v>0</v>
      </c>
      <c r="O562" s="696">
        <v>1100.17</v>
      </c>
      <c r="P562" s="675">
        <v>0</v>
      </c>
      <c r="Q562" s="1741">
        <f t="shared" si="246"/>
        <v>0</v>
      </c>
      <c r="R562" s="1810" t="s">
        <v>330</v>
      </c>
      <c r="S562" s="706">
        <f>'MERCY COPRS'!H112</f>
        <v>704.97999999999968</v>
      </c>
      <c r="T562" s="591">
        <f t="shared" ref="T562:T590" si="247">S562/O562</f>
        <v>0.6407918776189131</v>
      </c>
      <c r="U562" s="595"/>
      <c r="V562" s="591">
        <v>0</v>
      </c>
      <c r="W562" s="706">
        <f t="shared" ref="W562:W590" si="248">P562*S562</f>
        <v>0</v>
      </c>
      <c r="X562" s="92"/>
    </row>
    <row r="563" spans="1:24" s="450" customFormat="1" ht="65" x14ac:dyDescent="0.25">
      <c r="A563" s="1809"/>
      <c r="B563" s="87" t="s">
        <v>331</v>
      </c>
      <c r="C563" s="88" t="s">
        <v>14</v>
      </c>
      <c r="D563" s="1761" t="s">
        <v>1372</v>
      </c>
      <c r="E563" s="724">
        <v>1</v>
      </c>
      <c r="F563" s="724">
        <v>27.3</v>
      </c>
      <c r="G563" s="724">
        <v>12</v>
      </c>
      <c r="H563" s="1777">
        <f t="shared" si="243"/>
        <v>237.51</v>
      </c>
      <c r="I563" s="675"/>
      <c r="J563" s="1722">
        <v>1</v>
      </c>
      <c r="K563" s="1722">
        <v>28.119</v>
      </c>
      <c r="L563" s="1722">
        <v>12</v>
      </c>
      <c r="M563" s="1834">
        <f t="shared" si="244"/>
        <v>237.51</v>
      </c>
      <c r="N563" s="697">
        <v>0</v>
      </c>
      <c r="O563" s="696">
        <v>475.02</v>
      </c>
      <c r="P563" s="675">
        <v>0</v>
      </c>
      <c r="Q563" s="1741">
        <f t="shared" si="246"/>
        <v>0</v>
      </c>
      <c r="R563" s="1810" t="s">
        <v>332</v>
      </c>
      <c r="S563" s="706">
        <f>'MERCY COPRS'!H113</f>
        <v>602.18999999999983</v>
      </c>
      <c r="T563" s="591">
        <f t="shared" si="247"/>
        <v>1.2677150435771123</v>
      </c>
      <c r="U563" s="595"/>
      <c r="V563" s="591">
        <v>0</v>
      </c>
      <c r="W563" s="706">
        <f t="shared" si="248"/>
        <v>0</v>
      </c>
      <c r="X563" s="92"/>
    </row>
    <row r="564" spans="1:24" s="450" customFormat="1" ht="26" x14ac:dyDescent="0.25">
      <c r="A564" s="1809"/>
      <c r="B564" s="87" t="s">
        <v>333</v>
      </c>
      <c r="C564" s="88" t="s">
        <v>14</v>
      </c>
      <c r="D564" s="1761" t="s">
        <v>1372</v>
      </c>
      <c r="E564" s="724">
        <v>1</v>
      </c>
      <c r="F564" s="724">
        <v>18.75</v>
      </c>
      <c r="G564" s="724">
        <v>12</v>
      </c>
      <c r="H564" s="1777">
        <f t="shared" si="243"/>
        <v>228.375</v>
      </c>
      <c r="I564" s="675"/>
      <c r="J564" s="1722">
        <v>1</v>
      </c>
      <c r="K564" s="1722">
        <v>19.3125</v>
      </c>
      <c r="L564" s="1722">
        <v>12</v>
      </c>
      <c r="M564" s="1834">
        <f t="shared" si="244"/>
        <v>228.375</v>
      </c>
      <c r="N564" s="697">
        <v>0</v>
      </c>
      <c r="O564" s="696">
        <v>456.75</v>
      </c>
      <c r="P564" s="675">
        <v>0</v>
      </c>
      <c r="Q564" s="1741">
        <f t="shared" si="246"/>
        <v>0</v>
      </c>
      <c r="R564" s="1810" t="s">
        <v>334</v>
      </c>
      <c r="S564" s="706">
        <f>'MERCY COPRS'!H114</f>
        <v>342.84999999999997</v>
      </c>
      <c r="T564" s="591">
        <f t="shared" si="247"/>
        <v>0.75062944718117119</v>
      </c>
      <c r="U564" s="595"/>
      <c r="V564" s="591">
        <v>0</v>
      </c>
      <c r="W564" s="706">
        <f t="shared" si="248"/>
        <v>0</v>
      </c>
      <c r="X564" s="92"/>
    </row>
    <row r="565" spans="1:24" s="450" customFormat="1" ht="26" x14ac:dyDescent="0.25">
      <c r="A565" s="1809"/>
      <c r="B565" s="87" t="s">
        <v>335</v>
      </c>
      <c r="C565" s="88" t="s">
        <v>14</v>
      </c>
      <c r="D565" s="1761" t="s">
        <v>1372</v>
      </c>
      <c r="E565" s="724">
        <v>1</v>
      </c>
      <c r="F565" s="724">
        <v>24.75</v>
      </c>
      <c r="G565" s="724">
        <v>12</v>
      </c>
      <c r="H565" s="1777">
        <f t="shared" si="243"/>
        <v>88.855000000000004</v>
      </c>
      <c r="I565" s="675"/>
      <c r="J565" s="1722">
        <v>1</v>
      </c>
      <c r="K565" s="1722">
        <v>25.4925</v>
      </c>
      <c r="L565" s="1722">
        <v>12</v>
      </c>
      <c r="M565" s="1834">
        <f t="shared" si="244"/>
        <v>88.855000000000004</v>
      </c>
      <c r="N565" s="697">
        <v>0</v>
      </c>
      <c r="O565" s="696">
        <v>177.71</v>
      </c>
      <c r="P565" s="675">
        <v>0</v>
      </c>
      <c r="Q565" s="1741">
        <f t="shared" si="246"/>
        <v>0</v>
      </c>
      <c r="R565" s="1810" t="s">
        <v>336</v>
      </c>
      <c r="S565" s="706">
        <f>'MERCY COPRS'!H115</f>
        <v>137.20000000000002</v>
      </c>
      <c r="T565" s="591">
        <f t="shared" si="247"/>
        <v>0.77204434190535143</v>
      </c>
      <c r="U565" s="595"/>
      <c r="V565" s="591">
        <v>0</v>
      </c>
      <c r="W565" s="706">
        <f t="shared" si="248"/>
        <v>0</v>
      </c>
      <c r="X565" s="92"/>
    </row>
    <row r="566" spans="1:24" s="450" customFormat="1" ht="52" x14ac:dyDescent="0.25">
      <c r="A566" s="1809"/>
      <c r="B566" s="87" t="s">
        <v>337</v>
      </c>
      <c r="C566" s="88" t="s">
        <v>14</v>
      </c>
      <c r="D566" s="1761" t="s">
        <v>1372</v>
      </c>
      <c r="E566" s="724">
        <v>1</v>
      </c>
      <c r="F566" s="724">
        <v>22.05</v>
      </c>
      <c r="G566" s="724">
        <v>12</v>
      </c>
      <c r="H566" s="1777">
        <f t="shared" si="243"/>
        <v>537.1400000000001</v>
      </c>
      <c r="I566" s="675"/>
      <c r="J566" s="1722">
        <v>1</v>
      </c>
      <c r="K566" s="1722">
        <v>22.711500000000001</v>
      </c>
      <c r="L566" s="1722">
        <v>12</v>
      </c>
      <c r="M566" s="1834">
        <f t="shared" si="244"/>
        <v>537.1400000000001</v>
      </c>
      <c r="N566" s="697">
        <v>0</v>
      </c>
      <c r="O566" s="696">
        <v>1074.2800000000002</v>
      </c>
      <c r="P566" s="675">
        <v>0</v>
      </c>
      <c r="Q566" s="1741">
        <f t="shared" si="246"/>
        <v>0</v>
      </c>
      <c r="R566" s="1810" t="s">
        <v>338</v>
      </c>
      <c r="S566" s="706">
        <f>'MERCY COPRS'!H116</f>
        <v>1404.5800000000006</v>
      </c>
      <c r="T566" s="591">
        <f t="shared" si="247"/>
        <v>1.3074617418177759</v>
      </c>
      <c r="U566" s="595"/>
      <c r="V566" s="591">
        <v>0</v>
      </c>
      <c r="W566" s="706">
        <f t="shared" si="248"/>
        <v>0</v>
      </c>
      <c r="X566" s="92"/>
    </row>
    <row r="567" spans="1:24" s="450" customFormat="1" ht="26" x14ac:dyDescent="0.25">
      <c r="A567" s="1809"/>
      <c r="B567" s="87" t="s">
        <v>339</v>
      </c>
      <c r="C567" s="88" t="s">
        <v>14</v>
      </c>
      <c r="D567" s="1761" t="s">
        <v>1372</v>
      </c>
      <c r="E567" s="724">
        <v>1</v>
      </c>
      <c r="F567" s="724">
        <v>38.25</v>
      </c>
      <c r="G567" s="724">
        <v>12</v>
      </c>
      <c r="H567" s="1777">
        <f t="shared" si="243"/>
        <v>584.64</v>
      </c>
      <c r="I567" s="675"/>
      <c r="J567" s="1722">
        <v>1</v>
      </c>
      <c r="K567" s="1722">
        <v>38.25</v>
      </c>
      <c r="L567" s="1722">
        <v>12</v>
      </c>
      <c r="M567" s="1834">
        <f t="shared" si="244"/>
        <v>584.64</v>
      </c>
      <c r="N567" s="697">
        <v>0</v>
      </c>
      <c r="O567" s="696">
        <v>1169.28</v>
      </c>
      <c r="P567" s="675">
        <v>0</v>
      </c>
      <c r="Q567" s="1741">
        <f t="shared" si="246"/>
        <v>0</v>
      </c>
      <c r="R567" s="1810" t="s">
        <v>340</v>
      </c>
      <c r="S567" s="706">
        <f>'MERCY COPRS'!H117</f>
        <v>1210.2900000000002</v>
      </c>
      <c r="T567" s="591">
        <f t="shared" si="247"/>
        <v>1.0350728653530379</v>
      </c>
      <c r="U567" s="595"/>
      <c r="V567" s="591">
        <v>0</v>
      </c>
      <c r="W567" s="706">
        <f t="shared" si="248"/>
        <v>0</v>
      </c>
      <c r="X567" s="92"/>
    </row>
    <row r="568" spans="1:24" s="450" customFormat="1" ht="39" x14ac:dyDescent="0.25">
      <c r="A568" s="1809"/>
      <c r="B568" s="87" t="s">
        <v>341</v>
      </c>
      <c r="C568" s="88" t="s">
        <v>14</v>
      </c>
      <c r="D568" s="1761" t="s">
        <v>1372</v>
      </c>
      <c r="E568" s="724">
        <v>6</v>
      </c>
      <c r="F568" s="724">
        <v>14.85</v>
      </c>
      <c r="G568" s="724">
        <v>12</v>
      </c>
      <c r="H568" s="1777">
        <f t="shared" si="243"/>
        <v>292.32</v>
      </c>
      <c r="I568" s="675"/>
      <c r="J568" s="1722">
        <v>6</v>
      </c>
      <c r="K568" s="1722">
        <v>14.85</v>
      </c>
      <c r="L568" s="1722">
        <v>12</v>
      </c>
      <c r="M568" s="1834">
        <f t="shared" si="244"/>
        <v>292.32</v>
      </c>
      <c r="N568" s="697">
        <v>0</v>
      </c>
      <c r="O568" s="696">
        <v>584.64</v>
      </c>
      <c r="P568" s="675">
        <v>0.5</v>
      </c>
      <c r="Q568" s="1741">
        <f t="shared" si="246"/>
        <v>292.32</v>
      </c>
      <c r="R568" s="1810" t="s">
        <v>342</v>
      </c>
      <c r="S568" s="706">
        <f>'MERCY COPRS'!H118</f>
        <v>724.18999999999983</v>
      </c>
      <c r="T568" s="591">
        <f t="shared" si="247"/>
        <v>1.2386938970990693</v>
      </c>
      <c r="U568" s="595"/>
      <c r="V568" s="591">
        <f t="shared" ref="V568:V589" si="249">W568/Q568</f>
        <v>1.2386938970990693</v>
      </c>
      <c r="W568" s="706">
        <f t="shared" si="248"/>
        <v>362.09499999999991</v>
      </c>
      <c r="X568" s="92" t="s">
        <v>220</v>
      </c>
    </row>
    <row r="569" spans="1:24" s="450" customFormat="1" ht="39" x14ac:dyDescent="0.25">
      <c r="A569" s="1809"/>
      <c r="B569" s="87" t="s">
        <v>343</v>
      </c>
      <c r="C569" s="88" t="s">
        <v>14</v>
      </c>
      <c r="D569" s="1761" t="s">
        <v>1372</v>
      </c>
      <c r="E569" s="724">
        <v>1</v>
      </c>
      <c r="F569" s="724">
        <v>90</v>
      </c>
      <c r="G569" s="724">
        <v>12</v>
      </c>
      <c r="H569" s="1777">
        <f t="shared" si="243"/>
        <v>916.2</v>
      </c>
      <c r="I569" s="675">
        <v>0.25</v>
      </c>
      <c r="J569" s="1722">
        <v>1</v>
      </c>
      <c r="K569" s="1722">
        <v>90</v>
      </c>
      <c r="L569" s="1722">
        <v>12</v>
      </c>
      <c r="M569" s="1834">
        <f t="shared" si="244"/>
        <v>916.2</v>
      </c>
      <c r="N569" s="697">
        <v>0.25</v>
      </c>
      <c r="O569" s="696">
        <v>1832.4</v>
      </c>
      <c r="P569" s="675">
        <v>0.25</v>
      </c>
      <c r="Q569" s="1741">
        <f t="shared" si="246"/>
        <v>458.1</v>
      </c>
      <c r="R569" s="1810" t="s">
        <v>344</v>
      </c>
      <c r="S569" s="706">
        <f>'MERCY COPRS'!H119</f>
        <v>1875.74</v>
      </c>
      <c r="T569" s="591">
        <f t="shared" si="247"/>
        <v>1.0236520410390744</v>
      </c>
      <c r="U569" s="595"/>
      <c r="V569" s="591">
        <f t="shared" si="249"/>
        <v>1.0236520410390744</v>
      </c>
      <c r="W569" s="706">
        <f t="shared" si="248"/>
        <v>468.935</v>
      </c>
      <c r="X569" s="92" t="s">
        <v>220</v>
      </c>
    </row>
    <row r="570" spans="1:24" s="450" customFormat="1" ht="26" x14ac:dyDescent="0.25">
      <c r="A570" s="1809"/>
      <c r="B570" s="87" t="s">
        <v>345</v>
      </c>
      <c r="C570" s="88" t="s">
        <v>14</v>
      </c>
      <c r="D570" s="1761" t="s">
        <v>1372</v>
      </c>
      <c r="E570" s="724">
        <v>2</v>
      </c>
      <c r="F570" s="724">
        <v>15.75</v>
      </c>
      <c r="G570" s="724">
        <v>12</v>
      </c>
      <c r="H570" s="1777">
        <f t="shared" si="243"/>
        <v>0</v>
      </c>
      <c r="I570" s="675"/>
      <c r="J570" s="1722">
        <v>2</v>
      </c>
      <c r="K570" s="1722">
        <v>15.75</v>
      </c>
      <c r="L570" s="1722">
        <v>12</v>
      </c>
      <c r="M570" s="1834">
        <f t="shared" si="244"/>
        <v>0</v>
      </c>
      <c r="N570" s="697">
        <v>0</v>
      </c>
      <c r="O570" s="696">
        <v>0</v>
      </c>
      <c r="P570" s="675">
        <v>0</v>
      </c>
      <c r="Q570" s="1741">
        <f t="shared" si="246"/>
        <v>0</v>
      </c>
      <c r="R570" s="1810" t="s">
        <v>346</v>
      </c>
      <c r="S570" s="706">
        <f>'MERCY COPRS'!H120</f>
        <v>0</v>
      </c>
      <c r="T570" s="591">
        <v>0</v>
      </c>
      <c r="U570" s="595"/>
      <c r="V570" s="591">
        <v>0</v>
      </c>
      <c r="W570" s="706">
        <v>0</v>
      </c>
      <c r="X570" s="92"/>
    </row>
    <row r="571" spans="1:24" s="450" customFormat="1" ht="78" x14ac:dyDescent="0.25">
      <c r="A571" s="1809"/>
      <c r="B571" s="87" t="s">
        <v>347</v>
      </c>
      <c r="C571" s="88" t="s">
        <v>14</v>
      </c>
      <c r="D571" s="1761" t="s">
        <v>1372</v>
      </c>
      <c r="E571" s="724">
        <v>2</v>
      </c>
      <c r="F571" s="724">
        <v>27</v>
      </c>
      <c r="G571" s="724">
        <v>12</v>
      </c>
      <c r="H571" s="1777">
        <f t="shared" si="243"/>
        <v>136.32499999999999</v>
      </c>
      <c r="I571" s="675">
        <v>0.5</v>
      </c>
      <c r="J571" s="1722">
        <v>2</v>
      </c>
      <c r="K571" s="1722">
        <v>27</v>
      </c>
      <c r="L571" s="1722">
        <v>12</v>
      </c>
      <c r="M571" s="1834">
        <f t="shared" si="244"/>
        <v>136.32499999999999</v>
      </c>
      <c r="N571" s="697">
        <v>0.5</v>
      </c>
      <c r="O571" s="696">
        <v>272.64999999999998</v>
      </c>
      <c r="P571" s="675">
        <v>0</v>
      </c>
      <c r="Q571" s="1741">
        <f t="shared" si="246"/>
        <v>0</v>
      </c>
      <c r="R571" s="1810" t="s">
        <v>348</v>
      </c>
      <c r="S571" s="706">
        <f>'MERCY COPRS'!H121</f>
        <v>293.75</v>
      </c>
      <c r="T571" s="591">
        <f t="shared" si="247"/>
        <v>1.0773885934348066</v>
      </c>
      <c r="U571" s="595"/>
      <c r="V571" s="591">
        <v>0</v>
      </c>
      <c r="W571" s="706">
        <f t="shared" si="248"/>
        <v>0</v>
      </c>
      <c r="X571" s="92"/>
    </row>
    <row r="572" spans="1:24" s="450" customFormat="1" x14ac:dyDescent="0.25">
      <c r="A572" s="1809" t="s">
        <v>349</v>
      </c>
      <c r="B572" s="87"/>
      <c r="C572" s="88"/>
      <c r="D572" s="1761" t="s">
        <v>1372</v>
      </c>
      <c r="E572" s="1816"/>
      <c r="F572" s="256"/>
      <c r="G572" s="256"/>
      <c r="H572" s="1777">
        <f t="shared" si="243"/>
        <v>0</v>
      </c>
      <c r="I572" s="1815"/>
      <c r="J572" s="1814"/>
      <c r="K572" s="1814"/>
      <c r="L572" s="1814"/>
      <c r="M572" s="1834">
        <f t="shared" si="244"/>
        <v>0</v>
      </c>
      <c r="N572" s="1815"/>
      <c r="O572" s="696"/>
      <c r="P572" s="1815"/>
      <c r="Q572" s="1813"/>
      <c r="R572" s="1143"/>
      <c r="S572" s="706"/>
      <c r="T572" s="591"/>
      <c r="U572" s="595"/>
      <c r="V572" s="591"/>
      <c r="W572" s="706"/>
      <c r="X572" s="594"/>
    </row>
    <row r="573" spans="1:24" s="450" customFormat="1" ht="78" x14ac:dyDescent="0.25">
      <c r="A573" s="1809"/>
      <c r="B573" s="87" t="s">
        <v>350</v>
      </c>
      <c r="C573" s="88" t="s">
        <v>14</v>
      </c>
      <c r="D573" s="1761" t="s">
        <v>1372</v>
      </c>
      <c r="E573" s="724">
        <v>1</v>
      </c>
      <c r="F573" s="724">
        <v>1478</v>
      </c>
      <c r="G573" s="724">
        <v>12</v>
      </c>
      <c r="H573" s="1777">
        <f t="shared" si="243"/>
        <v>16905.599999999999</v>
      </c>
      <c r="I573" s="675">
        <v>0.25</v>
      </c>
      <c r="J573" s="1722">
        <v>1</v>
      </c>
      <c r="K573" s="1722">
        <v>1478</v>
      </c>
      <c r="L573" s="1722">
        <v>12</v>
      </c>
      <c r="M573" s="1834">
        <f>H573</f>
        <v>16905.599999999999</v>
      </c>
      <c r="N573" s="697">
        <v>0.25</v>
      </c>
      <c r="O573" s="696">
        <v>33811.199999999997</v>
      </c>
      <c r="P573" s="675">
        <v>0.25</v>
      </c>
      <c r="Q573" s="1741">
        <f t="shared" si="246"/>
        <v>8452.7999999999993</v>
      </c>
      <c r="R573" s="1810" t="s">
        <v>351</v>
      </c>
      <c r="S573" s="706">
        <f>'MERCY COPRS'!H123</f>
        <v>27749.628000000012</v>
      </c>
      <c r="T573" s="591">
        <f t="shared" si="247"/>
        <v>0.82072295570698506</v>
      </c>
      <c r="U573" s="595"/>
      <c r="V573" s="591">
        <f t="shared" si="249"/>
        <v>0.82072295570698506</v>
      </c>
      <c r="W573" s="706">
        <f t="shared" si="248"/>
        <v>6937.4070000000029</v>
      </c>
      <c r="X573" s="92" t="s">
        <v>220</v>
      </c>
    </row>
    <row r="574" spans="1:24" s="450" customFormat="1" ht="74.25" customHeight="1" x14ac:dyDescent="0.25">
      <c r="A574" s="1809"/>
      <c r="B574" s="595" t="s">
        <v>865</v>
      </c>
      <c r="C574" s="1720" t="s">
        <v>14</v>
      </c>
      <c r="D574" s="467" t="s">
        <v>724</v>
      </c>
      <c r="E574" s="724">
        <f>1*0.4</f>
        <v>0.4</v>
      </c>
      <c r="F574" s="266">
        <v>1262</v>
      </c>
      <c r="G574" s="266">
        <v>12</v>
      </c>
      <c r="H574" s="722">
        <f>CARITAS!H85</f>
        <v>6057.6</v>
      </c>
      <c r="I574" s="714">
        <v>0</v>
      </c>
      <c r="J574" s="437">
        <f>1*0.4</f>
        <v>0.4</v>
      </c>
      <c r="K574" s="437">
        <v>1262</v>
      </c>
      <c r="L574" s="437">
        <v>12</v>
      </c>
      <c r="M574" s="2875">
        <f>CARITAS!M85</f>
        <v>6057.6</v>
      </c>
      <c r="N574" s="714">
        <v>0</v>
      </c>
      <c r="O574" s="2921">
        <f t="shared" ref="O574:O590" si="250">+H574+M574</f>
        <v>12115.2</v>
      </c>
      <c r="P574" s="675">
        <f>Q574/O574</f>
        <v>0</v>
      </c>
      <c r="Q574" s="1741">
        <v>0</v>
      </c>
      <c r="R574" s="1817" t="s">
        <v>866</v>
      </c>
      <c r="S574" s="452">
        <f>CARITAS!S85</f>
        <v>12118</v>
      </c>
      <c r="T574" s="591">
        <f t="shared" si="247"/>
        <v>1.0002311146328577</v>
      </c>
      <c r="U574" s="595" t="s">
        <v>867</v>
      </c>
      <c r="V574" s="591">
        <v>0</v>
      </c>
      <c r="W574" s="706">
        <f t="shared" si="248"/>
        <v>0</v>
      </c>
      <c r="X574" s="541" t="s">
        <v>866</v>
      </c>
    </row>
    <row r="575" spans="1:24" s="450" customFormat="1" ht="52" x14ac:dyDescent="0.25">
      <c r="A575" s="1809"/>
      <c r="B575" s="595" t="s">
        <v>868</v>
      </c>
      <c r="C575" s="1720" t="s">
        <v>14</v>
      </c>
      <c r="D575" s="467" t="s">
        <v>724</v>
      </c>
      <c r="E575" s="724">
        <f>1*1</f>
        <v>1</v>
      </c>
      <c r="F575" s="266">
        <v>830.91</v>
      </c>
      <c r="G575" s="266">
        <v>12</v>
      </c>
      <c r="H575" s="722">
        <f>CARITAS!H86</f>
        <v>9970.92</v>
      </c>
      <c r="I575" s="714">
        <v>0</v>
      </c>
      <c r="J575" s="437">
        <f>1*1</f>
        <v>1</v>
      </c>
      <c r="K575" s="437">
        <v>830.91</v>
      </c>
      <c r="L575" s="437">
        <v>12</v>
      </c>
      <c r="M575" s="2875">
        <f>CARITAS!M86</f>
        <v>9970.92</v>
      </c>
      <c r="N575" s="714">
        <v>0</v>
      </c>
      <c r="O575" s="2921">
        <f t="shared" si="250"/>
        <v>19941.84</v>
      </c>
      <c r="P575" s="675">
        <f t="shared" ref="P575:P581" si="251">Q575/O575</f>
        <v>0</v>
      </c>
      <c r="Q575" s="1741">
        <v>0</v>
      </c>
      <c r="R575" s="1817" t="s">
        <v>866</v>
      </c>
      <c r="S575" s="452">
        <f>CARITAS!S86</f>
        <v>19945.110000000004</v>
      </c>
      <c r="T575" s="591">
        <f t="shared" si="247"/>
        <v>1.0001639768446644</v>
      </c>
      <c r="U575" s="595" t="s">
        <v>869</v>
      </c>
      <c r="V575" s="591">
        <v>0</v>
      </c>
      <c r="W575" s="706">
        <f t="shared" si="248"/>
        <v>0</v>
      </c>
      <c r="X575" s="541" t="s">
        <v>866</v>
      </c>
    </row>
    <row r="576" spans="1:24" s="450" customFormat="1" ht="26" x14ac:dyDescent="0.25">
      <c r="A576" s="1809"/>
      <c r="B576" s="595" t="s">
        <v>870</v>
      </c>
      <c r="C576" s="1720" t="s">
        <v>14</v>
      </c>
      <c r="D576" s="467" t="s">
        <v>724</v>
      </c>
      <c r="E576" s="724">
        <v>1</v>
      </c>
      <c r="F576" s="266">
        <v>680</v>
      </c>
      <c r="G576" s="266">
        <v>12</v>
      </c>
      <c r="H576" s="722">
        <f>CARITAS!H87</f>
        <v>8160</v>
      </c>
      <c r="I576" s="714">
        <v>0</v>
      </c>
      <c r="J576" s="722">
        <v>1</v>
      </c>
      <c r="K576" s="722">
        <v>680</v>
      </c>
      <c r="L576" s="1818">
        <v>12</v>
      </c>
      <c r="M576" s="2875">
        <f>CARITAS!M87</f>
        <v>8160</v>
      </c>
      <c r="N576" s="1784">
        <v>0</v>
      </c>
      <c r="O576" s="2921">
        <f t="shared" si="250"/>
        <v>16320</v>
      </c>
      <c r="P576" s="675">
        <f t="shared" si="251"/>
        <v>0</v>
      </c>
      <c r="Q576" s="1741">
        <v>0</v>
      </c>
      <c r="R576" s="1817" t="s">
        <v>866</v>
      </c>
      <c r="S576" s="452">
        <f>CARITAS!S87</f>
        <v>16185.17</v>
      </c>
      <c r="T576" s="591">
        <f t="shared" si="247"/>
        <v>0.99173835784313724</v>
      </c>
      <c r="U576" s="595" t="s">
        <v>871</v>
      </c>
      <c r="V576" s="591">
        <v>0</v>
      </c>
      <c r="W576" s="706">
        <f t="shared" si="248"/>
        <v>0</v>
      </c>
      <c r="X576" s="541" t="s">
        <v>866</v>
      </c>
    </row>
    <row r="577" spans="1:485" s="450" customFormat="1" ht="84" customHeight="1" x14ac:dyDescent="0.25">
      <c r="A577" s="1809"/>
      <c r="B577" s="595" t="s">
        <v>872</v>
      </c>
      <c r="C577" s="1720" t="s">
        <v>14</v>
      </c>
      <c r="D577" s="467" t="s">
        <v>724</v>
      </c>
      <c r="E577" s="724">
        <v>1</v>
      </c>
      <c r="F577" s="266">
        <v>680</v>
      </c>
      <c r="G577" s="266">
        <v>10</v>
      </c>
      <c r="H577" s="722">
        <f>CARITAS!H88</f>
        <v>6800</v>
      </c>
      <c r="I577" s="714">
        <v>0</v>
      </c>
      <c r="J577" s="437">
        <v>1</v>
      </c>
      <c r="K577" s="722">
        <v>680</v>
      </c>
      <c r="L577" s="437">
        <v>12</v>
      </c>
      <c r="M577" s="2875">
        <f>CARITAS!M88</f>
        <v>8160</v>
      </c>
      <c r="N577" s="714">
        <v>0</v>
      </c>
      <c r="O577" s="2921">
        <f t="shared" si="250"/>
        <v>14960</v>
      </c>
      <c r="P577" s="675">
        <f t="shared" si="251"/>
        <v>0</v>
      </c>
      <c r="Q577" s="1741">
        <v>0</v>
      </c>
      <c r="R577" s="1817" t="s">
        <v>866</v>
      </c>
      <c r="S577" s="452">
        <f>CARITAS!S88</f>
        <v>15367.47</v>
      </c>
      <c r="T577" s="591">
        <f t="shared" si="247"/>
        <v>1.0272372994652406</v>
      </c>
      <c r="U577" s="595" t="s">
        <v>873</v>
      </c>
      <c r="V577" s="591">
        <v>0</v>
      </c>
      <c r="W577" s="706">
        <f t="shared" si="248"/>
        <v>0</v>
      </c>
      <c r="X577" s="541" t="s">
        <v>866</v>
      </c>
    </row>
    <row r="578" spans="1:485" s="450" customFormat="1" ht="52" x14ac:dyDescent="0.25">
      <c r="A578" s="1809"/>
      <c r="B578" s="595" t="s">
        <v>874</v>
      </c>
      <c r="C578" s="1720" t="s">
        <v>14</v>
      </c>
      <c r="D578" s="467" t="s">
        <v>724</v>
      </c>
      <c r="E578" s="724">
        <f>1*0.4</f>
        <v>0.4</v>
      </c>
      <c r="F578" s="266">
        <v>680</v>
      </c>
      <c r="G578" s="266">
        <v>10</v>
      </c>
      <c r="H578" s="722">
        <f>CARITAS!H89</f>
        <v>2720</v>
      </c>
      <c r="I578" s="714">
        <v>1</v>
      </c>
      <c r="J578" s="437">
        <f>1*0.4</f>
        <v>0.4</v>
      </c>
      <c r="K578" s="722">
        <v>680</v>
      </c>
      <c r="L578" s="437">
        <v>12</v>
      </c>
      <c r="M578" s="2875">
        <f>CARITAS!M89</f>
        <v>3264</v>
      </c>
      <c r="N578" s="714">
        <v>1</v>
      </c>
      <c r="O578" s="2921">
        <f t="shared" si="250"/>
        <v>5984</v>
      </c>
      <c r="P578" s="675">
        <v>1</v>
      </c>
      <c r="Q578" s="1741">
        <f t="shared" si="246"/>
        <v>5984</v>
      </c>
      <c r="R578" s="1817" t="s">
        <v>875</v>
      </c>
      <c r="S578" s="452">
        <f>CARITAS!S89</f>
        <v>5836.8700000000008</v>
      </c>
      <c r="T578" s="591">
        <f t="shared" si="247"/>
        <v>0.9754127673796793</v>
      </c>
      <c r="U578" s="595" t="s">
        <v>876</v>
      </c>
      <c r="V578" s="591">
        <f t="shared" si="249"/>
        <v>0.9754127673796793</v>
      </c>
      <c r="W578" s="706">
        <f t="shared" si="248"/>
        <v>5836.8700000000008</v>
      </c>
      <c r="X578" s="541" t="s">
        <v>875</v>
      </c>
    </row>
    <row r="579" spans="1:485" s="450" customFormat="1" ht="26" x14ac:dyDescent="0.25">
      <c r="A579" s="1809"/>
      <c r="B579" s="595" t="s">
        <v>877</v>
      </c>
      <c r="C579" s="1720" t="s">
        <v>14</v>
      </c>
      <c r="D579" s="467" t="s">
        <v>724</v>
      </c>
      <c r="E579" s="724">
        <v>2</v>
      </c>
      <c r="F579" s="266">
        <v>500</v>
      </c>
      <c r="G579" s="266">
        <v>12</v>
      </c>
      <c r="H579" s="722">
        <f>CARITAS!H90</f>
        <v>12000</v>
      </c>
      <c r="I579" s="714">
        <v>0.5</v>
      </c>
      <c r="J579" s="722">
        <v>0</v>
      </c>
      <c r="K579" s="722">
        <v>0</v>
      </c>
      <c r="L579" s="1818">
        <v>0</v>
      </c>
      <c r="M579" s="2875">
        <f>CARITAS!M90</f>
        <v>0</v>
      </c>
      <c r="N579" s="1784">
        <v>0.5</v>
      </c>
      <c r="O579" s="2921">
        <f t="shared" si="250"/>
        <v>12000</v>
      </c>
      <c r="P579" s="675">
        <v>0.5</v>
      </c>
      <c r="Q579" s="1741">
        <f t="shared" si="246"/>
        <v>6000</v>
      </c>
      <c r="R579" s="1817" t="s">
        <v>878</v>
      </c>
      <c r="S579" s="452">
        <f>CARITAS!S90</f>
        <v>12007.98</v>
      </c>
      <c r="T579" s="591">
        <f t="shared" si="247"/>
        <v>1.0006649999999999</v>
      </c>
      <c r="U579" s="595" t="s">
        <v>879</v>
      </c>
      <c r="V579" s="591">
        <f t="shared" si="249"/>
        <v>1.0006649999999999</v>
      </c>
      <c r="W579" s="706">
        <f t="shared" si="248"/>
        <v>6003.99</v>
      </c>
      <c r="X579" s="595" t="s">
        <v>878</v>
      </c>
    </row>
    <row r="580" spans="1:485" s="450" customFormat="1" ht="52" x14ac:dyDescent="0.25">
      <c r="A580" s="1809"/>
      <c r="B580" s="595" t="s">
        <v>880</v>
      </c>
      <c r="C580" s="1720" t="s">
        <v>14</v>
      </c>
      <c r="D580" s="467" t="s">
        <v>724</v>
      </c>
      <c r="E580" s="724">
        <f>2*1</f>
        <v>2</v>
      </c>
      <c r="F580" s="266">
        <v>500</v>
      </c>
      <c r="G580" s="266">
        <v>8</v>
      </c>
      <c r="H580" s="722">
        <f>CARITAS!H91</f>
        <v>8000</v>
      </c>
      <c r="I580" s="714">
        <v>0.5</v>
      </c>
      <c r="J580" s="437">
        <f>2*1</f>
        <v>2</v>
      </c>
      <c r="K580" s="437">
        <v>500</v>
      </c>
      <c r="L580" s="437">
        <v>10</v>
      </c>
      <c r="M580" s="2875">
        <f>CARITAS!M91</f>
        <v>10000</v>
      </c>
      <c r="N580" s="714">
        <v>0.5</v>
      </c>
      <c r="O580" s="2921">
        <f t="shared" si="250"/>
        <v>18000</v>
      </c>
      <c r="P580" s="675">
        <v>0.5</v>
      </c>
      <c r="Q580" s="1741">
        <f t="shared" si="246"/>
        <v>9000</v>
      </c>
      <c r="R580" s="1817" t="s">
        <v>878</v>
      </c>
      <c r="S580" s="452">
        <f>CARITAS!S91</f>
        <v>18000</v>
      </c>
      <c r="T580" s="591">
        <f t="shared" si="247"/>
        <v>1</v>
      </c>
      <c r="U580" s="595" t="s">
        <v>881</v>
      </c>
      <c r="V580" s="591">
        <f t="shared" si="249"/>
        <v>1</v>
      </c>
      <c r="W580" s="706">
        <f t="shared" si="248"/>
        <v>9000</v>
      </c>
      <c r="X580" s="595" t="s">
        <v>878</v>
      </c>
    </row>
    <row r="581" spans="1:485" s="450" customFormat="1" ht="62.25" customHeight="1" x14ac:dyDescent="0.25">
      <c r="A581" s="1809"/>
      <c r="B581" s="595" t="s">
        <v>882</v>
      </c>
      <c r="C581" s="1720" t="s">
        <v>14</v>
      </c>
      <c r="D581" s="467" t="s">
        <v>724</v>
      </c>
      <c r="E581" s="724">
        <f>1*0.3</f>
        <v>0.3</v>
      </c>
      <c r="F581" s="266">
        <v>1200</v>
      </c>
      <c r="G581" s="266">
        <v>12</v>
      </c>
      <c r="H581" s="722">
        <f>CARITAS!H92</f>
        <v>4320</v>
      </c>
      <c r="I581" s="714">
        <v>0</v>
      </c>
      <c r="J581" s="722">
        <f>1*0.3</f>
        <v>0.3</v>
      </c>
      <c r="K581" s="722">
        <v>1200</v>
      </c>
      <c r="L581" s="1818">
        <v>12</v>
      </c>
      <c r="M581" s="2875">
        <f>CARITAS!M92</f>
        <v>4320</v>
      </c>
      <c r="N581" s="1784">
        <v>0</v>
      </c>
      <c r="O581" s="2921">
        <f t="shared" si="250"/>
        <v>8640</v>
      </c>
      <c r="P581" s="675">
        <f t="shared" si="251"/>
        <v>0</v>
      </c>
      <c r="Q581" s="1741">
        <v>0</v>
      </c>
      <c r="R581" s="1817" t="s">
        <v>883</v>
      </c>
      <c r="S581" s="452">
        <f>CARITAS!S92</f>
        <v>8640.0600000000013</v>
      </c>
      <c r="T581" s="591">
        <f t="shared" si="247"/>
        <v>1.0000069444444446</v>
      </c>
      <c r="U581" s="595" t="s">
        <v>884</v>
      </c>
      <c r="V581" s="591">
        <v>0</v>
      </c>
      <c r="W581" s="706">
        <f t="shared" si="248"/>
        <v>0</v>
      </c>
      <c r="X581" s="541" t="s">
        <v>866</v>
      </c>
    </row>
    <row r="582" spans="1:485" s="450" customFormat="1" ht="62.25" customHeight="1" x14ac:dyDescent="0.25">
      <c r="A582" s="1809"/>
      <c r="B582" s="595" t="s">
        <v>885</v>
      </c>
      <c r="C582" s="1720" t="s">
        <v>14</v>
      </c>
      <c r="D582" s="467" t="s">
        <v>724</v>
      </c>
      <c r="E582" s="724">
        <f>1*0.25</f>
        <v>0.25</v>
      </c>
      <c r="F582" s="710">
        <v>680</v>
      </c>
      <c r="G582" s="710">
        <v>12</v>
      </c>
      <c r="H582" s="722">
        <f>CARITAS!H93</f>
        <v>2040</v>
      </c>
      <c r="I582" s="714">
        <v>1</v>
      </c>
      <c r="J582" s="437">
        <f>1*0.25</f>
        <v>0.25</v>
      </c>
      <c r="K582" s="710">
        <v>680</v>
      </c>
      <c r="L582" s="710">
        <v>12</v>
      </c>
      <c r="M582" s="2875">
        <f>CARITAS!M93</f>
        <v>2040</v>
      </c>
      <c r="N582" s="714">
        <v>1</v>
      </c>
      <c r="O582" s="2921">
        <f t="shared" si="250"/>
        <v>4080</v>
      </c>
      <c r="P582" s="675">
        <v>1</v>
      </c>
      <c r="Q582" s="1741">
        <f t="shared" si="246"/>
        <v>4080</v>
      </c>
      <c r="R582" s="1817" t="s">
        <v>875</v>
      </c>
      <c r="S582" s="452">
        <f>CARITAS!S93</f>
        <v>4080</v>
      </c>
      <c r="T582" s="591">
        <f t="shared" si="247"/>
        <v>1</v>
      </c>
      <c r="U582" s="595" t="s">
        <v>886</v>
      </c>
      <c r="V582" s="591">
        <f t="shared" si="249"/>
        <v>1</v>
      </c>
      <c r="W582" s="706">
        <f t="shared" si="248"/>
        <v>4080</v>
      </c>
      <c r="X582" s="541" t="s">
        <v>875</v>
      </c>
    </row>
    <row r="583" spans="1:485" s="450" customFormat="1" ht="39" x14ac:dyDescent="0.25">
      <c r="A583" s="1809"/>
      <c r="B583" s="595" t="s">
        <v>887</v>
      </c>
      <c r="C583" s="1720" t="s">
        <v>14</v>
      </c>
      <c r="D583" s="467" t="s">
        <v>724</v>
      </c>
      <c r="E583" s="724">
        <f>1*0.25</f>
        <v>0.25</v>
      </c>
      <c r="F583" s="710">
        <v>680</v>
      </c>
      <c r="G583" s="710">
        <v>4</v>
      </c>
      <c r="H583" s="722">
        <f>CARITAS!H94</f>
        <v>680</v>
      </c>
      <c r="I583" s="714">
        <v>0</v>
      </c>
      <c r="J583" s="437">
        <f>1*0.25</f>
        <v>0.25</v>
      </c>
      <c r="K583" s="710">
        <v>680</v>
      </c>
      <c r="L583" s="710">
        <v>2</v>
      </c>
      <c r="M583" s="2875">
        <f>CARITAS!M94</f>
        <v>340</v>
      </c>
      <c r="N583" s="714">
        <v>0</v>
      </c>
      <c r="O583" s="2921">
        <f t="shared" si="250"/>
        <v>1020</v>
      </c>
      <c r="P583" s="675">
        <v>1</v>
      </c>
      <c r="Q583" s="1741">
        <f t="shared" si="246"/>
        <v>1020</v>
      </c>
      <c r="R583" s="1817" t="s">
        <v>875</v>
      </c>
      <c r="S583" s="452">
        <f>CARITAS!S94</f>
        <v>1020</v>
      </c>
      <c r="T583" s="591">
        <f t="shared" si="247"/>
        <v>1</v>
      </c>
      <c r="U583" s="595" t="s">
        <v>888</v>
      </c>
      <c r="V583" s="591">
        <f t="shared" si="249"/>
        <v>1</v>
      </c>
      <c r="W583" s="706">
        <f t="shared" si="248"/>
        <v>1020</v>
      </c>
      <c r="X583" s="541" t="s">
        <v>875</v>
      </c>
    </row>
    <row r="584" spans="1:485" s="450" customFormat="1" x14ac:dyDescent="0.25">
      <c r="A584" s="594"/>
      <c r="B584" s="284" t="s">
        <v>1057</v>
      </c>
      <c r="C584" s="1720" t="s">
        <v>14</v>
      </c>
      <c r="D584" s="598" t="s">
        <v>955</v>
      </c>
      <c r="E584" s="468">
        <v>1</v>
      </c>
      <c r="F584" s="468">
        <v>4119.4975000000004</v>
      </c>
      <c r="G584" s="467">
        <v>4</v>
      </c>
      <c r="H584" s="451">
        <f t="shared" ref="H584:H589" si="252">E584*F584*G584</f>
        <v>16477.990000000002</v>
      </c>
      <c r="I584" s="675">
        <v>1</v>
      </c>
      <c r="J584" s="451">
        <v>3</v>
      </c>
      <c r="K584" s="451">
        <v>6200</v>
      </c>
      <c r="L584" s="451">
        <v>1</v>
      </c>
      <c r="M584" s="1834">
        <f>J584*K584*L584</f>
        <v>18600</v>
      </c>
      <c r="N584" s="675">
        <v>1</v>
      </c>
      <c r="O584" s="696">
        <f t="shared" si="250"/>
        <v>35077.990000000005</v>
      </c>
      <c r="P584" s="675">
        <v>1</v>
      </c>
      <c r="Q584" s="451">
        <f t="shared" si="246"/>
        <v>35077.990000000005</v>
      </c>
      <c r="R584" s="522" t="s">
        <v>1058</v>
      </c>
      <c r="S584" s="452">
        <f>COOPI!S74</f>
        <v>41985.173246760001</v>
      </c>
      <c r="T584" s="591">
        <f t="shared" si="247"/>
        <v>1.1969093225341587</v>
      </c>
      <c r="U584" s="894" t="s">
        <v>1490</v>
      </c>
      <c r="V584" s="591">
        <f t="shared" si="249"/>
        <v>1.1969093225341587</v>
      </c>
      <c r="W584" s="706">
        <f t="shared" si="248"/>
        <v>41985.173246760001</v>
      </c>
      <c r="X584" s="452" t="s">
        <v>1490</v>
      </c>
      <c r="Y584" s="273"/>
      <c r="Z584" s="273"/>
      <c r="AA584" s="273"/>
      <c r="AB584" s="273"/>
      <c r="AC584" s="273"/>
      <c r="AD584" s="273"/>
      <c r="AE584" s="273"/>
      <c r="AF584" s="273"/>
      <c r="AG584" s="273"/>
      <c r="AH584" s="273"/>
      <c r="AI584" s="273"/>
      <c r="AJ584" s="273"/>
      <c r="AK584" s="273"/>
      <c r="AL584" s="273"/>
      <c r="AM584" s="273"/>
      <c r="AN584" s="273"/>
      <c r="AO584" s="273"/>
      <c r="AP584" s="273"/>
      <c r="AQ584" s="273"/>
      <c r="AR584" s="273"/>
      <c r="AS584" s="273"/>
      <c r="AT584" s="273"/>
      <c r="AU584" s="273"/>
      <c r="AV584" s="273"/>
      <c r="AW584" s="273"/>
      <c r="AX584" s="273"/>
      <c r="AY584" s="273"/>
      <c r="AZ584" s="273"/>
      <c r="BA584" s="273"/>
      <c r="BB584" s="273"/>
      <c r="BC584" s="273"/>
      <c r="BD584" s="273"/>
      <c r="BE584" s="273"/>
      <c r="BF584" s="273"/>
      <c r="BG584" s="273"/>
      <c r="BH584" s="273"/>
      <c r="BI584" s="273"/>
      <c r="BJ584" s="273"/>
      <c r="BK584" s="273"/>
      <c r="BL584" s="273"/>
      <c r="BM584" s="273"/>
      <c r="BN584" s="273"/>
      <c r="BO584" s="273"/>
      <c r="BP584" s="273"/>
      <c r="BQ584" s="273"/>
      <c r="BR584" s="273"/>
      <c r="BS584" s="273"/>
      <c r="BT584" s="273"/>
      <c r="BU584" s="273"/>
      <c r="BV584" s="273"/>
      <c r="BW584" s="273"/>
      <c r="BX584" s="273"/>
      <c r="BY584" s="273"/>
      <c r="BZ584" s="273"/>
      <c r="CA584" s="273"/>
      <c r="CB584" s="273"/>
      <c r="CC584" s="273"/>
      <c r="CD584" s="273"/>
      <c r="CE584" s="273"/>
      <c r="CF584" s="273"/>
      <c r="CG584" s="273"/>
      <c r="CH584" s="273"/>
      <c r="CI584" s="273"/>
      <c r="CJ584" s="273"/>
      <c r="CK584" s="273"/>
      <c r="CL584" s="273"/>
      <c r="CM584" s="273"/>
      <c r="CN584" s="273"/>
      <c r="CO584" s="273"/>
      <c r="CP584" s="273"/>
      <c r="CQ584" s="273"/>
      <c r="CR584" s="273"/>
      <c r="CS584" s="273"/>
      <c r="CT584" s="273"/>
      <c r="CU584" s="273"/>
      <c r="CV584" s="273"/>
      <c r="CW584" s="273"/>
      <c r="CX584" s="273"/>
      <c r="CY584" s="273"/>
      <c r="CZ584" s="273"/>
      <c r="DA584" s="273"/>
      <c r="DB584" s="273"/>
      <c r="DC584" s="273"/>
      <c r="DD584" s="273"/>
      <c r="DE584" s="273"/>
      <c r="DF584" s="273"/>
      <c r="DG584" s="273"/>
      <c r="DH584" s="273"/>
      <c r="DI584" s="273"/>
      <c r="DJ584" s="273"/>
      <c r="DK584" s="273"/>
      <c r="DL584" s="273"/>
      <c r="DM584" s="273"/>
      <c r="DN584" s="273"/>
      <c r="DO584" s="273"/>
      <c r="DP584" s="273"/>
      <c r="DQ584" s="273"/>
      <c r="DR584" s="273"/>
      <c r="DS584" s="273"/>
      <c r="DT584" s="273"/>
      <c r="DU584" s="273"/>
      <c r="DV584" s="273"/>
      <c r="DW584" s="273"/>
      <c r="DX584" s="273"/>
      <c r="DY584" s="273"/>
      <c r="DZ584" s="273"/>
      <c r="EA584" s="273"/>
      <c r="EB584" s="273"/>
      <c r="EC584" s="273"/>
      <c r="ED584" s="273"/>
      <c r="EE584" s="273"/>
      <c r="EF584" s="273"/>
      <c r="EG584" s="273"/>
      <c r="EH584" s="273"/>
      <c r="EI584" s="273"/>
      <c r="EJ584" s="273"/>
      <c r="EK584" s="273"/>
      <c r="EL584" s="273"/>
      <c r="EM584" s="273"/>
      <c r="EN584" s="273"/>
      <c r="EO584" s="273"/>
      <c r="EP584" s="273"/>
      <c r="EQ584" s="273"/>
      <c r="ER584" s="273"/>
      <c r="ES584" s="273"/>
      <c r="ET584" s="273"/>
      <c r="EU584" s="273"/>
      <c r="EV584" s="273"/>
      <c r="EW584" s="273"/>
      <c r="EX584" s="273"/>
      <c r="EY584" s="273"/>
      <c r="EZ584" s="273"/>
      <c r="FA584" s="273"/>
      <c r="FB584" s="273"/>
      <c r="FC584" s="273"/>
      <c r="FD584" s="273"/>
      <c r="FE584" s="273"/>
      <c r="FF584" s="273"/>
      <c r="FG584" s="273"/>
      <c r="FH584" s="273"/>
      <c r="FI584" s="273"/>
      <c r="FJ584" s="273"/>
      <c r="FK584" s="273"/>
      <c r="FL584" s="273"/>
      <c r="FM584" s="273"/>
      <c r="FN584" s="273"/>
      <c r="FO584" s="273"/>
      <c r="FP584" s="273"/>
      <c r="FQ584" s="273"/>
      <c r="FR584" s="273"/>
      <c r="FS584" s="273"/>
      <c r="FT584" s="273"/>
      <c r="FU584" s="273"/>
      <c r="FV584" s="273"/>
      <c r="FW584" s="273"/>
      <c r="FX584" s="273"/>
      <c r="FY584" s="273"/>
      <c r="FZ584" s="273"/>
      <c r="GA584" s="273"/>
      <c r="GB584" s="273"/>
      <c r="GC584" s="273"/>
      <c r="GD584" s="273"/>
      <c r="GE584" s="273"/>
      <c r="GF584" s="273"/>
      <c r="GG584" s="273"/>
      <c r="GH584" s="273"/>
      <c r="GI584" s="273"/>
      <c r="GJ584" s="273"/>
      <c r="GK584" s="273"/>
      <c r="GL584" s="273"/>
      <c r="GM584" s="273"/>
      <c r="GN584" s="273"/>
      <c r="GO584" s="273"/>
      <c r="GP584" s="273"/>
      <c r="GQ584" s="273"/>
      <c r="GR584" s="273"/>
      <c r="GS584" s="273"/>
      <c r="GT584" s="273"/>
      <c r="GU584" s="273"/>
      <c r="GV584" s="273"/>
      <c r="GW584" s="273"/>
      <c r="GX584" s="273"/>
      <c r="GY584" s="273"/>
      <c r="GZ584" s="273"/>
      <c r="HA584" s="273"/>
      <c r="HB584" s="273"/>
      <c r="HC584" s="273"/>
      <c r="HD584" s="273"/>
      <c r="HE584" s="273"/>
      <c r="HF584" s="273"/>
      <c r="HG584" s="273"/>
      <c r="HH584" s="273"/>
      <c r="HI584" s="273"/>
      <c r="HJ584" s="273"/>
      <c r="HK584" s="273"/>
      <c r="HL584" s="273"/>
      <c r="HM584" s="273"/>
      <c r="HN584" s="273"/>
      <c r="HO584" s="273"/>
      <c r="HP584" s="273"/>
      <c r="HQ584" s="273"/>
      <c r="HR584" s="273"/>
      <c r="HS584" s="273"/>
      <c r="HT584" s="273"/>
      <c r="HU584" s="273"/>
      <c r="HV584" s="273"/>
      <c r="HW584" s="273"/>
      <c r="HX584" s="273"/>
      <c r="HY584" s="273"/>
      <c r="HZ584" s="273"/>
      <c r="IA584" s="273"/>
      <c r="IB584" s="273"/>
      <c r="IC584" s="273"/>
      <c r="ID584" s="273"/>
      <c r="IE584" s="273"/>
      <c r="IF584" s="273"/>
      <c r="IG584" s="273"/>
      <c r="IH584" s="273"/>
      <c r="II584" s="273"/>
      <c r="IJ584" s="273"/>
      <c r="IK584" s="273"/>
      <c r="IL584" s="273"/>
      <c r="IM584" s="273"/>
      <c r="IN584" s="273"/>
      <c r="IO584" s="273"/>
      <c r="IP584" s="273"/>
      <c r="IQ584" s="273"/>
      <c r="IR584" s="273"/>
      <c r="IS584" s="273"/>
      <c r="IT584" s="273"/>
      <c r="IU584" s="273"/>
      <c r="IV584" s="273"/>
      <c r="IW584" s="273"/>
      <c r="IX584" s="273"/>
      <c r="IY584" s="273"/>
      <c r="IZ584" s="273"/>
      <c r="JA584" s="273"/>
      <c r="JB584" s="273"/>
      <c r="JC584" s="273"/>
      <c r="JD584" s="273"/>
      <c r="JE584" s="273"/>
      <c r="JF584" s="273"/>
      <c r="JG584" s="273"/>
      <c r="JH584" s="273"/>
      <c r="JI584" s="273"/>
      <c r="JJ584" s="273"/>
      <c r="JK584" s="273"/>
      <c r="JL584" s="273"/>
      <c r="JM584" s="273"/>
      <c r="JN584" s="273"/>
      <c r="JO584" s="273"/>
      <c r="JP584" s="273"/>
      <c r="JQ584" s="273"/>
      <c r="JR584" s="273"/>
      <c r="JS584" s="273"/>
      <c r="JT584" s="273"/>
      <c r="JU584" s="273"/>
      <c r="JV584" s="273"/>
      <c r="JW584" s="273"/>
      <c r="JX584" s="273"/>
      <c r="JY584" s="273"/>
      <c r="JZ584" s="273"/>
      <c r="KA584" s="273"/>
      <c r="KB584" s="273"/>
      <c r="KC584" s="273"/>
      <c r="KD584" s="273"/>
      <c r="KE584" s="273"/>
      <c r="KF584" s="273"/>
      <c r="KG584" s="273"/>
      <c r="KH584" s="273"/>
      <c r="KI584" s="273"/>
      <c r="KJ584" s="273"/>
      <c r="KK584" s="273"/>
      <c r="KL584" s="273"/>
      <c r="KM584" s="273"/>
      <c r="KN584" s="273"/>
      <c r="KO584" s="273"/>
      <c r="KP584" s="273"/>
      <c r="KQ584" s="273"/>
      <c r="KR584" s="273"/>
      <c r="KS584" s="273"/>
      <c r="KT584" s="273"/>
      <c r="KU584" s="273"/>
      <c r="KV584" s="273"/>
      <c r="KW584" s="273"/>
      <c r="KX584" s="273"/>
      <c r="KY584" s="273"/>
      <c r="KZ584" s="273"/>
      <c r="LA584" s="273"/>
      <c r="LB584" s="273"/>
      <c r="LC584" s="273"/>
      <c r="LD584" s="273"/>
      <c r="LE584" s="273"/>
      <c r="LF584" s="273"/>
      <c r="LG584" s="273"/>
      <c r="LH584" s="273"/>
      <c r="LI584" s="273"/>
      <c r="LJ584" s="273"/>
      <c r="LK584" s="273"/>
      <c r="LL584" s="273"/>
      <c r="LM584" s="273"/>
      <c r="LN584" s="273"/>
      <c r="LO584" s="273"/>
      <c r="LP584" s="273"/>
      <c r="LQ584" s="273"/>
      <c r="LR584" s="273"/>
      <c r="LS584" s="273"/>
      <c r="LT584" s="273"/>
      <c r="LU584" s="273"/>
      <c r="LV584" s="273"/>
      <c r="LW584" s="273"/>
      <c r="LX584" s="273"/>
      <c r="LY584" s="273"/>
      <c r="LZ584" s="273"/>
      <c r="MA584" s="273"/>
      <c r="MB584" s="273"/>
      <c r="MC584" s="273"/>
      <c r="MD584" s="273"/>
      <c r="ME584" s="273"/>
      <c r="MF584" s="273"/>
      <c r="MG584" s="273"/>
      <c r="MH584" s="273"/>
      <c r="MI584" s="273"/>
      <c r="MJ584" s="273"/>
      <c r="MK584" s="273"/>
      <c r="ML584" s="273"/>
      <c r="MM584" s="273"/>
      <c r="MN584" s="273"/>
      <c r="MO584" s="273"/>
      <c r="MP584" s="273"/>
      <c r="MQ584" s="273"/>
      <c r="MR584" s="273"/>
      <c r="MS584" s="273"/>
      <c r="MT584" s="273"/>
      <c r="MU584" s="273"/>
      <c r="MV584" s="273"/>
      <c r="MW584" s="273"/>
      <c r="MX584" s="273"/>
      <c r="MY584" s="273"/>
      <c r="MZ584" s="273"/>
      <c r="NA584" s="273"/>
      <c r="NB584" s="273"/>
      <c r="NC584" s="273"/>
      <c r="ND584" s="273"/>
      <c r="NE584" s="273"/>
      <c r="NF584" s="273"/>
      <c r="NG584" s="273"/>
      <c r="NH584" s="273"/>
      <c r="NI584" s="273"/>
      <c r="NJ584" s="273"/>
      <c r="NK584" s="273"/>
      <c r="NL584" s="273"/>
      <c r="NM584" s="273"/>
      <c r="NN584" s="273"/>
      <c r="NO584" s="273"/>
      <c r="NP584" s="273"/>
      <c r="NQ584" s="273"/>
      <c r="NR584" s="273"/>
      <c r="NS584" s="273"/>
      <c r="NT584" s="273"/>
      <c r="NU584" s="273"/>
      <c r="NV584" s="273"/>
      <c r="NW584" s="273"/>
      <c r="NX584" s="273"/>
      <c r="NY584" s="273"/>
      <c r="NZ584" s="273"/>
      <c r="OA584" s="273"/>
      <c r="OB584" s="273"/>
      <c r="OC584" s="273"/>
      <c r="OD584" s="273"/>
      <c r="OE584" s="273"/>
      <c r="OF584" s="273"/>
      <c r="OG584" s="273"/>
      <c r="OH584" s="273"/>
      <c r="OI584" s="273"/>
      <c r="OJ584" s="273"/>
      <c r="OK584" s="273"/>
      <c r="OL584" s="273"/>
      <c r="OM584" s="273"/>
      <c r="ON584" s="273"/>
      <c r="OO584" s="273"/>
      <c r="OP584" s="273"/>
      <c r="OQ584" s="273"/>
      <c r="OR584" s="273"/>
      <c r="OS584" s="273"/>
      <c r="OT584" s="273"/>
      <c r="OU584" s="273"/>
      <c r="OV584" s="273"/>
      <c r="OW584" s="273"/>
      <c r="OX584" s="273"/>
      <c r="OY584" s="273"/>
      <c r="OZ584" s="273"/>
      <c r="PA584" s="273"/>
      <c r="PB584" s="273"/>
      <c r="PC584" s="273"/>
      <c r="PD584" s="273"/>
      <c r="PE584" s="273"/>
      <c r="PF584" s="273"/>
      <c r="PG584" s="273"/>
      <c r="PH584" s="273"/>
      <c r="PI584" s="273"/>
      <c r="PJ584" s="273"/>
      <c r="PK584" s="273"/>
      <c r="PL584" s="273"/>
      <c r="PM584" s="273"/>
      <c r="PN584" s="273"/>
      <c r="PO584" s="273"/>
      <c r="PP584" s="273"/>
      <c r="PQ584" s="273"/>
      <c r="PR584" s="273"/>
      <c r="PS584" s="273"/>
      <c r="PT584" s="273"/>
      <c r="PU584" s="273"/>
      <c r="PV584" s="273"/>
      <c r="PW584" s="273"/>
      <c r="PX584" s="273"/>
      <c r="PY584" s="273"/>
      <c r="PZ584" s="273"/>
      <c r="QA584" s="273"/>
      <c r="QB584" s="273"/>
      <c r="QC584" s="273"/>
      <c r="QD584" s="273"/>
      <c r="QE584" s="273"/>
      <c r="QF584" s="273"/>
      <c r="QG584" s="273"/>
      <c r="QH584" s="273"/>
      <c r="QI584" s="273"/>
      <c r="QJ584" s="273"/>
      <c r="QK584" s="273"/>
      <c r="QL584" s="273"/>
      <c r="QM584" s="273"/>
      <c r="QN584" s="273"/>
      <c r="QO584" s="273"/>
      <c r="QP584" s="273"/>
      <c r="QQ584" s="273"/>
      <c r="QR584" s="273"/>
      <c r="QS584" s="273"/>
      <c r="QT584" s="273"/>
      <c r="QU584" s="273"/>
      <c r="QV584" s="273"/>
      <c r="QW584" s="273"/>
      <c r="QX584" s="273"/>
      <c r="QY584" s="273"/>
      <c r="QZ584" s="273"/>
      <c r="RA584" s="273"/>
      <c r="RB584" s="273"/>
      <c r="RC584" s="273"/>
      <c r="RD584" s="273"/>
      <c r="RE584" s="273"/>
      <c r="RF584" s="273"/>
      <c r="RG584" s="273"/>
      <c r="RH584" s="273"/>
      <c r="RI584" s="273"/>
      <c r="RJ584" s="273"/>
      <c r="RK584" s="273"/>
      <c r="RL584" s="273"/>
      <c r="RM584" s="273"/>
      <c r="RN584" s="273"/>
      <c r="RO584" s="273"/>
      <c r="RP584" s="273"/>
      <c r="RQ584" s="273"/>
    </row>
    <row r="585" spans="1:485" s="450" customFormat="1" x14ac:dyDescent="0.25">
      <c r="A585" s="594"/>
      <c r="B585" s="284" t="s">
        <v>1059</v>
      </c>
      <c r="C585" s="1720" t="s">
        <v>14</v>
      </c>
      <c r="D585" s="598" t="s">
        <v>955</v>
      </c>
      <c r="E585" s="468">
        <v>1</v>
      </c>
      <c r="F585" s="468">
        <v>6199.75</v>
      </c>
      <c r="G585" s="467">
        <v>1</v>
      </c>
      <c r="H585" s="451">
        <f t="shared" si="252"/>
        <v>6199.75</v>
      </c>
      <c r="I585" s="675">
        <v>0</v>
      </c>
      <c r="J585" s="451">
        <v>1</v>
      </c>
      <c r="K585" s="451">
        <v>5187</v>
      </c>
      <c r="L585" s="451">
        <v>1</v>
      </c>
      <c r="M585" s="1834">
        <f t="shared" ref="M585:M589" si="253">J585*K585*L585</f>
        <v>5187</v>
      </c>
      <c r="N585" s="675">
        <v>0</v>
      </c>
      <c r="O585" s="696">
        <f t="shared" si="250"/>
        <v>11386.75</v>
      </c>
      <c r="P585" s="675">
        <v>0</v>
      </c>
      <c r="Q585" s="451">
        <f t="shared" si="246"/>
        <v>0</v>
      </c>
      <c r="R585" s="522" t="s">
        <v>1058</v>
      </c>
      <c r="S585" s="452">
        <f>COOPI!S75</f>
        <v>14689.302882</v>
      </c>
      <c r="T585" s="591">
        <f t="shared" si="247"/>
        <v>1.2900347229894396</v>
      </c>
      <c r="U585" s="894" t="s">
        <v>1490</v>
      </c>
      <c r="V585" s="591">
        <v>0</v>
      </c>
      <c r="W585" s="706">
        <f t="shared" si="248"/>
        <v>0</v>
      </c>
      <c r="X585" s="452" t="s">
        <v>1490</v>
      </c>
      <c r="Y585" s="273"/>
      <c r="Z585" s="273"/>
      <c r="AA585" s="273"/>
      <c r="AB585" s="273"/>
      <c r="AC585" s="273"/>
      <c r="AD585" s="273"/>
      <c r="AE585" s="273"/>
      <c r="AF585" s="273"/>
      <c r="AG585" s="273"/>
      <c r="AH585" s="273"/>
      <c r="AI585" s="273"/>
      <c r="AJ585" s="273"/>
      <c r="AK585" s="273"/>
      <c r="AL585" s="273"/>
      <c r="AM585" s="273"/>
      <c r="AN585" s="273"/>
      <c r="AO585" s="273"/>
      <c r="AP585" s="273"/>
      <c r="AQ585" s="273"/>
      <c r="AR585" s="273"/>
      <c r="AS585" s="273"/>
      <c r="AT585" s="273"/>
      <c r="AU585" s="273"/>
      <c r="AV585" s="273"/>
      <c r="AW585" s="273"/>
      <c r="AX585" s="273"/>
      <c r="AY585" s="273"/>
      <c r="AZ585" s="273"/>
      <c r="BA585" s="273"/>
      <c r="BB585" s="273"/>
      <c r="BC585" s="273"/>
      <c r="BD585" s="273"/>
      <c r="BE585" s="273"/>
      <c r="BF585" s="273"/>
      <c r="BG585" s="273"/>
      <c r="BH585" s="273"/>
      <c r="BI585" s="273"/>
      <c r="BJ585" s="273"/>
      <c r="BK585" s="273"/>
      <c r="BL585" s="273"/>
      <c r="BM585" s="273"/>
      <c r="BN585" s="273"/>
      <c r="BO585" s="273"/>
      <c r="BP585" s="273"/>
      <c r="BQ585" s="273"/>
      <c r="BR585" s="273"/>
      <c r="BS585" s="273"/>
      <c r="BT585" s="273"/>
      <c r="BU585" s="273"/>
      <c r="BV585" s="273"/>
      <c r="BW585" s="273"/>
      <c r="BX585" s="273"/>
      <c r="BY585" s="273"/>
      <c r="BZ585" s="273"/>
      <c r="CA585" s="273"/>
      <c r="CB585" s="273"/>
      <c r="CC585" s="273"/>
      <c r="CD585" s="273"/>
      <c r="CE585" s="273"/>
      <c r="CF585" s="273"/>
      <c r="CG585" s="273"/>
      <c r="CH585" s="273"/>
      <c r="CI585" s="273"/>
      <c r="CJ585" s="273"/>
      <c r="CK585" s="273"/>
      <c r="CL585" s="273"/>
      <c r="CM585" s="273"/>
      <c r="CN585" s="273"/>
      <c r="CO585" s="273"/>
      <c r="CP585" s="273"/>
      <c r="CQ585" s="273"/>
      <c r="CR585" s="273"/>
      <c r="CS585" s="273"/>
      <c r="CT585" s="273"/>
      <c r="CU585" s="273"/>
      <c r="CV585" s="273"/>
      <c r="CW585" s="273"/>
      <c r="CX585" s="273"/>
      <c r="CY585" s="273"/>
      <c r="CZ585" s="273"/>
      <c r="DA585" s="273"/>
      <c r="DB585" s="273"/>
      <c r="DC585" s="273"/>
      <c r="DD585" s="273"/>
      <c r="DE585" s="273"/>
      <c r="DF585" s="273"/>
      <c r="DG585" s="273"/>
      <c r="DH585" s="273"/>
      <c r="DI585" s="273"/>
      <c r="DJ585" s="273"/>
      <c r="DK585" s="273"/>
      <c r="DL585" s="273"/>
      <c r="DM585" s="273"/>
      <c r="DN585" s="273"/>
      <c r="DO585" s="273"/>
      <c r="DP585" s="273"/>
      <c r="DQ585" s="273"/>
      <c r="DR585" s="273"/>
      <c r="DS585" s="273"/>
      <c r="DT585" s="273"/>
      <c r="DU585" s="273"/>
      <c r="DV585" s="273"/>
      <c r="DW585" s="273"/>
      <c r="DX585" s="273"/>
      <c r="DY585" s="273"/>
      <c r="DZ585" s="273"/>
      <c r="EA585" s="273"/>
      <c r="EB585" s="273"/>
      <c r="EC585" s="273"/>
      <c r="ED585" s="273"/>
      <c r="EE585" s="273"/>
      <c r="EF585" s="273"/>
      <c r="EG585" s="273"/>
      <c r="EH585" s="273"/>
      <c r="EI585" s="273"/>
      <c r="EJ585" s="273"/>
      <c r="EK585" s="273"/>
      <c r="EL585" s="273"/>
      <c r="EM585" s="273"/>
      <c r="EN585" s="273"/>
      <c r="EO585" s="273"/>
      <c r="EP585" s="273"/>
      <c r="EQ585" s="273"/>
      <c r="ER585" s="273"/>
      <c r="ES585" s="273"/>
      <c r="ET585" s="273"/>
      <c r="EU585" s="273"/>
      <c r="EV585" s="273"/>
      <c r="EW585" s="273"/>
      <c r="EX585" s="273"/>
      <c r="EY585" s="273"/>
      <c r="EZ585" s="273"/>
      <c r="FA585" s="273"/>
      <c r="FB585" s="273"/>
      <c r="FC585" s="273"/>
      <c r="FD585" s="273"/>
      <c r="FE585" s="273"/>
      <c r="FF585" s="273"/>
      <c r="FG585" s="273"/>
      <c r="FH585" s="273"/>
      <c r="FI585" s="273"/>
      <c r="FJ585" s="273"/>
      <c r="FK585" s="273"/>
      <c r="FL585" s="273"/>
      <c r="FM585" s="273"/>
      <c r="FN585" s="273"/>
      <c r="FO585" s="273"/>
      <c r="FP585" s="273"/>
      <c r="FQ585" s="273"/>
      <c r="FR585" s="273"/>
      <c r="FS585" s="273"/>
      <c r="FT585" s="273"/>
      <c r="FU585" s="273"/>
      <c r="FV585" s="273"/>
      <c r="FW585" s="273"/>
      <c r="FX585" s="273"/>
      <c r="FY585" s="273"/>
      <c r="FZ585" s="273"/>
      <c r="GA585" s="273"/>
      <c r="GB585" s="273"/>
      <c r="GC585" s="273"/>
      <c r="GD585" s="273"/>
      <c r="GE585" s="273"/>
      <c r="GF585" s="273"/>
      <c r="GG585" s="273"/>
      <c r="GH585" s="273"/>
      <c r="GI585" s="273"/>
      <c r="GJ585" s="273"/>
      <c r="GK585" s="273"/>
      <c r="GL585" s="273"/>
      <c r="GM585" s="273"/>
      <c r="GN585" s="273"/>
      <c r="GO585" s="273"/>
      <c r="GP585" s="273"/>
      <c r="GQ585" s="273"/>
      <c r="GR585" s="273"/>
      <c r="GS585" s="273"/>
      <c r="GT585" s="273"/>
      <c r="GU585" s="273"/>
      <c r="GV585" s="273"/>
      <c r="GW585" s="273"/>
      <c r="GX585" s="273"/>
      <c r="GY585" s="273"/>
      <c r="GZ585" s="273"/>
      <c r="HA585" s="273"/>
      <c r="HB585" s="273"/>
      <c r="HC585" s="273"/>
      <c r="HD585" s="273"/>
      <c r="HE585" s="273"/>
      <c r="HF585" s="273"/>
      <c r="HG585" s="273"/>
      <c r="HH585" s="273"/>
      <c r="HI585" s="273"/>
      <c r="HJ585" s="273"/>
      <c r="HK585" s="273"/>
      <c r="HL585" s="273"/>
      <c r="HM585" s="273"/>
      <c r="HN585" s="273"/>
      <c r="HO585" s="273"/>
      <c r="HP585" s="273"/>
      <c r="HQ585" s="273"/>
      <c r="HR585" s="273"/>
      <c r="HS585" s="273"/>
      <c r="HT585" s="273"/>
      <c r="HU585" s="273"/>
      <c r="HV585" s="273"/>
      <c r="HW585" s="273"/>
      <c r="HX585" s="273"/>
      <c r="HY585" s="273"/>
      <c r="HZ585" s="273"/>
      <c r="IA585" s="273"/>
      <c r="IB585" s="273"/>
      <c r="IC585" s="273"/>
      <c r="ID585" s="273"/>
      <c r="IE585" s="273"/>
      <c r="IF585" s="273"/>
      <c r="IG585" s="273"/>
      <c r="IH585" s="273"/>
      <c r="II585" s="273"/>
      <c r="IJ585" s="273"/>
      <c r="IK585" s="273"/>
      <c r="IL585" s="273"/>
      <c r="IM585" s="273"/>
      <c r="IN585" s="273"/>
      <c r="IO585" s="273"/>
      <c r="IP585" s="273"/>
      <c r="IQ585" s="273"/>
      <c r="IR585" s="273"/>
      <c r="IS585" s="273"/>
      <c r="IT585" s="273"/>
      <c r="IU585" s="273"/>
      <c r="IV585" s="273"/>
      <c r="IW585" s="273"/>
      <c r="IX585" s="273"/>
      <c r="IY585" s="273"/>
      <c r="IZ585" s="273"/>
      <c r="JA585" s="273"/>
      <c r="JB585" s="273"/>
      <c r="JC585" s="273"/>
      <c r="JD585" s="273"/>
      <c r="JE585" s="273"/>
      <c r="JF585" s="273"/>
      <c r="JG585" s="273"/>
      <c r="JH585" s="273"/>
      <c r="JI585" s="273"/>
      <c r="JJ585" s="273"/>
      <c r="JK585" s="273"/>
      <c r="JL585" s="273"/>
      <c r="JM585" s="273"/>
      <c r="JN585" s="273"/>
      <c r="JO585" s="273"/>
      <c r="JP585" s="273"/>
      <c r="JQ585" s="273"/>
      <c r="JR585" s="273"/>
      <c r="JS585" s="273"/>
      <c r="JT585" s="273"/>
      <c r="JU585" s="273"/>
      <c r="JV585" s="273"/>
      <c r="JW585" s="273"/>
      <c r="JX585" s="273"/>
      <c r="JY585" s="273"/>
      <c r="JZ585" s="273"/>
      <c r="KA585" s="273"/>
      <c r="KB585" s="273"/>
      <c r="KC585" s="273"/>
      <c r="KD585" s="273"/>
      <c r="KE585" s="273"/>
      <c r="KF585" s="273"/>
      <c r="KG585" s="273"/>
      <c r="KH585" s="273"/>
      <c r="KI585" s="273"/>
      <c r="KJ585" s="273"/>
      <c r="KK585" s="273"/>
      <c r="KL585" s="273"/>
      <c r="KM585" s="273"/>
      <c r="KN585" s="273"/>
      <c r="KO585" s="273"/>
      <c r="KP585" s="273"/>
      <c r="KQ585" s="273"/>
      <c r="KR585" s="273"/>
      <c r="KS585" s="273"/>
      <c r="KT585" s="273"/>
      <c r="KU585" s="273"/>
      <c r="KV585" s="273"/>
      <c r="KW585" s="273"/>
      <c r="KX585" s="273"/>
      <c r="KY585" s="273"/>
      <c r="KZ585" s="273"/>
      <c r="LA585" s="273"/>
      <c r="LB585" s="273"/>
      <c r="LC585" s="273"/>
      <c r="LD585" s="273"/>
      <c r="LE585" s="273"/>
      <c r="LF585" s="273"/>
      <c r="LG585" s="273"/>
      <c r="LH585" s="273"/>
      <c r="LI585" s="273"/>
      <c r="LJ585" s="273"/>
      <c r="LK585" s="273"/>
      <c r="LL585" s="273"/>
      <c r="LM585" s="273"/>
      <c r="LN585" s="273"/>
      <c r="LO585" s="273"/>
      <c r="LP585" s="273"/>
      <c r="LQ585" s="273"/>
      <c r="LR585" s="273"/>
      <c r="LS585" s="273"/>
      <c r="LT585" s="273"/>
      <c r="LU585" s="273"/>
      <c r="LV585" s="273"/>
      <c r="LW585" s="273"/>
      <c r="LX585" s="273"/>
      <c r="LY585" s="273"/>
      <c r="LZ585" s="273"/>
      <c r="MA585" s="273"/>
      <c r="MB585" s="273"/>
      <c r="MC585" s="273"/>
      <c r="MD585" s="273"/>
      <c r="ME585" s="273"/>
      <c r="MF585" s="273"/>
      <c r="MG585" s="273"/>
      <c r="MH585" s="273"/>
      <c r="MI585" s="273"/>
      <c r="MJ585" s="273"/>
      <c r="MK585" s="273"/>
      <c r="ML585" s="273"/>
      <c r="MM585" s="273"/>
      <c r="MN585" s="273"/>
      <c r="MO585" s="273"/>
      <c r="MP585" s="273"/>
      <c r="MQ585" s="273"/>
      <c r="MR585" s="273"/>
      <c r="MS585" s="273"/>
      <c r="MT585" s="273"/>
      <c r="MU585" s="273"/>
      <c r="MV585" s="273"/>
      <c r="MW585" s="273"/>
      <c r="MX585" s="273"/>
      <c r="MY585" s="273"/>
      <c r="MZ585" s="273"/>
      <c r="NA585" s="273"/>
      <c r="NB585" s="273"/>
      <c r="NC585" s="273"/>
      <c r="ND585" s="273"/>
      <c r="NE585" s="273"/>
      <c r="NF585" s="273"/>
      <c r="NG585" s="273"/>
      <c r="NH585" s="273"/>
      <c r="NI585" s="273"/>
      <c r="NJ585" s="273"/>
      <c r="NK585" s="273"/>
      <c r="NL585" s="273"/>
      <c r="NM585" s="273"/>
      <c r="NN585" s="273"/>
      <c r="NO585" s="273"/>
      <c r="NP585" s="273"/>
      <c r="NQ585" s="273"/>
      <c r="NR585" s="273"/>
      <c r="NS585" s="273"/>
      <c r="NT585" s="273"/>
      <c r="NU585" s="273"/>
      <c r="NV585" s="273"/>
      <c r="NW585" s="273"/>
      <c r="NX585" s="273"/>
      <c r="NY585" s="273"/>
      <c r="NZ585" s="273"/>
      <c r="OA585" s="273"/>
      <c r="OB585" s="273"/>
      <c r="OC585" s="273"/>
      <c r="OD585" s="273"/>
      <c r="OE585" s="273"/>
      <c r="OF585" s="273"/>
      <c r="OG585" s="273"/>
      <c r="OH585" s="273"/>
      <c r="OI585" s="273"/>
      <c r="OJ585" s="273"/>
      <c r="OK585" s="273"/>
      <c r="OL585" s="273"/>
      <c r="OM585" s="273"/>
      <c r="ON585" s="273"/>
      <c r="OO585" s="273"/>
      <c r="OP585" s="273"/>
      <c r="OQ585" s="273"/>
      <c r="OR585" s="273"/>
      <c r="OS585" s="273"/>
      <c r="OT585" s="273"/>
      <c r="OU585" s="273"/>
      <c r="OV585" s="273"/>
      <c r="OW585" s="273"/>
      <c r="OX585" s="273"/>
      <c r="OY585" s="273"/>
      <c r="OZ585" s="273"/>
      <c r="PA585" s="273"/>
      <c r="PB585" s="273"/>
      <c r="PC585" s="273"/>
      <c r="PD585" s="273"/>
      <c r="PE585" s="273"/>
      <c r="PF585" s="273"/>
      <c r="PG585" s="273"/>
      <c r="PH585" s="273"/>
      <c r="PI585" s="273"/>
      <c r="PJ585" s="273"/>
      <c r="PK585" s="273"/>
      <c r="PL585" s="273"/>
      <c r="PM585" s="273"/>
      <c r="PN585" s="273"/>
      <c r="PO585" s="273"/>
      <c r="PP585" s="273"/>
      <c r="PQ585" s="273"/>
      <c r="PR585" s="273"/>
      <c r="PS585" s="273"/>
      <c r="PT585" s="273"/>
      <c r="PU585" s="273"/>
      <c r="PV585" s="273"/>
      <c r="PW585" s="273"/>
      <c r="PX585" s="273"/>
      <c r="PY585" s="273"/>
      <c r="PZ585" s="273"/>
      <c r="QA585" s="273"/>
      <c r="QB585" s="273"/>
      <c r="QC585" s="273"/>
      <c r="QD585" s="273"/>
      <c r="QE585" s="273"/>
      <c r="QF585" s="273"/>
      <c r="QG585" s="273"/>
      <c r="QH585" s="273"/>
      <c r="QI585" s="273"/>
      <c r="QJ585" s="273"/>
      <c r="QK585" s="273"/>
      <c r="QL585" s="273"/>
      <c r="QM585" s="273"/>
      <c r="QN585" s="273"/>
      <c r="QO585" s="273"/>
      <c r="QP585" s="273"/>
      <c r="QQ585" s="273"/>
      <c r="QR585" s="273"/>
      <c r="QS585" s="273"/>
      <c r="QT585" s="273"/>
      <c r="QU585" s="273"/>
      <c r="QV585" s="273"/>
      <c r="QW585" s="273"/>
      <c r="QX585" s="273"/>
      <c r="QY585" s="273"/>
      <c r="QZ585" s="273"/>
      <c r="RA585" s="273"/>
      <c r="RB585" s="273"/>
      <c r="RC585" s="273"/>
      <c r="RD585" s="273"/>
      <c r="RE585" s="273"/>
      <c r="RF585" s="273"/>
      <c r="RG585" s="273"/>
      <c r="RH585" s="273"/>
      <c r="RI585" s="273"/>
      <c r="RJ585" s="273"/>
      <c r="RK585" s="273"/>
      <c r="RL585" s="273"/>
      <c r="RM585" s="273"/>
      <c r="RN585" s="273"/>
      <c r="RO585" s="273"/>
      <c r="RP585" s="273"/>
      <c r="RQ585" s="273"/>
    </row>
    <row r="586" spans="1:485" s="450" customFormat="1" x14ac:dyDescent="0.25">
      <c r="A586" s="594"/>
      <c r="B586" s="284" t="s">
        <v>1060</v>
      </c>
      <c r="C586" s="1720" t="s">
        <v>14</v>
      </c>
      <c r="D586" s="598" t="s">
        <v>955</v>
      </c>
      <c r="E586" s="468">
        <v>1</v>
      </c>
      <c r="F586" s="468">
        <v>800</v>
      </c>
      <c r="G586" s="467">
        <v>0.6116625</v>
      </c>
      <c r="H586" s="451">
        <f t="shared" si="252"/>
        <v>489.33</v>
      </c>
      <c r="I586" s="675">
        <v>1</v>
      </c>
      <c r="J586" s="451">
        <v>1</v>
      </c>
      <c r="K586" s="451">
        <v>850</v>
      </c>
      <c r="L586" s="451">
        <v>6</v>
      </c>
      <c r="M586" s="1834">
        <f t="shared" si="253"/>
        <v>5100</v>
      </c>
      <c r="N586" s="675">
        <v>1</v>
      </c>
      <c r="O586" s="696">
        <f t="shared" si="250"/>
        <v>5589.33</v>
      </c>
      <c r="P586" s="675">
        <v>1</v>
      </c>
      <c r="Q586" s="451">
        <f t="shared" si="246"/>
        <v>5589.33</v>
      </c>
      <c r="R586" s="522" t="s">
        <v>1058</v>
      </c>
      <c r="S586" s="452">
        <f>COOPI!S76</f>
        <v>4399.05278</v>
      </c>
      <c r="T586" s="591">
        <f t="shared" si="247"/>
        <v>0.78704474060397223</v>
      </c>
      <c r="U586" s="894" t="s">
        <v>1490</v>
      </c>
      <c r="V586" s="591">
        <f t="shared" si="249"/>
        <v>0.78704474060397223</v>
      </c>
      <c r="W586" s="706">
        <f t="shared" si="248"/>
        <v>4399.05278</v>
      </c>
      <c r="X586" s="452" t="s">
        <v>1490</v>
      </c>
      <c r="Y586" s="273"/>
      <c r="Z586" s="273"/>
      <c r="AA586" s="273"/>
      <c r="AB586" s="273"/>
      <c r="AC586" s="273"/>
      <c r="AD586" s="273"/>
      <c r="AE586" s="273"/>
      <c r="AF586" s="273"/>
      <c r="AG586" s="273"/>
      <c r="AH586" s="273"/>
      <c r="AI586" s="273"/>
      <c r="AJ586" s="273"/>
      <c r="AK586" s="273"/>
      <c r="AL586" s="273"/>
      <c r="AM586" s="273"/>
      <c r="AN586" s="273"/>
      <c r="AO586" s="273"/>
      <c r="AP586" s="273"/>
      <c r="AQ586" s="273"/>
      <c r="AR586" s="273"/>
      <c r="AS586" s="273"/>
      <c r="AT586" s="273"/>
      <c r="AU586" s="273"/>
      <c r="AV586" s="273"/>
      <c r="AW586" s="273"/>
      <c r="AX586" s="273"/>
      <c r="AY586" s="273"/>
      <c r="AZ586" s="273"/>
      <c r="BA586" s="273"/>
      <c r="BB586" s="273"/>
      <c r="BC586" s="273"/>
      <c r="BD586" s="273"/>
      <c r="BE586" s="273"/>
      <c r="BF586" s="273"/>
      <c r="BG586" s="273"/>
      <c r="BH586" s="273"/>
      <c r="BI586" s="273"/>
      <c r="BJ586" s="273"/>
      <c r="BK586" s="273"/>
      <c r="BL586" s="273"/>
      <c r="BM586" s="273"/>
      <c r="BN586" s="273"/>
      <c r="BO586" s="273"/>
      <c r="BP586" s="273"/>
      <c r="BQ586" s="273"/>
      <c r="BR586" s="273"/>
      <c r="BS586" s="273"/>
      <c r="BT586" s="273"/>
      <c r="BU586" s="273"/>
      <c r="BV586" s="273"/>
      <c r="BW586" s="273"/>
      <c r="BX586" s="273"/>
      <c r="BY586" s="273"/>
      <c r="BZ586" s="273"/>
      <c r="CA586" s="273"/>
      <c r="CB586" s="273"/>
      <c r="CC586" s="273"/>
      <c r="CD586" s="273"/>
      <c r="CE586" s="273"/>
      <c r="CF586" s="273"/>
      <c r="CG586" s="273"/>
      <c r="CH586" s="273"/>
      <c r="CI586" s="273"/>
      <c r="CJ586" s="273"/>
      <c r="CK586" s="273"/>
      <c r="CL586" s="273"/>
      <c r="CM586" s="273"/>
      <c r="CN586" s="273"/>
      <c r="CO586" s="273"/>
      <c r="CP586" s="273"/>
      <c r="CQ586" s="273"/>
      <c r="CR586" s="273"/>
      <c r="CS586" s="273"/>
      <c r="CT586" s="273"/>
      <c r="CU586" s="273"/>
      <c r="CV586" s="273"/>
      <c r="CW586" s="273"/>
      <c r="CX586" s="273"/>
      <c r="CY586" s="273"/>
      <c r="CZ586" s="273"/>
      <c r="DA586" s="273"/>
      <c r="DB586" s="273"/>
      <c r="DC586" s="273"/>
      <c r="DD586" s="273"/>
      <c r="DE586" s="273"/>
      <c r="DF586" s="273"/>
      <c r="DG586" s="273"/>
      <c r="DH586" s="273"/>
      <c r="DI586" s="273"/>
      <c r="DJ586" s="273"/>
      <c r="DK586" s="273"/>
      <c r="DL586" s="273"/>
      <c r="DM586" s="273"/>
      <c r="DN586" s="273"/>
      <c r="DO586" s="273"/>
      <c r="DP586" s="273"/>
      <c r="DQ586" s="273"/>
      <c r="DR586" s="273"/>
      <c r="DS586" s="273"/>
      <c r="DT586" s="273"/>
      <c r="DU586" s="273"/>
      <c r="DV586" s="273"/>
      <c r="DW586" s="273"/>
      <c r="DX586" s="273"/>
      <c r="DY586" s="273"/>
      <c r="DZ586" s="273"/>
      <c r="EA586" s="273"/>
      <c r="EB586" s="273"/>
      <c r="EC586" s="273"/>
      <c r="ED586" s="273"/>
      <c r="EE586" s="273"/>
      <c r="EF586" s="273"/>
      <c r="EG586" s="273"/>
      <c r="EH586" s="273"/>
      <c r="EI586" s="273"/>
      <c r="EJ586" s="273"/>
      <c r="EK586" s="273"/>
      <c r="EL586" s="273"/>
      <c r="EM586" s="273"/>
      <c r="EN586" s="273"/>
      <c r="EO586" s="273"/>
      <c r="EP586" s="273"/>
      <c r="EQ586" s="273"/>
      <c r="ER586" s="273"/>
      <c r="ES586" s="273"/>
      <c r="ET586" s="273"/>
      <c r="EU586" s="273"/>
      <c r="EV586" s="273"/>
      <c r="EW586" s="273"/>
      <c r="EX586" s="273"/>
      <c r="EY586" s="273"/>
      <c r="EZ586" s="273"/>
      <c r="FA586" s="273"/>
      <c r="FB586" s="273"/>
      <c r="FC586" s="273"/>
      <c r="FD586" s="273"/>
      <c r="FE586" s="273"/>
      <c r="FF586" s="273"/>
      <c r="FG586" s="273"/>
      <c r="FH586" s="273"/>
      <c r="FI586" s="273"/>
      <c r="FJ586" s="273"/>
      <c r="FK586" s="273"/>
      <c r="FL586" s="273"/>
      <c r="FM586" s="273"/>
      <c r="FN586" s="273"/>
      <c r="FO586" s="273"/>
      <c r="FP586" s="273"/>
      <c r="FQ586" s="273"/>
      <c r="FR586" s="273"/>
      <c r="FS586" s="273"/>
      <c r="FT586" s="273"/>
      <c r="FU586" s="273"/>
      <c r="FV586" s="273"/>
      <c r="FW586" s="273"/>
      <c r="FX586" s="273"/>
      <c r="FY586" s="273"/>
      <c r="FZ586" s="273"/>
      <c r="GA586" s="273"/>
      <c r="GB586" s="273"/>
      <c r="GC586" s="273"/>
      <c r="GD586" s="273"/>
      <c r="GE586" s="273"/>
      <c r="GF586" s="273"/>
      <c r="GG586" s="273"/>
      <c r="GH586" s="273"/>
      <c r="GI586" s="273"/>
      <c r="GJ586" s="273"/>
      <c r="GK586" s="273"/>
      <c r="GL586" s="273"/>
      <c r="GM586" s="273"/>
      <c r="GN586" s="273"/>
      <c r="GO586" s="273"/>
      <c r="GP586" s="273"/>
      <c r="GQ586" s="273"/>
      <c r="GR586" s="273"/>
      <c r="GS586" s="273"/>
      <c r="GT586" s="273"/>
      <c r="GU586" s="273"/>
      <c r="GV586" s="273"/>
      <c r="GW586" s="273"/>
      <c r="GX586" s="273"/>
      <c r="GY586" s="273"/>
      <c r="GZ586" s="273"/>
      <c r="HA586" s="273"/>
      <c r="HB586" s="273"/>
      <c r="HC586" s="273"/>
      <c r="HD586" s="273"/>
      <c r="HE586" s="273"/>
      <c r="HF586" s="273"/>
      <c r="HG586" s="273"/>
      <c r="HH586" s="273"/>
      <c r="HI586" s="273"/>
      <c r="HJ586" s="273"/>
      <c r="HK586" s="273"/>
      <c r="HL586" s="273"/>
      <c r="HM586" s="273"/>
      <c r="HN586" s="273"/>
      <c r="HO586" s="273"/>
      <c r="HP586" s="273"/>
      <c r="HQ586" s="273"/>
      <c r="HR586" s="273"/>
      <c r="HS586" s="273"/>
      <c r="HT586" s="273"/>
      <c r="HU586" s="273"/>
      <c r="HV586" s="273"/>
      <c r="HW586" s="273"/>
      <c r="HX586" s="273"/>
      <c r="HY586" s="273"/>
      <c r="HZ586" s="273"/>
      <c r="IA586" s="273"/>
      <c r="IB586" s="273"/>
      <c r="IC586" s="273"/>
      <c r="ID586" s="273"/>
      <c r="IE586" s="273"/>
      <c r="IF586" s="273"/>
      <c r="IG586" s="273"/>
      <c r="IH586" s="273"/>
      <c r="II586" s="273"/>
      <c r="IJ586" s="273"/>
      <c r="IK586" s="273"/>
      <c r="IL586" s="273"/>
      <c r="IM586" s="273"/>
      <c r="IN586" s="273"/>
      <c r="IO586" s="273"/>
      <c r="IP586" s="273"/>
      <c r="IQ586" s="273"/>
      <c r="IR586" s="273"/>
      <c r="IS586" s="273"/>
      <c r="IT586" s="273"/>
      <c r="IU586" s="273"/>
      <c r="IV586" s="273"/>
      <c r="IW586" s="273"/>
      <c r="IX586" s="273"/>
      <c r="IY586" s="273"/>
      <c r="IZ586" s="273"/>
      <c r="JA586" s="273"/>
      <c r="JB586" s="273"/>
      <c r="JC586" s="273"/>
      <c r="JD586" s="273"/>
      <c r="JE586" s="273"/>
      <c r="JF586" s="273"/>
      <c r="JG586" s="273"/>
      <c r="JH586" s="273"/>
      <c r="JI586" s="273"/>
      <c r="JJ586" s="273"/>
      <c r="JK586" s="273"/>
      <c r="JL586" s="273"/>
      <c r="JM586" s="273"/>
      <c r="JN586" s="273"/>
      <c r="JO586" s="273"/>
      <c r="JP586" s="273"/>
      <c r="JQ586" s="273"/>
      <c r="JR586" s="273"/>
      <c r="JS586" s="273"/>
      <c r="JT586" s="273"/>
      <c r="JU586" s="273"/>
      <c r="JV586" s="273"/>
      <c r="JW586" s="273"/>
      <c r="JX586" s="273"/>
      <c r="JY586" s="273"/>
      <c r="JZ586" s="273"/>
      <c r="KA586" s="273"/>
      <c r="KB586" s="273"/>
      <c r="KC586" s="273"/>
      <c r="KD586" s="273"/>
      <c r="KE586" s="273"/>
      <c r="KF586" s="273"/>
      <c r="KG586" s="273"/>
      <c r="KH586" s="273"/>
      <c r="KI586" s="273"/>
      <c r="KJ586" s="273"/>
      <c r="KK586" s="273"/>
      <c r="KL586" s="273"/>
      <c r="KM586" s="273"/>
      <c r="KN586" s="273"/>
      <c r="KO586" s="273"/>
      <c r="KP586" s="273"/>
      <c r="KQ586" s="273"/>
      <c r="KR586" s="273"/>
      <c r="KS586" s="273"/>
      <c r="KT586" s="273"/>
      <c r="KU586" s="273"/>
      <c r="KV586" s="273"/>
      <c r="KW586" s="273"/>
      <c r="KX586" s="273"/>
      <c r="KY586" s="273"/>
      <c r="KZ586" s="273"/>
      <c r="LA586" s="273"/>
      <c r="LB586" s="273"/>
      <c r="LC586" s="273"/>
      <c r="LD586" s="273"/>
      <c r="LE586" s="273"/>
      <c r="LF586" s="273"/>
      <c r="LG586" s="273"/>
      <c r="LH586" s="273"/>
      <c r="LI586" s="273"/>
      <c r="LJ586" s="273"/>
      <c r="LK586" s="273"/>
      <c r="LL586" s="273"/>
      <c r="LM586" s="273"/>
      <c r="LN586" s="273"/>
      <c r="LO586" s="273"/>
      <c r="LP586" s="273"/>
      <c r="LQ586" s="273"/>
      <c r="LR586" s="273"/>
      <c r="LS586" s="273"/>
      <c r="LT586" s="273"/>
      <c r="LU586" s="273"/>
      <c r="LV586" s="273"/>
      <c r="LW586" s="273"/>
      <c r="LX586" s="273"/>
      <c r="LY586" s="273"/>
      <c r="LZ586" s="273"/>
      <c r="MA586" s="273"/>
      <c r="MB586" s="273"/>
      <c r="MC586" s="273"/>
      <c r="MD586" s="273"/>
      <c r="ME586" s="273"/>
      <c r="MF586" s="273"/>
      <c r="MG586" s="273"/>
      <c r="MH586" s="273"/>
      <c r="MI586" s="273"/>
      <c r="MJ586" s="273"/>
      <c r="MK586" s="273"/>
      <c r="ML586" s="273"/>
      <c r="MM586" s="273"/>
      <c r="MN586" s="273"/>
      <c r="MO586" s="273"/>
      <c r="MP586" s="273"/>
      <c r="MQ586" s="273"/>
      <c r="MR586" s="273"/>
      <c r="MS586" s="273"/>
      <c r="MT586" s="273"/>
      <c r="MU586" s="273"/>
      <c r="MV586" s="273"/>
      <c r="MW586" s="273"/>
      <c r="MX586" s="273"/>
      <c r="MY586" s="273"/>
      <c r="MZ586" s="273"/>
      <c r="NA586" s="273"/>
      <c r="NB586" s="273"/>
      <c r="NC586" s="273"/>
      <c r="ND586" s="273"/>
      <c r="NE586" s="273"/>
      <c r="NF586" s="273"/>
      <c r="NG586" s="273"/>
      <c r="NH586" s="273"/>
      <c r="NI586" s="273"/>
      <c r="NJ586" s="273"/>
      <c r="NK586" s="273"/>
      <c r="NL586" s="273"/>
      <c r="NM586" s="273"/>
      <c r="NN586" s="273"/>
      <c r="NO586" s="273"/>
      <c r="NP586" s="273"/>
      <c r="NQ586" s="273"/>
      <c r="NR586" s="273"/>
      <c r="NS586" s="273"/>
      <c r="NT586" s="273"/>
      <c r="NU586" s="273"/>
      <c r="NV586" s="273"/>
      <c r="NW586" s="273"/>
      <c r="NX586" s="273"/>
      <c r="NY586" s="273"/>
      <c r="NZ586" s="273"/>
      <c r="OA586" s="273"/>
      <c r="OB586" s="273"/>
      <c r="OC586" s="273"/>
      <c r="OD586" s="273"/>
      <c r="OE586" s="273"/>
      <c r="OF586" s="273"/>
      <c r="OG586" s="273"/>
      <c r="OH586" s="273"/>
      <c r="OI586" s="273"/>
      <c r="OJ586" s="273"/>
      <c r="OK586" s="273"/>
      <c r="OL586" s="273"/>
      <c r="OM586" s="273"/>
      <c r="ON586" s="273"/>
      <c r="OO586" s="273"/>
      <c r="OP586" s="273"/>
      <c r="OQ586" s="273"/>
      <c r="OR586" s="273"/>
      <c r="OS586" s="273"/>
      <c r="OT586" s="273"/>
      <c r="OU586" s="273"/>
      <c r="OV586" s="273"/>
      <c r="OW586" s="273"/>
      <c r="OX586" s="273"/>
      <c r="OY586" s="273"/>
      <c r="OZ586" s="273"/>
      <c r="PA586" s="273"/>
      <c r="PB586" s="273"/>
      <c r="PC586" s="273"/>
      <c r="PD586" s="273"/>
      <c r="PE586" s="273"/>
      <c r="PF586" s="273"/>
      <c r="PG586" s="273"/>
      <c r="PH586" s="273"/>
      <c r="PI586" s="273"/>
      <c r="PJ586" s="273"/>
      <c r="PK586" s="273"/>
      <c r="PL586" s="273"/>
      <c r="PM586" s="273"/>
      <c r="PN586" s="273"/>
      <c r="PO586" s="273"/>
      <c r="PP586" s="273"/>
      <c r="PQ586" s="273"/>
      <c r="PR586" s="273"/>
      <c r="PS586" s="273"/>
      <c r="PT586" s="273"/>
      <c r="PU586" s="273"/>
      <c r="PV586" s="273"/>
      <c r="PW586" s="273"/>
      <c r="PX586" s="273"/>
      <c r="PY586" s="273"/>
      <c r="PZ586" s="273"/>
      <c r="QA586" s="273"/>
      <c r="QB586" s="273"/>
      <c r="QC586" s="273"/>
      <c r="QD586" s="273"/>
      <c r="QE586" s="273"/>
      <c r="QF586" s="273"/>
      <c r="QG586" s="273"/>
      <c r="QH586" s="273"/>
      <c r="QI586" s="273"/>
      <c r="QJ586" s="273"/>
      <c r="QK586" s="273"/>
      <c r="QL586" s="273"/>
      <c r="QM586" s="273"/>
      <c r="QN586" s="273"/>
      <c r="QO586" s="273"/>
      <c r="QP586" s="273"/>
      <c r="QQ586" s="273"/>
      <c r="QR586" s="273"/>
      <c r="QS586" s="273"/>
      <c r="QT586" s="273"/>
      <c r="QU586" s="273"/>
      <c r="QV586" s="273"/>
      <c r="QW586" s="273"/>
      <c r="QX586" s="273"/>
      <c r="QY586" s="273"/>
      <c r="QZ586" s="273"/>
      <c r="RA586" s="273"/>
      <c r="RB586" s="273"/>
      <c r="RC586" s="273"/>
      <c r="RD586" s="273"/>
      <c r="RE586" s="273"/>
      <c r="RF586" s="273"/>
      <c r="RG586" s="273"/>
      <c r="RH586" s="273"/>
      <c r="RI586" s="273"/>
      <c r="RJ586" s="273"/>
      <c r="RK586" s="273"/>
      <c r="RL586" s="273"/>
      <c r="RM586" s="273"/>
      <c r="RN586" s="273"/>
      <c r="RO586" s="273"/>
      <c r="RP586" s="273"/>
      <c r="RQ586" s="273"/>
    </row>
    <row r="587" spans="1:485" s="450" customFormat="1" x14ac:dyDescent="0.25">
      <c r="A587" s="594"/>
      <c r="B587" s="284" t="s">
        <v>1061</v>
      </c>
      <c r="C587" s="1720" t="s">
        <v>14</v>
      </c>
      <c r="D587" s="598" t="s">
        <v>955</v>
      </c>
      <c r="E587" s="468">
        <v>1</v>
      </c>
      <c r="F587" s="468">
        <v>850</v>
      </c>
      <c r="G587" s="467">
        <v>4.4687176470588232</v>
      </c>
      <c r="H587" s="451">
        <f t="shared" si="252"/>
        <v>3798.41</v>
      </c>
      <c r="I587" s="675">
        <v>0</v>
      </c>
      <c r="J587" s="451">
        <v>1</v>
      </c>
      <c r="K587" s="451">
        <v>900</v>
      </c>
      <c r="L587" s="451">
        <v>6</v>
      </c>
      <c r="M587" s="1834">
        <f t="shared" si="253"/>
        <v>5400</v>
      </c>
      <c r="N587" s="675">
        <v>0</v>
      </c>
      <c r="O587" s="696">
        <f t="shared" si="250"/>
        <v>9198.41</v>
      </c>
      <c r="P587" s="675">
        <v>0</v>
      </c>
      <c r="Q587" s="451">
        <f t="shared" si="246"/>
        <v>0</v>
      </c>
      <c r="R587" s="522" t="s">
        <v>1058</v>
      </c>
      <c r="S587" s="452">
        <f>COOPI!S77</f>
        <v>10828.266840705219</v>
      </c>
      <c r="T587" s="591">
        <f t="shared" si="247"/>
        <v>1.1771889751277904</v>
      </c>
      <c r="U587" s="894" t="s">
        <v>1490</v>
      </c>
      <c r="V587" s="591">
        <v>0</v>
      </c>
      <c r="W587" s="706">
        <f t="shared" si="248"/>
        <v>0</v>
      </c>
      <c r="X587" s="452" t="s">
        <v>1490</v>
      </c>
      <c r="Y587" s="273"/>
      <c r="Z587" s="273"/>
      <c r="AA587" s="273"/>
      <c r="AB587" s="273"/>
      <c r="AC587" s="273"/>
      <c r="AD587" s="273"/>
      <c r="AE587" s="273"/>
      <c r="AF587" s="273"/>
      <c r="AG587" s="273"/>
      <c r="AH587" s="273"/>
      <c r="AI587" s="273"/>
      <c r="AJ587" s="273"/>
      <c r="AK587" s="273"/>
      <c r="AL587" s="273"/>
      <c r="AM587" s="273"/>
      <c r="AN587" s="273"/>
      <c r="AO587" s="273"/>
      <c r="AP587" s="273"/>
      <c r="AQ587" s="273"/>
      <c r="AR587" s="273"/>
      <c r="AS587" s="273"/>
      <c r="AT587" s="273"/>
      <c r="AU587" s="273"/>
      <c r="AV587" s="273"/>
      <c r="AW587" s="273"/>
      <c r="AX587" s="273"/>
      <c r="AY587" s="273"/>
      <c r="AZ587" s="273"/>
      <c r="BA587" s="273"/>
      <c r="BB587" s="273"/>
      <c r="BC587" s="273"/>
      <c r="BD587" s="273"/>
      <c r="BE587" s="273"/>
      <c r="BF587" s="273"/>
      <c r="BG587" s="273"/>
      <c r="BH587" s="273"/>
      <c r="BI587" s="273"/>
      <c r="BJ587" s="273"/>
      <c r="BK587" s="273"/>
      <c r="BL587" s="273"/>
      <c r="BM587" s="273"/>
      <c r="BN587" s="273"/>
      <c r="BO587" s="273"/>
      <c r="BP587" s="273"/>
      <c r="BQ587" s="273"/>
      <c r="BR587" s="273"/>
      <c r="BS587" s="273"/>
      <c r="BT587" s="273"/>
      <c r="BU587" s="273"/>
      <c r="BV587" s="273"/>
      <c r="BW587" s="273"/>
      <c r="BX587" s="273"/>
      <c r="BY587" s="273"/>
      <c r="BZ587" s="273"/>
      <c r="CA587" s="273"/>
      <c r="CB587" s="273"/>
      <c r="CC587" s="273"/>
      <c r="CD587" s="273"/>
      <c r="CE587" s="273"/>
      <c r="CF587" s="273"/>
      <c r="CG587" s="273"/>
      <c r="CH587" s="273"/>
      <c r="CI587" s="273"/>
      <c r="CJ587" s="273"/>
      <c r="CK587" s="273"/>
      <c r="CL587" s="273"/>
      <c r="CM587" s="273"/>
      <c r="CN587" s="273"/>
      <c r="CO587" s="273"/>
      <c r="CP587" s="273"/>
      <c r="CQ587" s="273"/>
      <c r="CR587" s="273"/>
      <c r="CS587" s="273"/>
      <c r="CT587" s="273"/>
      <c r="CU587" s="273"/>
      <c r="CV587" s="273"/>
      <c r="CW587" s="273"/>
      <c r="CX587" s="273"/>
      <c r="CY587" s="273"/>
      <c r="CZ587" s="273"/>
      <c r="DA587" s="273"/>
      <c r="DB587" s="273"/>
      <c r="DC587" s="273"/>
      <c r="DD587" s="273"/>
      <c r="DE587" s="273"/>
      <c r="DF587" s="273"/>
      <c r="DG587" s="273"/>
      <c r="DH587" s="273"/>
      <c r="DI587" s="273"/>
      <c r="DJ587" s="273"/>
      <c r="DK587" s="273"/>
      <c r="DL587" s="273"/>
      <c r="DM587" s="273"/>
      <c r="DN587" s="273"/>
      <c r="DO587" s="273"/>
      <c r="DP587" s="273"/>
      <c r="DQ587" s="273"/>
      <c r="DR587" s="273"/>
      <c r="DS587" s="273"/>
      <c r="DT587" s="273"/>
      <c r="DU587" s="273"/>
      <c r="DV587" s="273"/>
      <c r="DW587" s="273"/>
      <c r="DX587" s="273"/>
      <c r="DY587" s="273"/>
      <c r="DZ587" s="273"/>
      <c r="EA587" s="273"/>
      <c r="EB587" s="273"/>
      <c r="EC587" s="273"/>
      <c r="ED587" s="273"/>
      <c r="EE587" s="273"/>
      <c r="EF587" s="273"/>
      <c r="EG587" s="273"/>
      <c r="EH587" s="273"/>
      <c r="EI587" s="273"/>
      <c r="EJ587" s="273"/>
      <c r="EK587" s="273"/>
      <c r="EL587" s="273"/>
      <c r="EM587" s="273"/>
      <c r="EN587" s="273"/>
      <c r="EO587" s="273"/>
      <c r="EP587" s="273"/>
      <c r="EQ587" s="273"/>
      <c r="ER587" s="273"/>
      <c r="ES587" s="273"/>
      <c r="ET587" s="273"/>
      <c r="EU587" s="273"/>
      <c r="EV587" s="273"/>
      <c r="EW587" s="273"/>
      <c r="EX587" s="273"/>
      <c r="EY587" s="273"/>
      <c r="EZ587" s="273"/>
      <c r="FA587" s="273"/>
      <c r="FB587" s="273"/>
      <c r="FC587" s="273"/>
      <c r="FD587" s="273"/>
      <c r="FE587" s="273"/>
      <c r="FF587" s="273"/>
      <c r="FG587" s="273"/>
      <c r="FH587" s="273"/>
      <c r="FI587" s="273"/>
      <c r="FJ587" s="273"/>
      <c r="FK587" s="273"/>
      <c r="FL587" s="273"/>
      <c r="FM587" s="273"/>
      <c r="FN587" s="273"/>
      <c r="FO587" s="273"/>
      <c r="FP587" s="273"/>
      <c r="FQ587" s="273"/>
      <c r="FR587" s="273"/>
      <c r="FS587" s="273"/>
      <c r="FT587" s="273"/>
      <c r="FU587" s="273"/>
      <c r="FV587" s="273"/>
      <c r="FW587" s="273"/>
      <c r="FX587" s="273"/>
      <c r="FY587" s="273"/>
      <c r="FZ587" s="273"/>
      <c r="GA587" s="273"/>
      <c r="GB587" s="273"/>
      <c r="GC587" s="273"/>
      <c r="GD587" s="273"/>
      <c r="GE587" s="273"/>
      <c r="GF587" s="273"/>
      <c r="GG587" s="273"/>
      <c r="GH587" s="273"/>
      <c r="GI587" s="273"/>
      <c r="GJ587" s="273"/>
      <c r="GK587" s="273"/>
      <c r="GL587" s="273"/>
      <c r="GM587" s="273"/>
      <c r="GN587" s="273"/>
      <c r="GO587" s="273"/>
      <c r="GP587" s="273"/>
      <c r="GQ587" s="273"/>
      <c r="GR587" s="273"/>
      <c r="GS587" s="273"/>
      <c r="GT587" s="273"/>
      <c r="GU587" s="273"/>
      <c r="GV587" s="273"/>
      <c r="GW587" s="273"/>
      <c r="GX587" s="273"/>
      <c r="GY587" s="273"/>
      <c r="GZ587" s="273"/>
      <c r="HA587" s="273"/>
      <c r="HB587" s="273"/>
      <c r="HC587" s="273"/>
      <c r="HD587" s="273"/>
      <c r="HE587" s="273"/>
      <c r="HF587" s="273"/>
      <c r="HG587" s="273"/>
      <c r="HH587" s="273"/>
      <c r="HI587" s="273"/>
      <c r="HJ587" s="273"/>
      <c r="HK587" s="273"/>
      <c r="HL587" s="273"/>
      <c r="HM587" s="273"/>
      <c r="HN587" s="273"/>
      <c r="HO587" s="273"/>
      <c r="HP587" s="273"/>
      <c r="HQ587" s="273"/>
      <c r="HR587" s="273"/>
      <c r="HS587" s="273"/>
      <c r="HT587" s="273"/>
      <c r="HU587" s="273"/>
      <c r="HV587" s="273"/>
      <c r="HW587" s="273"/>
      <c r="HX587" s="273"/>
      <c r="HY587" s="273"/>
      <c r="HZ587" s="273"/>
      <c r="IA587" s="273"/>
      <c r="IB587" s="273"/>
      <c r="IC587" s="273"/>
      <c r="ID587" s="273"/>
      <c r="IE587" s="273"/>
      <c r="IF587" s="273"/>
      <c r="IG587" s="273"/>
      <c r="IH587" s="273"/>
      <c r="II587" s="273"/>
      <c r="IJ587" s="273"/>
      <c r="IK587" s="273"/>
      <c r="IL587" s="273"/>
      <c r="IM587" s="273"/>
      <c r="IN587" s="273"/>
      <c r="IO587" s="273"/>
      <c r="IP587" s="273"/>
      <c r="IQ587" s="273"/>
      <c r="IR587" s="273"/>
      <c r="IS587" s="273"/>
      <c r="IT587" s="273"/>
      <c r="IU587" s="273"/>
      <c r="IV587" s="273"/>
      <c r="IW587" s="273"/>
      <c r="IX587" s="273"/>
      <c r="IY587" s="273"/>
      <c r="IZ587" s="273"/>
      <c r="JA587" s="273"/>
      <c r="JB587" s="273"/>
      <c r="JC587" s="273"/>
      <c r="JD587" s="273"/>
      <c r="JE587" s="273"/>
      <c r="JF587" s="273"/>
      <c r="JG587" s="273"/>
      <c r="JH587" s="273"/>
      <c r="JI587" s="273"/>
      <c r="JJ587" s="273"/>
      <c r="JK587" s="273"/>
      <c r="JL587" s="273"/>
      <c r="JM587" s="273"/>
      <c r="JN587" s="273"/>
      <c r="JO587" s="273"/>
      <c r="JP587" s="273"/>
      <c r="JQ587" s="273"/>
      <c r="JR587" s="273"/>
      <c r="JS587" s="273"/>
      <c r="JT587" s="273"/>
      <c r="JU587" s="273"/>
      <c r="JV587" s="273"/>
      <c r="JW587" s="273"/>
      <c r="JX587" s="273"/>
      <c r="JY587" s="273"/>
      <c r="JZ587" s="273"/>
      <c r="KA587" s="273"/>
      <c r="KB587" s="273"/>
      <c r="KC587" s="273"/>
      <c r="KD587" s="273"/>
      <c r="KE587" s="273"/>
      <c r="KF587" s="273"/>
      <c r="KG587" s="273"/>
      <c r="KH587" s="273"/>
      <c r="KI587" s="273"/>
      <c r="KJ587" s="273"/>
      <c r="KK587" s="273"/>
      <c r="KL587" s="273"/>
      <c r="KM587" s="273"/>
      <c r="KN587" s="273"/>
      <c r="KO587" s="273"/>
      <c r="KP587" s="273"/>
      <c r="KQ587" s="273"/>
      <c r="KR587" s="273"/>
      <c r="KS587" s="273"/>
      <c r="KT587" s="273"/>
      <c r="KU587" s="273"/>
      <c r="KV587" s="273"/>
      <c r="KW587" s="273"/>
      <c r="KX587" s="273"/>
      <c r="KY587" s="273"/>
      <c r="KZ587" s="273"/>
      <c r="LA587" s="273"/>
      <c r="LB587" s="273"/>
      <c r="LC587" s="273"/>
      <c r="LD587" s="273"/>
      <c r="LE587" s="273"/>
      <c r="LF587" s="273"/>
      <c r="LG587" s="273"/>
      <c r="LH587" s="273"/>
      <c r="LI587" s="273"/>
      <c r="LJ587" s="273"/>
      <c r="LK587" s="273"/>
      <c r="LL587" s="273"/>
      <c r="LM587" s="273"/>
      <c r="LN587" s="273"/>
      <c r="LO587" s="273"/>
      <c r="LP587" s="273"/>
      <c r="LQ587" s="273"/>
      <c r="LR587" s="273"/>
      <c r="LS587" s="273"/>
      <c r="LT587" s="273"/>
      <c r="LU587" s="273"/>
      <c r="LV587" s="273"/>
      <c r="LW587" s="273"/>
      <c r="LX587" s="273"/>
      <c r="LY587" s="273"/>
      <c r="LZ587" s="273"/>
      <c r="MA587" s="273"/>
      <c r="MB587" s="273"/>
      <c r="MC587" s="273"/>
      <c r="MD587" s="273"/>
      <c r="ME587" s="273"/>
      <c r="MF587" s="273"/>
      <c r="MG587" s="273"/>
      <c r="MH587" s="273"/>
      <c r="MI587" s="273"/>
      <c r="MJ587" s="273"/>
      <c r="MK587" s="273"/>
      <c r="ML587" s="273"/>
      <c r="MM587" s="273"/>
      <c r="MN587" s="273"/>
      <c r="MO587" s="273"/>
      <c r="MP587" s="273"/>
      <c r="MQ587" s="273"/>
      <c r="MR587" s="273"/>
      <c r="MS587" s="273"/>
      <c r="MT587" s="273"/>
      <c r="MU587" s="273"/>
      <c r="MV587" s="273"/>
      <c r="MW587" s="273"/>
      <c r="MX587" s="273"/>
      <c r="MY587" s="273"/>
      <c r="MZ587" s="273"/>
      <c r="NA587" s="273"/>
      <c r="NB587" s="273"/>
      <c r="NC587" s="273"/>
      <c r="ND587" s="273"/>
      <c r="NE587" s="273"/>
      <c r="NF587" s="273"/>
      <c r="NG587" s="273"/>
      <c r="NH587" s="273"/>
      <c r="NI587" s="273"/>
      <c r="NJ587" s="273"/>
      <c r="NK587" s="273"/>
      <c r="NL587" s="273"/>
      <c r="NM587" s="273"/>
      <c r="NN587" s="273"/>
      <c r="NO587" s="273"/>
      <c r="NP587" s="273"/>
      <c r="NQ587" s="273"/>
      <c r="NR587" s="273"/>
      <c r="NS587" s="273"/>
      <c r="NT587" s="273"/>
      <c r="NU587" s="273"/>
      <c r="NV587" s="273"/>
      <c r="NW587" s="273"/>
      <c r="NX587" s="273"/>
      <c r="NY587" s="273"/>
      <c r="NZ587" s="273"/>
      <c r="OA587" s="273"/>
      <c r="OB587" s="273"/>
      <c r="OC587" s="273"/>
      <c r="OD587" s="273"/>
      <c r="OE587" s="273"/>
      <c r="OF587" s="273"/>
      <c r="OG587" s="273"/>
      <c r="OH587" s="273"/>
      <c r="OI587" s="273"/>
      <c r="OJ587" s="273"/>
      <c r="OK587" s="273"/>
      <c r="OL587" s="273"/>
      <c r="OM587" s="273"/>
      <c r="ON587" s="273"/>
      <c r="OO587" s="273"/>
      <c r="OP587" s="273"/>
      <c r="OQ587" s="273"/>
      <c r="OR587" s="273"/>
      <c r="OS587" s="273"/>
      <c r="OT587" s="273"/>
      <c r="OU587" s="273"/>
      <c r="OV587" s="273"/>
      <c r="OW587" s="273"/>
      <c r="OX587" s="273"/>
      <c r="OY587" s="273"/>
      <c r="OZ587" s="273"/>
      <c r="PA587" s="273"/>
      <c r="PB587" s="273"/>
      <c r="PC587" s="273"/>
      <c r="PD587" s="273"/>
      <c r="PE587" s="273"/>
      <c r="PF587" s="273"/>
      <c r="PG587" s="273"/>
      <c r="PH587" s="273"/>
      <c r="PI587" s="273"/>
      <c r="PJ587" s="273"/>
      <c r="PK587" s="273"/>
      <c r="PL587" s="273"/>
      <c r="PM587" s="273"/>
      <c r="PN587" s="273"/>
      <c r="PO587" s="273"/>
      <c r="PP587" s="273"/>
      <c r="PQ587" s="273"/>
      <c r="PR587" s="273"/>
      <c r="PS587" s="273"/>
      <c r="PT587" s="273"/>
      <c r="PU587" s="273"/>
      <c r="PV587" s="273"/>
      <c r="PW587" s="273"/>
      <c r="PX587" s="273"/>
      <c r="PY587" s="273"/>
      <c r="PZ587" s="273"/>
      <c r="QA587" s="273"/>
      <c r="QB587" s="273"/>
      <c r="QC587" s="273"/>
      <c r="QD587" s="273"/>
      <c r="QE587" s="273"/>
      <c r="QF587" s="273"/>
      <c r="QG587" s="273"/>
      <c r="QH587" s="273"/>
      <c r="QI587" s="273"/>
      <c r="QJ587" s="273"/>
      <c r="QK587" s="273"/>
      <c r="QL587" s="273"/>
      <c r="QM587" s="273"/>
      <c r="QN587" s="273"/>
      <c r="QO587" s="273"/>
      <c r="QP587" s="273"/>
      <c r="QQ587" s="273"/>
      <c r="QR587" s="273"/>
      <c r="QS587" s="273"/>
      <c r="QT587" s="273"/>
      <c r="QU587" s="273"/>
      <c r="QV587" s="273"/>
      <c r="QW587" s="273"/>
      <c r="QX587" s="273"/>
      <c r="QY587" s="273"/>
      <c r="QZ587" s="273"/>
      <c r="RA587" s="273"/>
      <c r="RB587" s="273"/>
      <c r="RC587" s="273"/>
      <c r="RD587" s="273"/>
      <c r="RE587" s="273"/>
      <c r="RF587" s="273"/>
      <c r="RG587" s="273"/>
      <c r="RH587" s="273"/>
      <c r="RI587" s="273"/>
      <c r="RJ587" s="273"/>
      <c r="RK587" s="273"/>
      <c r="RL587" s="273"/>
      <c r="RM587" s="273"/>
      <c r="RN587" s="273"/>
      <c r="RO587" s="273"/>
      <c r="RP587" s="273"/>
      <c r="RQ587" s="273"/>
    </row>
    <row r="588" spans="1:485" s="450" customFormat="1" x14ac:dyDescent="0.25">
      <c r="A588" s="594"/>
      <c r="B588" s="284" t="s">
        <v>1062</v>
      </c>
      <c r="C588" s="1720" t="s">
        <v>14</v>
      </c>
      <c r="D588" s="598" t="s">
        <v>955</v>
      </c>
      <c r="E588" s="468">
        <v>1</v>
      </c>
      <c r="F588" s="468">
        <v>600</v>
      </c>
      <c r="G588" s="467">
        <v>3.2778333333333336</v>
      </c>
      <c r="H588" s="451">
        <f t="shared" si="252"/>
        <v>1966.7000000000003</v>
      </c>
      <c r="I588" s="675">
        <v>0</v>
      </c>
      <c r="J588" s="451">
        <v>1</v>
      </c>
      <c r="K588" s="451">
        <v>600</v>
      </c>
      <c r="L588" s="451">
        <v>6</v>
      </c>
      <c r="M588" s="1834">
        <f t="shared" si="253"/>
        <v>3600</v>
      </c>
      <c r="N588" s="675">
        <v>0</v>
      </c>
      <c r="O588" s="696">
        <f t="shared" si="250"/>
        <v>5566.7000000000007</v>
      </c>
      <c r="P588" s="675">
        <v>0</v>
      </c>
      <c r="Q588" s="451">
        <f t="shared" si="246"/>
        <v>0</v>
      </c>
      <c r="R588" s="522" t="s">
        <v>1058</v>
      </c>
      <c r="S588" s="452">
        <f>COOPI!S78</f>
        <v>5022.8768407052194</v>
      </c>
      <c r="T588" s="591">
        <f t="shared" si="247"/>
        <v>0.90230780187637538</v>
      </c>
      <c r="U588" s="894" t="s">
        <v>1490</v>
      </c>
      <c r="V588" s="591">
        <v>0</v>
      </c>
      <c r="W588" s="706">
        <f t="shared" si="248"/>
        <v>0</v>
      </c>
      <c r="X588" s="452" t="s">
        <v>1490</v>
      </c>
      <c r="Y588" s="273"/>
      <c r="Z588" s="273"/>
      <c r="AA588" s="273"/>
      <c r="AB588" s="273"/>
      <c r="AC588" s="273"/>
      <c r="AD588" s="273"/>
      <c r="AE588" s="273"/>
      <c r="AF588" s="273"/>
      <c r="AG588" s="273"/>
      <c r="AH588" s="273"/>
      <c r="AI588" s="273"/>
      <c r="AJ588" s="273"/>
      <c r="AK588" s="273"/>
      <c r="AL588" s="273"/>
      <c r="AM588" s="273"/>
      <c r="AN588" s="273"/>
      <c r="AO588" s="273"/>
      <c r="AP588" s="273"/>
      <c r="AQ588" s="273"/>
      <c r="AR588" s="273"/>
      <c r="AS588" s="273"/>
      <c r="AT588" s="273"/>
      <c r="AU588" s="273"/>
      <c r="AV588" s="273"/>
      <c r="AW588" s="273"/>
      <c r="AX588" s="273"/>
      <c r="AY588" s="273"/>
      <c r="AZ588" s="273"/>
      <c r="BA588" s="273"/>
      <c r="BB588" s="273"/>
      <c r="BC588" s="273"/>
      <c r="BD588" s="273"/>
      <c r="BE588" s="273"/>
      <c r="BF588" s="273"/>
      <c r="BG588" s="273"/>
      <c r="BH588" s="273"/>
      <c r="BI588" s="273"/>
      <c r="BJ588" s="273"/>
      <c r="BK588" s="273"/>
      <c r="BL588" s="273"/>
      <c r="BM588" s="273"/>
      <c r="BN588" s="273"/>
      <c r="BO588" s="273"/>
      <c r="BP588" s="273"/>
      <c r="BQ588" s="273"/>
      <c r="BR588" s="273"/>
      <c r="BS588" s="273"/>
      <c r="BT588" s="273"/>
      <c r="BU588" s="273"/>
      <c r="BV588" s="273"/>
      <c r="BW588" s="273"/>
      <c r="BX588" s="273"/>
      <c r="BY588" s="273"/>
      <c r="BZ588" s="273"/>
      <c r="CA588" s="273"/>
      <c r="CB588" s="273"/>
      <c r="CC588" s="273"/>
      <c r="CD588" s="273"/>
      <c r="CE588" s="273"/>
      <c r="CF588" s="273"/>
      <c r="CG588" s="273"/>
      <c r="CH588" s="273"/>
      <c r="CI588" s="273"/>
      <c r="CJ588" s="273"/>
      <c r="CK588" s="273"/>
      <c r="CL588" s="273"/>
      <c r="CM588" s="273"/>
      <c r="CN588" s="273"/>
      <c r="CO588" s="273"/>
      <c r="CP588" s="273"/>
      <c r="CQ588" s="273"/>
      <c r="CR588" s="273"/>
      <c r="CS588" s="273"/>
      <c r="CT588" s="273"/>
      <c r="CU588" s="273"/>
      <c r="CV588" s="273"/>
      <c r="CW588" s="273"/>
      <c r="CX588" s="273"/>
      <c r="CY588" s="273"/>
      <c r="CZ588" s="273"/>
      <c r="DA588" s="273"/>
      <c r="DB588" s="273"/>
      <c r="DC588" s="273"/>
      <c r="DD588" s="273"/>
      <c r="DE588" s="273"/>
      <c r="DF588" s="273"/>
      <c r="DG588" s="273"/>
      <c r="DH588" s="273"/>
      <c r="DI588" s="273"/>
      <c r="DJ588" s="273"/>
      <c r="DK588" s="273"/>
      <c r="DL588" s="273"/>
      <c r="DM588" s="273"/>
      <c r="DN588" s="273"/>
      <c r="DO588" s="273"/>
      <c r="DP588" s="273"/>
      <c r="DQ588" s="273"/>
      <c r="DR588" s="273"/>
      <c r="DS588" s="273"/>
      <c r="DT588" s="273"/>
      <c r="DU588" s="273"/>
      <c r="DV588" s="273"/>
      <c r="DW588" s="273"/>
      <c r="DX588" s="273"/>
      <c r="DY588" s="273"/>
      <c r="DZ588" s="273"/>
      <c r="EA588" s="273"/>
      <c r="EB588" s="273"/>
      <c r="EC588" s="273"/>
      <c r="ED588" s="273"/>
      <c r="EE588" s="273"/>
      <c r="EF588" s="273"/>
      <c r="EG588" s="273"/>
      <c r="EH588" s="273"/>
      <c r="EI588" s="273"/>
      <c r="EJ588" s="273"/>
      <c r="EK588" s="273"/>
      <c r="EL588" s="273"/>
      <c r="EM588" s="273"/>
      <c r="EN588" s="273"/>
      <c r="EO588" s="273"/>
      <c r="EP588" s="273"/>
      <c r="EQ588" s="273"/>
      <c r="ER588" s="273"/>
      <c r="ES588" s="273"/>
      <c r="ET588" s="273"/>
      <c r="EU588" s="273"/>
      <c r="EV588" s="273"/>
      <c r="EW588" s="273"/>
      <c r="EX588" s="273"/>
      <c r="EY588" s="273"/>
      <c r="EZ588" s="273"/>
      <c r="FA588" s="273"/>
      <c r="FB588" s="273"/>
      <c r="FC588" s="273"/>
      <c r="FD588" s="273"/>
      <c r="FE588" s="273"/>
      <c r="FF588" s="273"/>
      <c r="FG588" s="273"/>
      <c r="FH588" s="273"/>
      <c r="FI588" s="273"/>
      <c r="FJ588" s="273"/>
      <c r="FK588" s="273"/>
      <c r="FL588" s="273"/>
      <c r="FM588" s="273"/>
      <c r="FN588" s="273"/>
      <c r="FO588" s="273"/>
      <c r="FP588" s="273"/>
      <c r="FQ588" s="273"/>
      <c r="FR588" s="273"/>
      <c r="FS588" s="273"/>
      <c r="FT588" s="273"/>
      <c r="FU588" s="273"/>
      <c r="FV588" s="273"/>
      <c r="FW588" s="273"/>
      <c r="FX588" s="273"/>
      <c r="FY588" s="273"/>
      <c r="FZ588" s="273"/>
      <c r="GA588" s="273"/>
      <c r="GB588" s="273"/>
      <c r="GC588" s="273"/>
      <c r="GD588" s="273"/>
      <c r="GE588" s="273"/>
      <c r="GF588" s="273"/>
      <c r="GG588" s="273"/>
      <c r="GH588" s="273"/>
      <c r="GI588" s="273"/>
      <c r="GJ588" s="273"/>
      <c r="GK588" s="273"/>
      <c r="GL588" s="273"/>
      <c r="GM588" s="273"/>
      <c r="GN588" s="273"/>
      <c r="GO588" s="273"/>
      <c r="GP588" s="273"/>
      <c r="GQ588" s="273"/>
      <c r="GR588" s="273"/>
      <c r="GS588" s="273"/>
      <c r="GT588" s="273"/>
      <c r="GU588" s="273"/>
      <c r="GV588" s="273"/>
      <c r="GW588" s="273"/>
      <c r="GX588" s="273"/>
      <c r="GY588" s="273"/>
      <c r="GZ588" s="273"/>
      <c r="HA588" s="273"/>
      <c r="HB588" s="273"/>
      <c r="HC588" s="273"/>
      <c r="HD588" s="273"/>
      <c r="HE588" s="273"/>
      <c r="HF588" s="273"/>
      <c r="HG588" s="273"/>
      <c r="HH588" s="273"/>
      <c r="HI588" s="273"/>
      <c r="HJ588" s="273"/>
      <c r="HK588" s="273"/>
      <c r="HL588" s="273"/>
      <c r="HM588" s="273"/>
      <c r="HN588" s="273"/>
      <c r="HO588" s="273"/>
      <c r="HP588" s="273"/>
      <c r="HQ588" s="273"/>
      <c r="HR588" s="273"/>
      <c r="HS588" s="273"/>
      <c r="HT588" s="273"/>
      <c r="HU588" s="273"/>
      <c r="HV588" s="273"/>
      <c r="HW588" s="273"/>
      <c r="HX588" s="273"/>
      <c r="HY588" s="273"/>
      <c r="HZ588" s="273"/>
      <c r="IA588" s="273"/>
      <c r="IB588" s="273"/>
      <c r="IC588" s="273"/>
      <c r="ID588" s="273"/>
      <c r="IE588" s="273"/>
      <c r="IF588" s="273"/>
      <c r="IG588" s="273"/>
      <c r="IH588" s="273"/>
      <c r="II588" s="273"/>
      <c r="IJ588" s="273"/>
      <c r="IK588" s="273"/>
      <c r="IL588" s="273"/>
      <c r="IM588" s="273"/>
      <c r="IN588" s="273"/>
      <c r="IO588" s="273"/>
      <c r="IP588" s="273"/>
      <c r="IQ588" s="273"/>
      <c r="IR588" s="273"/>
      <c r="IS588" s="273"/>
      <c r="IT588" s="273"/>
      <c r="IU588" s="273"/>
      <c r="IV588" s="273"/>
      <c r="IW588" s="273"/>
      <c r="IX588" s="273"/>
      <c r="IY588" s="273"/>
      <c r="IZ588" s="273"/>
      <c r="JA588" s="273"/>
      <c r="JB588" s="273"/>
      <c r="JC588" s="273"/>
      <c r="JD588" s="273"/>
      <c r="JE588" s="273"/>
      <c r="JF588" s="273"/>
      <c r="JG588" s="273"/>
      <c r="JH588" s="273"/>
      <c r="JI588" s="273"/>
      <c r="JJ588" s="273"/>
      <c r="JK588" s="273"/>
      <c r="JL588" s="273"/>
      <c r="JM588" s="273"/>
      <c r="JN588" s="273"/>
      <c r="JO588" s="273"/>
      <c r="JP588" s="273"/>
      <c r="JQ588" s="273"/>
      <c r="JR588" s="273"/>
      <c r="JS588" s="273"/>
      <c r="JT588" s="273"/>
      <c r="JU588" s="273"/>
      <c r="JV588" s="273"/>
      <c r="JW588" s="273"/>
      <c r="JX588" s="273"/>
      <c r="JY588" s="273"/>
      <c r="JZ588" s="273"/>
      <c r="KA588" s="273"/>
      <c r="KB588" s="273"/>
      <c r="KC588" s="273"/>
      <c r="KD588" s="273"/>
      <c r="KE588" s="273"/>
      <c r="KF588" s="273"/>
      <c r="KG588" s="273"/>
      <c r="KH588" s="273"/>
      <c r="KI588" s="273"/>
      <c r="KJ588" s="273"/>
      <c r="KK588" s="273"/>
      <c r="KL588" s="273"/>
      <c r="KM588" s="273"/>
      <c r="KN588" s="273"/>
      <c r="KO588" s="273"/>
      <c r="KP588" s="273"/>
      <c r="KQ588" s="273"/>
      <c r="KR588" s="273"/>
      <c r="KS588" s="273"/>
      <c r="KT588" s="273"/>
      <c r="KU588" s="273"/>
      <c r="KV588" s="273"/>
      <c r="KW588" s="273"/>
      <c r="KX588" s="273"/>
      <c r="KY588" s="273"/>
      <c r="KZ588" s="273"/>
      <c r="LA588" s="273"/>
      <c r="LB588" s="273"/>
      <c r="LC588" s="273"/>
      <c r="LD588" s="273"/>
      <c r="LE588" s="273"/>
      <c r="LF588" s="273"/>
      <c r="LG588" s="273"/>
      <c r="LH588" s="273"/>
      <c r="LI588" s="273"/>
      <c r="LJ588" s="273"/>
      <c r="LK588" s="273"/>
      <c r="LL588" s="273"/>
      <c r="LM588" s="273"/>
      <c r="LN588" s="273"/>
      <c r="LO588" s="273"/>
      <c r="LP588" s="273"/>
      <c r="LQ588" s="273"/>
      <c r="LR588" s="273"/>
      <c r="LS588" s="273"/>
      <c r="LT588" s="273"/>
      <c r="LU588" s="273"/>
      <c r="LV588" s="273"/>
      <c r="LW588" s="273"/>
      <c r="LX588" s="273"/>
      <c r="LY588" s="273"/>
      <c r="LZ588" s="273"/>
      <c r="MA588" s="273"/>
      <c r="MB588" s="273"/>
      <c r="MC588" s="273"/>
      <c r="MD588" s="273"/>
      <c r="ME588" s="273"/>
      <c r="MF588" s="273"/>
      <c r="MG588" s="273"/>
      <c r="MH588" s="273"/>
      <c r="MI588" s="273"/>
      <c r="MJ588" s="273"/>
      <c r="MK588" s="273"/>
      <c r="ML588" s="273"/>
      <c r="MM588" s="273"/>
      <c r="MN588" s="273"/>
      <c r="MO588" s="273"/>
      <c r="MP588" s="273"/>
      <c r="MQ588" s="273"/>
      <c r="MR588" s="273"/>
      <c r="MS588" s="273"/>
      <c r="MT588" s="273"/>
      <c r="MU588" s="273"/>
      <c r="MV588" s="273"/>
      <c r="MW588" s="273"/>
      <c r="MX588" s="273"/>
      <c r="MY588" s="273"/>
      <c r="MZ588" s="273"/>
      <c r="NA588" s="273"/>
      <c r="NB588" s="273"/>
      <c r="NC588" s="273"/>
      <c r="ND588" s="273"/>
      <c r="NE588" s="273"/>
      <c r="NF588" s="273"/>
      <c r="NG588" s="273"/>
      <c r="NH588" s="273"/>
      <c r="NI588" s="273"/>
      <c r="NJ588" s="273"/>
      <c r="NK588" s="273"/>
      <c r="NL588" s="273"/>
      <c r="NM588" s="273"/>
      <c r="NN588" s="273"/>
      <c r="NO588" s="273"/>
      <c r="NP588" s="273"/>
      <c r="NQ588" s="273"/>
      <c r="NR588" s="273"/>
      <c r="NS588" s="273"/>
      <c r="NT588" s="273"/>
      <c r="NU588" s="273"/>
      <c r="NV588" s="273"/>
      <c r="NW588" s="273"/>
      <c r="NX588" s="273"/>
      <c r="NY588" s="273"/>
      <c r="NZ588" s="273"/>
      <c r="OA588" s="273"/>
      <c r="OB588" s="273"/>
      <c r="OC588" s="273"/>
      <c r="OD588" s="273"/>
      <c r="OE588" s="273"/>
      <c r="OF588" s="273"/>
      <c r="OG588" s="273"/>
      <c r="OH588" s="273"/>
      <c r="OI588" s="273"/>
      <c r="OJ588" s="273"/>
      <c r="OK588" s="273"/>
      <c r="OL588" s="273"/>
      <c r="OM588" s="273"/>
      <c r="ON588" s="273"/>
      <c r="OO588" s="273"/>
      <c r="OP588" s="273"/>
      <c r="OQ588" s="273"/>
      <c r="OR588" s="273"/>
      <c r="OS588" s="273"/>
      <c r="OT588" s="273"/>
      <c r="OU588" s="273"/>
      <c r="OV588" s="273"/>
      <c r="OW588" s="273"/>
      <c r="OX588" s="273"/>
      <c r="OY588" s="273"/>
      <c r="OZ588" s="273"/>
      <c r="PA588" s="273"/>
      <c r="PB588" s="273"/>
      <c r="PC588" s="273"/>
      <c r="PD588" s="273"/>
      <c r="PE588" s="273"/>
      <c r="PF588" s="273"/>
      <c r="PG588" s="273"/>
      <c r="PH588" s="273"/>
      <c r="PI588" s="273"/>
      <c r="PJ588" s="273"/>
      <c r="PK588" s="273"/>
      <c r="PL588" s="273"/>
      <c r="PM588" s="273"/>
      <c r="PN588" s="273"/>
      <c r="PO588" s="273"/>
      <c r="PP588" s="273"/>
      <c r="PQ588" s="273"/>
      <c r="PR588" s="273"/>
      <c r="PS588" s="273"/>
      <c r="PT588" s="273"/>
      <c r="PU588" s="273"/>
      <c r="PV588" s="273"/>
      <c r="PW588" s="273"/>
      <c r="PX588" s="273"/>
      <c r="PY588" s="273"/>
      <c r="PZ588" s="273"/>
      <c r="QA588" s="273"/>
      <c r="QB588" s="273"/>
      <c r="QC588" s="273"/>
      <c r="QD588" s="273"/>
      <c r="QE588" s="273"/>
      <c r="QF588" s="273"/>
      <c r="QG588" s="273"/>
      <c r="QH588" s="273"/>
      <c r="QI588" s="273"/>
      <c r="QJ588" s="273"/>
      <c r="QK588" s="273"/>
      <c r="QL588" s="273"/>
      <c r="QM588" s="273"/>
      <c r="QN588" s="273"/>
      <c r="QO588" s="273"/>
      <c r="QP588" s="273"/>
      <c r="QQ588" s="273"/>
      <c r="QR588" s="273"/>
      <c r="QS588" s="273"/>
      <c r="QT588" s="273"/>
      <c r="QU588" s="273"/>
      <c r="QV588" s="273"/>
      <c r="QW588" s="273"/>
      <c r="QX588" s="273"/>
      <c r="QY588" s="273"/>
      <c r="QZ588" s="273"/>
      <c r="RA588" s="273"/>
      <c r="RB588" s="273"/>
      <c r="RC588" s="273"/>
      <c r="RD588" s="273"/>
      <c r="RE588" s="273"/>
      <c r="RF588" s="273"/>
      <c r="RG588" s="273"/>
      <c r="RH588" s="273"/>
      <c r="RI588" s="273"/>
      <c r="RJ588" s="273"/>
      <c r="RK588" s="273"/>
      <c r="RL588" s="273"/>
      <c r="RM588" s="273"/>
      <c r="RN588" s="273"/>
      <c r="RO588" s="273"/>
      <c r="RP588" s="273"/>
      <c r="RQ588" s="273"/>
    </row>
    <row r="589" spans="1:485" s="450" customFormat="1" ht="26" x14ac:dyDescent="0.25">
      <c r="A589" s="594"/>
      <c r="B589" s="284" t="s">
        <v>1063</v>
      </c>
      <c r="C589" s="1720" t="s">
        <v>14</v>
      </c>
      <c r="D589" s="598" t="s">
        <v>955</v>
      </c>
      <c r="E589" s="468">
        <v>118.55555555555556</v>
      </c>
      <c r="F589" s="468">
        <v>6</v>
      </c>
      <c r="G589" s="467">
        <v>3</v>
      </c>
      <c r="H589" s="451">
        <f t="shared" si="252"/>
        <v>2134</v>
      </c>
      <c r="I589" s="675">
        <v>0.35</v>
      </c>
      <c r="J589" s="451">
        <v>9</v>
      </c>
      <c r="K589" s="451">
        <v>49.6</v>
      </c>
      <c r="L589" s="451">
        <v>5</v>
      </c>
      <c r="M589" s="1834">
        <f t="shared" si="253"/>
        <v>2232</v>
      </c>
      <c r="N589" s="675">
        <v>0.35</v>
      </c>
      <c r="O589" s="696">
        <f t="shared" si="250"/>
        <v>4366</v>
      </c>
      <c r="P589" s="675">
        <v>0.35</v>
      </c>
      <c r="Q589" s="451">
        <f t="shared" si="246"/>
        <v>1528.1</v>
      </c>
      <c r="R589" s="522" t="s">
        <v>1064</v>
      </c>
      <c r="S589" s="452">
        <f>COOPI!S79</f>
        <v>3835.13</v>
      </c>
      <c r="T589" s="591">
        <f t="shared" si="247"/>
        <v>0.87840815391662852</v>
      </c>
      <c r="U589" s="894" t="s">
        <v>1050</v>
      </c>
      <c r="V589" s="591">
        <f t="shared" si="249"/>
        <v>0.87840815391662852</v>
      </c>
      <c r="W589" s="706">
        <f t="shared" si="248"/>
        <v>1342.2954999999999</v>
      </c>
      <c r="X589" s="452" t="s">
        <v>1050</v>
      </c>
      <c r="Y589" s="273"/>
      <c r="Z589" s="273"/>
      <c r="AA589" s="273"/>
      <c r="AB589" s="273"/>
      <c r="AC589" s="273"/>
      <c r="AD589" s="273"/>
      <c r="AE589" s="273"/>
      <c r="AF589" s="273"/>
      <c r="AG589" s="273"/>
      <c r="AH589" s="273"/>
      <c r="AI589" s="273"/>
      <c r="AJ589" s="273"/>
      <c r="AK589" s="273"/>
      <c r="AL589" s="273"/>
      <c r="AM589" s="273"/>
      <c r="AN589" s="273"/>
      <c r="AO589" s="273"/>
      <c r="AP589" s="273"/>
      <c r="AQ589" s="273"/>
      <c r="AR589" s="273"/>
      <c r="AS589" s="273"/>
      <c r="AT589" s="273"/>
      <c r="AU589" s="273"/>
      <c r="AV589" s="273"/>
      <c r="AW589" s="273"/>
      <c r="AX589" s="273"/>
      <c r="AY589" s="273"/>
      <c r="AZ589" s="273"/>
      <c r="BA589" s="273"/>
      <c r="BB589" s="273"/>
      <c r="BC589" s="273"/>
      <c r="BD589" s="273"/>
      <c r="BE589" s="273"/>
      <c r="BF589" s="273"/>
      <c r="BG589" s="273"/>
      <c r="BH589" s="273"/>
      <c r="BI589" s="273"/>
      <c r="BJ589" s="273"/>
      <c r="BK589" s="273"/>
      <c r="BL589" s="273"/>
      <c r="BM589" s="273"/>
      <c r="BN589" s="273"/>
      <c r="BO589" s="273"/>
      <c r="BP589" s="273"/>
      <c r="BQ589" s="273"/>
      <c r="BR589" s="273"/>
      <c r="BS589" s="273"/>
      <c r="BT589" s="273"/>
      <c r="BU589" s="273"/>
      <c r="BV589" s="273"/>
      <c r="BW589" s="273"/>
      <c r="BX589" s="273"/>
      <c r="BY589" s="273"/>
      <c r="BZ589" s="273"/>
      <c r="CA589" s="273"/>
      <c r="CB589" s="273"/>
      <c r="CC589" s="273"/>
      <c r="CD589" s="273"/>
      <c r="CE589" s="273"/>
      <c r="CF589" s="273"/>
      <c r="CG589" s="273"/>
      <c r="CH589" s="273"/>
      <c r="CI589" s="273"/>
      <c r="CJ589" s="273"/>
      <c r="CK589" s="273"/>
      <c r="CL589" s="273"/>
      <c r="CM589" s="273"/>
      <c r="CN589" s="273"/>
      <c r="CO589" s="273"/>
      <c r="CP589" s="273"/>
      <c r="CQ589" s="273"/>
      <c r="CR589" s="273"/>
      <c r="CS589" s="273"/>
      <c r="CT589" s="273"/>
      <c r="CU589" s="273"/>
      <c r="CV589" s="273"/>
      <c r="CW589" s="273"/>
      <c r="CX589" s="273"/>
      <c r="CY589" s="273"/>
      <c r="CZ589" s="273"/>
      <c r="DA589" s="273"/>
      <c r="DB589" s="273"/>
      <c r="DC589" s="273"/>
      <c r="DD589" s="273"/>
      <c r="DE589" s="273"/>
      <c r="DF589" s="273"/>
      <c r="DG589" s="273"/>
      <c r="DH589" s="273"/>
      <c r="DI589" s="273"/>
      <c r="DJ589" s="273"/>
      <c r="DK589" s="273"/>
      <c r="DL589" s="273"/>
      <c r="DM589" s="273"/>
      <c r="DN589" s="273"/>
      <c r="DO589" s="273"/>
      <c r="DP589" s="273"/>
      <c r="DQ589" s="273"/>
      <c r="DR589" s="273"/>
      <c r="DS589" s="273"/>
      <c r="DT589" s="273"/>
      <c r="DU589" s="273"/>
      <c r="DV589" s="273"/>
      <c r="DW589" s="273"/>
      <c r="DX589" s="273"/>
      <c r="DY589" s="273"/>
      <c r="DZ589" s="273"/>
      <c r="EA589" s="273"/>
      <c r="EB589" s="273"/>
      <c r="EC589" s="273"/>
      <c r="ED589" s="273"/>
      <c r="EE589" s="273"/>
      <c r="EF589" s="273"/>
      <c r="EG589" s="273"/>
      <c r="EH589" s="273"/>
      <c r="EI589" s="273"/>
      <c r="EJ589" s="273"/>
      <c r="EK589" s="273"/>
      <c r="EL589" s="273"/>
      <c r="EM589" s="273"/>
      <c r="EN589" s="273"/>
      <c r="EO589" s="273"/>
      <c r="EP589" s="273"/>
      <c r="EQ589" s="273"/>
      <c r="ER589" s="273"/>
      <c r="ES589" s="273"/>
      <c r="ET589" s="273"/>
      <c r="EU589" s="273"/>
      <c r="EV589" s="273"/>
      <c r="EW589" s="273"/>
      <c r="EX589" s="273"/>
      <c r="EY589" s="273"/>
      <c r="EZ589" s="273"/>
      <c r="FA589" s="273"/>
      <c r="FB589" s="273"/>
      <c r="FC589" s="273"/>
      <c r="FD589" s="273"/>
      <c r="FE589" s="273"/>
      <c r="FF589" s="273"/>
      <c r="FG589" s="273"/>
      <c r="FH589" s="273"/>
      <c r="FI589" s="273"/>
      <c r="FJ589" s="273"/>
      <c r="FK589" s="273"/>
      <c r="FL589" s="273"/>
      <c r="FM589" s="273"/>
      <c r="FN589" s="273"/>
      <c r="FO589" s="273"/>
      <c r="FP589" s="273"/>
      <c r="FQ589" s="273"/>
      <c r="FR589" s="273"/>
      <c r="FS589" s="273"/>
      <c r="FT589" s="273"/>
      <c r="FU589" s="273"/>
      <c r="FV589" s="273"/>
      <c r="FW589" s="273"/>
      <c r="FX589" s="273"/>
      <c r="FY589" s="273"/>
      <c r="FZ589" s="273"/>
      <c r="GA589" s="273"/>
      <c r="GB589" s="273"/>
      <c r="GC589" s="273"/>
      <c r="GD589" s="273"/>
      <c r="GE589" s="273"/>
      <c r="GF589" s="273"/>
      <c r="GG589" s="273"/>
      <c r="GH589" s="273"/>
      <c r="GI589" s="273"/>
      <c r="GJ589" s="273"/>
      <c r="GK589" s="273"/>
      <c r="GL589" s="273"/>
      <c r="GM589" s="273"/>
      <c r="GN589" s="273"/>
      <c r="GO589" s="273"/>
      <c r="GP589" s="273"/>
      <c r="GQ589" s="273"/>
      <c r="GR589" s="273"/>
      <c r="GS589" s="273"/>
      <c r="GT589" s="273"/>
      <c r="GU589" s="273"/>
      <c r="GV589" s="273"/>
      <c r="GW589" s="273"/>
      <c r="GX589" s="273"/>
      <c r="GY589" s="273"/>
      <c r="GZ589" s="273"/>
      <c r="HA589" s="273"/>
      <c r="HB589" s="273"/>
      <c r="HC589" s="273"/>
      <c r="HD589" s="273"/>
      <c r="HE589" s="273"/>
      <c r="HF589" s="273"/>
      <c r="HG589" s="273"/>
      <c r="HH589" s="273"/>
      <c r="HI589" s="273"/>
      <c r="HJ589" s="273"/>
      <c r="HK589" s="273"/>
      <c r="HL589" s="273"/>
      <c r="HM589" s="273"/>
      <c r="HN589" s="273"/>
      <c r="HO589" s="273"/>
      <c r="HP589" s="273"/>
      <c r="HQ589" s="273"/>
      <c r="HR589" s="273"/>
      <c r="HS589" s="273"/>
      <c r="HT589" s="273"/>
      <c r="HU589" s="273"/>
      <c r="HV589" s="273"/>
      <c r="HW589" s="273"/>
      <c r="HX589" s="273"/>
      <c r="HY589" s="273"/>
      <c r="HZ589" s="273"/>
      <c r="IA589" s="273"/>
      <c r="IB589" s="273"/>
      <c r="IC589" s="273"/>
      <c r="ID589" s="273"/>
      <c r="IE589" s="273"/>
      <c r="IF589" s="273"/>
      <c r="IG589" s="273"/>
      <c r="IH589" s="273"/>
      <c r="II589" s="273"/>
      <c r="IJ589" s="273"/>
      <c r="IK589" s="273"/>
      <c r="IL589" s="273"/>
      <c r="IM589" s="273"/>
      <c r="IN589" s="273"/>
      <c r="IO589" s="273"/>
      <c r="IP589" s="273"/>
      <c r="IQ589" s="273"/>
      <c r="IR589" s="273"/>
      <c r="IS589" s="273"/>
      <c r="IT589" s="273"/>
      <c r="IU589" s="273"/>
      <c r="IV589" s="273"/>
      <c r="IW589" s="273"/>
      <c r="IX589" s="273"/>
      <c r="IY589" s="273"/>
      <c r="IZ589" s="273"/>
      <c r="JA589" s="273"/>
      <c r="JB589" s="273"/>
      <c r="JC589" s="273"/>
      <c r="JD589" s="273"/>
      <c r="JE589" s="273"/>
      <c r="JF589" s="273"/>
      <c r="JG589" s="273"/>
      <c r="JH589" s="273"/>
      <c r="JI589" s="273"/>
      <c r="JJ589" s="273"/>
      <c r="JK589" s="273"/>
      <c r="JL589" s="273"/>
      <c r="JM589" s="273"/>
      <c r="JN589" s="273"/>
      <c r="JO589" s="273"/>
      <c r="JP589" s="273"/>
      <c r="JQ589" s="273"/>
      <c r="JR589" s="273"/>
      <c r="JS589" s="273"/>
      <c r="JT589" s="273"/>
      <c r="JU589" s="273"/>
      <c r="JV589" s="273"/>
      <c r="JW589" s="273"/>
      <c r="JX589" s="273"/>
      <c r="JY589" s="273"/>
      <c r="JZ589" s="273"/>
      <c r="KA589" s="273"/>
      <c r="KB589" s="273"/>
      <c r="KC589" s="273"/>
      <c r="KD589" s="273"/>
      <c r="KE589" s="273"/>
      <c r="KF589" s="273"/>
      <c r="KG589" s="273"/>
      <c r="KH589" s="273"/>
      <c r="KI589" s="273"/>
      <c r="KJ589" s="273"/>
      <c r="KK589" s="273"/>
      <c r="KL589" s="273"/>
      <c r="KM589" s="273"/>
      <c r="KN589" s="273"/>
      <c r="KO589" s="273"/>
      <c r="KP589" s="273"/>
      <c r="KQ589" s="273"/>
      <c r="KR589" s="273"/>
      <c r="KS589" s="273"/>
      <c r="KT589" s="273"/>
      <c r="KU589" s="273"/>
      <c r="KV589" s="273"/>
      <c r="KW589" s="273"/>
      <c r="KX589" s="273"/>
      <c r="KY589" s="273"/>
      <c r="KZ589" s="273"/>
      <c r="LA589" s="273"/>
      <c r="LB589" s="273"/>
      <c r="LC589" s="273"/>
      <c r="LD589" s="273"/>
      <c r="LE589" s="273"/>
      <c r="LF589" s="273"/>
      <c r="LG589" s="273"/>
      <c r="LH589" s="273"/>
      <c r="LI589" s="273"/>
      <c r="LJ589" s="273"/>
      <c r="LK589" s="273"/>
      <c r="LL589" s="273"/>
      <c r="LM589" s="273"/>
      <c r="LN589" s="273"/>
      <c r="LO589" s="273"/>
      <c r="LP589" s="273"/>
      <c r="LQ589" s="273"/>
      <c r="LR589" s="273"/>
      <c r="LS589" s="273"/>
      <c r="LT589" s="273"/>
      <c r="LU589" s="273"/>
      <c r="LV589" s="273"/>
      <c r="LW589" s="273"/>
      <c r="LX589" s="273"/>
      <c r="LY589" s="273"/>
      <c r="LZ589" s="273"/>
      <c r="MA589" s="273"/>
      <c r="MB589" s="273"/>
      <c r="MC589" s="273"/>
      <c r="MD589" s="273"/>
      <c r="ME589" s="273"/>
      <c r="MF589" s="273"/>
      <c r="MG589" s="273"/>
      <c r="MH589" s="273"/>
      <c r="MI589" s="273"/>
      <c r="MJ589" s="273"/>
      <c r="MK589" s="273"/>
      <c r="ML589" s="273"/>
      <c r="MM589" s="273"/>
      <c r="MN589" s="273"/>
      <c r="MO589" s="273"/>
      <c r="MP589" s="273"/>
      <c r="MQ589" s="273"/>
      <c r="MR589" s="273"/>
      <c r="MS589" s="273"/>
      <c r="MT589" s="273"/>
      <c r="MU589" s="273"/>
      <c r="MV589" s="273"/>
      <c r="MW589" s="273"/>
      <c r="MX589" s="273"/>
      <c r="MY589" s="273"/>
      <c r="MZ589" s="273"/>
      <c r="NA589" s="273"/>
      <c r="NB589" s="273"/>
      <c r="NC589" s="273"/>
      <c r="ND589" s="273"/>
      <c r="NE589" s="273"/>
      <c r="NF589" s="273"/>
      <c r="NG589" s="273"/>
      <c r="NH589" s="273"/>
      <c r="NI589" s="273"/>
      <c r="NJ589" s="273"/>
      <c r="NK589" s="273"/>
      <c r="NL589" s="273"/>
      <c r="NM589" s="273"/>
      <c r="NN589" s="273"/>
      <c r="NO589" s="273"/>
      <c r="NP589" s="273"/>
      <c r="NQ589" s="273"/>
      <c r="NR589" s="273"/>
      <c r="NS589" s="273"/>
      <c r="NT589" s="273"/>
      <c r="NU589" s="273"/>
      <c r="NV589" s="273"/>
      <c r="NW589" s="273"/>
      <c r="NX589" s="273"/>
      <c r="NY589" s="273"/>
      <c r="NZ589" s="273"/>
      <c r="OA589" s="273"/>
      <c r="OB589" s="273"/>
      <c r="OC589" s="273"/>
      <c r="OD589" s="273"/>
      <c r="OE589" s="273"/>
      <c r="OF589" s="273"/>
      <c r="OG589" s="273"/>
      <c r="OH589" s="273"/>
      <c r="OI589" s="273"/>
      <c r="OJ589" s="273"/>
      <c r="OK589" s="273"/>
      <c r="OL589" s="273"/>
      <c r="OM589" s="273"/>
      <c r="ON589" s="273"/>
      <c r="OO589" s="273"/>
      <c r="OP589" s="273"/>
      <c r="OQ589" s="273"/>
      <c r="OR589" s="273"/>
      <c r="OS589" s="273"/>
      <c r="OT589" s="273"/>
      <c r="OU589" s="273"/>
      <c r="OV589" s="273"/>
      <c r="OW589" s="273"/>
      <c r="OX589" s="273"/>
      <c r="OY589" s="273"/>
      <c r="OZ589" s="273"/>
      <c r="PA589" s="273"/>
      <c r="PB589" s="273"/>
      <c r="PC589" s="273"/>
      <c r="PD589" s="273"/>
      <c r="PE589" s="273"/>
      <c r="PF589" s="273"/>
      <c r="PG589" s="273"/>
      <c r="PH589" s="273"/>
      <c r="PI589" s="273"/>
      <c r="PJ589" s="273"/>
      <c r="PK589" s="273"/>
      <c r="PL589" s="273"/>
      <c r="PM589" s="273"/>
      <c r="PN589" s="273"/>
      <c r="PO589" s="273"/>
      <c r="PP589" s="273"/>
      <c r="PQ589" s="273"/>
      <c r="PR589" s="273"/>
      <c r="PS589" s="273"/>
      <c r="PT589" s="273"/>
      <c r="PU589" s="273"/>
      <c r="PV589" s="273"/>
      <c r="PW589" s="273"/>
      <c r="PX589" s="273"/>
      <c r="PY589" s="273"/>
      <c r="PZ589" s="273"/>
      <c r="QA589" s="273"/>
      <c r="QB589" s="273"/>
      <c r="QC589" s="273"/>
      <c r="QD589" s="273"/>
      <c r="QE589" s="273"/>
      <c r="QF589" s="273"/>
      <c r="QG589" s="273"/>
      <c r="QH589" s="273"/>
      <c r="QI589" s="273"/>
      <c r="QJ589" s="273"/>
      <c r="QK589" s="273"/>
      <c r="QL589" s="273"/>
      <c r="QM589" s="273"/>
      <c r="QN589" s="273"/>
      <c r="QO589" s="273"/>
      <c r="QP589" s="273"/>
      <c r="QQ589" s="273"/>
      <c r="QR589" s="273"/>
      <c r="QS589" s="273"/>
      <c r="QT589" s="273"/>
      <c r="QU589" s="273"/>
      <c r="QV589" s="273"/>
      <c r="QW589" s="273"/>
      <c r="QX589" s="273"/>
      <c r="QY589" s="273"/>
      <c r="QZ589" s="273"/>
      <c r="RA589" s="273"/>
      <c r="RB589" s="273"/>
      <c r="RC589" s="273"/>
      <c r="RD589" s="273"/>
      <c r="RE589" s="273"/>
      <c r="RF589" s="273"/>
      <c r="RG589" s="273"/>
      <c r="RH589" s="273"/>
      <c r="RI589" s="273"/>
      <c r="RJ589" s="273"/>
      <c r="RK589" s="273"/>
      <c r="RL589" s="273"/>
      <c r="RM589" s="273"/>
      <c r="RN589" s="273"/>
      <c r="RO589" s="273"/>
      <c r="RP589" s="273"/>
      <c r="RQ589" s="273"/>
    </row>
    <row r="590" spans="1:485" s="450" customFormat="1" x14ac:dyDescent="0.25">
      <c r="A590" s="680"/>
      <c r="B590" s="284"/>
      <c r="C590" s="1720" t="s">
        <v>14</v>
      </c>
      <c r="D590" s="467" t="s">
        <v>500</v>
      </c>
      <c r="E590" s="724"/>
      <c r="F590" s="266"/>
      <c r="G590" s="266"/>
      <c r="H590" s="451">
        <v>79800</v>
      </c>
      <c r="I590" s="451"/>
      <c r="J590" s="2616"/>
      <c r="K590" s="2616"/>
      <c r="L590" s="2616"/>
      <c r="M590" s="1834">
        <v>79800</v>
      </c>
      <c r="N590" s="697"/>
      <c r="O590" s="696">
        <f t="shared" si="250"/>
        <v>159600</v>
      </c>
      <c r="P590" s="675"/>
      <c r="Q590" s="1741">
        <f t="shared" si="246"/>
        <v>0</v>
      </c>
      <c r="R590" s="1069"/>
      <c r="S590" s="706">
        <f>ACIAR!T176</f>
        <v>173333.14</v>
      </c>
      <c r="T590" s="591">
        <f t="shared" si="247"/>
        <v>1.0860472431077695</v>
      </c>
      <c r="U590" s="541" t="s">
        <v>507</v>
      </c>
      <c r="V590" s="591">
        <v>0</v>
      </c>
      <c r="W590" s="706">
        <f t="shared" si="248"/>
        <v>0</v>
      </c>
      <c r="X590" s="594"/>
    </row>
    <row r="591" spans="1:485" s="454" customFormat="1" ht="15.65" customHeight="1" x14ac:dyDescent="0.25">
      <c r="A591" s="285"/>
      <c r="B591" s="711" t="s">
        <v>573</v>
      </c>
      <c r="C591" s="711"/>
      <c r="D591" s="897"/>
      <c r="E591" s="712"/>
      <c r="F591" s="712"/>
      <c r="G591" s="712"/>
      <c r="H591" s="1123">
        <f>SUM(H496:H590)</f>
        <v>479758.57500000007</v>
      </c>
      <c r="I591" s="716"/>
      <c r="J591" s="1077"/>
      <c r="K591" s="1077"/>
      <c r="L591" s="1077"/>
      <c r="M591" s="2870">
        <f>SUM(M496:M590)</f>
        <v>537164.89500000014</v>
      </c>
      <c r="N591" s="716"/>
      <c r="O591" s="1123">
        <f>SUM(O496:O590)</f>
        <v>1016923.4700000002</v>
      </c>
      <c r="P591" s="1076"/>
      <c r="Q591" s="713">
        <f>SUM(Q496:Q590)</f>
        <v>95817.007500000007</v>
      </c>
      <c r="R591" s="1125"/>
      <c r="S591" s="1672">
        <f>SUM(S496:S590)</f>
        <v>1025985.5905901706</v>
      </c>
      <c r="T591" s="1126">
        <f>S591/O591</f>
        <v>1.0089113102976868</v>
      </c>
      <c r="U591" s="715"/>
      <c r="V591" s="600">
        <f>W591/Q591</f>
        <v>0.99029313273804742</v>
      </c>
      <c r="W591" s="1127">
        <f>SUM(W496:W590)</f>
        <v>94886.924526759991</v>
      </c>
      <c r="X591" s="600"/>
      <c r="Y591" s="670"/>
      <c r="Z591" s="670"/>
      <c r="AA591" s="670"/>
      <c r="AB591" s="670"/>
      <c r="AC591" s="670"/>
      <c r="AD591" s="670"/>
      <c r="AE591" s="670"/>
      <c r="AF591" s="670"/>
      <c r="AG591" s="670"/>
      <c r="AH591" s="670"/>
      <c r="AI591" s="670"/>
      <c r="AJ591" s="670"/>
      <c r="AK591" s="670"/>
      <c r="AL591" s="670"/>
      <c r="AM591" s="670"/>
      <c r="AN591" s="670"/>
      <c r="AO591" s="670"/>
      <c r="AP591" s="670"/>
      <c r="AQ591" s="670"/>
    </row>
    <row r="592" spans="1:485" s="461" customFormat="1" x14ac:dyDescent="0.25">
      <c r="A592" s="3036" t="s">
        <v>55</v>
      </c>
      <c r="B592" s="3037"/>
      <c r="C592" s="3037"/>
      <c r="D592" s="3037"/>
      <c r="E592" s="3037"/>
      <c r="F592" s="3037"/>
      <c r="G592" s="3037"/>
      <c r="H592" s="3037"/>
      <c r="I592" s="3037"/>
      <c r="J592" s="3037"/>
      <c r="K592" s="3037"/>
      <c r="L592" s="3037"/>
      <c r="M592" s="3037"/>
      <c r="N592" s="3037"/>
      <c r="O592" s="3037"/>
      <c r="P592" s="3037"/>
      <c r="Q592" s="3037"/>
      <c r="R592" s="3037"/>
      <c r="S592" s="3037"/>
      <c r="T592" s="3037"/>
      <c r="U592" s="3037"/>
      <c r="V592" s="3037"/>
      <c r="W592" s="3037"/>
      <c r="X592" s="3037"/>
    </row>
    <row r="593" spans="1:43" s="450" customFormat="1" ht="26" x14ac:dyDescent="0.25">
      <c r="A593" s="595" t="s">
        <v>169</v>
      </c>
      <c r="B593" s="284"/>
      <c r="C593" s="1720" t="s">
        <v>15</v>
      </c>
      <c r="D593" s="467" t="s">
        <v>100</v>
      </c>
      <c r="E593" s="724">
        <v>1</v>
      </c>
      <c r="F593" s="727">
        <v>20000.5</v>
      </c>
      <c r="G593" s="1819">
        <v>1</v>
      </c>
      <c r="H593" s="451">
        <f>+E593*F593*G593</f>
        <v>20000.5</v>
      </c>
      <c r="I593" s="675">
        <v>0</v>
      </c>
      <c r="J593" s="676">
        <v>0</v>
      </c>
      <c r="K593" s="676">
        <v>0</v>
      </c>
      <c r="L593" s="676">
        <v>0</v>
      </c>
      <c r="M593" s="1834">
        <v>0</v>
      </c>
      <c r="N593" s="675">
        <v>0</v>
      </c>
      <c r="O593" s="696">
        <f t="shared" ref="O593:O599" si="254">+H593+M593</f>
        <v>20000.5</v>
      </c>
      <c r="P593" s="675">
        <v>0</v>
      </c>
      <c r="Q593" s="451">
        <v>0</v>
      </c>
      <c r="R593" s="1817" t="s">
        <v>170</v>
      </c>
      <c r="S593" s="706">
        <f>UNHABITAT!V69</f>
        <v>21185.7</v>
      </c>
      <c r="T593" s="591">
        <f>S593/H593</f>
        <v>1.0592585185370367</v>
      </c>
      <c r="U593" s="595"/>
      <c r="V593" s="591">
        <v>0</v>
      </c>
      <c r="W593" s="706">
        <f>P593*S593</f>
        <v>0</v>
      </c>
      <c r="X593" s="594"/>
    </row>
    <row r="594" spans="1:43" s="450" customFormat="1" ht="26" x14ac:dyDescent="0.25">
      <c r="A594" s="680"/>
      <c r="B594" s="284" t="s">
        <v>478</v>
      </c>
      <c r="C594" s="595" t="s">
        <v>15</v>
      </c>
      <c r="D594" s="467" t="s">
        <v>398</v>
      </c>
      <c r="E594" s="728">
        <v>1</v>
      </c>
      <c r="F594" s="729">
        <v>1800</v>
      </c>
      <c r="G594" s="1068">
        <v>1</v>
      </c>
      <c r="H594" s="451">
        <f>SFCG!H104</f>
        <v>1800</v>
      </c>
      <c r="I594" s="675"/>
      <c r="J594" s="710">
        <v>1</v>
      </c>
      <c r="K594" s="710">
        <f>F594</f>
        <v>1800</v>
      </c>
      <c r="L594" s="730">
        <v>0</v>
      </c>
      <c r="M594" s="1834">
        <f>SFCG!M104+SFCG!N104</f>
        <v>3000</v>
      </c>
      <c r="N594" s="697"/>
      <c r="O594" s="696">
        <f t="shared" si="254"/>
        <v>4800</v>
      </c>
      <c r="P594" s="675"/>
      <c r="Q594" s="709">
        <f>O594*P594</f>
        <v>0</v>
      </c>
      <c r="R594" s="1145" t="s">
        <v>1211</v>
      </c>
      <c r="S594" s="706">
        <f>SFCG!T104</f>
        <v>1286.9100000000001</v>
      </c>
      <c r="T594" s="591">
        <f>S594/O594</f>
        <v>0.26810624999999999</v>
      </c>
      <c r="U594" s="595" t="s">
        <v>479</v>
      </c>
      <c r="V594" s="591">
        <v>0</v>
      </c>
      <c r="W594" s="706">
        <f t="shared" ref="W594:W599" si="255">P594*S594</f>
        <v>0</v>
      </c>
      <c r="X594" s="266"/>
    </row>
    <row r="595" spans="1:43" s="450" customFormat="1" x14ac:dyDescent="0.25">
      <c r="A595" s="680"/>
      <c r="B595" s="284" t="s">
        <v>480</v>
      </c>
      <c r="C595" s="595" t="s">
        <v>15</v>
      </c>
      <c r="D595" s="467" t="s">
        <v>398</v>
      </c>
      <c r="E595" s="728">
        <v>0.5</v>
      </c>
      <c r="F595" s="729">
        <v>500</v>
      </c>
      <c r="G595" s="1068">
        <v>12</v>
      </c>
      <c r="H595" s="451">
        <f>SFCG!H105</f>
        <v>3000</v>
      </c>
      <c r="I595" s="675"/>
      <c r="J595" s="710">
        <v>0.5</v>
      </c>
      <c r="K595" s="710">
        <f>F595</f>
        <v>500</v>
      </c>
      <c r="L595" s="730">
        <v>12</v>
      </c>
      <c r="M595" s="1834">
        <f>SFCG!M105+SFCG!N105</f>
        <v>3000</v>
      </c>
      <c r="N595" s="697"/>
      <c r="O595" s="696">
        <f t="shared" si="254"/>
        <v>6000</v>
      </c>
      <c r="P595" s="675"/>
      <c r="Q595" s="1862">
        <f>O595*P595</f>
        <v>0</v>
      </c>
      <c r="R595" s="1863" t="s">
        <v>1212</v>
      </c>
      <c r="S595" s="706">
        <f>SFCG!T105</f>
        <v>9154.4</v>
      </c>
      <c r="T595" s="1678">
        <f>S595/O595</f>
        <v>1.5257333333333332</v>
      </c>
      <c r="U595" s="595" t="s">
        <v>481</v>
      </c>
      <c r="V595" s="591">
        <v>0</v>
      </c>
      <c r="W595" s="706">
        <f t="shared" si="255"/>
        <v>0</v>
      </c>
      <c r="X595" s="266"/>
    </row>
    <row r="596" spans="1:43" s="450" customFormat="1" ht="51.75" customHeight="1" x14ac:dyDescent="0.25">
      <c r="A596" s="680"/>
      <c r="B596" s="595" t="s">
        <v>889</v>
      </c>
      <c r="C596" s="1720" t="s">
        <v>15</v>
      </c>
      <c r="D596" s="467" t="s">
        <v>724</v>
      </c>
      <c r="E596" s="724">
        <v>1</v>
      </c>
      <c r="F596" s="266">
        <v>100</v>
      </c>
      <c r="G596" s="266">
        <v>12</v>
      </c>
      <c r="H596" s="722">
        <f>CARITAS!H97</f>
        <v>1200</v>
      </c>
      <c r="I596" s="714"/>
      <c r="J596" s="722">
        <v>1</v>
      </c>
      <c r="K596" s="722">
        <v>100</v>
      </c>
      <c r="L596" s="722">
        <v>12</v>
      </c>
      <c r="M596" s="2875">
        <f>CARITAS!M97</f>
        <v>1200</v>
      </c>
      <c r="N596" s="1784"/>
      <c r="O596" s="2921">
        <f t="shared" si="254"/>
        <v>2400</v>
      </c>
      <c r="P596" s="675">
        <v>0.5</v>
      </c>
      <c r="Q596" s="451">
        <f>O596/2</f>
        <v>1200</v>
      </c>
      <c r="R596" s="522" t="s">
        <v>890</v>
      </c>
      <c r="S596" s="452">
        <f>CARITAS!S97</f>
        <v>2400</v>
      </c>
      <c r="T596" s="591">
        <f t="shared" ref="T596:T597" si="256">S596/O596</f>
        <v>1</v>
      </c>
      <c r="U596" s="595" t="s">
        <v>891</v>
      </c>
      <c r="V596" s="591">
        <f t="shared" ref="V596:V597" si="257">W596/Q596</f>
        <v>1</v>
      </c>
      <c r="W596" s="706">
        <f t="shared" si="255"/>
        <v>1200</v>
      </c>
      <c r="X596" s="595" t="s">
        <v>890</v>
      </c>
    </row>
    <row r="597" spans="1:43" s="450" customFormat="1" ht="43.5" customHeight="1" x14ac:dyDescent="0.25">
      <c r="A597" s="680"/>
      <c r="B597" s="595" t="s">
        <v>892</v>
      </c>
      <c r="C597" s="1720" t="s">
        <v>15</v>
      </c>
      <c r="D597" s="467" t="s">
        <v>724</v>
      </c>
      <c r="E597" s="724">
        <v>1</v>
      </c>
      <c r="F597" s="266">
        <v>4900</v>
      </c>
      <c r="G597" s="266">
        <v>1</v>
      </c>
      <c r="H597" s="722">
        <f>CARITAS!H98</f>
        <v>4900</v>
      </c>
      <c r="I597" s="714"/>
      <c r="J597" s="722">
        <v>1</v>
      </c>
      <c r="K597" s="722">
        <v>3700</v>
      </c>
      <c r="L597" s="722">
        <v>1</v>
      </c>
      <c r="M597" s="2875">
        <f>CARITAS!M98</f>
        <v>3700</v>
      </c>
      <c r="N597" s="1784"/>
      <c r="O597" s="2921">
        <f t="shared" si="254"/>
        <v>8600</v>
      </c>
      <c r="P597" s="675">
        <v>0.5</v>
      </c>
      <c r="Q597" s="451">
        <f>O597/2</f>
        <v>4300</v>
      </c>
      <c r="R597" s="522" t="s">
        <v>893</v>
      </c>
      <c r="S597" s="452">
        <f>CARITAS!S98</f>
        <v>8600</v>
      </c>
      <c r="T597" s="591">
        <f t="shared" si="256"/>
        <v>1</v>
      </c>
      <c r="U597" s="595" t="s">
        <v>894</v>
      </c>
      <c r="V597" s="591">
        <f t="shared" si="257"/>
        <v>1</v>
      </c>
      <c r="W597" s="706">
        <f t="shared" si="255"/>
        <v>4300</v>
      </c>
      <c r="X597" s="595" t="s">
        <v>893</v>
      </c>
    </row>
    <row r="598" spans="1:43" s="450" customFormat="1" x14ac:dyDescent="0.25">
      <c r="A598" s="680"/>
      <c r="B598" s="540"/>
      <c r="C598" s="595" t="s">
        <v>15</v>
      </c>
      <c r="D598" s="467" t="s">
        <v>500</v>
      </c>
      <c r="E598" s="724"/>
      <c r="F598" s="266"/>
      <c r="G598" s="266"/>
      <c r="H598" s="451">
        <v>0</v>
      </c>
      <c r="I598" s="451">
        <v>0</v>
      </c>
      <c r="J598" s="451"/>
      <c r="K598" s="451"/>
      <c r="L598" s="451"/>
      <c r="M598" s="1834">
        <v>0</v>
      </c>
      <c r="N598" s="697"/>
      <c r="O598" s="2921">
        <f t="shared" si="254"/>
        <v>0</v>
      </c>
      <c r="P598" s="675"/>
      <c r="Q598" s="451">
        <f t="shared" ref="Q598" si="258">O598*P598</f>
        <v>0</v>
      </c>
      <c r="R598" s="1069"/>
      <c r="S598" s="1855">
        <v>0</v>
      </c>
      <c r="T598" s="1071">
        <v>0</v>
      </c>
      <c r="U598" s="595"/>
      <c r="V598" s="591">
        <v>0</v>
      </c>
      <c r="W598" s="706">
        <f t="shared" si="255"/>
        <v>0</v>
      </c>
      <c r="X598" s="594"/>
    </row>
    <row r="599" spans="1:43" s="450" customFormat="1" x14ac:dyDescent="0.25">
      <c r="A599" s="680"/>
      <c r="B599" s="284"/>
      <c r="C599" s="1720" t="s">
        <v>15</v>
      </c>
      <c r="D599" s="467" t="s">
        <v>500</v>
      </c>
      <c r="E599" s="724"/>
      <c r="F599" s="266"/>
      <c r="G599" s="266"/>
      <c r="H599" s="451">
        <v>6000</v>
      </c>
      <c r="I599" s="451"/>
      <c r="J599" s="2616"/>
      <c r="K599" s="2616"/>
      <c r="L599" s="2616"/>
      <c r="M599" s="1834">
        <v>6000</v>
      </c>
      <c r="N599" s="697"/>
      <c r="O599" s="696">
        <f t="shared" si="254"/>
        <v>12000</v>
      </c>
      <c r="P599" s="675"/>
      <c r="Q599" s="1741"/>
      <c r="R599" s="1069"/>
      <c r="S599" s="452">
        <f>ACIAR!T179</f>
        <v>13884.18</v>
      </c>
      <c r="T599" s="591">
        <f>+S599/O599</f>
        <v>1.1570150000000001</v>
      </c>
      <c r="U599" s="541" t="s">
        <v>507</v>
      </c>
      <c r="V599" s="591">
        <v>0</v>
      </c>
      <c r="W599" s="706">
        <f t="shared" si="255"/>
        <v>0</v>
      </c>
      <c r="X599" s="594"/>
    </row>
    <row r="600" spans="1:43" s="454" customFormat="1" ht="15.65" customHeight="1" x14ac:dyDescent="0.25">
      <c r="A600" s="285"/>
      <c r="B600" s="711" t="s">
        <v>573</v>
      </c>
      <c r="C600" s="711"/>
      <c r="D600" s="897"/>
      <c r="E600" s="712"/>
      <c r="F600" s="712"/>
      <c r="G600" s="712"/>
      <c r="H600" s="1123">
        <f>SUM(H593:H599)</f>
        <v>36900.5</v>
      </c>
      <c r="I600" s="716"/>
      <c r="J600" s="1077"/>
      <c r="K600" s="1077"/>
      <c r="L600" s="1077"/>
      <c r="M600" s="2870">
        <f>SUM(M593:M599)</f>
        <v>16900</v>
      </c>
      <c r="N600" s="716"/>
      <c r="O600" s="1123">
        <f>SUM(O593:O599)</f>
        <v>53800.5</v>
      </c>
      <c r="P600" s="1076"/>
      <c r="Q600" s="713">
        <f>SUM(Q593:Q599)</f>
        <v>5500</v>
      </c>
      <c r="R600" s="1125"/>
      <c r="S600" s="1672">
        <f>SUM(S593:S599)</f>
        <v>56511.19</v>
      </c>
      <c r="T600" s="1126">
        <f>S600/O600</f>
        <v>1.0503841042369495</v>
      </c>
      <c r="U600" s="715"/>
      <c r="V600" s="600">
        <f>W600/Q600</f>
        <v>1</v>
      </c>
      <c r="W600" s="1127">
        <f>SUM(W593:W599)</f>
        <v>5500</v>
      </c>
      <c r="X600" s="600"/>
      <c r="Y600" s="670"/>
      <c r="Z600" s="670"/>
      <c r="AA600" s="670"/>
      <c r="AB600" s="670"/>
      <c r="AC600" s="670"/>
      <c r="AD600" s="670"/>
      <c r="AE600" s="670"/>
      <c r="AF600" s="670"/>
      <c r="AG600" s="670"/>
      <c r="AH600" s="670"/>
      <c r="AI600" s="670"/>
      <c r="AJ600" s="670"/>
      <c r="AK600" s="670"/>
      <c r="AL600" s="670"/>
      <c r="AM600" s="670"/>
      <c r="AN600" s="670"/>
      <c r="AO600" s="670"/>
      <c r="AP600" s="670"/>
      <c r="AQ600" s="670"/>
    </row>
    <row r="601" spans="1:43" s="461" customFormat="1" x14ac:dyDescent="0.25">
      <c r="A601" s="3036" t="s">
        <v>56</v>
      </c>
      <c r="B601" s="3037"/>
      <c r="C601" s="3037"/>
      <c r="D601" s="3037"/>
      <c r="E601" s="3037"/>
      <c r="F601" s="3037"/>
      <c r="G601" s="3037"/>
      <c r="H601" s="3037"/>
      <c r="I601" s="3037"/>
      <c r="J601" s="3037"/>
      <c r="K601" s="3037"/>
      <c r="L601" s="3037"/>
      <c r="M601" s="3037"/>
      <c r="N601" s="3037"/>
      <c r="O601" s="3037"/>
      <c r="P601" s="3037"/>
      <c r="Q601" s="3037"/>
      <c r="R601" s="3037"/>
      <c r="S601" s="3037"/>
      <c r="T601" s="3037"/>
      <c r="U601" s="3037"/>
      <c r="V601" s="3037"/>
      <c r="W601" s="3037"/>
      <c r="X601" s="3038"/>
    </row>
    <row r="602" spans="1:43" s="450" customFormat="1" ht="26" x14ac:dyDescent="0.25">
      <c r="A602" s="1823" t="s">
        <v>692</v>
      </c>
      <c r="B602" s="439"/>
      <c r="C602" s="1720" t="s">
        <v>36</v>
      </c>
      <c r="D602" s="467" t="s">
        <v>563</v>
      </c>
      <c r="E602" s="710">
        <v>1</v>
      </c>
      <c r="F602" s="1824">
        <v>200</v>
      </c>
      <c r="G602" s="710">
        <v>6</v>
      </c>
      <c r="H602" s="1825">
        <f>G602*F602*E602</f>
        <v>1200</v>
      </c>
      <c r="I602" s="675"/>
      <c r="J602" s="2736">
        <v>1</v>
      </c>
      <c r="K602" s="2741">
        <v>200</v>
      </c>
      <c r="L602" s="2736">
        <v>6</v>
      </c>
      <c r="M602" s="2880">
        <v>1740</v>
      </c>
      <c r="N602" s="675"/>
      <c r="O602" s="2920">
        <f>+H602+M602</f>
        <v>2940</v>
      </c>
      <c r="P602" s="697">
        <v>0</v>
      </c>
      <c r="Q602" s="709">
        <v>0</v>
      </c>
      <c r="R602" s="521"/>
      <c r="S602" s="1069">
        <f>OIM!T154</f>
        <v>6312.12</v>
      </c>
      <c r="T602" s="1071">
        <f>S602/O602</f>
        <v>2.1469795918367347</v>
      </c>
      <c r="U602" s="521" t="s">
        <v>1266</v>
      </c>
      <c r="V602" s="591">
        <v>0</v>
      </c>
      <c r="W602" s="706">
        <f>P602*S602</f>
        <v>0</v>
      </c>
      <c r="X602" s="594"/>
      <c r="Y602" s="273"/>
      <c r="Z602" s="273"/>
      <c r="AA602" s="273"/>
      <c r="AB602" s="273"/>
      <c r="AC602" s="273"/>
      <c r="AD602" s="273"/>
      <c r="AE602" s="273"/>
      <c r="AF602" s="273"/>
      <c r="AG602" s="273"/>
      <c r="AH602" s="273"/>
      <c r="AI602" s="273"/>
      <c r="AJ602" s="273"/>
      <c r="AK602" s="273"/>
      <c r="AL602" s="273"/>
      <c r="AM602" s="273"/>
      <c r="AN602" s="273"/>
      <c r="AO602" s="273"/>
      <c r="AP602" s="273"/>
      <c r="AQ602" s="273"/>
    </row>
    <row r="603" spans="1:43" s="450" customFormat="1" ht="13.9" customHeight="1" x14ac:dyDescent="0.25">
      <c r="A603" s="1823" t="s">
        <v>692</v>
      </c>
      <c r="B603" s="439"/>
      <c r="C603" s="1720" t="s">
        <v>36</v>
      </c>
      <c r="D603" s="467" t="s">
        <v>563</v>
      </c>
      <c r="E603" s="1826">
        <v>1</v>
      </c>
      <c r="F603" s="1827">
        <v>200</v>
      </c>
      <c r="G603" s="1826">
        <v>6</v>
      </c>
      <c r="H603" s="1828">
        <f>+E603*F603*G603</f>
        <v>1200</v>
      </c>
      <c r="I603" s="675"/>
      <c r="J603" s="2742">
        <v>1</v>
      </c>
      <c r="K603" s="2743">
        <v>200</v>
      </c>
      <c r="L603" s="2742">
        <v>6</v>
      </c>
      <c r="M603" s="2881">
        <f>+J603*K603*L603</f>
        <v>1200</v>
      </c>
      <c r="N603" s="697"/>
      <c r="O603" s="2923">
        <f t="shared" ref="O603:O613" si="259">+H603+M603</f>
        <v>2400</v>
      </c>
      <c r="P603" s="697">
        <v>0</v>
      </c>
      <c r="Q603" s="701">
        <v>0</v>
      </c>
      <c r="R603" s="1061"/>
      <c r="S603" s="1069">
        <v>0</v>
      </c>
      <c r="T603" s="1071">
        <f t="shared" ref="T603:T613" si="260">S603/O603</f>
        <v>0</v>
      </c>
      <c r="U603" s="1061"/>
      <c r="V603" s="591">
        <v>0</v>
      </c>
      <c r="W603" s="706">
        <f t="shared" ref="W603:W613" si="261">P603*S603</f>
        <v>0</v>
      </c>
      <c r="X603" s="594"/>
      <c r="Y603" s="273"/>
      <c r="Z603" s="273"/>
      <c r="AA603" s="273"/>
      <c r="AB603" s="273"/>
      <c r="AC603" s="273"/>
      <c r="AD603" s="273"/>
      <c r="AE603" s="273"/>
      <c r="AF603" s="273"/>
      <c r="AG603" s="273"/>
      <c r="AH603" s="273"/>
      <c r="AI603" s="273"/>
      <c r="AJ603" s="273"/>
      <c r="AK603" s="273"/>
      <c r="AL603" s="273"/>
      <c r="AM603" s="273"/>
      <c r="AN603" s="273"/>
      <c r="AO603" s="273"/>
      <c r="AP603" s="273"/>
      <c r="AQ603" s="273"/>
    </row>
    <row r="604" spans="1:43" s="450" customFormat="1" ht="23" customHeight="1" x14ac:dyDescent="0.25">
      <c r="A604" s="680"/>
      <c r="B604" s="284" t="s">
        <v>482</v>
      </c>
      <c r="C604" s="595" t="s">
        <v>36</v>
      </c>
      <c r="D604" s="467" t="s">
        <v>398</v>
      </c>
      <c r="E604" s="728">
        <v>0.5</v>
      </c>
      <c r="F604" s="729">
        <v>700</v>
      </c>
      <c r="G604" s="1068">
        <v>12</v>
      </c>
      <c r="H604" s="451">
        <f>SFCG!H108</f>
        <v>4200</v>
      </c>
      <c r="I604" s="675"/>
      <c r="J604" s="730">
        <v>0.5</v>
      </c>
      <c r="K604" s="710">
        <f>F604</f>
        <v>700</v>
      </c>
      <c r="L604" s="1078">
        <v>12</v>
      </c>
      <c r="M604" s="1834">
        <f>SFCG!M108+SFCG!N108</f>
        <v>6000</v>
      </c>
      <c r="N604" s="697"/>
      <c r="O604" s="696">
        <f t="shared" si="259"/>
        <v>10200</v>
      </c>
      <c r="P604" s="675"/>
      <c r="Q604" s="709">
        <f>O604*P604</f>
        <v>0</v>
      </c>
      <c r="R604" s="1145" t="s">
        <v>1213</v>
      </c>
      <c r="S604" s="706">
        <f>SFCG!T108</f>
        <v>22015.05</v>
      </c>
      <c r="T604" s="1071">
        <f t="shared" si="260"/>
        <v>2.1583382352941176</v>
      </c>
      <c r="U604" s="595" t="s">
        <v>483</v>
      </c>
      <c r="V604" s="591">
        <v>0</v>
      </c>
      <c r="W604" s="706">
        <f t="shared" si="261"/>
        <v>0</v>
      </c>
      <c r="X604" s="266"/>
    </row>
    <row r="605" spans="1:43" s="450" customFormat="1" ht="39" x14ac:dyDescent="0.25">
      <c r="A605" s="680"/>
      <c r="B605" s="284" t="s">
        <v>352</v>
      </c>
      <c r="C605" s="1720" t="s">
        <v>36</v>
      </c>
      <c r="D605" s="1820" t="s">
        <v>1372</v>
      </c>
      <c r="E605" s="1821">
        <v>1</v>
      </c>
      <c r="F605" s="1822">
        <v>17000</v>
      </c>
      <c r="G605" s="266">
        <v>1</v>
      </c>
      <c r="H605" s="1777">
        <f>ROUND(E605*F605*G605,2)</f>
        <v>17000</v>
      </c>
      <c r="I605" s="675"/>
      <c r="J605" s="1722"/>
      <c r="K605" s="1722">
        <v>10000</v>
      </c>
      <c r="L605" s="1722"/>
      <c r="M605" s="1834">
        <v>0</v>
      </c>
      <c r="N605" s="697">
        <v>0</v>
      </c>
      <c r="O605" s="696">
        <v>17000</v>
      </c>
      <c r="P605" s="675">
        <v>0</v>
      </c>
      <c r="Q605" s="451">
        <v>0</v>
      </c>
      <c r="R605" s="1864" t="s">
        <v>353</v>
      </c>
      <c r="S605" s="706">
        <f>'MERCY COPRS'!H127</f>
        <v>19487.900000000005</v>
      </c>
      <c r="T605" s="591"/>
      <c r="U605" s="595"/>
      <c r="V605" s="591">
        <v>0</v>
      </c>
      <c r="W605" s="706">
        <f>P605*S605</f>
        <v>0</v>
      </c>
      <c r="X605" s="594"/>
    </row>
    <row r="606" spans="1:43" s="450" customFormat="1" ht="24" customHeight="1" x14ac:dyDescent="0.25">
      <c r="A606" s="284" t="s">
        <v>354</v>
      </c>
      <c r="B606" s="284" t="s">
        <v>354</v>
      </c>
      <c r="C606" s="1720" t="s">
        <v>36</v>
      </c>
      <c r="D606" s="1820" t="s">
        <v>1372</v>
      </c>
      <c r="E606" s="1821">
        <v>1</v>
      </c>
      <c r="F606" s="1822">
        <v>33000</v>
      </c>
      <c r="G606" s="266">
        <v>1</v>
      </c>
      <c r="H606" s="1777">
        <f>ROUND(E606*F606*G606,2)</f>
        <v>33000</v>
      </c>
      <c r="I606" s="1060"/>
      <c r="J606" s="1722"/>
      <c r="K606" s="1722"/>
      <c r="L606" s="1722"/>
      <c r="M606" s="1834"/>
      <c r="N606" s="697"/>
      <c r="O606" s="696">
        <v>33000</v>
      </c>
      <c r="P606" s="675">
        <v>0</v>
      </c>
      <c r="Q606" s="1741">
        <v>0</v>
      </c>
      <c r="R606" s="1810" t="s">
        <v>355</v>
      </c>
      <c r="S606" s="706">
        <f>'MERCY COPRS'!H132</f>
        <v>38758.99</v>
      </c>
      <c r="T606" s="1071">
        <f t="shared" si="260"/>
        <v>1.1745148484848484</v>
      </c>
      <c r="U606" s="595"/>
      <c r="V606" s="591">
        <v>0</v>
      </c>
      <c r="W606" s="706">
        <f t="shared" si="261"/>
        <v>0</v>
      </c>
      <c r="X606" s="594"/>
    </row>
    <row r="607" spans="1:43" s="450" customFormat="1" ht="28" customHeight="1" x14ac:dyDescent="0.25">
      <c r="A607" s="284"/>
      <c r="B607" s="595" t="s">
        <v>895</v>
      </c>
      <c r="C607" s="1720" t="s">
        <v>36</v>
      </c>
      <c r="D607" s="467" t="s">
        <v>724</v>
      </c>
      <c r="E607" s="724">
        <v>800</v>
      </c>
      <c r="F607" s="266">
        <v>1</v>
      </c>
      <c r="G607" s="266">
        <v>1</v>
      </c>
      <c r="H607" s="722">
        <f>CARITAS!H101</f>
        <v>800</v>
      </c>
      <c r="I607" s="714"/>
      <c r="J607" s="722"/>
      <c r="K607" s="722"/>
      <c r="L607" s="722"/>
      <c r="M607" s="2875">
        <v>0</v>
      </c>
      <c r="N607" s="1784"/>
      <c r="O607" s="2921">
        <f t="shared" si="259"/>
        <v>800</v>
      </c>
      <c r="P607" s="675">
        <v>0.5</v>
      </c>
      <c r="Q607" s="1741">
        <f>O607/2</f>
        <v>400</v>
      </c>
      <c r="R607" s="522" t="s">
        <v>896</v>
      </c>
      <c r="S607" s="1865">
        <f>CARITAS!S101</f>
        <v>800</v>
      </c>
      <c r="T607" s="1071">
        <f t="shared" si="260"/>
        <v>1</v>
      </c>
      <c r="U607" s="595" t="s">
        <v>897</v>
      </c>
      <c r="V607" s="591">
        <f t="shared" ref="V607:V611" si="262">W607/Q607</f>
        <v>1</v>
      </c>
      <c r="W607" s="706">
        <f t="shared" si="261"/>
        <v>400</v>
      </c>
      <c r="X607" s="522" t="s">
        <v>896</v>
      </c>
    </row>
    <row r="608" spans="1:43" s="450" customFormat="1" ht="30.75" customHeight="1" x14ac:dyDescent="0.25">
      <c r="A608" s="284"/>
      <c r="B608" s="595" t="s">
        <v>898</v>
      </c>
      <c r="C608" s="1720" t="s">
        <v>36</v>
      </c>
      <c r="D608" s="467" t="s">
        <v>724</v>
      </c>
      <c r="E608" s="724">
        <v>5000</v>
      </c>
      <c r="F608" s="266">
        <v>1</v>
      </c>
      <c r="G608" s="266">
        <v>1</v>
      </c>
      <c r="H608" s="722">
        <f>CARITAS!H102</f>
        <v>5000</v>
      </c>
      <c r="I608" s="714"/>
      <c r="J608" s="722"/>
      <c r="K608" s="722"/>
      <c r="L608" s="722"/>
      <c r="M608" s="2875">
        <v>0</v>
      </c>
      <c r="N608" s="1784"/>
      <c r="O608" s="2921">
        <f t="shared" si="259"/>
        <v>5000</v>
      </c>
      <c r="P608" s="675">
        <v>0.5</v>
      </c>
      <c r="Q608" s="1741">
        <f t="shared" ref="Q608:Q610" si="263">O608/2</f>
        <v>2500</v>
      </c>
      <c r="R608" s="522" t="s">
        <v>899</v>
      </c>
      <c r="S608" s="1865">
        <f>CARITAS!S102</f>
        <v>5000</v>
      </c>
      <c r="T608" s="1071">
        <f t="shared" si="260"/>
        <v>1</v>
      </c>
      <c r="U608" s="595" t="s">
        <v>900</v>
      </c>
      <c r="V608" s="591">
        <f t="shared" si="262"/>
        <v>1</v>
      </c>
      <c r="W608" s="706">
        <f t="shared" si="261"/>
        <v>2500</v>
      </c>
      <c r="X608" s="522" t="s">
        <v>899</v>
      </c>
    </row>
    <row r="609" spans="1:485" s="450" customFormat="1" ht="39" x14ac:dyDescent="0.25">
      <c r="A609" s="284"/>
      <c r="B609" s="595" t="s">
        <v>901</v>
      </c>
      <c r="C609" s="1720" t="s">
        <v>36</v>
      </c>
      <c r="D609" s="467" t="s">
        <v>724</v>
      </c>
      <c r="E609" s="724">
        <v>1</v>
      </c>
      <c r="F609" s="266">
        <v>3000</v>
      </c>
      <c r="G609" s="266">
        <v>1</v>
      </c>
      <c r="H609" s="722">
        <f>CARITAS!H103</f>
        <v>3000</v>
      </c>
      <c r="I609" s="714"/>
      <c r="J609" s="722">
        <v>0</v>
      </c>
      <c r="K609" s="722">
        <v>0</v>
      </c>
      <c r="L609" s="722">
        <v>0</v>
      </c>
      <c r="M609" s="2875">
        <f>J609*K609*L609</f>
        <v>0</v>
      </c>
      <c r="N609" s="1784"/>
      <c r="O609" s="2921">
        <f t="shared" si="259"/>
        <v>3000</v>
      </c>
      <c r="P609" s="675">
        <v>0.5</v>
      </c>
      <c r="Q609" s="1741">
        <f t="shared" si="263"/>
        <v>1500</v>
      </c>
      <c r="R609" s="522" t="s">
        <v>902</v>
      </c>
      <c r="S609" s="1865">
        <f>CARITAS!S103</f>
        <v>3000</v>
      </c>
      <c r="T609" s="1071">
        <f t="shared" si="260"/>
        <v>1</v>
      </c>
      <c r="U609" s="595" t="s">
        <v>903</v>
      </c>
      <c r="V609" s="591">
        <f t="shared" si="262"/>
        <v>1</v>
      </c>
      <c r="W609" s="706">
        <f t="shared" si="261"/>
        <v>1500</v>
      </c>
      <c r="X609" s="522" t="s">
        <v>902</v>
      </c>
    </row>
    <row r="610" spans="1:485" s="450" customFormat="1" x14ac:dyDescent="0.25">
      <c r="A610" s="284"/>
      <c r="B610" s="595" t="s">
        <v>904</v>
      </c>
      <c r="C610" s="1720" t="s">
        <v>36</v>
      </c>
      <c r="D610" s="467" t="s">
        <v>724</v>
      </c>
      <c r="E610" s="724">
        <v>3</v>
      </c>
      <c r="F610" s="266">
        <v>5000</v>
      </c>
      <c r="G610" s="266">
        <v>1</v>
      </c>
      <c r="H610" s="722">
        <f>CARITAS!H104</f>
        <v>15000</v>
      </c>
      <c r="I610" s="714"/>
      <c r="J610" s="722">
        <v>0</v>
      </c>
      <c r="K610" s="722">
        <v>0</v>
      </c>
      <c r="L610" s="722">
        <v>0</v>
      </c>
      <c r="M610" s="2875">
        <f>J610*K610*L610</f>
        <v>0</v>
      </c>
      <c r="N610" s="1784"/>
      <c r="O610" s="2921">
        <f t="shared" si="259"/>
        <v>15000</v>
      </c>
      <c r="P610" s="675">
        <v>0.5</v>
      </c>
      <c r="Q610" s="1741">
        <f t="shared" si="263"/>
        <v>7500</v>
      </c>
      <c r="R610" s="522" t="s">
        <v>905</v>
      </c>
      <c r="S610" s="1865">
        <f>CARITAS!S104</f>
        <v>15000</v>
      </c>
      <c r="T610" s="1071">
        <f t="shared" si="260"/>
        <v>1</v>
      </c>
      <c r="U610" s="595" t="s">
        <v>906</v>
      </c>
      <c r="V610" s="591">
        <f t="shared" si="262"/>
        <v>1</v>
      </c>
      <c r="W610" s="706">
        <f t="shared" si="261"/>
        <v>7500</v>
      </c>
      <c r="X610" s="522" t="s">
        <v>905</v>
      </c>
    </row>
    <row r="611" spans="1:485" s="450" customFormat="1" ht="26" x14ac:dyDescent="0.25">
      <c r="A611" s="680"/>
      <c r="B611" s="284" t="s">
        <v>1065</v>
      </c>
      <c r="C611" s="1720" t="s">
        <v>36</v>
      </c>
      <c r="D611" s="598" t="s">
        <v>955</v>
      </c>
      <c r="E611" s="468">
        <v>2</v>
      </c>
      <c r="F611" s="467">
        <v>485</v>
      </c>
      <c r="G611" s="467">
        <v>1</v>
      </c>
      <c r="H611" s="451">
        <f t="shared" ref="H611" si="264">E611*F611*G611</f>
        <v>970</v>
      </c>
      <c r="I611" s="675">
        <v>1</v>
      </c>
      <c r="J611" s="451"/>
      <c r="K611" s="451"/>
      <c r="L611" s="451"/>
      <c r="M611" s="1834">
        <f t="shared" ref="M611" si="265">J611*K611*L611</f>
        <v>0</v>
      </c>
      <c r="N611" s="697">
        <v>0</v>
      </c>
      <c r="O611" s="2921">
        <f t="shared" si="259"/>
        <v>970</v>
      </c>
      <c r="P611" s="675">
        <v>1</v>
      </c>
      <c r="Q611" s="451">
        <f t="shared" ref="Q611:Q613" si="266">O611*P611</f>
        <v>970</v>
      </c>
      <c r="R611" s="522" t="s">
        <v>1066</v>
      </c>
      <c r="S611" s="452">
        <f>COOPI!S85</f>
        <v>970</v>
      </c>
      <c r="T611" s="1071">
        <f t="shared" si="260"/>
        <v>1</v>
      </c>
      <c r="U611" s="894" t="s">
        <v>606</v>
      </c>
      <c r="V611" s="591">
        <f t="shared" si="262"/>
        <v>1</v>
      </c>
      <c r="W611" s="706">
        <f t="shared" si="261"/>
        <v>970</v>
      </c>
      <c r="X611" s="452" t="s">
        <v>606</v>
      </c>
      <c r="Y611" s="273"/>
      <c r="Z611" s="273"/>
      <c r="AA611" s="273"/>
      <c r="AB611" s="273"/>
      <c r="AC611" s="273"/>
      <c r="AD611" s="273"/>
      <c r="AE611" s="273"/>
      <c r="AF611" s="273"/>
      <c r="AG611" s="273"/>
      <c r="AH611" s="273"/>
      <c r="AI611" s="273"/>
      <c r="AJ611" s="273"/>
      <c r="AK611" s="273"/>
      <c r="AL611" s="273"/>
      <c r="AM611" s="273"/>
      <c r="AN611" s="273"/>
      <c r="AO611" s="273"/>
      <c r="AP611" s="273"/>
      <c r="AQ611" s="273"/>
      <c r="AR611" s="273"/>
      <c r="AS611" s="273"/>
      <c r="AT611" s="273"/>
      <c r="AU611" s="273"/>
      <c r="AV611" s="273"/>
      <c r="AW611" s="273"/>
      <c r="AX611" s="273"/>
      <c r="AY611" s="273"/>
      <c r="AZ611" s="273"/>
      <c r="BA611" s="273"/>
      <c r="BB611" s="273"/>
      <c r="BC611" s="273"/>
      <c r="BD611" s="273"/>
      <c r="BE611" s="273"/>
      <c r="BF611" s="273"/>
      <c r="BG611" s="273"/>
      <c r="BH611" s="273"/>
      <c r="BI611" s="273"/>
      <c r="BJ611" s="273"/>
      <c r="BK611" s="273"/>
      <c r="BL611" s="273"/>
      <c r="BM611" s="273"/>
      <c r="BN611" s="273"/>
      <c r="BO611" s="273"/>
      <c r="BP611" s="273"/>
      <c r="BQ611" s="273"/>
      <c r="BR611" s="273"/>
      <c r="BS611" s="273"/>
      <c r="BT611" s="273"/>
      <c r="BU611" s="273"/>
      <c r="BV611" s="273"/>
      <c r="BW611" s="273"/>
      <c r="BX611" s="273"/>
      <c r="BY611" s="273"/>
      <c r="BZ611" s="273"/>
      <c r="CA611" s="273"/>
      <c r="CB611" s="273"/>
      <c r="CC611" s="273"/>
      <c r="CD611" s="273"/>
      <c r="CE611" s="273"/>
      <c r="CF611" s="273"/>
      <c r="CG611" s="273"/>
      <c r="CH611" s="273"/>
      <c r="CI611" s="273"/>
      <c r="CJ611" s="273"/>
      <c r="CK611" s="273"/>
      <c r="CL611" s="273"/>
      <c r="CM611" s="273"/>
      <c r="CN611" s="273"/>
      <c r="CO611" s="273"/>
      <c r="CP611" s="273"/>
      <c r="CQ611" s="273"/>
      <c r="CR611" s="273"/>
      <c r="CS611" s="273"/>
      <c r="CT611" s="273"/>
      <c r="CU611" s="273"/>
      <c r="CV611" s="273"/>
      <c r="CW611" s="273"/>
      <c r="CX611" s="273"/>
      <c r="CY611" s="273"/>
      <c r="CZ611" s="273"/>
      <c r="DA611" s="273"/>
      <c r="DB611" s="273"/>
      <c r="DC611" s="273"/>
      <c r="DD611" s="273"/>
      <c r="DE611" s="273"/>
      <c r="DF611" s="273"/>
      <c r="DG611" s="273"/>
      <c r="DH611" s="273"/>
      <c r="DI611" s="273"/>
      <c r="DJ611" s="273"/>
      <c r="DK611" s="273"/>
      <c r="DL611" s="273"/>
      <c r="DM611" s="273"/>
      <c r="DN611" s="273"/>
      <c r="DO611" s="273"/>
      <c r="DP611" s="273"/>
      <c r="DQ611" s="273"/>
      <c r="DR611" s="273"/>
      <c r="DS611" s="273"/>
      <c r="DT611" s="273"/>
      <c r="DU611" s="273"/>
      <c r="DV611" s="273"/>
      <c r="DW611" s="273"/>
      <c r="DX611" s="273"/>
      <c r="DY611" s="273"/>
      <c r="DZ611" s="273"/>
      <c r="EA611" s="273"/>
      <c r="EB611" s="273"/>
      <c r="EC611" s="273"/>
      <c r="ED611" s="273"/>
      <c r="EE611" s="273"/>
      <c r="EF611" s="273"/>
      <c r="EG611" s="273"/>
      <c r="EH611" s="273"/>
      <c r="EI611" s="273"/>
      <c r="EJ611" s="273"/>
      <c r="EK611" s="273"/>
      <c r="EL611" s="273"/>
      <c r="EM611" s="273"/>
      <c r="EN611" s="273"/>
      <c r="EO611" s="273"/>
      <c r="EP611" s="273"/>
      <c r="EQ611" s="273"/>
      <c r="ER611" s="273"/>
      <c r="ES611" s="273"/>
      <c r="ET611" s="273"/>
      <c r="EU611" s="273"/>
      <c r="EV611" s="273"/>
      <c r="EW611" s="273"/>
      <c r="EX611" s="273"/>
      <c r="EY611" s="273"/>
      <c r="EZ611" s="273"/>
      <c r="FA611" s="273"/>
      <c r="FB611" s="273"/>
      <c r="FC611" s="273"/>
      <c r="FD611" s="273"/>
      <c r="FE611" s="273"/>
      <c r="FF611" s="273"/>
      <c r="FG611" s="273"/>
      <c r="FH611" s="273"/>
      <c r="FI611" s="273"/>
      <c r="FJ611" s="273"/>
      <c r="FK611" s="273"/>
      <c r="FL611" s="273"/>
      <c r="FM611" s="273"/>
      <c r="FN611" s="273"/>
      <c r="FO611" s="273"/>
      <c r="FP611" s="273"/>
      <c r="FQ611" s="273"/>
      <c r="FR611" s="273"/>
      <c r="FS611" s="273"/>
      <c r="FT611" s="273"/>
      <c r="FU611" s="273"/>
      <c r="FV611" s="273"/>
      <c r="FW611" s="273"/>
      <c r="FX611" s="273"/>
      <c r="FY611" s="273"/>
      <c r="FZ611" s="273"/>
      <c r="GA611" s="273"/>
      <c r="GB611" s="273"/>
      <c r="GC611" s="273"/>
      <c r="GD611" s="273"/>
      <c r="GE611" s="273"/>
      <c r="GF611" s="273"/>
      <c r="GG611" s="273"/>
      <c r="GH611" s="273"/>
      <c r="GI611" s="273"/>
      <c r="GJ611" s="273"/>
      <c r="GK611" s="273"/>
      <c r="GL611" s="273"/>
      <c r="GM611" s="273"/>
      <c r="GN611" s="273"/>
      <c r="GO611" s="273"/>
      <c r="GP611" s="273"/>
      <c r="GQ611" s="273"/>
      <c r="GR611" s="273"/>
      <c r="GS611" s="273"/>
      <c r="GT611" s="273"/>
      <c r="GU611" s="273"/>
      <c r="GV611" s="273"/>
      <c r="GW611" s="273"/>
      <c r="GX611" s="273"/>
      <c r="GY611" s="273"/>
      <c r="GZ611" s="273"/>
      <c r="HA611" s="273"/>
      <c r="HB611" s="273"/>
      <c r="HC611" s="273"/>
      <c r="HD611" s="273"/>
      <c r="HE611" s="273"/>
      <c r="HF611" s="273"/>
      <c r="HG611" s="273"/>
      <c r="HH611" s="273"/>
      <c r="HI611" s="273"/>
      <c r="HJ611" s="273"/>
      <c r="HK611" s="273"/>
      <c r="HL611" s="273"/>
      <c r="HM611" s="273"/>
      <c r="HN611" s="273"/>
      <c r="HO611" s="273"/>
      <c r="HP611" s="273"/>
      <c r="HQ611" s="273"/>
      <c r="HR611" s="273"/>
      <c r="HS611" s="273"/>
      <c r="HT611" s="273"/>
      <c r="HU611" s="273"/>
      <c r="HV611" s="273"/>
      <c r="HW611" s="273"/>
      <c r="HX611" s="273"/>
      <c r="HY611" s="273"/>
      <c r="HZ611" s="273"/>
      <c r="IA611" s="273"/>
      <c r="IB611" s="273"/>
      <c r="IC611" s="273"/>
      <c r="ID611" s="273"/>
      <c r="IE611" s="273"/>
      <c r="IF611" s="273"/>
      <c r="IG611" s="273"/>
      <c r="IH611" s="273"/>
      <c r="II611" s="273"/>
      <c r="IJ611" s="273"/>
      <c r="IK611" s="273"/>
      <c r="IL611" s="273"/>
      <c r="IM611" s="273"/>
      <c r="IN611" s="273"/>
      <c r="IO611" s="273"/>
      <c r="IP611" s="273"/>
      <c r="IQ611" s="273"/>
      <c r="IR611" s="273"/>
      <c r="IS611" s="273"/>
      <c r="IT611" s="273"/>
      <c r="IU611" s="273"/>
      <c r="IV611" s="273"/>
      <c r="IW611" s="273"/>
      <c r="IX611" s="273"/>
      <c r="IY611" s="273"/>
      <c r="IZ611" s="273"/>
      <c r="JA611" s="273"/>
      <c r="JB611" s="273"/>
      <c r="JC611" s="273"/>
      <c r="JD611" s="273"/>
      <c r="JE611" s="273"/>
      <c r="JF611" s="273"/>
      <c r="JG611" s="273"/>
      <c r="JH611" s="273"/>
      <c r="JI611" s="273"/>
      <c r="JJ611" s="273"/>
      <c r="JK611" s="273"/>
      <c r="JL611" s="273"/>
      <c r="JM611" s="273"/>
      <c r="JN611" s="273"/>
      <c r="JO611" s="273"/>
      <c r="JP611" s="273"/>
      <c r="JQ611" s="273"/>
      <c r="JR611" s="273"/>
      <c r="JS611" s="273"/>
      <c r="JT611" s="273"/>
      <c r="JU611" s="273"/>
      <c r="JV611" s="273"/>
      <c r="JW611" s="273"/>
      <c r="JX611" s="273"/>
      <c r="JY611" s="273"/>
      <c r="JZ611" s="273"/>
      <c r="KA611" s="273"/>
      <c r="KB611" s="273"/>
      <c r="KC611" s="273"/>
      <c r="KD611" s="273"/>
      <c r="KE611" s="273"/>
      <c r="KF611" s="273"/>
      <c r="KG611" s="273"/>
      <c r="KH611" s="273"/>
      <c r="KI611" s="273"/>
      <c r="KJ611" s="273"/>
      <c r="KK611" s="273"/>
      <c r="KL611" s="273"/>
      <c r="KM611" s="273"/>
      <c r="KN611" s="273"/>
      <c r="KO611" s="273"/>
      <c r="KP611" s="273"/>
      <c r="KQ611" s="273"/>
      <c r="KR611" s="273"/>
      <c r="KS611" s="273"/>
      <c r="KT611" s="273"/>
      <c r="KU611" s="273"/>
      <c r="KV611" s="273"/>
      <c r="KW611" s="273"/>
      <c r="KX611" s="273"/>
      <c r="KY611" s="273"/>
      <c r="KZ611" s="273"/>
      <c r="LA611" s="273"/>
      <c r="LB611" s="273"/>
      <c r="LC611" s="273"/>
      <c r="LD611" s="273"/>
      <c r="LE611" s="273"/>
      <c r="LF611" s="273"/>
      <c r="LG611" s="273"/>
      <c r="LH611" s="273"/>
      <c r="LI611" s="273"/>
      <c r="LJ611" s="273"/>
      <c r="LK611" s="273"/>
      <c r="LL611" s="273"/>
      <c r="LM611" s="273"/>
      <c r="LN611" s="273"/>
      <c r="LO611" s="273"/>
      <c r="LP611" s="273"/>
      <c r="LQ611" s="273"/>
      <c r="LR611" s="273"/>
      <c r="LS611" s="273"/>
      <c r="LT611" s="273"/>
      <c r="LU611" s="273"/>
      <c r="LV611" s="273"/>
      <c r="LW611" s="273"/>
      <c r="LX611" s="273"/>
      <c r="LY611" s="273"/>
      <c r="LZ611" s="273"/>
      <c r="MA611" s="273"/>
      <c r="MB611" s="273"/>
      <c r="MC611" s="273"/>
      <c r="MD611" s="273"/>
      <c r="ME611" s="273"/>
      <c r="MF611" s="273"/>
      <c r="MG611" s="273"/>
      <c r="MH611" s="273"/>
      <c r="MI611" s="273"/>
      <c r="MJ611" s="273"/>
      <c r="MK611" s="273"/>
      <c r="ML611" s="273"/>
      <c r="MM611" s="273"/>
      <c r="MN611" s="273"/>
      <c r="MO611" s="273"/>
      <c r="MP611" s="273"/>
      <c r="MQ611" s="273"/>
      <c r="MR611" s="273"/>
      <c r="MS611" s="273"/>
      <c r="MT611" s="273"/>
      <c r="MU611" s="273"/>
      <c r="MV611" s="273"/>
      <c r="MW611" s="273"/>
      <c r="MX611" s="273"/>
      <c r="MY611" s="273"/>
      <c r="MZ611" s="273"/>
      <c r="NA611" s="273"/>
      <c r="NB611" s="273"/>
      <c r="NC611" s="273"/>
      <c r="ND611" s="273"/>
      <c r="NE611" s="273"/>
      <c r="NF611" s="273"/>
      <c r="NG611" s="273"/>
      <c r="NH611" s="273"/>
      <c r="NI611" s="273"/>
      <c r="NJ611" s="273"/>
      <c r="NK611" s="273"/>
      <c r="NL611" s="273"/>
      <c r="NM611" s="273"/>
      <c r="NN611" s="273"/>
      <c r="NO611" s="273"/>
      <c r="NP611" s="273"/>
      <c r="NQ611" s="273"/>
      <c r="NR611" s="273"/>
      <c r="NS611" s="273"/>
      <c r="NT611" s="273"/>
      <c r="NU611" s="273"/>
      <c r="NV611" s="273"/>
      <c r="NW611" s="273"/>
      <c r="NX611" s="273"/>
      <c r="NY611" s="273"/>
      <c r="NZ611" s="273"/>
      <c r="OA611" s="273"/>
      <c r="OB611" s="273"/>
      <c r="OC611" s="273"/>
      <c r="OD611" s="273"/>
      <c r="OE611" s="273"/>
      <c r="OF611" s="273"/>
      <c r="OG611" s="273"/>
      <c r="OH611" s="273"/>
      <c r="OI611" s="273"/>
      <c r="OJ611" s="273"/>
      <c r="OK611" s="273"/>
      <c r="OL611" s="273"/>
      <c r="OM611" s="273"/>
      <c r="ON611" s="273"/>
      <c r="OO611" s="273"/>
      <c r="OP611" s="273"/>
      <c r="OQ611" s="273"/>
      <c r="OR611" s="273"/>
      <c r="OS611" s="273"/>
      <c r="OT611" s="273"/>
      <c r="OU611" s="273"/>
      <c r="OV611" s="273"/>
      <c r="OW611" s="273"/>
      <c r="OX611" s="273"/>
      <c r="OY611" s="273"/>
      <c r="OZ611" s="273"/>
      <c r="PA611" s="273"/>
      <c r="PB611" s="273"/>
      <c r="PC611" s="273"/>
      <c r="PD611" s="273"/>
      <c r="PE611" s="273"/>
      <c r="PF611" s="273"/>
      <c r="PG611" s="273"/>
      <c r="PH611" s="273"/>
      <c r="PI611" s="273"/>
      <c r="PJ611" s="273"/>
      <c r="PK611" s="273"/>
      <c r="PL611" s="273"/>
      <c r="PM611" s="273"/>
      <c r="PN611" s="273"/>
      <c r="PO611" s="273"/>
      <c r="PP611" s="273"/>
      <c r="PQ611" s="273"/>
      <c r="PR611" s="273"/>
      <c r="PS611" s="273"/>
      <c r="PT611" s="273"/>
      <c r="PU611" s="273"/>
      <c r="PV611" s="273"/>
      <c r="PW611" s="273"/>
      <c r="PX611" s="273"/>
      <c r="PY611" s="273"/>
      <c r="PZ611" s="273"/>
      <c r="QA611" s="273"/>
      <c r="QB611" s="273"/>
      <c r="QC611" s="273"/>
      <c r="QD611" s="273"/>
      <c r="QE611" s="273"/>
      <c r="QF611" s="273"/>
      <c r="QG611" s="273"/>
      <c r="QH611" s="273"/>
      <c r="QI611" s="273"/>
      <c r="QJ611" s="273"/>
      <c r="QK611" s="273"/>
      <c r="QL611" s="273"/>
      <c r="QM611" s="273"/>
      <c r="QN611" s="273"/>
      <c r="QO611" s="273"/>
      <c r="QP611" s="273"/>
      <c r="QQ611" s="273"/>
      <c r="QR611" s="273"/>
      <c r="QS611" s="273"/>
      <c r="QT611" s="273"/>
      <c r="QU611" s="273"/>
      <c r="QV611" s="273"/>
      <c r="QW611" s="273"/>
      <c r="QX611" s="273"/>
      <c r="QY611" s="273"/>
      <c r="QZ611" s="273"/>
      <c r="RA611" s="273"/>
      <c r="RB611" s="273"/>
      <c r="RC611" s="273"/>
      <c r="RD611" s="273"/>
      <c r="RE611" s="273"/>
      <c r="RF611" s="273"/>
      <c r="RG611" s="273"/>
      <c r="RH611" s="273"/>
      <c r="RI611" s="273"/>
      <c r="RJ611" s="273"/>
      <c r="RK611" s="273"/>
      <c r="RL611" s="273"/>
      <c r="RM611" s="273"/>
      <c r="RN611" s="273"/>
      <c r="RO611" s="273"/>
      <c r="RP611" s="273"/>
      <c r="RQ611" s="273"/>
    </row>
    <row r="612" spans="1:485" s="450" customFormat="1" x14ac:dyDescent="0.25">
      <c r="A612" s="541" t="s">
        <v>171</v>
      </c>
      <c r="B612" s="284"/>
      <c r="C612" s="595" t="s">
        <v>36</v>
      </c>
      <c r="D612" s="467" t="s">
        <v>100</v>
      </c>
      <c r="E612" s="1793">
        <v>0</v>
      </c>
      <c r="F612" s="674">
        <v>0</v>
      </c>
      <c r="G612" s="674">
        <v>0</v>
      </c>
      <c r="H612" s="451">
        <v>0</v>
      </c>
      <c r="I612" s="675">
        <v>0</v>
      </c>
      <c r="J612" s="680">
        <v>2</v>
      </c>
      <c r="K612" s="680">
        <v>2500</v>
      </c>
      <c r="L612" s="680">
        <v>1</v>
      </c>
      <c r="M612" s="1834">
        <f>J612*K612*L612</f>
        <v>5000</v>
      </c>
      <c r="N612" s="697"/>
      <c r="O612" s="2921">
        <f t="shared" si="259"/>
        <v>5000</v>
      </c>
      <c r="P612" s="675">
        <v>0</v>
      </c>
      <c r="Q612" s="451">
        <f t="shared" si="266"/>
        <v>0</v>
      </c>
      <c r="R612" s="1143"/>
      <c r="S612" s="706">
        <f>UNHABITAT!V72</f>
        <v>5446</v>
      </c>
      <c r="T612" s="1071">
        <f t="shared" si="260"/>
        <v>1.0891999999999999</v>
      </c>
      <c r="U612" s="541"/>
      <c r="V612" s="591">
        <v>0</v>
      </c>
      <c r="W612" s="706">
        <f t="shared" si="261"/>
        <v>0</v>
      </c>
      <c r="X612" s="594"/>
    </row>
    <row r="613" spans="1:485" s="450" customFormat="1" ht="27.65" customHeight="1" x14ac:dyDescent="0.25">
      <c r="A613" s="680"/>
      <c r="B613" s="540"/>
      <c r="C613" s="595" t="s">
        <v>36</v>
      </c>
      <c r="D613" s="467" t="s">
        <v>500</v>
      </c>
      <c r="E613" s="724"/>
      <c r="F613" s="266"/>
      <c r="G613" s="266"/>
      <c r="H613" s="451">
        <v>4000</v>
      </c>
      <c r="I613" s="451">
        <v>0</v>
      </c>
      <c r="J613" s="451"/>
      <c r="K613" s="451"/>
      <c r="L613" s="451"/>
      <c r="M613" s="1834">
        <v>0</v>
      </c>
      <c r="N613" s="697"/>
      <c r="O613" s="2921">
        <f t="shared" si="259"/>
        <v>4000</v>
      </c>
      <c r="P613" s="675">
        <v>0</v>
      </c>
      <c r="Q613" s="451">
        <f t="shared" si="266"/>
        <v>0</v>
      </c>
      <c r="R613" s="1069"/>
      <c r="S613" s="706">
        <f>ACIAR!T184</f>
        <v>7287.77</v>
      </c>
      <c r="T613" s="1071">
        <f t="shared" si="260"/>
        <v>1.8219425</v>
      </c>
      <c r="U613" s="1738" t="s">
        <v>1354</v>
      </c>
      <c r="V613" s="591">
        <v>0</v>
      </c>
      <c r="W613" s="706">
        <f t="shared" si="261"/>
        <v>0</v>
      </c>
      <c r="X613" s="594"/>
    </row>
    <row r="614" spans="1:485" s="454" customFormat="1" ht="15.65" customHeight="1" x14ac:dyDescent="0.25">
      <c r="A614" s="285"/>
      <c r="B614" s="711" t="s">
        <v>573</v>
      </c>
      <c r="C614" s="711"/>
      <c r="D614" s="897"/>
      <c r="E614" s="712"/>
      <c r="F614" s="712"/>
      <c r="G614" s="712"/>
      <c r="H614" s="1123">
        <f>SUM(H602:H613)</f>
        <v>85370</v>
      </c>
      <c r="I614" s="716"/>
      <c r="J614" s="1077"/>
      <c r="K614" s="1077"/>
      <c r="L614" s="1077"/>
      <c r="M614" s="2870">
        <f>SUM(M602:M613)</f>
        <v>13940</v>
      </c>
      <c r="N614" s="716"/>
      <c r="O614" s="1123">
        <f>SUM(O602:O613)</f>
        <v>99310</v>
      </c>
      <c r="P614" s="1076"/>
      <c r="Q614" s="713">
        <f>SUM(Q602:Q613)</f>
        <v>12870</v>
      </c>
      <c r="R614" s="1125"/>
      <c r="S614" s="1672">
        <f>SUM(S602:S613)</f>
        <v>124077.83</v>
      </c>
      <c r="T614" s="1126">
        <f>S614/O614</f>
        <v>1.2493991541637297</v>
      </c>
      <c r="U614" s="715"/>
      <c r="V614" s="600">
        <f>W614/Q614</f>
        <v>1</v>
      </c>
      <c r="W614" s="1127">
        <f>SUM(W602:W613)</f>
        <v>12870</v>
      </c>
      <c r="X614" s="600"/>
      <c r="Y614" s="670"/>
      <c r="Z614" s="670"/>
      <c r="AA614" s="670"/>
      <c r="AB614" s="670"/>
      <c r="AC614" s="670"/>
      <c r="AD614" s="670"/>
      <c r="AE614" s="670"/>
      <c r="AF614" s="670"/>
      <c r="AG614" s="670"/>
      <c r="AH614" s="670"/>
      <c r="AI614" s="670"/>
      <c r="AJ614" s="670"/>
      <c r="AK614" s="670"/>
      <c r="AL614" s="670"/>
      <c r="AM614" s="670"/>
      <c r="AN614" s="670"/>
      <c r="AO614" s="670"/>
      <c r="AP614" s="670"/>
      <c r="AQ614" s="670"/>
    </row>
    <row r="615" spans="1:485" s="461" customFormat="1" x14ac:dyDescent="0.25">
      <c r="A615" s="3036" t="s">
        <v>57</v>
      </c>
      <c r="B615" s="3037"/>
      <c r="C615" s="3037"/>
      <c r="D615" s="3037"/>
      <c r="E615" s="3037"/>
      <c r="F615" s="3037"/>
      <c r="G615" s="3037"/>
      <c r="H615" s="3037"/>
      <c r="I615" s="3037"/>
      <c r="J615" s="3037"/>
      <c r="K615" s="3037"/>
      <c r="L615" s="3037"/>
      <c r="M615" s="3037"/>
      <c r="N615" s="3037"/>
      <c r="O615" s="3037"/>
      <c r="P615" s="3037"/>
      <c r="Q615" s="3037"/>
      <c r="R615" s="3037"/>
      <c r="S615" s="3037"/>
      <c r="T615" s="3037"/>
      <c r="U615" s="3037"/>
      <c r="V615" s="3037"/>
      <c r="W615" s="3037"/>
      <c r="X615" s="3038"/>
    </row>
    <row r="616" spans="1:485" s="450" customFormat="1" x14ac:dyDescent="0.25">
      <c r="A616" s="1146" t="s">
        <v>693</v>
      </c>
      <c r="B616" s="439"/>
      <c r="C616" s="1720" t="s">
        <v>47</v>
      </c>
      <c r="D616" s="598" t="s">
        <v>563</v>
      </c>
      <c r="E616" s="724">
        <v>1</v>
      </c>
      <c r="F616" s="1824">
        <v>500</v>
      </c>
      <c r="G616" s="724">
        <v>6</v>
      </c>
      <c r="H616" s="1825">
        <f>G616*F616*E616</f>
        <v>3000</v>
      </c>
      <c r="I616" s="675"/>
      <c r="J616" s="2736">
        <v>1</v>
      </c>
      <c r="K616" s="2741">
        <v>500</v>
      </c>
      <c r="L616" s="2736">
        <v>6</v>
      </c>
      <c r="M616" s="2880">
        <v>4944</v>
      </c>
      <c r="N616" s="675"/>
      <c r="O616" s="2920">
        <f>M616+H616</f>
        <v>7944</v>
      </c>
      <c r="P616" s="697">
        <v>0</v>
      </c>
      <c r="Q616" s="709">
        <v>0</v>
      </c>
      <c r="R616" s="521"/>
      <c r="S616" s="1069">
        <f>OIM!T158</f>
        <v>17184.080000000002</v>
      </c>
      <c r="T616" s="1071">
        <f>S616/O616</f>
        <v>2.1631520644511584</v>
      </c>
      <c r="U616" s="521"/>
      <c r="V616" s="591">
        <v>0</v>
      </c>
      <c r="W616" s="706">
        <f>+P616*S616</f>
        <v>0</v>
      </c>
      <c r="X616" s="594"/>
      <c r="Y616" s="273"/>
      <c r="Z616" s="273"/>
      <c r="AA616" s="273"/>
      <c r="AB616" s="273"/>
      <c r="AC616" s="273"/>
      <c r="AD616" s="273"/>
      <c r="AE616" s="273"/>
      <c r="AF616" s="273"/>
      <c r="AG616" s="273"/>
      <c r="AH616" s="273"/>
      <c r="AI616" s="273"/>
      <c r="AJ616" s="273"/>
      <c r="AK616" s="273"/>
      <c r="AL616" s="273"/>
      <c r="AM616" s="273"/>
      <c r="AN616" s="273"/>
      <c r="AO616" s="273"/>
      <c r="AP616" s="273"/>
      <c r="AQ616" s="273"/>
    </row>
    <row r="617" spans="1:485" s="450" customFormat="1" ht="13.9" customHeight="1" x14ac:dyDescent="0.25">
      <c r="A617" s="1146" t="s">
        <v>693</v>
      </c>
      <c r="B617" s="439"/>
      <c r="C617" s="1720" t="s">
        <v>47</v>
      </c>
      <c r="D617" s="598" t="s">
        <v>563</v>
      </c>
      <c r="E617" s="724">
        <v>1</v>
      </c>
      <c r="F617" s="1824">
        <v>500</v>
      </c>
      <c r="G617" s="724">
        <v>6</v>
      </c>
      <c r="H617" s="1825">
        <f>G617*F617*E617</f>
        <v>3000</v>
      </c>
      <c r="I617" s="675"/>
      <c r="J617" s="2736">
        <v>1</v>
      </c>
      <c r="K617" s="2741">
        <v>500</v>
      </c>
      <c r="L617" s="2736">
        <v>6</v>
      </c>
      <c r="M617" s="2880">
        <f>L617*K617*J617</f>
        <v>3000</v>
      </c>
      <c r="N617" s="675"/>
      <c r="O617" s="2920">
        <f>M617+H617</f>
        <v>6000</v>
      </c>
      <c r="P617" s="697">
        <v>0</v>
      </c>
      <c r="Q617" s="709">
        <v>0</v>
      </c>
      <c r="R617" s="1061"/>
      <c r="S617" s="1069">
        <v>0</v>
      </c>
      <c r="T617" s="1071">
        <f t="shared" ref="T617:T624" si="267">S617/O617</f>
        <v>0</v>
      </c>
      <c r="U617" s="1061"/>
      <c r="V617" s="591">
        <v>0</v>
      </c>
      <c r="W617" s="706">
        <f t="shared" ref="W617:W624" si="268">+P617*S617</f>
        <v>0</v>
      </c>
      <c r="X617" s="594"/>
      <c r="Y617" s="273"/>
      <c r="Z617" s="273"/>
      <c r="AA617" s="273"/>
      <c r="AB617" s="273"/>
      <c r="AC617" s="273"/>
      <c r="AD617" s="273"/>
      <c r="AE617" s="273"/>
      <c r="AF617" s="273"/>
      <c r="AG617" s="273"/>
      <c r="AH617" s="273"/>
      <c r="AI617" s="273"/>
      <c r="AJ617" s="273"/>
      <c r="AK617" s="273"/>
      <c r="AL617" s="273"/>
      <c r="AM617" s="273"/>
      <c r="AN617" s="273"/>
      <c r="AO617" s="273"/>
      <c r="AP617" s="273"/>
      <c r="AQ617" s="273"/>
    </row>
    <row r="618" spans="1:485" s="450" customFormat="1" ht="39" x14ac:dyDescent="0.25">
      <c r="A618" s="680"/>
      <c r="B618" s="284" t="s">
        <v>484</v>
      </c>
      <c r="C618" s="595" t="s">
        <v>47</v>
      </c>
      <c r="D618" s="731" t="s">
        <v>398</v>
      </c>
      <c r="E618" s="468">
        <v>0.5</v>
      </c>
      <c r="F618" s="689">
        <v>550</v>
      </c>
      <c r="G618" s="468">
        <v>12</v>
      </c>
      <c r="H618" s="451">
        <f>SFCG!H112</f>
        <v>3300</v>
      </c>
      <c r="I618" s="675"/>
      <c r="J618" s="710">
        <v>0.5</v>
      </c>
      <c r="K618" s="710">
        <f>F618</f>
        <v>550</v>
      </c>
      <c r="L618" s="710">
        <v>12</v>
      </c>
      <c r="M618" s="1834">
        <f>SFCG!M112+SFCG!N112</f>
        <v>6900</v>
      </c>
      <c r="N618" s="697"/>
      <c r="O618" s="696">
        <f>+H618+M618</f>
        <v>10200</v>
      </c>
      <c r="P618" s="697">
        <v>0</v>
      </c>
      <c r="Q618" s="709">
        <v>0</v>
      </c>
      <c r="R618" s="1145" t="s">
        <v>1214</v>
      </c>
      <c r="S618" s="706">
        <f>SFCG!T112</f>
        <v>20273.77</v>
      </c>
      <c r="T618" s="1071">
        <f t="shared" si="267"/>
        <v>1.9876245098039216</v>
      </c>
      <c r="U618" s="595" t="s">
        <v>1112</v>
      </c>
      <c r="V618" s="591">
        <v>0</v>
      </c>
      <c r="W618" s="706">
        <f t="shared" si="268"/>
        <v>0</v>
      </c>
      <c r="X618" s="266" t="s">
        <v>1114</v>
      </c>
    </row>
    <row r="619" spans="1:485" s="450" customFormat="1" ht="28.5" customHeight="1" x14ac:dyDescent="0.25">
      <c r="A619" s="680"/>
      <c r="B619" s="595" t="s">
        <v>907</v>
      </c>
      <c r="C619" s="1720" t="s">
        <v>47</v>
      </c>
      <c r="D619" s="467" t="s">
        <v>724</v>
      </c>
      <c r="E619" s="724">
        <v>3</v>
      </c>
      <c r="F619" s="266">
        <v>3000</v>
      </c>
      <c r="G619" s="266">
        <v>1</v>
      </c>
      <c r="H619" s="722">
        <f>CARITAS!H107</f>
        <v>9000</v>
      </c>
      <c r="I619" s="714"/>
      <c r="J619" s="722"/>
      <c r="K619" s="722"/>
      <c r="L619" s="722"/>
      <c r="M619" s="2875">
        <v>0</v>
      </c>
      <c r="N619" s="1784"/>
      <c r="O619" s="2921">
        <f>H619+M619</f>
        <v>9000</v>
      </c>
      <c r="P619" s="675">
        <v>0.5</v>
      </c>
      <c r="Q619" s="1741">
        <v>4500</v>
      </c>
      <c r="R619" s="522" t="s">
        <v>908</v>
      </c>
      <c r="S619" s="1865">
        <f>CARITAS!S107</f>
        <v>9000</v>
      </c>
      <c r="T619" s="1071">
        <f t="shared" si="267"/>
        <v>1</v>
      </c>
      <c r="U619" s="595" t="s">
        <v>909</v>
      </c>
      <c r="V619" s="591">
        <f t="shared" ref="V619:V623" si="269">+W619/Q619</f>
        <v>1</v>
      </c>
      <c r="W619" s="706">
        <f t="shared" si="268"/>
        <v>4500</v>
      </c>
      <c r="X619" s="595" t="s">
        <v>909</v>
      </c>
    </row>
    <row r="620" spans="1:485" s="450" customFormat="1" ht="29.25" customHeight="1" x14ac:dyDescent="0.25">
      <c r="A620" s="680"/>
      <c r="B620" s="595" t="s">
        <v>910</v>
      </c>
      <c r="C620" s="1720" t="s">
        <v>47</v>
      </c>
      <c r="D620" s="467" t="s">
        <v>724</v>
      </c>
      <c r="E620" s="724">
        <v>3</v>
      </c>
      <c r="F620" s="266">
        <v>3000</v>
      </c>
      <c r="G620" s="266">
        <v>1</v>
      </c>
      <c r="H620" s="722">
        <f>CARITAS!H108</f>
        <v>9000</v>
      </c>
      <c r="I620" s="714"/>
      <c r="J620" s="722"/>
      <c r="K620" s="722"/>
      <c r="L620" s="722"/>
      <c r="M620" s="2875">
        <v>0</v>
      </c>
      <c r="N620" s="1784"/>
      <c r="O620" s="2921">
        <f>H620+M620</f>
        <v>9000</v>
      </c>
      <c r="P620" s="675">
        <v>0.5</v>
      </c>
      <c r="Q620" s="1741">
        <v>4500</v>
      </c>
      <c r="R620" s="522" t="s">
        <v>908</v>
      </c>
      <c r="S620" s="1865">
        <f>CARITAS!S108</f>
        <v>9000</v>
      </c>
      <c r="T620" s="1071">
        <f t="shared" si="267"/>
        <v>1</v>
      </c>
      <c r="U620" s="595" t="s">
        <v>911</v>
      </c>
      <c r="V620" s="591">
        <f t="shared" si="269"/>
        <v>1</v>
      </c>
      <c r="W620" s="706">
        <f t="shared" si="268"/>
        <v>4500</v>
      </c>
      <c r="X620" s="595" t="s">
        <v>911</v>
      </c>
    </row>
    <row r="621" spans="1:485" s="450" customFormat="1" ht="14.25" customHeight="1" x14ac:dyDescent="0.25">
      <c r="A621" s="680"/>
      <c r="B621" s="284" t="s">
        <v>1067</v>
      </c>
      <c r="C621" s="1720" t="s">
        <v>47</v>
      </c>
      <c r="D621" s="598" t="s">
        <v>955</v>
      </c>
      <c r="E621" s="468">
        <v>1</v>
      </c>
      <c r="F621" s="468">
        <v>154.37899999999999</v>
      </c>
      <c r="G621" s="467">
        <v>10</v>
      </c>
      <c r="H621" s="451">
        <f t="shared" ref="H621:H623" si="270">E621*F621*G621</f>
        <v>1543.79</v>
      </c>
      <c r="I621" s="675">
        <v>1</v>
      </c>
      <c r="J621" s="451">
        <v>1</v>
      </c>
      <c r="K621" s="451">
        <v>150</v>
      </c>
      <c r="L621" s="451">
        <v>6</v>
      </c>
      <c r="M621" s="1834">
        <f t="shared" ref="M621:M623" si="271">J621*K621*L621</f>
        <v>900</v>
      </c>
      <c r="N621" s="675">
        <v>1</v>
      </c>
      <c r="O621" s="696">
        <f>+H621+M621</f>
        <v>2443.79</v>
      </c>
      <c r="P621" s="675">
        <v>1</v>
      </c>
      <c r="Q621" s="451">
        <f t="shared" ref="Q621:Q624" si="272">O621*P621</f>
        <v>2443.79</v>
      </c>
      <c r="R621" s="522" t="s">
        <v>1068</v>
      </c>
      <c r="S621" s="452">
        <f>COOPI!S88</f>
        <v>3860.75</v>
      </c>
      <c r="T621" s="1071">
        <f t="shared" si="267"/>
        <v>1.5798206883570192</v>
      </c>
      <c r="U621" s="894" t="s">
        <v>1031</v>
      </c>
      <c r="V621" s="591">
        <f t="shared" si="269"/>
        <v>1.5798206883570192</v>
      </c>
      <c r="W621" s="706">
        <f t="shared" si="268"/>
        <v>3860.75</v>
      </c>
      <c r="X621" s="452" t="s">
        <v>1031</v>
      </c>
      <c r="Y621" s="273"/>
      <c r="Z621" s="273"/>
      <c r="AA621" s="273"/>
      <c r="AB621" s="273"/>
      <c r="AC621" s="273"/>
      <c r="AD621" s="273"/>
      <c r="AE621" s="273"/>
      <c r="AF621" s="273"/>
      <c r="AG621" s="273"/>
      <c r="AH621" s="273"/>
      <c r="AI621" s="273"/>
      <c r="AJ621" s="273"/>
      <c r="AK621" s="273"/>
      <c r="AL621" s="273"/>
      <c r="AM621" s="273"/>
      <c r="AN621" s="273"/>
      <c r="AO621" s="273"/>
      <c r="AP621" s="273"/>
      <c r="AQ621" s="273"/>
      <c r="AR621" s="273"/>
      <c r="AS621" s="273"/>
      <c r="AT621" s="273"/>
      <c r="AU621" s="273"/>
      <c r="AV621" s="273"/>
      <c r="AW621" s="273"/>
      <c r="AX621" s="273"/>
      <c r="AY621" s="273"/>
      <c r="AZ621" s="273"/>
      <c r="BA621" s="273"/>
      <c r="BB621" s="273"/>
      <c r="BC621" s="273"/>
      <c r="BD621" s="273"/>
      <c r="BE621" s="273"/>
      <c r="BF621" s="273"/>
      <c r="BG621" s="273"/>
      <c r="BH621" s="273"/>
      <c r="BI621" s="273"/>
      <c r="BJ621" s="273"/>
      <c r="BK621" s="273"/>
      <c r="BL621" s="273"/>
      <c r="BM621" s="273"/>
      <c r="BN621" s="273"/>
      <c r="BO621" s="273"/>
      <c r="BP621" s="273"/>
      <c r="BQ621" s="273"/>
      <c r="BR621" s="273"/>
      <c r="BS621" s="273"/>
      <c r="BT621" s="273"/>
      <c r="BU621" s="273"/>
      <c r="BV621" s="273"/>
      <c r="BW621" s="273"/>
      <c r="BX621" s="273"/>
      <c r="BY621" s="273"/>
      <c r="BZ621" s="273"/>
      <c r="CA621" s="273"/>
      <c r="CB621" s="273"/>
      <c r="CC621" s="273"/>
      <c r="CD621" s="273"/>
      <c r="CE621" s="273"/>
      <c r="CF621" s="273"/>
      <c r="CG621" s="273"/>
      <c r="CH621" s="273"/>
      <c r="CI621" s="273"/>
      <c r="CJ621" s="273"/>
      <c r="CK621" s="273"/>
      <c r="CL621" s="273"/>
      <c r="CM621" s="273"/>
      <c r="CN621" s="273"/>
      <c r="CO621" s="273"/>
      <c r="CP621" s="273"/>
      <c r="CQ621" s="273"/>
      <c r="CR621" s="273"/>
      <c r="CS621" s="273"/>
      <c r="CT621" s="273"/>
      <c r="CU621" s="273"/>
      <c r="CV621" s="273"/>
      <c r="CW621" s="273"/>
      <c r="CX621" s="273"/>
      <c r="CY621" s="273"/>
      <c r="CZ621" s="273"/>
      <c r="DA621" s="273"/>
      <c r="DB621" s="273"/>
      <c r="DC621" s="273"/>
      <c r="DD621" s="273"/>
      <c r="DE621" s="273"/>
      <c r="DF621" s="273"/>
      <c r="DG621" s="273"/>
      <c r="DH621" s="273"/>
      <c r="DI621" s="273"/>
      <c r="DJ621" s="273"/>
      <c r="DK621" s="273"/>
      <c r="DL621" s="273"/>
      <c r="DM621" s="273"/>
      <c r="DN621" s="273"/>
      <c r="DO621" s="273"/>
      <c r="DP621" s="273"/>
      <c r="DQ621" s="273"/>
      <c r="DR621" s="273"/>
      <c r="DS621" s="273"/>
      <c r="DT621" s="273"/>
      <c r="DU621" s="273"/>
      <c r="DV621" s="273"/>
      <c r="DW621" s="273"/>
      <c r="DX621" s="273"/>
      <c r="DY621" s="273"/>
      <c r="DZ621" s="273"/>
      <c r="EA621" s="273"/>
      <c r="EB621" s="273"/>
      <c r="EC621" s="273"/>
      <c r="ED621" s="273"/>
      <c r="EE621" s="273"/>
      <c r="EF621" s="273"/>
      <c r="EG621" s="273"/>
      <c r="EH621" s="273"/>
      <c r="EI621" s="273"/>
      <c r="EJ621" s="273"/>
      <c r="EK621" s="273"/>
      <c r="EL621" s="273"/>
      <c r="EM621" s="273"/>
      <c r="EN621" s="273"/>
      <c r="EO621" s="273"/>
      <c r="EP621" s="273"/>
      <c r="EQ621" s="273"/>
      <c r="ER621" s="273"/>
      <c r="ES621" s="273"/>
      <c r="ET621" s="273"/>
      <c r="EU621" s="273"/>
      <c r="EV621" s="273"/>
      <c r="EW621" s="273"/>
      <c r="EX621" s="273"/>
      <c r="EY621" s="273"/>
      <c r="EZ621" s="273"/>
      <c r="FA621" s="273"/>
      <c r="FB621" s="273"/>
      <c r="FC621" s="273"/>
      <c r="FD621" s="273"/>
      <c r="FE621" s="273"/>
      <c r="FF621" s="273"/>
      <c r="FG621" s="273"/>
      <c r="FH621" s="273"/>
      <c r="FI621" s="273"/>
      <c r="FJ621" s="273"/>
      <c r="FK621" s="273"/>
      <c r="FL621" s="273"/>
      <c r="FM621" s="273"/>
      <c r="FN621" s="273"/>
      <c r="FO621" s="273"/>
      <c r="FP621" s="273"/>
      <c r="FQ621" s="273"/>
      <c r="FR621" s="273"/>
      <c r="FS621" s="273"/>
      <c r="FT621" s="273"/>
      <c r="FU621" s="273"/>
      <c r="FV621" s="273"/>
      <c r="FW621" s="273"/>
      <c r="FX621" s="273"/>
      <c r="FY621" s="273"/>
      <c r="FZ621" s="273"/>
      <c r="GA621" s="273"/>
      <c r="GB621" s="273"/>
      <c r="GC621" s="273"/>
      <c r="GD621" s="273"/>
      <c r="GE621" s="273"/>
      <c r="GF621" s="273"/>
      <c r="GG621" s="273"/>
      <c r="GH621" s="273"/>
      <c r="GI621" s="273"/>
      <c r="GJ621" s="273"/>
      <c r="GK621" s="273"/>
      <c r="GL621" s="273"/>
      <c r="GM621" s="273"/>
      <c r="GN621" s="273"/>
      <c r="GO621" s="273"/>
      <c r="GP621" s="273"/>
      <c r="GQ621" s="273"/>
      <c r="GR621" s="273"/>
      <c r="GS621" s="273"/>
      <c r="GT621" s="273"/>
      <c r="GU621" s="273"/>
      <c r="GV621" s="273"/>
      <c r="GW621" s="273"/>
      <c r="GX621" s="273"/>
      <c r="GY621" s="273"/>
      <c r="GZ621" s="273"/>
      <c r="HA621" s="273"/>
      <c r="HB621" s="273"/>
      <c r="HC621" s="273"/>
      <c r="HD621" s="273"/>
      <c r="HE621" s="273"/>
      <c r="HF621" s="273"/>
      <c r="HG621" s="273"/>
      <c r="HH621" s="273"/>
      <c r="HI621" s="273"/>
      <c r="HJ621" s="273"/>
      <c r="HK621" s="273"/>
      <c r="HL621" s="273"/>
      <c r="HM621" s="273"/>
      <c r="HN621" s="273"/>
      <c r="HO621" s="273"/>
      <c r="HP621" s="273"/>
      <c r="HQ621" s="273"/>
      <c r="HR621" s="273"/>
      <c r="HS621" s="273"/>
      <c r="HT621" s="273"/>
      <c r="HU621" s="273"/>
      <c r="HV621" s="273"/>
      <c r="HW621" s="273"/>
      <c r="HX621" s="273"/>
      <c r="HY621" s="273"/>
      <c r="HZ621" s="273"/>
      <c r="IA621" s="273"/>
      <c r="IB621" s="273"/>
      <c r="IC621" s="273"/>
      <c r="ID621" s="273"/>
      <c r="IE621" s="273"/>
      <c r="IF621" s="273"/>
      <c r="IG621" s="273"/>
      <c r="IH621" s="273"/>
      <c r="II621" s="273"/>
      <c r="IJ621" s="273"/>
      <c r="IK621" s="273"/>
      <c r="IL621" s="273"/>
      <c r="IM621" s="273"/>
      <c r="IN621" s="273"/>
      <c r="IO621" s="273"/>
      <c r="IP621" s="273"/>
      <c r="IQ621" s="273"/>
      <c r="IR621" s="273"/>
      <c r="IS621" s="273"/>
      <c r="IT621" s="273"/>
      <c r="IU621" s="273"/>
      <c r="IV621" s="273"/>
      <c r="IW621" s="273"/>
      <c r="IX621" s="273"/>
      <c r="IY621" s="273"/>
      <c r="IZ621" s="273"/>
      <c r="JA621" s="273"/>
      <c r="JB621" s="273"/>
      <c r="JC621" s="273"/>
      <c r="JD621" s="273"/>
      <c r="JE621" s="273"/>
      <c r="JF621" s="273"/>
      <c r="JG621" s="273"/>
      <c r="JH621" s="273"/>
      <c r="JI621" s="273"/>
      <c r="JJ621" s="273"/>
      <c r="JK621" s="273"/>
      <c r="JL621" s="273"/>
      <c r="JM621" s="273"/>
      <c r="JN621" s="273"/>
      <c r="JO621" s="273"/>
      <c r="JP621" s="273"/>
      <c r="JQ621" s="273"/>
      <c r="JR621" s="273"/>
      <c r="JS621" s="273"/>
      <c r="JT621" s="273"/>
      <c r="JU621" s="273"/>
      <c r="JV621" s="273"/>
      <c r="JW621" s="273"/>
      <c r="JX621" s="273"/>
      <c r="JY621" s="273"/>
      <c r="JZ621" s="273"/>
      <c r="KA621" s="273"/>
      <c r="KB621" s="273"/>
      <c r="KC621" s="273"/>
      <c r="KD621" s="273"/>
      <c r="KE621" s="273"/>
      <c r="KF621" s="273"/>
      <c r="KG621" s="273"/>
      <c r="KH621" s="273"/>
      <c r="KI621" s="273"/>
      <c r="KJ621" s="273"/>
      <c r="KK621" s="273"/>
      <c r="KL621" s="273"/>
      <c r="KM621" s="273"/>
      <c r="KN621" s="273"/>
      <c r="KO621" s="273"/>
      <c r="KP621" s="273"/>
      <c r="KQ621" s="273"/>
      <c r="KR621" s="273"/>
      <c r="KS621" s="273"/>
      <c r="KT621" s="273"/>
      <c r="KU621" s="273"/>
      <c r="KV621" s="273"/>
      <c r="KW621" s="273"/>
      <c r="KX621" s="273"/>
      <c r="KY621" s="273"/>
      <c r="KZ621" s="273"/>
      <c r="LA621" s="273"/>
      <c r="LB621" s="273"/>
      <c r="LC621" s="273"/>
      <c r="LD621" s="273"/>
      <c r="LE621" s="273"/>
      <c r="LF621" s="273"/>
      <c r="LG621" s="273"/>
      <c r="LH621" s="273"/>
      <c r="LI621" s="273"/>
      <c r="LJ621" s="273"/>
      <c r="LK621" s="273"/>
      <c r="LL621" s="273"/>
      <c r="LM621" s="273"/>
      <c r="LN621" s="273"/>
      <c r="LO621" s="273"/>
      <c r="LP621" s="273"/>
      <c r="LQ621" s="273"/>
      <c r="LR621" s="273"/>
      <c r="LS621" s="273"/>
      <c r="LT621" s="273"/>
      <c r="LU621" s="273"/>
      <c r="LV621" s="273"/>
      <c r="LW621" s="273"/>
      <c r="LX621" s="273"/>
      <c r="LY621" s="273"/>
      <c r="LZ621" s="273"/>
      <c r="MA621" s="273"/>
      <c r="MB621" s="273"/>
      <c r="MC621" s="273"/>
      <c r="MD621" s="273"/>
      <c r="ME621" s="273"/>
      <c r="MF621" s="273"/>
      <c r="MG621" s="273"/>
      <c r="MH621" s="273"/>
      <c r="MI621" s="273"/>
      <c r="MJ621" s="273"/>
      <c r="MK621" s="273"/>
      <c r="ML621" s="273"/>
      <c r="MM621" s="273"/>
      <c r="MN621" s="273"/>
      <c r="MO621" s="273"/>
      <c r="MP621" s="273"/>
      <c r="MQ621" s="273"/>
      <c r="MR621" s="273"/>
      <c r="MS621" s="273"/>
      <c r="MT621" s="273"/>
      <c r="MU621" s="273"/>
      <c r="MV621" s="273"/>
      <c r="MW621" s="273"/>
      <c r="MX621" s="273"/>
      <c r="MY621" s="273"/>
      <c r="MZ621" s="273"/>
      <c r="NA621" s="273"/>
      <c r="NB621" s="273"/>
      <c r="NC621" s="273"/>
      <c r="ND621" s="273"/>
      <c r="NE621" s="273"/>
      <c r="NF621" s="273"/>
      <c r="NG621" s="273"/>
      <c r="NH621" s="273"/>
      <c r="NI621" s="273"/>
      <c r="NJ621" s="273"/>
      <c r="NK621" s="273"/>
      <c r="NL621" s="273"/>
      <c r="NM621" s="273"/>
      <c r="NN621" s="273"/>
      <c r="NO621" s="273"/>
      <c r="NP621" s="273"/>
      <c r="NQ621" s="273"/>
      <c r="NR621" s="273"/>
      <c r="NS621" s="273"/>
      <c r="NT621" s="273"/>
      <c r="NU621" s="273"/>
      <c r="NV621" s="273"/>
      <c r="NW621" s="273"/>
      <c r="NX621" s="273"/>
      <c r="NY621" s="273"/>
      <c r="NZ621" s="273"/>
      <c r="OA621" s="273"/>
      <c r="OB621" s="273"/>
      <c r="OC621" s="273"/>
      <c r="OD621" s="273"/>
      <c r="OE621" s="273"/>
      <c r="OF621" s="273"/>
      <c r="OG621" s="273"/>
      <c r="OH621" s="273"/>
      <c r="OI621" s="273"/>
      <c r="OJ621" s="273"/>
      <c r="OK621" s="273"/>
      <c r="OL621" s="273"/>
      <c r="OM621" s="273"/>
      <c r="ON621" s="273"/>
      <c r="OO621" s="273"/>
      <c r="OP621" s="273"/>
      <c r="OQ621" s="273"/>
      <c r="OR621" s="273"/>
      <c r="OS621" s="273"/>
      <c r="OT621" s="273"/>
      <c r="OU621" s="273"/>
      <c r="OV621" s="273"/>
      <c r="OW621" s="273"/>
      <c r="OX621" s="273"/>
      <c r="OY621" s="273"/>
      <c r="OZ621" s="273"/>
      <c r="PA621" s="273"/>
      <c r="PB621" s="273"/>
      <c r="PC621" s="273"/>
      <c r="PD621" s="273"/>
      <c r="PE621" s="273"/>
      <c r="PF621" s="273"/>
      <c r="PG621" s="273"/>
      <c r="PH621" s="273"/>
      <c r="PI621" s="273"/>
      <c r="PJ621" s="273"/>
      <c r="PK621" s="273"/>
      <c r="PL621" s="273"/>
      <c r="PM621" s="273"/>
      <c r="PN621" s="273"/>
      <c r="PO621" s="273"/>
      <c r="PP621" s="273"/>
      <c r="PQ621" s="273"/>
      <c r="PR621" s="273"/>
      <c r="PS621" s="273"/>
      <c r="PT621" s="273"/>
      <c r="PU621" s="273"/>
      <c r="PV621" s="273"/>
      <c r="PW621" s="273"/>
      <c r="PX621" s="273"/>
      <c r="PY621" s="273"/>
      <c r="PZ621" s="273"/>
      <c r="QA621" s="273"/>
      <c r="QB621" s="273"/>
      <c r="QC621" s="273"/>
      <c r="QD621" s="273"/>
      <c r="QE621" s="273"/>
      <c r="QF621" s="273"/>
      <c r="QG621" s="273"/>
      <c r="QH621" s="273"/>
      <c r="QI621" s="273"/>
      <c r="QJ621" s="273"/>
      <c r="QK621" s="273"/>
      <c r="QL621" s="273"/>
      <c r="QM621" s="273"/>
      <c r="QN621" s="273"/>
      <c r="QO621" s="273"/>
      <c r="QP621" s="273"/>
      <c r="QQ621" s="273"/>
      <c r="QR621" s="273"/>
      <c r="QS621" s="273"/>
      <c r="QT621" s="273"/>
      <c r="QU621" s="273"/>
      <c r="QV621" s="273"/>
      <c r="QW621" s="273"/>
      <c r="QX621" s="273"/>
      <c r="QY621" s="273"/>
      <c r="QZ621" s="273"/>
      <c r="RA621" s="273"/>
      <c r="RB621" s="273"/>
      <c r="RC621" s="273"/>
      <c r="RD621" s="273"/>
      <c r="RE621" s="273"/>
      <c r="RF621" s="273"/>
      <c r="RG621" s="273"/>
      <c r="RH621" s="273"/>
      <c r="RI621" s="273"/>
      <c r="RJ621" s="273"/>
      <c r="RK621" s="273"/>
      <c r="RL621" s="273"/>
      <c r="RM621" s="273"/>
      <c r="RN621" s="273"/>
      <c r="RO621" s="273"/>
      <c r="RP621" s="273"/>
      <c r="RQ621" s="273"/>
    </row>
    <row r="622" spans="1:485" s="450" customFormat="1" ht="14.25" customHeight="1" x14ac:dyDescent="0.25">
      <c r="A622" s="680"/>
      <c r="B622" s="284" t="s">
        <v>1069</v>
      </c>
      <c r="C622" s="1720" t="s">
        <v>47</v>
      </c>
      <c r="D622" s="598" t="s">
        <v>955</v>
      </c>
      <c r="E622" s="468">
        <v>1</v>
      </c>
      <c r="F622" s="468">
        <v>200</v>
      </c>
      <c r="G622" s="467">
        <v>4.5999999999999996</v>
      </c>
      <c r="H622" s="451">
        <f t="shared" si="270"/>
        <v>919.99999999999989</v>
      </c>
      <c r="I622" s="675">
        <v>1</v>
      </c>
      <c r="J622" s="451">
        <v>1</v>
      </c>
      <c r="K622" s="451">
        <v>400</v>
      </c>
      <c r="L622" s="451">
        <v>5</v>
      </c>
      <c r="M622" s="1834">
        <f t="shared" si="271"/>
        <v>2000</v>
      </c>
      <c r="N622" s="675">
        <v>1</v>
      </c>
      <c r="O622" s="696">
        <f>+H622+M622</f>
        <v>2920</v>
      </c>
      <c r="P622" s="675">
        <v>1</v>
      </c>
      <c r="Q622" s="451">
        <f t="shared" si="272"/>
        <v>2920</v>
      </c>
      <c r="R622" s="522" t="s">
        <v>1070</v>
      </c>
      <c r="S622" s="452">
        <f>COOPI!S89</f>
        <v>1560.39</v>
      </c>
      <c r="T622" s="1071">
        <f t="shared" si="267"/>
        <v>0.53438013698630138</v>
      </c>
      <c r="U622" s="894" t="s">
        <v>1031</v>
      </c>
      <c r="V622" s="591">
        <f t="shared" si="269"/>
        <v>0.53438013698630138</v>
      </c>
      <c r="W622" s="706">
        <f t="shared" si="268"/>
        <v>1560.39</v>
      </c>
      <c r="X622" s="452" t="s">
        <v>1031</v>
      </c>
      <c r="Y622" s="273"/>
      <c r="Z622" s="273"/>
      <c r="AA622" s="273"/>
      <c r="AB622" s="273"/>
      <c r="AC622" s="273"/>
      <c r="AD622" s="273"/>
      <c r="AE622" s="273"/>
      <c r="AF622" s="273"/>
      <c r="AG622" s="273"/>
      <c r="AH622" s="273"/>
      <c r="AI622" s="273"/>
      <c r="AJ622" s="273"/>
      <c r="AK622" s="273"/>
      <c r="AL622" s="273"/>
      <c r="AM622" s="273"/>
      <c r="AN622" s="273"/>
      <c r="AO622" s="273"/>
      <c r="AP622" s="273"/>
      <c r="AQ622" s="273"/>
      <c r="AR622" s="273"/>
      <c r="AS622" s="273"/>
      <c r="AT622" s="273"/>
      <c r="AU622" s="273"/>
      <c r="AV622" s="273"/>
      <c r="AW622" s="273"/>
      <c r="AX622" s="273"/>
      <c r="AY622" s="273"/>
      <c r="AZ622" s="273"/>
      <c r="BA622" s="273"/>
      <c r="BB622" s="273"/>
      <c r="BC622" s="273"/>
      <c r="BD622" s="273"/>
      <c r="BE622" s="273"/>
      <c r="BF622" s="273"/>
      <c r="BG622" s="273"/>
      <c r="BH622" s="273"/>
      <c r="BI622" s="273"/>
      <c r="BJ622" s="273"/>
      <c r="BK622" s="273"/>
      <c r="BL622" s="273"/>
      <c r="BM622" s="273"/>
      <c r="BN622" s="273"/>
      <c r="BO622" s="273"/>
      <c r="BP622" s="273"/>
      <c r="BQ622" s="273"/>
      <c r="BR622" s="273"/>
      <c r="BS622" s="273"/>
      <c r="BT622" s="273"/>
      <c r="BU622" s="273"/>
      <c r="BV622" s="273"/>
      <c r="BW622" s="273"/>
      <c r="BX622" s="273"/>
      <c r="BY622" s="273"/>
      <c r="BZ622" s="273"/>
      <c r="CA622" s="273"/>
      <c r="CB622" s="273"/>
      <c r="CC622" s="273"/>
      <c r="CD622" s="273"/>
      <c r="CE622" s="273"/>
      <c r="CF622" s="273"/>
      <c r="CG622" s="273"/>
      <c r="CH622" s="273"/>
      <c r="CI622" s="273"/>
      <c r="CJ622" s="273"/>
      <c r="CK622" s="273"/>
      <c r="CL622" s="273"/>
      <c r="CM622" s="273"/>
      <c r="CN622" s="273"/>
      <c r="CO622" s="273"/>
      <c r="CP622" s="273"/>
      <c r="CQ622" s="273"/>
      <c r="CR622" s="273"/>
      <c r="CS622" s="273"/>
      <c r="CT622" s="273"/>
      <c r="CU622" s="273"/>
      <c r="CV622" s="273"/>
      <c r="CW622" s="273"/>
      <c r="CX622" s="273"/>
      <c r="CY622" s="273"/>
      <c r="CZ622" s="273"/>
      <c r="DA622" s="273"/>
      <c r="DB622" s="273"/>
      <c r="DC622" s="273"/>
      <c r="DD622" s="273"/>
      <c r="DE622" s="273"/>
      <c r="DF622" s="273"/>
      <c r="DG622" s="273"/>
      <c r="DH622" s="273"/>
      <c r="DI622" s="273"/>
      <c r="DJ622" s="273"/>
      <c r="DK622" s="273"/>
      <c r="DL622" s="273"/>
      <c r="DM622" s="273"/>
      <c r="DN622" s="273"/>
      <c r="DO622" s="273"/>
      <c r="DP622" s="273"/>
      <c r="DQ622" s="273"/>
      <c r="DR622" s="273"/>
      <c r="DS622" s="273"/>
      <c r="DT622" s="273"/>
      <c r="DU622" s="273"/>
      <c r="DV622" s="273"/>
      <c r="DW622" s="273"/>
      <c r="DX622" s="273"/>
      <c r="DY622" s="273"/>
      <c r="DZ622" s="273"/>
      <c r="EA622" s="273"/>
      <c r="EB622" s="273"/>
      <c r="EC622" s="273"/>
      <c r="ED622" s="273"/>
      <c r="EE622" s="273"/>
      <c r="EF622" s="273"/>
      <c r="EG622" s="273"/>
      <c r="EH622" s="273"/>
      <c r="EI622" s="273"/>
      <c r="EJ622" s="273"/>
      <c r="EK622" s="273"/>
      <c r="EL622" s="273"/>
      <c r="EM622" s="273"/>
      <c r="EN622" s="273"/>
      <c r="EO622" s="273"/>
      <c r="EP622" s="273"/>
      <c r="EQ622" s="273"/>
      <c r="ER622" s="273"/>
      <c r="ES622" s="273"/>
      <c r="ET622" s="273"/>
      <c r="EU622" s="273"/>
      <c r="EV622" s="273"/>
      <c r="EW622" s="273"/>
      <c r="EX622" s="273"/>
      <c r="EY622" s="273"/>
      <c r="EZ622" s="273"/>
      <c r="FA622" s="273"/>
      <c r="FB622" s="273"/>
      <c r="FC622" s="273"/>
      <c r="FD622" s="273"/>
      <c r="FE622" s="273"/>
      <c r="FF622" s="273"/>
      <c r="FG622" s="273"/>
      <c r="FH622" s="273"/>
      <c r="FI622" s="273"/>
      <c r="FJ622" s="273"/>
      <c r="FK622" s="273"/>
      <c r="FL622" s="273"/>
      <c r="FM622" s="273"/>
      <c r="FN622" s="273"/>
      <c r="FO622" s="273"/>
      <c r="FP622" s="273"/>
      <c r="FQ622" s="273"/>
      <c r="FR622" s="273"/>
      <c r="FS622" s="273"/>
      <c r="FT622" s="273"/>
      <c r="FU622" s="273"/>
      <c r="FV622" s="273"/>
      <c r="FW622" s="273"/>
      <c r="FX622" s="273"/>
      <c r="FY622" s="273"/>
      <c r="FZ622" s="273"/>
      <c r="GA622" s="273"/>
      <c r="GB622" s="273"/>
      <c r="GC622" s="273"/>
      <c r="GD622" s="273"/>
      <c r="GE622" s="273"/>
      <c r="GF622" s="273"/>
      <c r="GG622" s="273"/>
      <c r="GH622" s="273"/>
      <c r="GI622" s="273"/>
      <c r="GJ622" s="273"/>
      <c r="GK622" s="273"/>
      <c r="GL622" s="273"/>
      <c r="GM622" s="273"/>
      <c r="GN622" s="273"/>
      <c r="GO622" s="273"/>
      <c r="GP622" s="273"/>
      <c r="GQ622" s="273"/>
      <c r="GR622" s="273"/>
      <c r="GS622" s="273"/>
      <c r="GT622" s="273"/>
      <c r="GU622" s="273"/>
      <c r="GV622" s="273"/>
      <c r="GW622" s="273"/>
      <c r="GX622" s="273"/>
      <c r="GY622" s="273"/>
      <c r="GZ622" s="273"/>
      <c r="HA622" s="273"/>
      <c r="HB622" s="273"/>
      <c r="HC622" s="273"/>
      <c r="HD622" s="273"/>
      <c r="HE622" s="273"/>
      <c r="HF622" s="273"/>
      <c r="HG622" s="273"/>
      <c r="HH622" s="273"/>
      <c r="HI622" s="273"/>
      <c r="HJ622" s="273"/>
      <c r="HK622" s="273"/>
      <c r="HL622" s="273"/>
      <c r="HM622" s="273"/>
      <c r="HN622" s="273"/>
      <c r="HO622" s="273"/>
      <c r="HP622" s="273"/>
      <c r="HQ622" s="273"/>
      <c r="HR622" s="273"/>
      <c r="HS622" s="273"/>
      <c r="HT622" s="273"/>
      <c r="HU622" s="273"/>
      <c r="HV622" s="273"/>
      <c r="HW622" s="273"/>
      <c r="HX622" s="273"/>
      <c r="HY622" s="273"/>
      <c r="HZ622" s="273"/>
      <c r="IA622" s="273"/>
      <c r="IB622" s="273"/>
      <c r="IC622" s="273"/>
      <c r="ID622" s="273"/>
      <c r="IE622" s="273"/>
      <c r="IF622" s="273"/>
      <c r="IG622" s="273"/>
      <c r="IH622" s="273"/>
      <c r="II622" s="273"/>
      <c r="IJ622" s="273"/>
      <c r="IK622" s="273"/>
      <c r="IL622" s="273"/>
      <c r="IM622" s="273"/>
      <c r="IN622" s="273"/>
      <c r="IO622" s="273"/>
      <c r="IP622" s="273"/>
      <c r="IQ622" s="273"/>
      <c r="IR622" s="273"/>
      <c r="IS622" s="273"/>
      <c r="IT622" s="273"/>
      <c r="IU622" s="273"/>
      <c r="IV622" s="273"/>
      <c r="IW622" s="273"/>
      <c r="IX622" s="273"/>
      <c r="IY622" s="273"/>
      <c r="IZ622" s="273"/>
      <c r="JA622" s="273"/>
      <c r="JB622" s="273"/>
      <c r="JC622" s="273"/>
      <c r="JD622" s="273"/>
      <c r="JE622" s="273"/>
      <c r="JF622" s="273"/>
      <c r="JG622" s="273"/>
      <c r="JH622" s="273"/>
      <c r="JI622" s="273"/>
      <c r="JJ622" s="273"/>
      <c r="JK622" s="273"/>
      <c r="JL622" s="273"/>
      <c r="JM622" s="273"/>
      <c r="JN622" s="273"/>
      <c r="JO622" s="273"/>
      <c r="JP622" s="273"/>
      <c r="JQ622" s="273"/>
      <c r="JR622" s="273"/>
      <c r="JS622" s="273"/>
      <c r="JT622" s="273"/>
      <c r="JU622" s="273"/>
      <c r="JV622" s="273"/>
      <c r="JW622" s="273"/>
      <c r="JX622" s="273"/>
      <c r="JY622" s="273"/>
      <c r="JZ622" s="273"/>
      <c r="KA622" s="273"/>
      <c r="KB622" s="273"/>
      <c r="KC622" s="273"/>
      <c r="KD622" s="273"/>
      <c r="KE622" s="273"/>
      <c r="KF622" s="273"/>
      <c r="KG622" s="273"/>
      <c r="KH622" s="273"/>
      <c r="KI622" s="273"/>
      <c r="KJ622" s="273"/>
      <c r="KK622" s="273"/>
      <c r="KL622" s="273"/>
      <c r="KM622" s="273"/>
      <c r="KN622" s="273"/>
      <c r="KO622" s="273"/>
      <c r="KP622" s="273"/>
      <c r="KQ622" s="273"/>
      <c r="KR622" s="273"/>
      <c r="KS622" s="273"/>
      <c r="KT622" s="273"/>
      <c r="KU622" s="273"/>
      <c r="KV622" s="273"/>
      <c r="KW622" s="273"/>
      <c r="KX622" s="273"/>
      <c r="KY622" s="273"/>
      <c r="KZ622" s="273"/>
      <c r="LA622" s="273"/>
      <c r="LB622" s="273"/>
      <c r="LC622" s="273"/>
      <c r="LD622" s="273"/>
      <c r="LE622" s="273"/>
      <c r="LF622" s="273"/>
      <c r="LG622" s="273"/>
      <c r="LH622" s="273"/>
      <c r="LI622" s="273"/>
      <c r="LJ622" s="273"/>
      <c r="LK622" s="273"/>
      <c r="LL622" s="273"/>
      <c r="LM622" s="273"/>
      <c r="LN622" s="273"/>
      <c r="LO622" s="273"/>
      <c r="LP622" s="273"/>
      <c r="LQ622" s="273"/>
      <c r="LR622" s="273"/>
      <c r="LS622" s="273"/>
      <c r="LT622" s="273"/>
      <c r="LU622" s="273"/>
      <c r="LV622" s="273"/>
      <c r="LW622" s="273"/>
      <c r="LX622" s="273"/>
      <c r="LY622" s="273"/>
      <c r="LZ622" s="273"/>
      <c r="MA622" s="273"/>
      <c r="MB622" s="273"/>
      <c r="MC622" s="273"/>
      <c r="MD622" s="273"/>
      <c r="ME622" s="273"/>
      <c r="MF622" s="273"/>
      <c r="MG622" s="273"/>
      <c r="MH622" s="273"/>
      <c r="MI622" s="273"/>
      <c r="MJ622" s="273"/>
      <c r="MK622" s="273"/>
      <c r="ML622" s="273"/>
      <c r="MM622" s="273"/>
      <c r="MN622" s="273"/>
      <c r="MO622" s="273"/>
      <c r="MP622" s="273"/>
      <c r="MQ622" s="273"/>
      <c r="MR622" s="273"/>
      <c r="MS622" s="273"/>
      <c r="MT622" s="273"/>
      <c r="MU622" s="273"/>
      <c r="MV622" s="273"/>
      <c r="MW622" s="273"/>
      <c r="MX622" s="273"/>
      <c r="MY622" s="273"/>
      <c r="MZ622" s="273"/>
      <c r="NA622" s="273"/>
      <c r="NB622" s="273"/>
      <c r="NC622" s="273"/>
      <c r="ND622" s="273"/>
      <c r="NE622" s="273"/>
      <c r="NF622" s="273"/>
      <c r="NG622" s="273"/>
      <c r="NH622" s="273"/>
      <c r="NI622" s="273"/>
      <c r="NJ622" s="273"/>
      <c r="NK622" s="273"/>
      <c r="NL622" s="273"/>
      <c r="NM622" s="273"/>
      <c r="NN622" s="273"/>
      <c r="NO622" s="273"/>
      <c r="NP622" s="273"/>
      <c r="NQ622" s="273"/>
      <c r="NR622" s="273"/>
      <c r="NS622" s="273"/>
      <c r="NT622" s="273"/>
      <c r="NU622" s="273"/>
      <c r="NV622" s="273"/>
      <c r="NW622" s="273"/>
      <c r="NX622" s="273"/>
      <c r="NY622" s="273"/>
      <c r="NZ622" s="273"/>
      <c r="OA622" s="273"/>
      <c r="OB622" s="273"/>
      <c r="OC622" s="273"/>
      <c r="OD622" s="273"/>
      <c r="OE622" s="273"/>
      <c r="OF622" s="273"/>
      <c r="OG622" s="273"/>
      <c r="OH622" s="273"/>
      <c r="OI622" s="273"/>
      <c r="OJ622" s="273"/>
      <c r="OK622" s="273"/>
      <c r="OL622" s="273"/>
      <c r="OM622" s="273"/>
      <c r="ON622" s="273"/>
      <c r="OO622" s="273"/>
      <c r="OP622" s="273"/>
      <c r="OQ622" s="273"/>
      <c r="OR622" s="273"/>
      <c r="OS622" s="273"/>
      <c r="OT622" s="273"/>
      <c r="OU622" s="273"/>
      <c r="OV622" s="273"/>
      <c r="OW622" s="273"/>
      <c r="OX622" s="273"/>
      <c r="OY622" s="273"/>
      <c r="OZ622" s="273"/>
      <c r="PA622" s="273"/>
      <c r="PB622" s="273"/>
      <c r="PC622" s="273"/>
      <c r="PD622" s="273"/>
      <c r="PE622" s="273"/>
      <c r="PF622" s="273"/>
      <c r="PG622" s="273"/>
      <c r="PH622" s="273"/>
      <c r="PI622" s="273"/>
      <c r="PJ622" s="273"/>
      <c r="PK622" s="273"/>
      <c r="PL622" s="273"/>
      <c r="PM622" s="273"/>
      <c r="PN622" s="273"/>
      <c r="PO622" s="273"/>
      <c r="PP622" s="273"/>
      <c r="PQ622" s="273"/>
      <c r="PR622" s="273"/>
      <c r="PS622" s="273"/>
      <c r="PT622" s="273"/>
      <c r="PU622" s="273"/>
      <c r="PV622" s="273"/>
      <c r="PW622" s="273"/>
      <c r="PX622" s="273"/>
      <c r="PY622" s="273"/>
      <c r="PZ622" s="273"/>
      <c r="QA622" s="273"/>
      <c r="QB622" s="273"/>
      <c r="QC622" s="273"/>
      <c r="QD622" s="273"/>
      <c r="QE622" s="273"/>
      <c r="QF622" s="273"/>
      <c r="QG622" s="273"/>
      <c r="QH622" s="273"/>
      <c r="QI622" s="273"/>
      <c r="QJ622" s="273"/>
      <c r="QK622" s="273"/>
      <c r="QL622" s="273"/>
      <c r="QM622" s="273"/>
      <c r="QN622" s="273"/>
      <c r="QO622" s="273"/>
      <c r="QP622" s="273"/>
      <c r="QQ622" s="273"/>
      <c r="QR622" s="273"/>
      <c r="QS622" s="273"/>
      <c r="QT622" s="273"/>
      <c r="QU622" s="273"/>
      <c r="QV622" s="273"/>
      <c r="QW622" s="273"/>
      <c r="QX622" s="273"/>
      <c r="QY622" s="273"/>
      <c r="QZ622" s="273"/>
      <c r="RA622" s="273"/>
      <c r="RB622" s="273"/>
      <c r="RC622" s="273"/>
      <c r="RD622" s="273"/>
      <c r="RE622" s="273"/>
      <c r="RF622" s="273"/>
      <c r="RG622" s="273"/>
      <c r="RH622" s="273"/>
      <c r="RI622" s="273"/>
      <c r="RJ622" s="273"/>
      <c r="RK622" s="273"/>
      <c r="RL622" s="273"/>
      <c r="RM622" s="273"/>
      <c r="RN622" s="273"/>
      <c r="RO622" s="273"/>
      <c r="RP622" s="273"/>
      <c r="RQ622" s="273"/>
    </row>
    <row r="623" spans="1:485" s="450" customFormat="1" ht="14.25" customHeight="1" x14ac:dyDescent="0.25">
      <c r="A623" s="680"/>
      <c r="B623" s="284" t="s">
        <v>1071</v>
      </c>
      <c r="C623" s="1720" t="s">
        <v>47</v>
      </c>
      <c r="D623" s="598" t="s">
        <v>955</v>
      </c>
      <c r="E623" s="468">
        <v>1</v>
      </c>
      <c r="F623" s="468">
        <v>469.62571428571431</v>
      </c>
      <c r="G623" s="467">
        <v>7</v>
      </c>
      <c r="H623" s="451">
        <f t="shared" si="270"/>
        <v>3287.38</v>
      </c>
      <c r="I623" s="675">
        <v>0.35</v>
      </c>
      <c r="J623" s="451">
        <v>1</v>
      </c>
      <c r="K623" s="451">
        <v>600</v>
      </c>
      <c r="L623" s="451">
        <v>12</v>
      </c>
      <c r="M623" s="1834">
        <f t="shared" si="271"/>
        <v>7200</v>
      </c>
      <c r="N623" s="675">
        <v>0.35</v>
      </c>
      <c r="O623" s="696">
        <f>+H623+M623</f>
        <v>10487.380000000001</v>
      </c>
      <c r="P623" s="675">
        <v>0.35</v>
      </c>
      <c r="Q623" s="451">
        <f t="shared" si="272"/>
        <v>3670.5830000000001</v>
      </c>
      <c r="R623" s="522" t="s">
        <v>1072</v>
      </c>
      <c r="S623" s="452">
        <f>COOPI!S90</f>
        <v>10031.63808352609</v>
      </c>
      <c r="T623" s="1071">
        <f t="shared" si="267"/>
        <v>0.95654377771436605</v>
      </c>
      <c r="U623" s="894" t="s">
        <v>1031</v>
      </c>
      <c r="V623" s="591">
        <f t="shared" si="269"/>
        <v>0.95654377771436605</v>
      </c>
      <c r="W623" s="706">
        <f t="shared" si="268"/>
        <v>3511.0733292341311</v>
      </c>
      <c r="X623" s="452" t="s">
        <v>1031</v>
      </c>
      <c r="Y623" s="273"/>
      <c r="Z623" s="273"/>
      <c r="AA623" s="273"/>
      <c r="AB623" s="273"/>
      <c r="AC623" s="273"/>
      <c r="AD623" s="273"/>
      <c r="AE623" s="273"/>
      <c r="AF623" s="273"/>
      <c r="AG623" s="273"/>
      <c r="AH623" s="273"/>
      <c r="AI623" s="273"/>
      <c r="AJ623" s="273"/>
      <c r="AK623" s="273"/>
      <c r="AL623" s="273"/>
      <c r="AM623" s="273"/>
      <c r="AN623" s="273"/>
      <c r="AO623" s="273"/>
      <c r="AP623" s="273"/>
      <c r="AQ623" s="273"/>
      <c r="AR623" s="273"/>
      <c r="AS623" s="273"/>
      <c r="AT623" s="273"/>
      <c r="AU623" s="273"/>
      <c r="AV623" s="273"/>
      <c r="AW623" s="273"/>
      <c r="AX623" s="273"/>
      <c r="AY623" s="273"/>
      <c r="AZ623" s="273"/>
      <c r="BA623" s="273"/>
      <c r="BB623" s="273"/>
      <c r="BC623" s="273"/>
      <c r="BD623" s="273"/>
      <c r="BE623" s="273"/>
      <c r="BF623" s="273"/>
      <c r="BG623" s="273"/>
      <c r="BH623" s="273"/>
      <c r="BI623" s="273"/>
      <c r="BJ623" s="273"/>
      <c r="BK623" s="273"/>
      <c r="BL623" s="273"/>
      <c r="BM623" s="273"/>
      <c r="BN623" s="273"/>
      <c r="BO623" s="273"/>
      <c r="BP623" s="273"/>
      <c r="BQ623" s="273"/>
      <c r="BR623" s="273"/>
      <c r="BS623" s="273"/>
      <c r="BT623" s="273"/>
      <c r="BU623" s="273"/>
      <c r="BV623" s="273"/>
      <c r="BW623" s="273"/>
      <c r="BX623" s="273"/>
      <c r="BY623" s="273"/>
      <c r="BZ623" s="273"/>
      <c r="CA623" s="273"/>
      <c r="CB623" s="273"/>
      <c r="CC623" s="273"/>
      <c r="CD623" s="273"/>
      <c r="CE623" s="273"/>
      <c r="CF623" s="273"/>
      <c r="CG623" s="273"/>
      <c r="CH623" s="273"/>
      <c r="CI623" s="273"/>
      <c r="CJ623" s="273"/>
      <c r="CK623" s="273"/>
      <c r="CL623" s="273"/>
      <c r="CM623" s="273"/>
      <c r="CN623" s="273"/>
      <c r="CO623" s="273"/>
      <c r="CP623" s="273"/>
      <c r="CQ623" s="273"/>
      <c r="CR623" s="273"/>
      <c r="CS623" s="273"/>
      <c r="CT623" s="273"/>
      <c r="CU623" s="273"/>
      <c r="CV623" s="273"/>
      <c r="CW623" s="273"/>
      <c r="CX623" s="273"/>
      <c r="CY623" s="273"/>
      <c r="CZ623" s="273"/>
      <c r="DA623" s="273"/>
      <c r="DB623" s="273"/>
      <c r="DC623" s="273"/>
      <c r="DD623" s="273"/>
      <c r="DE623" s="273"/>
      <c r="DF623" s="273"/>
      <c r="DG623" s="273"/>
      <c r="DH623" s="273"/>
      <c r="DI623" s="273"/>
      <c r="DJ623" s="273"/>
      <c r="DK623" s="273"/>
      <c r="DL623" s="273"/>
      <c r="DM623" s="273"/>
      <c r="DN623" s="273"/>
      <c r="DO623" s="273"/>
      <c r="DP623" s="273"/>
      <c r="DQ623" s="273"/>
      <c r="DR623" s="273"/>
      <c r="DS623" s="273"/>
      <c r="DT623" s="273"/>
      <c r="DU623" s="273"/>
      <c r="DV623" s="273"/>
      <c r="DW623" s="273"/>
      <c r="DX623" s="273"/>
      <c r="DY623" s="273"/>
      <c r="DZ623" s="273"/>
      <c r="EA623" s="273"/>
      <c r="EB623" s="273"/>
      <c r="EC623" s="273"/>
      <c r="ED623" s="273"/>
      <c r="EE623" s="273"/>
      <c r="EF623" s="273"/>
      <c r="EG623" s="273"/>
      <c r="EH623" s="273"/>
      <c r="EI623" s="273"/>
      <c r="EJ623" s="273"/>
      <c r="EK623" s="273"/>
      <c r="EL623" s="273"/>
      <c r="EM623" s="273"/>
      <c r="EN623" s="273"/>
      <c r="EO623" s="273"/>
      <c r="EP623" s="273"/>
      <c r="EQ623" s="273"/>
      <c r="ER623" s="273"/>
      <c r="ES623" s="273"/>
      <c r="ET623" s="273"/>
      <c r="EU623" s="273"/>
      <c r="EV623" s="273"/>
      <c r="EW623" s="273"/>
      <c r="EX623" s="273"/>
      <c r="EY623" s="273"/>
      <c r="EZ623" s="273"/>
      <c r="FA623" s="273"/>
      <c r="FB623" s="273"/>
      <c r="FC623" s="273"/>
      <c r="FD623" s="273"/>
      <c r="FE623" s="273"/>
      <c r="FF623" s="273"/>
      <c r="FG623" s="273"/>
      <c r="FH623" s="273"/>
      <c r="FI623" s="273"/>
      <c r="FJ623" s="273"/>
      <c r="FK623" s="273"/>
      <c r="FL623" s="273"/>
      <c r="FM623" s="273"/>
      <c r="FN623" s="273"/>
      <c r="FO623" s="273"/>
      <c r="FP623" s="273"/>
      <c r="FQ623" s="273"/>
      <c r="FR623" s="273"/>
      <c r="FS623" s="273"/>
      <c r="FT623" s="273"/>
      <c r="FU623" s="273"/>
      <c r="FV623" s="273"/>
      <c r="FW623" s="273"/>
      <c r="FX623" s="273"/>
      <c r="FY623" s="273"/>
      <c r="FZ623" s="273"/>
      <c r="GA623" s="273"/>
      <c r="GB623" s="273"/>
      <c r="GC623" s="273"/>
      <c r="GD623" s="273"/>
      <c r="GE623" s="273"/>
      <c r="GF623" s="273"/>
      <c r="GG623" s="273"/>
      <c r="GH623" s="273"/>
      <c r="GI623" s="273"/>
      <c r="GJ623" s="273"/>
      <c r="GK623" s="273"/>
      <c r="GL623" s="273"/>
      <c r="GM623" s="273"/>
      <c r="GN623" s="273"/>
      <c r="GO623" s="273"/>
      <c r="GP623" s="273"/>
      <c r="GQ623" s="273"/>
      <c r="GR623" s="273"/>
      <c r="GS623" s="273"/>
      <c r="GT623" s="273"/>
      <c r="GU623" s="273"/>
      <c r="GV623" s="273"/>
      <c r="GW623" s="273"/>
      <c r="GX623" s="273"/>
      <c r="GY623" s="273"/>
      <c r="GZ623" s="273"/>
      <c r="HA623" s="273"/>
      <c r="HB623" s="273"/>
      <c r="HC623" s="273"/>
      <c r="HD623" s="273"/>
      <c r="HE623" s="273"/>
      <c r="HF623" s="273"/>
      <c r="HG623" s="273"/>
      <c r="HH623" s="273"/>
      <c r="HI623" s="273"/>
      <c r="HJ623" s="273"/>
      <c r="HK623" s="273"/>
      <c r="HL623" s="273"/>
      <c r="HM623" s="273"/>
      <c r="HN623" s="273"/>
      <c r="HO623" s="273"/>
      <c r="HP623" s="273"/>
      <c r="HQ623" s="273"/>
      <c r="HR623" s="273"/>
      <c r="HS623" s="273"/>
      <c r="HT623" s="273"/>
      <c r="HU623" s="273"/>
      <c r="HV623" s="273"/>
      <c r="HW623" s="273"/>
      <c r="HX623" s="273"/>
      <c r="HY623" s="273"/>
      <c r="HZ623" s="273"/>
      <c r="IA623" s="273"/>
      <c r="IB623" s="273"/>
      <c r="IC623" s="273"/>
      <c r="ID623" s="273"/>
      <c r="IE623" s="273"/>
      <c r="IF623" s="273"/>
      <c r="IG623" s="273"/>
      <c r="IH623" s="273"/>
      <c r="II623" s="273"/>
      <c r="IJ623" s="273"/>
      <c r="IK623" s="273"/>
      <c r="IL623" s="273"/>
      <c r="IM623" s="273"/>
      <c r="IN623" s="273"/>
      <c r="IO623" s="273"/>
      <c r="IP623" s="273"/>
      <c r="IQ623" s="273"/>
      <c r="IR623" s="273"/>
      <c r="IS623" s="273"/>
      <c r="IT623" s="273"/>
      <c r="IU623" s="273"/>
      <c r="IV623" s="273"/>
      <c r="IW623" s="273"/>
      <c r="IX623" s="273"/>
      <c r="IY623" s="273"/>
      <c r="IZ623" s="273"/>
      <c r="JA623" s="273"/>
      <c r="JB623" s="273"/>
      <c r="JC623" s="273"/>
      <c r="JD623" s="273"/>
      <c r="JE623" s="273"/>
      <c r="JF623" s="273"/>
      <c r="JG623" s="273"/>
      <c r="JH623" s="273"/>
      <c r="JI623" s="273"/>
      <c r="JJ623" s="273"/>
      <c r="JK623" s="273"/>
      <c r="JL623" s="273"/>
      <c r="JM623" s="273"/>
      <c r="JN623" s="273"/>
      <c r="JO623" s="273"/>
      <c r="JP623" s="273"/>
      <c r="JQ623" s="273"/>
      <c r="JR623" s="273"/>
      <c r="JS623" s="273"/>
      <c r="JT623" s="273"/>
      <c r="JU623" s="273"/>
      <c r="JV623" s="273"/>
      <c r="JW623" s="273"/>
      <c r="JX623" s="273"/>
      <c r="JY623" s="273"/>
      <c r="JZ623" s="273"/>
      <c r="KA623" s="273"/>
      <c r="KB623" s="273"/>
      <c r="KC623" s="273"/>
      <c r="KD623" s="273"/>
      <c r="KE623" s="273"/>
      <c r="KF623" s="273"/>
      <c r="KG623" s="273"/>
      <c r="KH623" s="273"/>
      <c r="KI623" s="273"/>
      <c r="KJ623" s="273"/>
      <c r="KK623" s="273"/>
      <c r="KL623" s="273"/>
      <c r="KM623" s="273"/>
      <c r="KN623" s="273"/>
      <c r="KO623" s="273"/>
      <c r="KP623" s="273"/>
      <c r="KQ623" s="273"/>
      <c r="KR623" s="273"/>
      <c r="KS623" s="273"/>
      <c r="KT623" s="273"/>
      <c r="KU623" s="273"/>
      <c r="KV623" s="273"/>
      <c r="KW623" s="273"/>
      <c r="KX623" s="273"/>
      <c r="KY623" s="273"/>
      <c r="KZ623" s="273"/>
      <c r="LA623" s="273"/>
      <c r="LB623" s="273"/>
      <c r="LC623" s="273"/>
      <c r="LD623" s="273"/>
      <c r="LE623" s="273"/>
      <c r="LF623" s="273"/>
      <c r="LG623" s="273"/>
      <c r="LH623" s="273"/>
      <c r="LI623" s="273"/>
      <c r="LJ623" s="273"/>
      <c r="LK623" s="273"/>
      <c r="LL623" s="273"/>
      <c r="LM623" s="273"/>
      <c r="LN623" s="273"/>
      <c r="LO623" s="273"/>
      <c r="LP623" s="273"/>
      <c r="LQ623" s="273"/>
      <c r="LR623" s="273"/>
      <c r="LS623" s="273"/>
      <c r="LT623" s="273"/>
      <c r="LU623" s="273"/>
      <c r="LV623" s="273"/>
      <c r="LW623" s="273"/>
      <c r="LX623" s="273"/>
      <c r="LY623" s="273"/>
      <c r="LZ623" s="273"/>
      <c r="MA623" s="273"/>
      <c r="MB623" s="273"/>
      <c r="MC623" s="273"/>
      <c r="MD623" s="273"/>
      <c r="ME623" s="273"/>
      <c r="MF623" s="273"/>
      <c r="MG623" s="273"/>
      <c r="MH623" s="273"/>
      <c r="MI623" s="273"/>
      <c r="MJ623" s="273"/>
      <c r="MK623" s="273"/>
      <c r="ML623" s="273"/>
      <c r="MM623" s="273"/>
      <c r="MN623" s="273"/>
      <c r="MO623" s="273"/>
      <c r="MP623" s="273"/>
      <c r="MQ623" s="273"/>
      <c r="MR623" s="273"/>
      <c r="MS623" s="273"/>
      <c r="MT623" s="273"/>
      <c r="MU623" s="273"/>
      <c r="MV623" s="273"/>
      <c r="MW623" s="273"/>
      <c r="MX623" s="273"/>
      <c r="MY623" s="273"/>
      <c r="MZ623" s="273"/>
      <c r="NA623" s="273"/>
      <c r="NB623" s="273"/>
      <c r="NC623" s="273"/>
      <c r="ND623" s="273"/>
      <c r="NE623" s="273"/>
      <c r="NF623" s="273"/>
      <c r="NG623" s="273"/>
      <c r="NH623" s="273"/>
      <c r="NI623" s="273"/>
      <c r="NJ623" s="273"/>
      <c r="NK623" s="273"/>
      <c r="NL623" s="273"/>
      <c r="NM623" s="273"/>
      <c r="NN623" s="273"/>
      <c r="NO623" s="273"/>
      <c r="NP623" s="273"/>
      <c r="NQ623" s="273"/>
      <c r="NR623" s="273"/>
      <c r="NS623" s="273"/>
      <c r="NT623" s="273"/>
      <c r="NU623" s="273"/>
      <c r="NV623" s="273"/>
      <c r="NW623" s="273"/>
      <c r="NX623" s="273"/>
      <c r="NY623" s="273"/>
      <c r="NZ623" s="273"/>
      <c r="OA623" s="273"/>
      <c r="OB623" s="273"/>
      <c r="OC623" s="273"/>
      <c r="OD623" s="273"/>
      <c r="OE623" s="273"/>
      <c r="OF623" s="273"/>
      <c r="OG623" s="273"/>
      <c r="OH623" s="273"/>
      <c r="OI623" s="273"/>
      <c r="OJ623" s="273"/>
      <c r="OK623" s="273"/>
      <c r="OL623" s="273"/>
      <c r="OM623" s="273"/>
      <c r="ON623" s="273"/>
      <c r="OO623" s="273"/>
      <c r="OP623" s="273"/>
      <c r="OQ623" s="273"/>
      <c r="OR623" s="273"/>
      <c r="OS623" s="273"/>
      <c r="OT623" s="273"/>
      <c r="OU623" s="273"/>
      <c r="OV623" s="273"/>
      <c r="OW623" s="273"/>
      <c r="OX623" s="273"/>
      <c r="OY623" s="273"/>
      <c r="OZ623" s="273"/>
      <c r="PA623" s="273"/>
      <c r="PB623" s="273"/>
      <c r="PC623" s="273"/>
      <c r="PD623" s="273"/>
      <c r="PE623" s="273"/>
      <c r="PF623" s="273"/>
      <c r="PG623" s="273"/>
      <c r="PH623" s="273"/>
      <c r="PI623" s="273"/>
      <c r="PJ623" s="273"/>
      <c r="PK623" s="273"/>
      <c r="PL623" s="273"/>
      <c r="PM623" s="273"/>
      <c r="PN623" s="273"/>
      <c r="PO623" s="273"/>
      <c r="PP623" s="273"/>
      <c r="PQ623" s="273"/>
      <c r="PR623" s="273"/>
      <c r="PS623" s="273"/>
      <c r="PT623" s="273"/>
      <c r="PU623" s="273"/>
      <c r="PV623" s="273"/>
      <c r="PW623" s="273"/>
      <c r="PX623" s="273"/>
      <c r="PY623" s="273"/>
      <c r="PZ623" s="273"/>
      <c r="QA623" s="273"/>
      <c r="QB623" s="273"/>
      <c r="QC623" s="273"/>
      <c r="QD623" s="273"/>
      <c r="QE623" s="273"/>
      <c r="QF623" s="273"/>
      <c r="QG623" s="273"/>
      <c r="QH623" s="273"/>
      <c r="QI623" s="273"/>
      <c r="QJ623" s="273"/>
      <c r="QK623" s="273"/>
      <c r="QL623" s="273"/>
      <c r="QM623" s="273"/>
      <c r="QN623" s="273"/>
      <c r="QO623" s="273"/>
      <c r="QP623" s="273"/>
      <c r="QQ623" s="273"/>
      <c r="QR623" s="273"/>
      <c r="QS623" s="273"/>
      <c r="QT623" s="273"/>
      <c r="QU623" s="273"/>
      <c r="QV623" s="273"/>
      <c r="QW623" s="273"/>
      <c r="QX623" s="273"/>
      <c r="QY623" s="273"/>
      <c r="QZ623" s="273"/>
      <c r="RA623" s="273"/>
      <c r="RB623" s="273"/>
      <c r="RC623" s="273"/>
      <c r="RD623" s="273"/>
      <c r="RE623" s="273"/>
      <c r="RF623" s="273"/>
      <c r="RG623" s="273"/>
      <c r="RH623" s="273"/>
      <c r="RI623" s="273"/>
      <c r="RJ623" s="273"/>
      <c r="RK623" s="273"/>
      <c r="RL623" s="273"/>
      <c r="RM623" s="273"/>
      <c r="RN623" s="273"/>
      <c r="RO623" s="273"/>
      <c r="RP623" s="273"/>
      <c r="RQ623" s="273"/>
    </row>
    <row r="624" spans="1:485" s="450" customFormat="1" ht="14.25" customHeight="1" x14ac:dyDescent="0.25">
      <c r="A624" s="680"/>
      <c r="B624" s="540"/>
      <c r="C624" s="1720" t="s">
        <v>47</v>
      </c>
      <c r="D624" s="467" t="s">
        <v>500</v>
      </c>
      <c r="E624" s="724"/>
      <c r="F624" s="266"/>
      <c r="G624" s="266"/>
      <c r="H624" s="451">
        <v>16800</v>
      </c>
      <c r="I624" s="451"/>
      <c r="J624" s="2616"/>
      <c r="K624" s="2616"/>
      <c r="L624" s="2616"/>
      <c r="M624" s="1834">
        <v>16800</v>
      </c>
      <c r="N624" s="697"/>
      <c r="O624" s="696">
        <f>+H624+M624</f>
        <v>33600</v>
      </c>
      <c r="P624" s="675"/>
      <c r="Q624" s="451">
        <f t="shared" si="272"/>
        <v>0</v>
      </c>
      <c r="R624" s="1069"/>
      <c r="S624" s="706">
        <f>ACIAR!T186</f>
        <v>31676.63</v>
      </c>
      <c r="T624" s="1071">
        <f t="shared" si="267"/>
        <v>0.94275684523809522</v>
      </c>
      <c r="U624" s="541" t="s">
        <v>507</v>
      </c>
      <c r="V624" s="591">
        <v>0</v>
      </c>
      <c r="W624" s="706">
        <f t="shared" si="268"/>
        <v>0</v>
      </c>
      <c r="X624" s="594"/>
    </row>
    <row r="625" spans="1:485" s="461" customFormat="1" x14ac:dyDescent="0.25">
      <c r="A625" s="285"/>
      <c r="B625" s="711" t="s">
        <v>573</v>
      </c>
      <c r="C625" s="711"/>
      <c r="D625" s="897"/>
      <c r="E625" s="1073"/>
      <c r="F625" s="1073"/>
      <c r="G625" s="1073"/>
      <c r="H625" s="470">
        <f>SUM(H616:H624)</f>
        <v>49851.17</v>
      </c>
      <c r="I625" s="1076"/>
      <c r="J625" s="1107"/>
      <c r="K625" s="1107"/>
      <c r="L625" s="1107"/>
      <c r="M625" s="2865">
        <f>SUM(M616:M624)</f>
        <v>41744</v>
      </c>
      <c r="N625" s="1108"/>
      <c r="O625" s="470">
        <f>SUM(O616:O624)</f>
        <v>91595.17</v>
      </c>
      <c r="P625" s="1076"/>
      <c r="Q625" s="1109">
        <f>SUM(Q616:Q624)</f>
        <v>18034.373</v>
      </c>
      <c r="R625" s="1110"/>
      <c r="S625" s="1111">
        <f>SUM(S616:S624)</f>
        <v>102587.2580835261</v>
      </c>
      <c r="T625" s="600">
        <f>S625/O625</f>
        <v>1.1200072895058342</v>
      </c>
      <c r="U625" s="711"/>
      <c r="V625" s="600">
        <f>W625/Q625</f>
        <v>0.99433528014720174</v>
      </c>
      <c r="W625" s="1111">
        <f>SUM(W616:W624)</f>
        <v>17932.213329234131</v>
      </c>
      <c r="X625" s="1112"/>
    </row>
    <row r="626" spans="1:485" s="461" customFormat="1" x14ac:dyDescent="0.25">
      <c r="A626" s="3036" t="s">
        <v>59</v>
      </c>
      <c r="B626" s="3037"/>
      <c r="C626" s="3037"/>
      <c r="D626" s="3037"/>
      <c r="E626" s="3037"/>
      <c r="F626" s="3037"/>
      <c r="G626" s="3037"/>
      <c r="H626" s="3037"/>
      <c r="I626" s="3037"/>
      <c r="J626" s="3037"/>
      <c r="K626" s="3037"/>
      <c r="L626" s="3037"/>
      <c r="M626" s="3037"/>
      <c r="N626" s="3037"/>
      <c r="O626" s="3037"/>
      <c r="P626" s="3037"/>
      <c r="Q626" s="3037"/>
      <c r="R626" s="3037"/>
      <c r="S626" s="3037"/>
      <c r="T626" s="3037"/>
      <c r="U626" s="3037"/>
      <c r="V626" s="3037"/>
      <c r="W626" s="3037"/>
      <c r="X626" s="3038"/>
    </row>
    <row r="627" spans="1:485" s="450" customFormat="1" x14ac:dyDescent="0.25">
      <c r="A627" s="539" t="s">
        <v>696</v>
      </c>
      <c r="B627" s="540"/>
      <c r="C627" s="1720" t="s">
        <v>17</v>
      </c>
      <c r="D627" s="598" t="s">
        <v>563</v>
      </c>
      <c r="E627" s="710">
        <v>1</v>
      </c>
      <c r="F627" s="710">
        <v>500</v>
      </c>
      <c r="G627" s="724">
        <v>6</v>
      </c>
      <c r="H627" s="701">
        <f>G627*F627*E627</f>
        <v>3000</v>
      </c>
      <c r="I627" s="675"/>
      <c r="J627" s="2736">
        <v>1</v>
      </c>
      <c r="K627" s="2736">
        <v>500</v>
      </c>
      <c r="L627" s="2736">
        <v>6</v>
      </c>
      <c r="M627" s="2882">
        <v>5400</v>
      </c>
      <c r="N627" s="675"/>
      <c r="O627" s="2920">
        <f>M627+H627</f>
        <v>8400</v>
      </c>
      <c r="P627" s="697">
        <v>0</v>
      </c>
      <c r="Q627" s="709">
        <v>0</v>
      </c>
      <c r="R627" s="521"/>
      <c r="S627" s="1069">
        <f>OIM!T162</f>
        <v>16009.86</v>
      </c>
      <c r="T627" s="1071">
        <f>S627/O627</f>
        <v>1.9059357142857143</v>
      </c>
      <c r="U627" s="521"/>
      <c r="V627" s="591">
        <v>0</v>
      </c>
      <c r="W627" s="706">
        <f>+P627*S627</f>
        <v>0</v>
      </c>
      <c r="X627" s="594"/>
      <c r="Y627" s="273"/>
      <c r="Z627" s="273"/>
      <c r="AA627" s="273"/>
      <c r="AB627" s="273"/>
      <c r="AC627" s="273"/>
      <c r="AD627" s="273"/>
      <c r="AE627" s="273"/>
      <c r="AF627" s="273"/>
      <c r="AG627" s="273"/>
      <c r="AH627" s="273"/>
      <c r="AI627" s="273"/>
      <c r="AJ627" s="273"/>
      <c r="AK627" s="273"/>
      <c r="AL627" s="273"/>
      <c r="AM627" s="273"/>
      <c r="AN627" s="273"/>
      <c r="AO627" s="273"/>
      <c r="AP627" s="273"/>
      <c r="AQ627" s="273"/>
    </row>
    <row r="628" spans="1:485" s="450" customFormat="1" x14ac:dyDescent="0.25">
      <c r="A628" s="438" t="s">
        <v>697</v>
      </c>
      <c r="B628" s="439"/>
      <c r="C628" s="1720" t="s">
        <v>17</v>
      </c>
      <c r="D628" s="598" t="s">
        <v>563</v>
      </c>
      <c r="E628" s="724">
        <v>1</v>
      </c>
      <c r="F628" s="1824">
        <v>300</v>
      </c>
      <c r="G628" s="724">
        <v>6</v>
      </c>
      <c r="H628" s="701">
        <f>G628*F628*E628</f>
        <v>1800</v>
      </c>
      <c r="I628" s="675"/>
      <c r="J628" s="2736">
        <v>1</v>
      </c>
      <c r="K628" s="2741">
        <v>300</v>
      </c>
      <c r="L628" s="2736">
        <v>6</v>
      </c>
      <c r="M628" s="2882">
        <v>2470</v>
      </c>
      <c r="N628" s="675"/>
      <c r="O628" s="2920">
        <f>M628+H628</f>
        <v>4270</v>
      </c>
      <c r="P628" s="697">
        <v>0</v>
      </c>
      <c r="Q628" s="709">
        <v>0</v>
      </c>
      <c r="R628" s="521"/>
      <c r="S628" s="1069">
        <f>OIM!T163</f>
        <v>7690.88</v>
      </c>
      <c r="T628" s="1071">
        <f t="shared" ref="T628:T649" si="273">S628/O628</f>
        <v>1.8011428571428572</v>
      </c>
      <c r="U628" s="521"/>
      <c r="V628" s="591">
        <v>0</v>
      </c>
      <c r="W628" s="706">
        <f t="shared" ref="W628:W649" si="274">+P628*S628</f>
        <v>0</v>
      </c>
      <c r="X628" s="594"/>
      <c r="Y628" s="273"/>
      <c r="Z628" s="273"/>
      <c r="AA628" s="273"/>
      <c r="AB628" s="273"/>
      <c r="AC628" s="273"/>
      <c r="AD628" s="273"/>
      <c r="AE628" s="273"/>
      <c r="AF628" s="273"/>
      <c r="AG628" s="273"/>
      <c r="AH628" s="273"/>
      <c r="AI628" s="273"/>
      <c r="AJ628" s="273"/>
      <c r="AK628" s="273"/>
      <c r="AL628" s="273"/>
      <c r="AM628" s="273"/>
      <c r="AN628" s="273"/>
      <c r="AO628" s="273"/>
      <c r="AP628" s="273"/>
      <c r="AQ628" s="273"/>
    </row>
    <row r="629" spans="1:485" s="450" customFormat="1" ht="13.9" customHeight="1" x14ac:dyDescent="0.25">
      <c r="A629" s="438" t="s">
        <v>696</v>
      </c>
      <c r="B629" s="439"/>
      <c r="C629" s="1847" t="s">
        <v>17</v>
      </c>
      <c r="D629" s="598" t="s">
        <v>563</v>
      </c>
      <c r="E629" s="724">
        <v>1</v>
      </c>
      <c r="F629" s="1769">
        <v>500</v>
      </c>
      <c r="G629" s="724">
        <v>6</v>
      </c>
      <c r="H629" s="701">
        <f>G629*F629*E629</f>
        <v>3000</v>
      </c>
      <c r="I629" s="675"/>
      <c r="J629" s="2736">
        <v>1</v>
      </c>
      <c r="K629" s="2738">
        <v>500</v>
      </c>
      <c r="L629" s="2736">
        <v>6</v>
      </c>
      <c r="M629" s="2882">
        <f>L629*K629*J629</f>
        <v>3000</v>
      </c>
      <c r="N629" s="675"/>
      <c r="O629" s="2920">
        <f>M629+H629</f>
        <v>6000</v>
      </c>
      <c r="P629" s="697">
        <v>0</v>
      </c>
      <c r="Q629" s="709">
        <v>0</v>
      </c>
      <c r="R629" s="1061"/>
      <c r="S629" s="1069">
        <v>0</v>
      </c>
      <c r="T629" s="1071">
        <f t="shared" si="273"/>
        <v>0</v>
      </c>
      <c r="U629" s="1061"/>
      <c r="V629" s="591">
        <v>0</v>
      </c>
      <c r="W629" s="706">
        <f t="shared" si="274"/>
        <v>0</v>
      </c>
      <c r="X629" s="594"/>
      <c r="Y629" s="273"/>
      <c r="Z629" s="273"/>
      <c r="AA629" s="273"/>
      <c r="AB629" s="273"/>
      <c r="AC629" s="273"/>
      <c r="AD629" s="273"/>
      <c r="AE629" s="273"/>
      <c r="AF629" s="273"/>
      <c r="AG629" s="273"/>
      <c r="AH629" s="273"/>
      <c r="AI629" s="273"/>
      <c r="AJ629" s="273"/>
      <c r="AK629" s="273"/>
      <c r="AL629" s="273"/>
      <c r="AM629" s="273"/>
      <c r="AN629" s="273"/>
      <c r="AO629" s="273"/>
      <c r="AP629" s="273"/>
      <c r="AQ629" s="273"/>
    </row>
    <row r="630" spans="1:485" s="450" customFormat="1" ht="13.9" customHeight="1" x14ac:dyDescent="0.25">
      <c r="A630" s="438" t="s">
        <v>697</v>
      </c>
      <c r="B630" s="439"/>
      <c r="C630" s="1847" t="s">
        <v>17</v>
      </c>
      <c r="D630" s="598" t="s">
        <v>563</v>
      </c>
      <c r="E630" s="724">
        <v>1</v>
      </c>
      <c r="F630" s="1769">
        <v>300</v>
      </c>
      <c r="G630" s="724">
        <v>6</v>
      </c>
      <c r="H630" s="701">
        <f>G630*F630*E630</f>
        <v>1800</v>
      </c>
      <c r="I630" s="675"/>
      <c r="J630" s="2736">
        <v>1</v>
      </c>
      <c r="K630" s="2738">
        <v>300</v>
      </c>
      <c r="L630" s="2736">
        <v>6</v>
      </c>
      <c r="M630" s="2882">
        <f>L630*K630*J630</f>
        <v>1800</v>
      </c>
      <c r="N630" s="675"/>
      <c r="O630" s="2920">
        <f>M630+H630</f>
        <v>3600</v>
      </c>
      <c r="P630" s="697">
        <v>0</v>
      </c>
      <c r="Q630" s="709">
        <v>0</v>
      </c>
      <c r="R630" s="1061"/>
      <c r="S630" s="1069">
        <v>0</v>
      </c>
      <c r="T630" s="1071">
        <f t="shared" si="273"/>
        <v>0</v>
      </c>
      <c r="U630" s="1061"/>
      <c r="V630" s="591">
        <v>0</v>
      </c>
      <c r="W630" s="706">
        <f t="shared" si="274"/>
        <v>0</v>
      </c>
      <c r="X630" s="594"/>
      <c r="Y630" s="273"/>
      <c r="Z630" s="273"/>
      <c r="AA630" s="273"/>
      <c r="AB630" s="273"/>
      <c r="AC630" s="273"/>
      <c r="AD630" s="273"/>
      <c r="AE630" s="273"/>
      <c r="AF630" s="273"/>
      <c r="AG630" s="273"/>
      <c r="AH630" s="273"/>
      <c r="AI630" s="273"/>
      <c r="AJ630" s="273"/>
      <c r="AK630" s="273"/>
      <c r="AL630" s="273"/>
      <c r="AM630" s="273"/>
      <c r="AN630" s="273"/>
      <c r="AO630" s="273"/>
      <c r="AP630" s="273"/>
      <c r="AQ630" s="273"/>
    </row>
    <row r="631" spans="1:485" s="450" customFormat="1" ht="26" x14ac:dyDescent="0.25">
      <c r="A631" s="680"/>
      <c r="B631" s="284" t="s">
        <v>486</v>
      </c>
      <c r="C631" s="595" t="s">
        <v>17</v>
      </c>
      <c r="D631" s="731" t="s">
        <v>398</v>
      </c>
      <c r="E631" s="468">
        <v>5</v>
      </c>
      <c r="F631" s="689">
        <v>45</v>
      </c>
      <c r="G631" s="468">
        <v>40</v>
      </c>
      <c r="H631" s="451">
        <f>SFCG!H116</f>
        <v>9000</v>
      </c>
      <c r="I631" s="675"/>
      <c r="J631" s="710">
        <v>5</v>
      </c>
      <c r="K631" s="710">
        <f>F631</f>
        <v>45</v>
      </c>
      <c r="L631" s="710">
        <v>40</v>
      </c>
      <c r="M631" s="1834">
        <f>SFCG!M116+SFCG!N116</f>
        <v>13410</v>
      </c>
      <c r="N631" s="697"/>
      <c r="O631" s="696">
        <f t="shared" ref="O631:O648" si="275">M631+H631</f>
        <v>22410</v>
      </c>
      <c r="P631" s="697">
        <v>0</v>
      </c>
      <c r="Q631" s="709">
        <v>0</v>
      </c>
      <c r="R631" s="1145" t="s">
        <v>1216</v>
      </c>
      <c r="S631" s="706">
        <f>SFCG!T116</f>
        <v>28356.5</v>
      </c>
      <c r="T631" s="1071">
        <f t="shared" si="273"/>
        <v>1.2653502900490852</v>
      </c>
      <c r="U631" s="595" t="s">
        <v>487</v>
      </c>
      <c r="V631" s="591">
        <v>0</v>
      </c>
      <c r="W631" s="706">
        <f t="shared" si="274"/>
        <v>0</v>
      </c>
      <c r="X631" s="266" t="s">
        <v>1116</v>
      </c>
    </row>
    <row r="632" spans="1:485" s="450" customFormat="1" ht="26" x14ac:dyDescent="0.25">
      <c r="A632" s="680"/>
      <c r="B632" s="284" t="s">
        <v>488</v>
      </c>
      <c r="C632" s="595" t="s">
        <v>17</v>
      </c>
      <c r="D632" s="731" t="s">
        <v>398</v>
      </c>
      <c r="E632" s="468">
        <v>10</v>
      </c>
      <c r="F632" s="689">
        <v>250</v>
      </c>
      <c r="G632" s="468">
        <v>1</v>
      </c>
      <c r="H632" s="451">
        <f>SFCG!H117</f>
        <v>2500</v>
      </c>
      <c r="I632" s="675"/>
      <c r="J632" s="710">
        <v>10</v>
      </c>
      <c r="K632" s="710">
        <f>F632</f>
        <v>250</v>
      </c>
      <c r="L632" s="710">
        <v>1</v>
      </c>
      <c r="M632" s="1834">
        <f>SFCG!M117+SFCG!N117</f>
        <v>4660</v>
      </c>
      <c r="N632" s="697"/>
      <c r="O632" s="696">
        <f t="shared" si="275"/>
        <v>7160</v>
      </c>
      <c r="P632" s="697">
        <v>0</v>
      </c>
      <c r="Q632" s="709">
        <v>0</v>
      </c>
      <c r="R632" s="1145" t="s">
        <v>1217</v>
      </c>
      <c r="S632" s="706">
        <f>SFCG!T117</f>
        <v>13795.180000000002</v>
      </c>
      <c r="T632" s="1071">
        <f t="shared" si="273"/>
        <v>1.9267011173184361</v>
      </c>
      <c r="U632" s="595" t="s">
        <v>487</v>
      </c>
      <c r="V632" s="591">
        <v>0</v>
      </c>
      <c r="W632" s="706">
        <f t="shared" si="274"/>
        <v>0</v>
      </c>
      <c r="X632" s="266" t="s">
        <v>1115</v>
      </c>
    </row>
    <row r="633" spans="1:485" s="450" customFormat="1" ht="26" x14ac:dyDescent="0.25">
      <c r="A633" s="680"/>
      <c r="B633" s="284" t="s">
        <v>356</v>
      </c>
      <c r="C633" s="1720" t="s">
        <v>17</v>
      </c>
      <c r="D633" s="1820" t="s">
        <v>1372</v>
      </c>
      <c r="E633" s="1821">
        <v>1</v>
      </c>
      <c r="F633" s="1822">
        <v>400</v>
      </c>
      <c r="G633" s="266">
        <v>12</v>
      </c>
      <c r="H633" s="1777">
        <f>O633/2</f>
        <v>8017.2749999999996</v>
      </c>
      <c r="I633" s="675"/>
      <c r="J633" s="710">
        <v>1</v>
      </c>
      <c r="K633" s="710">
        <v>400</v>
      </c>
      <c r="L633" s="710">
        <v>12</v>
      </c>
      <c r="M633" s="1834">
        <f>H633</f>
        <v>8017.2749999999996</v>
      </c>
      <c r="N633" s="697">
        <v>0</v>
      </c>
      <c r="O633" s="696">
        <v>16034.55</v>
      </c>
      <c r="P633" s="697">
        <v>0</v>
      </c>
      <c r="Q633" s="709">
        <v>0</v>
      </c>
      <c r="R633" s="1810" t="s">
        <v>357</v>
      </c>
      <c r="S633" s="706">
        <f>'MERCY COPRS'!H142</f>
        <v>16502.02</v>
      </c>
      <c r="T633" s="1071">
        <f t="shared" si="273"/>
        <v>1.0291539207523754</v>
      </c>
      <c r="U633" s="595"/>
      <c r="V633" s="591">
        <v>0</v>
      </c>
      <c r="W633" s="706">
        <f t="shared" si="274"/>
        <v>0</v>
      </c>
      <c r="X633" s="266"/>
    </row>
    <row r="634" spans="1:485" s="450" customFormat="1" ht="26" x14ac:dyDescent="0.25">
      <c r="A634" s="680"/>
      <c r="B634" s="284" t="s">
        <v>358</v>
      </c>
      <c r="C634" s="1720" t="s">
        <v>17</v>
      </c>
      <c r="D634" s="1820" t="s">
        <v>1372</v>
      </c>
      <c r="E634" s="1821">
        <v>1</v>
      </c>
      <c r="F634" s="1822">
        <v>4600</v>
      </c>
      <c r="G634" s="266">
        <v>4</v>
      </c>
      <c r="H634" s="1777">
        <f>F634*G634</f>
        <v>18400</v>
      </c>
      <c r="I634" s="675"/>
      <c r="J634" s="710">
        <v>1</v>
      </c>
      <c r="K634" s="710">
        <v>3200</v>
      </c>
      <c r="L634" s="710"/>
      <c r="M634" s="1834">
        <v>0</v>
      </c>
      <c r="N634" s="697">
        <v>0</v>
      </c>
      <c r="O634" s="696">
        <v>18400</v>
      </c>
      <c r="P634" s="697">
        <v>0</v>
      </c>
      <c r="Q634" s="709">
        <v>0</v>
      </c>
      <c r="R634" s="1810" t="s">
        <v>359</v>
      </c>
      <c r="S634" s="706">
        <f>'MERCY COPRS'!H143</f>
        <v>25258.719999999994</v>
      </c>
      <c r="T634" s="1071">
        <f t="shared" si="273"/>
        <v>1.3727565217391302</v>
      </c>
      <c r="U634" s="595"/>
      <c r="V634" s="591">
        <v>0</v>
      </c>
      <c r="W634" s="706">
        <f t="shared" si="274"/>
        <v>0</v>
      </c>
      <c r="X634" s="266"/>
    </row>
    <row r="635" spans="1:485" s="450" customFormat="1" ht="26" x14ac:dyDescent="0.25">
      <c r="A635" s="680"/>
      <c r="B635" s="284" t="s">
        <v>360</v>
      </c>
      <c r="C635" s="1720" t="s">
        <v>17</v>
      </c>
      <c r="D635" s="1820" t="s">
        <v>1372</v>
      </c>
      <c r="E635" s="1821">
        <v>1</v>
      </c>
      <c r="F635" s="1822">
        <f>13200*3%</f>
        <v>396</v>
      </c>
      <c r="G635" s="266">
        <v>12</v>
      </c>
      <c r="H635" s="1777">
        <f>O635/2</f>
        <v>2646</v>
      </c>
      <c r="I635" s="675"/>
      <c r="J635" s="710">
        <v>1</v>
      </c>
      <c r="K635" s="710">
        <v>396</v>
      </c>
      <c r="L635" s="710">
        <v>12</v>
      </c>
      <c r="M635" s="1834">
        <f>H635</f>
        <v>2646</v>
      </c>
      <c r="N635" s="697">
        <v>0</v>
      </c>
      <c r="O635" s="696">
        <v>5292</v>
      </c>
      <c r="P635" s="675">
        <v>0</v>
      </c>
      <c r="Q635" s="709">
        <v>0</v>
      </c>
      <c r="R635" s="1810" t="s">
        <v>361</v>
      </c>
      <c r="S635" s="706">
        <f>'MERCY COPRS'!H144</f>
        <v>5749.3400000000038</v>
      </c>
      <c r="T635" s="1071">
        <f t="shared" si="273"/>
        <v>1.086421012849585</v>
      </c>
      <c r="U635" s="595"/>
      <c r="V635" s="591">
        <v>0</v>
      </c>
      <c r="W635" s="706">
        <f t="shared" si="274"/>
        <v>0</v>
      </c>
      <c r="X635" s="266"/>
    </row>
    <row r="636" spans="1:485" s="450" customFormat="1" ht="48" customHeight="1" x14ac:dyDescent="0.25">
      <c r="A636" s="680"/>
      <c r="B636" s="595" t="s">
        <v>912</v>
      </c>
      <c r="C636" s="1720" t="s">
        <v>17</v>
      </c>
      <c r="D636" s="467" t="s">
        <v>724</v>
      </c>
      <c r="E636" s="724">
        <v>1</v>
      </c>
      <c r="F636" s="266">
        <v>6569</v>
      </c>
      <c r="G636" s="266">
        <v>1</v>
      </c>
      <c r="H636" s="722">
        <f>CARITAS!H111</f>
        <v>6569</v>
      </c>
      <c r="I636" s="714"/>
      <c r="J636" s="722">
        <v>1</v>
      </c>
      <c r="K636" s="722">
        <v>600</v>
      </c>
      <c r="L636" s="1831">
        <v>1</v>
      </c>
      <c r="M636" s="2875">
        <f>CARITAS!M111</f>
        <v>600</v>
      </c>
      <c r="N636" s="1784"/>
      <c r="O636" s="2921">
        <f t="shared" si="275"/>
        <v>7169</v>
      </c>
      <c r="P636" s="675">
        <v>0.5</v>
      </c>
      <c r="Q636" s="1741">
        <f>O636/2</f>
        <v>3584.5</v>
      </c>
      <c r="R636" s="522" t="s">
        <v>913</v>
      </c>
      <c r="S636" s="1865">
        <f>CARITAS!S111</f>
        <v>7620</v>
      </c>
      <c r="T636" s="1071">
        <f t="shared" si="273"/>
        <v>1.0629097503138514</v>
      </c>
      <c r="U636" s="595" t="s">
        <v>914</v>
      </c>
      <c r="V636" s="591">
        <f t="shared" ref="V636:V647" si="276">+W636/Q636</f>
        <v>1.0629097503138514</v>
      </c>
      <c r="W636" s="706">
        <f t="shared" si="274"/>
        <v>3810</v>
      </c>
      <c r="X636" s="522" t="s">
        <v>913</v>
      </c>
    </row>
    <row r="637" spans="1:485" s="450" customFormat="1" ht="36.75" customHeight="1" x14ac:dyDescent="0.25">
      <c r="A637" s="680"/>
      <c r="B637" s="595" t="s">
        <v>915</v>
      </c>
      <c r="C637" s="1720" t="s">
        <v>17</v>
      </c>
      <c r="D637" s="467" t="s">
        <v>724</v>
      </c>
      <c r="E637" s="724">
        <v>1</v>
      </c>
      <c r="F637" s="266">
        <v>2717.5</v>
      </c>
      <c r="G637" s="266">
        <v>2</v>
      </c>
      <c r="H637" s="722">
        <f>CARITAS!H112</f>
        <v>5435</v>
      </c>
      <c r="I637" s="714">
        <v>0.3</v>
      </c>
      <c r="J637" s="437">
        <v>1</v>
      </c>
      <c r="K637" s="437">
        <v>2717.5</v>
      </c>
      <c r="L637" s="437">
        <v>2</v>
      </c>
      <c r="M637" s="2875">
        <f>CARITAS!M112</f>
        <v>5435</v>
      </c>
      <c r="N637" s="714"/>
      <c r="O637" s="2921">
        <f t="shared" si="275"/>
        <v>10870</v>
      </c>
      <c r="P637" s="675">
        <v>0.5</v>
      </c>
      <c r="Q637" s="1741">
        <f>O637/2</f>
        <v>5435</v>
      </c>
      <c r="R637" s="522" t="s">
        <v>913</v>
      </c>
      <c r="S637" s="1865">
        <f>CARITAS!S112</f>
        <v>10418.5</v>
      </c>
      <c r="T637" s="1071">
        <f t="shared" si="273"/>
        <v>0.95846366145354189</v>
      </c>
      <c r="U637" s="595" t="s">
        <v>916</v>
      </c>
      <c r="V637" s="591">
        <f t="shared" si="276"/>
        <v>0.95846366145354189</v>
      </c>
      <c r="W637" s="706">
        <f t="shared" si="274"/>
        <v>5209.25</v>
      </c>
      <c r="X637" s="522" t="s">
        <v>913</v>
      </c>
    </row>
    <row r="638" spans="1:485" s="450" customFormat="1" ht="14.25" customHeight="1" x14ac:dyDescent="0.25">
      <c r="A638" s="680"/>
      <c r="B638" s="284" t="s">
        <v>1073</v>
      </c>
      <c r="C638" s="1720" t="s">
        <v>17</v>
      </c>
      <c r="D638" s="598" t="s">
        <v>955</v>
      </c>
      <c r="E638" s="468">
        <v>1</v>
      </c>
      <c r="F638" s="468">
        <v>2306.6666666666665</v>
      </c>
      <c r="G638" s="467">
        <v>3</v>
      </c>
      <c r="H638" s="451">
        <f t="shared" ref="H638:H647" si="277">E638*F638*G638</f>
        <v>6920</v>
      </c>
      <c r="I638" s="675">
        <v>1</v>
      </c>
      <c r="J638" s="451">
        <v>1</v>
      </c>
      <c r="K638" s="451">
        <v>2300</v>
      </c>
      <c r="L638" s="451">
        <v>8</v>
      </c>
      <c r="M638" s="1834">
        <f t="shared" ref="M638:M647" si="278">J638*K638*L638</f>
        <v>18400</v>
      </c>
      <c r="N638" s="675">
        <v>1</v>
      </c>
      <c r="O638" s="696">
        <f t="shared" si="275"/>
        <v>25320</v>
      </c>
      <c r="P638" s="675">
        <v>1</v>
      </c>
      <c r="Q638" s="451">
        <f t="shared" ref="Q638:Q647" si="279">O638*P638</f>
        <v>25320</v>
      </c>
      <c r="R638" s="522" t="s">
        <v>1074</v>
      </c>
      <c r="S638" s="452">
        <f>COOPI!S93</f>
        <v>24175.760523531339</v>
      </c>
      <c r="T638" s="1071">
        <f t="shared" si="273"/>
        <v>0.95480886743804649</v>
      </c>
      <c r="U638" s="894" t="s">
        <v>1031</v>
      </c>
      <c r="V638" s="591">
        <f t="shared" si="276"/>
        <v>0.95480886743804649</v>
      </c>
      <c r="W638" s="706">
        <f t="shared" si="274"/>
        <v>24175.760523531339</v>
      </c>
      <c r="X638" s="452" t="s">
        <v>1031</v>
      </c>
      <c r="Y638" s="273"/>
      <c r="Z638" s="273"/>
      <c r="AA638" s="273"/>
      <c r="AB638" s="273"/>
      <c r="AC638" s="273"/>
      <c r="AD638" s="273"/>
      <c r="AE638" s="273"/>
      <c r="AF638" s="273"/>
      <c r="AG638" s="273"/>
      <c r="AH638" s="273"/>
      <c r="AI638" s="273"/>
      <c r="AJ638" s="273"/>
      <c r="AK638" s="273"/>
      <c r="AL638" s="273"/>
      <c r="AM638" s="273"/>
      <c r="AN638" s="273"/>
      <c r="AO638" s="273"/>
      <c r="AP638" s="273"/>
      <c r="AQ638" s="273"/>
      <c r="AR638" s="273"/>
      <c r="AS638" s="273"/>
      <c r="AT638" s="273"/>
      <c r="AU638" s="273"/>
      <c r="AV638" s="273"/>
      <c r="AW638" s="273"/>
      <c r="AX638" s="273"/>
      <c r="AY638" s="273"/>
      <c r="AZ638" s="273"/>
      <c r="BA638" s="273"/>
      <c r="BB638" s="273"/>
      <c r="BC638" s="273"/>
      <c r="BD638" s="273"/>
      <c r="BE638" s="273"/>
      <c r="BF638" s="273"/>
      <c r="BG638" s="273"/>
      <c r="BH638" s="273"/>
      <c r="BI638" s="273"/>
      <c r="BJ638" s="273"/>
      <c r="BK638" s="273"/>
      <c r="BL638" s="273"/>
      <c r="BM638" s="273"/>
      <c r="BN638" s="273"/>
      <c r="BO638" s="273"/>
      <c r="BP638" s="273"/>
      <c r="BQ638" s="273"/>
      <c r="BR638" s="273"/>
      <c r="BS638" s="273"/>
      <c r="BT638" s="273"/>
      <c r="BU638" s="273"/>
      <c r="BV638" s="273"/>
      <c r="BW638" s="273"/>
      <c r="BX638" s="273"/>
      <c r="BY638" s="273"/>
      <c r="BZ638" s="273"/>
      <c r="CA638" s="273"/>
      <c r="CB638" s="273"/>
      <c r="CC638" s="273"/>
      <c r="CD638" s="273"/>
      <c r="CE638" s="273"/>
      <c r="CF638" s="273"/>
      <c r="CG638" s="273"/>
      <c r="CH638" s="273"/>
      <c r="CI638" s="273"/>
      <c r="CJ638" s="273"/>
      <c r="CK638" s="273"/>
      <c r="CL638" s="273"/>
      <c r="CM638" s="273"/>
      <c r="CN638" s="273"/>
      <c r="CO638" s="273"/>
      <c r="CP638" s="273"/>
      <c r="CQ638" s="273"/>
      <c r="CR638" s="273"/>
      <c r="CS638" s="273"/>
      <c r="CT638" s="273"/>
      <c r="CU638" s="273"/>
      <c r="CV638" s="273"/>
      <c r="CW638" s="273"/>
      <c r="CX638" s="273"/>
      <c r="CY638" s="273"/>
      <c r="CZ638" s="273"/>
      <c r="DA638" s="273"/>
      <c r="DB638" s="273"/>
      <c r="DC638" s="273"/>
      <c r="DD638" s="273"/>
      <c r="DE638" s="273"/>
      <c r="DF638" s="273"/>
      <c r="DG638" s="273"/>
      <c r="DH638" s="273"/>
      <c r="DI638" s="273"/>
      <c r="DJ638" s="273"/>
      <c r="DK638" s="273"/>
      <c r="DL638" s="273"/>
      <c r="DM638" s="273"/>
      <c r="DN638" s="273"/>
      <c r="DO638" s="273"/>
      <c r="DP638" s="273"/>
      <c r="DQ638" s="273"/>
      <c r="DR638" s="273"/>
      <c r="DS638" s="273"/>
      <c r="DT638" s="273"/>
      <c r="DU638" s="273"/>
      <c r="DV638" s="273"/>
      <c r="DW638" s="273"/>
      <c r="DX638" s="273"/>
      <c r="DY638" s="273"/>
      <c r="DZ638" s="273"/>
      <c r="EA638" s="273"/>
      <c r="EB638" s="273"/>
      <c r="EC638" s="273"/>
      <c r="ED638" s="273"/>
      <c r="EE638" s="273"/>
      <c r="EF638" s="273"/>
      <c r="EG638" s="273"/>
      <c r="EH638" s="273"/>
      <c r="EI638" s="273"/>
      <c r="EJ638" s="273"/>
      <c r="EK638" s="273"/>
      <c r="EL638" s="273"/>
      <c r="EM638" s="273"/>
      <c r="EN638" s="273"/>
      <c r="EO638" s="273"/>
      <c r="EP638" s="273"/>
      <c r="EQ638" s="273"/>
      <c r="ER638" s="273"/>
      <c r="ES638" s="273"/>
      <c r="ET638" s="273"/>
      <c r="EU638" s="273"/>
      <c r="EV638" s="273"/>
      <c r="EW638" s="273"/>
      <c r="EX638" s="273"/>
      <c r="EY638" s="273"/>
      <c r="EZ638" s="273"/>
      <c r="FA638" s="273"/>
      <c r="FB638" s="273"/>
      <c r="FC638" s="273"/>
      <c r="FD638" s="273"/>
      <c r="FE638" s="273"/>
      <c r="FF638" s="273"/>
      <c r="FG638" s="273"/>
      <c r="FH638" s="273"/>
      <c r="FI638" s="273"/>
      <c r="FJ638" s="273"/>
      <c r="FK638" s="273"/>
      <c r="FL638" s="273"/>
      <c r="FM638" s="273"/>
      <c r="FN638" s="273"/>
      <c r="FO638" s="273"/>
      <c r="FP638" s="273"/>
      <c r="FQ638" s="273"/>
      <c r="FR638" s="273"/>
      <c r="FS638" s="273"/>
      <c r="FT638" s="273"/>
      <c r="FU638" s="273"/>
      <c r="FV638" s="273"/>
      <c r="FW638" s="273"/>
      <c r="FX638" s="273"/>
      <c r="FY638" s="273"/>
      <c r="FZ638" s="273"/>
      <c r="GA638" s="273"/>
      <c r="GB638" s="273"/>
      <c r="GC638" s="273"/>
      <c r="GD638" s="273"/>
      <c r="GE638" s="273"/>
      <c r="GF638" s="273"/>
      <c r="GG638" s="273"/>
      <c r="GH638" s="273"/>
      <c r="GI638" s="273"/>
      <c r="GJ638" s="273"/>
      <c r="GK638" s="273"/>
      <c r="GL638" s="273"/>
      <c r="GM638" s="273"/>
      <c r="GN638" s="273"/>
      <c r="GO638" s="273"/>
      <c r="GP638" s="273"/>
      <c r="GQ638" s="273"/>
      <c r="GR638" s="273"/>
      <c r="GS638" s="273"/>
      <c r="GT638" s="273"/>
      <c r="GU638" s="273"/>
      <c r="GV638" s="273"/>
      <c r="GW638" s="273"/>
      <c r="GX638" s="273"/>
      <c r="GY638" s="273"/>
      <c r="GZ638" s="273"/>
      <c r="HA638" s="273"/>
      <c r="HB638" s="273"/>
      <c r="HC638" s="273"/>
      <c r="HD638" s="273"/>
      <c r="HE638" s="273"/>
      <c r="HF638" s="273"/>
      <c r="HG638" s="273"/>
      <c r="HH638" s="273"/>
      <c r="HI638" s="273"/>
      <c r="HJ638" s="273"/>
      <c r="HK638" s="273"/>
      <c r="HL638" s="273"/>
      <c r="HM638" s="273"/>
      <c r="HN638" s="273"/>
      <c r="HO638" s="273"/>
      <c r="HP638" s="273"/>
      <c r="HQ638" s="273"/>
      <c r="HR638" s="273"/>
      <c r="HS638" s="273"/>
      <c r="HT638" s="273"/>
      <c r="HU638" s="273"/>
      <c r="HV638" s="273"/>
      <c r="HW638" s="273"/>
      <c r="HX638" s="273"/>
      <c r="HY638" s="273"/>
      <c r="HZ638" s="273"/>
      <c r="IA638" s="273"/>
      <c r="IB638" s="273"/>
      <c r="IC638" s="273"/>
      <c r="ID638" s="273"/>
      <c r="IE638" s="273"/>
      <c r="IF638" s="273"/>
      <c r="IG638" s="273"/>
      <c r="IH638" s="273"/>
      <c r="II638" s="273"/>
      <c r="IJ638" s="273"/>
      <c r="IK638" s="273"/>
      <c r="IL638" s="273"/>
      <c r="IM638" s="273"/>
      <c r="IN638" s="273"/>
      <c r="IO638" s="273"/>
      <c r="IP638" s="273"/>
      <c r="IQ638" s="273"/>
      <c r="IR638" s="273"/>
      <c r="IS638" s="273"/>
      <c r="IT638" s="273"/>
      <c r="IU638" s="273"/>
      <c r="IV638" s="273"/>
      <c r="IW638" s="273"/>
      <c r="IX638" s="273"/>
      <c r="IY638" s="273"/>
      <c r="IZ638" s="273"/>
      <c r="JA638" s="273"/>
      <c r="JB638" s="273"/>
      <c r="JC638" s="273"/>
      <c r="JD638" s="273"/>
      <c r="JE638" s="273"/>
      <c r="JF638" s="273"/>
      <c r="JG638" s="273"/>
      <c r="JH638" s="273"/>
      <c r="JI638" s="273"/>
      <c r="JJ638" s="273"/>
      <c r="JK638" s="273"/>
      <c r="JL638" s="273"/>
      <c r="JM638" s="273"/>
      <c r="JN638" s="273"/>
      <c r="JO638" s="273"/>
      <c r="JP638" s="273"/>
      <c r="JQ638" s="273"/>
      <c r="JR638" s="273"/>
      <c r="JS638" s="273"/>
      <c r="JT638" s="273"/>
      <c r="JU638" s="273"/>
      <c r="JV638" s="273"/>
      <c r="JW638" s="273"/>
      <c r="JX638" s="273"/>
      <c r="JY638" s="273"/>
      <c r="JZ638" s="273"/>
      <c r="KA638" s="273"/>
      <c r="KB638" s="273"/>
      <c r="KC638" s="273"/>
      <c r="KD638" s="273"/>
      <c r="KE638" s="273"/>
      <c r="KF638" s="273"/>
      <c r="KG638" s="273"/>
      <c r="KH638" s="273"/>
      <c r="KI638" s="273"/>
      <c r="KJ638" s="273"/>
      <c r="KK638" s="273"/>
      <c r="KL638" s="273"/>
      <c r="KM638" s="273"/>
      <c r="KN638" s="273"/>
      <c r="KO638" s="273"/>
      <c r="KP638" s="273"/>
      <c r="KQ638" s="273"/>
      <c r="KR638" s="273"/>
      <c r="KS638" s="273"/>
      <c r="KT638" s="273"/>
      <c r="KU638" s="273"/>
      <c r="KV638" s="273"/>
      <c r="KW638" s="273"/>
      <c r="KX638" s="273"/>
      <c r="KY638" s="273"/>
      <c r="KZ638" s="273"/>
      <c r="LA638" s="273"/>
      <c r="LB638" s="273"/>
      <c r="LC638" s="273"/>
      <c r="LD638" s="273"/>
      <c r="LE638" s="273"/>
      <c r="LF638" s="273"/>
      <c r="LG638" s="273"/>
      <c r="LH638" s="273"/>
      <c r="LI638" s="273"/>
      <c r="LJ638" s="273"/>
      <c r="LK638" s="273"/>
      <c r="LL638" s="273"/>
      <c r="LM638" s="273"/>
      <c r="LN638" s="273"/>
      <c r="LO638" s="273"/>
      <c r="LP638" s="273"/>
      <c r="LQ638" s="273"/>
      <c r="LR638" s="273"/>
      <c r="LS638" s="273"/>
      <c r="LT638" s="273"/>
      <c r="LU638" s="273"/>
      <c r="LV638" s="273"/>
      <c r="LW638" s="273"/>
      <c r="LX638" s="273"/>
      <c r="LY638" s="273"/>
      <c r="LZ638" s="273"/>
      <c r="MA638" s="273"/>
      <c r="MB638" s="273"/>
      <c r="MC638" s="273"/>
      <c r="MD638" s="273"/>
      <c r="ME638" s="273"/>
      <c r="MF638" s="273"/>
      <c r="MG638" s="273"/>
      <c r="MH638" s="273"/>
      <c r="MI638" s="273"/>
      <c r="MJ638" s="273"/>
      <c r="MK638" s="273"/>
      <c r="ML638" s="273"/>
      <c r="MM638" s="273"/>
      <c r="MN638" s="273"/>
      <c r="MO638" s="273"/>
      <c r="MP638" s="273"/>
      <c r="MQ638" s="273"/>
      <c r="MR638" s="273"/>
      <c r="MS638" s="273"/>
      <c r="MT638" s="273"/>
      <c r="MU638" s="273"/>
      <c r="MV638" s="273"/>
      <c r="MW638" s="273"/>
      <c r="MX638" s="273"/>
      <c r="MY638" s="273"/>
      <c r="MZ638" s="273"/>
      <c r="NA638" s="273"/>
      <c r="NB638" s="273"/>
      <c r="NC638" s="273"/>
      <c r="ND638" s="273"/>
      <c r="NE638" s="273"/>
      <c r="NF638" s="273"/>
      <c r="NG638" s="273"/>
      <c r="NH638" s="273"/>
      <c r="NI638" s="273"/>
      <c r="NJ638" s="273"/>
      <c r="NK638" s="273"/>
      <c r="NL638" s="273"/>
      <c r="NM638" s="273"/>
      <c r="NN638" s="273"/>
      <c r="NO638" s="273"/>
      <c r="NP638" s="273"/>
      <c r="NQ638" s="273"/>
      <c r="NR638" s="273"/>
      <c r="NS638" s="273"/>
      <c r="NT638" s="273"/>
      <c r="NU638" s="273"/>
      <c r="NV638" s="273"/>
      <c r="NW638" s="273"/>
      <c r="NX638" s="273"/>
      <c r="NY638" s="273"/>
      <c r="NZ638" s="273"/>
      <c r="OA638" s="273"/>
      <c r="OB638" s="273"/>
      <c r="OC638" s="273"/>
      <c r="OD638" s="273"/>
      <c r="OE638" s="273"/>
      <c r="OF638" s="273"/>
      <c r="OG638" s="273"/>
      <c r="OH638" s="273"/>
      <c r="OI638" s="273"/>
      <c r="OJ638" s="273"/>
      <c r="OK638" s="273"/>
      <c r="OL638" s="273"/>
      <c r="OM638" s="273"/>
      <c r="ON638" s="273"/>
      <c r="OO638" s="273"/>
      <c r="OP638" s="273"/>
      <c r="OQ638" s="273"/>
      <c r="OR638" s="273"/>
      <c r="OS638" s="273"/>
      <c r="OT638" s="273"/>
      <c r="OU638" s="273"/>
      <c r="OV638" s="273"/>
      <c r="OW638" s="273"/>
      <c r="OX638" s="273"/>
      <c r="OY638" s="273"/>
      <c r="OZ638" s="273"/>
      <c r="PA638" s="273"/>
      <c r="PB638" s="273"/>
      <c r="PC638" s="273"/>
      <c r="PD638" s="273"/>
      <c r="PE638" s="273"/>
      <c r="PF638" s="273"/>
      <c r="PG638" s="273"/>
      <c r="PH638" s="273"/>
      <c r="PI638" s="273"/>
      <c r="PJ638" s="273"/>
      <c r="PK638" s="273"/>
      <c r="PL638" s="273"/>
      <c r="PM638" s="273"/>
      <c r="PN638" s="273"/>
      <c r="PO638" s="273"/>
      <c r="PP638" s="273"/>
      <c r="PQ638" s="273"/>
      <c r="PR638" s="273"/>
      <c r="PS638" s="273"/>
      <c r="PT638" s="273"/>
      <c r="PU638" s="273"/>
      <c r="PV638" s="273"/>
      <c r="PW638" s="273"/>
      <c r="PX638" s="273"/>
      <c r="PY638" s="273"/>
      <c r="PZ638" s="273"/>
      <c r="QA638" s="273"/>
      <c r="QB638" s="273"/>
      <c r="QC638" s="273"/>
      <c r="QD638" s="273"/>
      <c r="QE638" s="273"/>
      <c r="QF638" s="273"/>
      <c r="QG638" s="273"/>
      <c r="QH638" s="273"/>
      <c r="QI638" s="273"/>
      <c r="QJ638" s="273"/>
      <c r="QK638" s="273"/>
      <c r="QL638" s="273"/>
      <c r="QM638" s="273"/>
      <c r="QN638" s="273"/>
      <c r="QO638" s="273"/>
      <c r="QP638" s="273"/>
      <c r="QQ638" s="273"/>
      <c r="QR638" s="273"/>
      <c r="QS638" s="273"/>
      <c r="QT638" s="273"/>
      <c r="QU638" s="273"/>
      <c r="QV638" s="273"/>
      <c r="QW638" s="273"/>
      <c r="QX638" s="273"/>
      <c r="QY638" s="273"/>
      <c r="QZ638" s="273"/>
      <c r="RA638" s="273"/>
      <c r="RB638" s="273"/>
      <c r="RC638" s="273"/>
      <c r="RD638" s="273"/>
      <c r="RE638" s="273"/>
      <c r="RF638" s="273"/>
      <c r="RG638" s="273"/>
      <c r="RH638" s="273"/>
      <c r="RI638" s="273"/>
      <c r="RJ638" s="273"/>
      <c r="RK638" s="273"/>
      <c r="RL638" s="273"/>
      <c r="RM638" s="273"/>
      <c r="RN638" s="273"/>
      <c r="RO638" s="273"/>
      <c r="RP638" s="273"/>
      <c r="RQ638" s="273"/>
    </row>
    <row r="639" spans="1:485" s="450" customFormat="1" ht="14.25" customHeight="1" x14ac:dyDescent="0.25">
      <c r="A639" s="680"/>
      <c r="B639" s="284" t="s">
        <v>1075</v>
      </c>
      <c r="C639" s="1720" t="s">
        <v>17</v>
      </c>
      <c r="D639" s="598" t="s">
        <v>955</v>
      </c>
      <c r="E639" s="468">
        <v>1</v>
      </c>
      <c r="F639" s="468">
        <v>124.58333333333333</v>
      </c>
      <c r="G639" s="467">
        <v>12</v>
      </c>
      <c r="H639" s="451">
        <f t="shared" si="277"/>
        <v>1495</v>
      </c>
      <c r="I639" s="675">
        <v>1</v>
      </c>
      <c r="J639" s="451">
        <v>1</v>
      </c>
      <c r="K639" s="451">
        <v>165</v>
      </c>
      <c r="L639" s="451">
        <v>12</v>
      </c>
      <c r="M639" s="1834">
        <f t="shared" si="278"/>
        <v>1980</v>
      </c>
      <c r="N639" s="675">
        <v>1</v>
      </c>
      <c r="O639" s="696">
        <f t="shared" si="275"/>
        <v>3475</v>
      </c>
      <c r="P639" s="675">
        <v>1</v>
      </c>
      <c r="Q639" s="451">
        <f t="shared" si="279"/>
        <v>3475</v>
      </c>
      <c r="R639" s="522" t="s">
        <v>1076</v>
      </c>
      <c r="S639" s="452">
        <f>COOPI!S94</f>
        <v>3031.1800000000003</v>
      </c>
      <c r="T639" s="1071">
        <f t="shared" si="273"/>
        <v>0.87228201438848929</v>
      </c>
      <c r="U639" s="894" t="s">
        <v>1031</v>
      </c>
      <c r="V639" s="591">
        <f t="shared" si="276"/>
        <v>0.87228201438848929</v>
      </c>
      <c r="W639" s="706">
        <f t="shared" si="274"/>
        <v>3031.1800000000003</v>
      </c>
      <c r="X639" s="452" t="s">
        <v>1031</v>
      </c>
      <c r="Y639" s="273"/>
      <c r="Z639" s="273"/>
      <c r="AA639" s="273"/>
      <c r="AB639" s="273"/>
      <c r="AC639" s="273"/>
      <c r="AD639" s="273"/>
      <c r="AE639" s="273"/>
      <c r="AF639" s="273"/>
      <c r="AG639" s="273"/>
      <c r="AH639" s="273"/>
      <c r="AI639" s="273"/>
      <c r="AJ639" s="273"/>
      <c r="AK639" s="273"/>
      <c r="AL639" s="273"/>
      <c r="AM639" s="273"/>
      <c r="AN639" s="273"/>
      <c r="AO639" s="273"/>
      <c r="AP639" s="273"/>
      <c r="AQ639" s="273"/>
      <c r="AR639" s="273"/>
      <c r="AS639" s="273"/>
      <c r="AT639" s="273"/>
      <c r="AU639" s="273"/>
      <c r="AV639" s="273"/>
      <c r="AW639" s="273"/>
      <c r="AX639" s="273"/>
      <c r="AY639" s="273"/>
      <c r="AZ639" s="273"/>
      <c r="BA639" s="273"/>
      <c r="BB639" s="273"/>
      <c r="BC639" s="273"/>
      <c r="BD639" s="273"/>
      <c r="BE639" s="273"/>
      <c r="BF639" s="273"/>
      <c r="BG639" s="273"/>
      <c r="BH639" s="273"/>
      <c r="BI639" s="273"/>
      <c r="BJ639" s="273"/>
      <c r="BK639" s="273"/>
      <c r="BL639" s="273"/>
      <c r="BM639" s="273"/>
      <c r="BN639" s="273"/>
      <c r="BO639" s="273"/>
      <c r="BP639" s="273"/>
      <c r="BQ639" s="273"/>
      <c r="BR639" s="273"/>
      <c r="BS639" s="273"/>
      <c r="BT639" s="273"/>
      <c r="BU639" s="273"/>
      <c r="BV639" s="273"/>
      <c r="BW639" s="273"/>
      <c r="BX639" s="273"/>
      <c r="BY639" s="273"/>
      <c r="BZ639" s="273"/>
      <c r="CA639" s="273"/>
      <c r="CB639" s="273"/>
      <c r="CC639" s="273"/>
      <c r="CD639" s="273"/>
      <c r="CE639" s="273"/>
      <c r="CF639" s="273"/>
      <c r="CG639" s="273"/>
      <c r="CH639" s="273"/>
      <c r="CI639" s="273"/>
      <c r="CJ639" s="273"/>
      <c r="CK639" s="273"/>
      <c r="CL639" s="273"/>
      <c r="CM639" s="273"/>
      <c r="CN639" s="273"/>
      <c r="CO639" s="273"/>
      <c r="CP639" s="273"/>
      <c r="CQ639" s="273"/>
      <c r="CR639" s="273"/>
      <c r="CS639" s="273"/>
      <c r="CT639" s="273"/>
      <c r="CU639" s="273"/>
      <c r="CV639" s="273"/>
      <c r="CW639" s="273"/>
      <c r="CX639" s="273"/>
      <c r="CY639" s="273"/>
      <c r="CZ639" s="273"/>
      <c r="DA639" s="273"/>
      <c r="DB639" s="273"/>
      <c r="DC639" s="273"/>
      <c r="DD639" s="273"/>
      <c r="DE639" s="273"/>
      <c r="DF639" s="273"/>
      <c r="DG639" s="273"/>
      <c r="DH639" s="273"/>
      <c r="DI639" s="273"/>
      <c r="DJ639" s="273"/>
      <c r="DK639" s="273"/>
      <c r="DL639" s="273"/>
      <c r="DM639" s="273"/>
      <c r="DN639" s="273"/>
      <c r="DO639" s="273"/>
      <c r="DP639" s="273"/>
      <c r="DQ639" s="273"/>
      <c r="DR639" s="273"/>
      <c r="DS639" s="273"/>
      <c r="DT639" s="273"/>
      <c r="DU639" s="273"/>
      <c r="DV639" s="273"/>
      <c r="DW639" s="273"/>
      <c r="DX639" s="273"/>
      <c r="DY639" s="273"/>
      <c r="DZ639" s="273"/>
      <c r="EA639" s="273"/>
      <c r="EB639" s="273"/>
      <c r="EC639" s="273"/>
      <c r="ED639" s="273"/>
      <c r="EE639" s="273"/>
      <c r="EF639" s="273"/>
      <c r="EG639" s="273"/>
      <c r="EH639" s="273"/>
      <c r="EI639" s="273"/>
      <c r="EJ639" s="273"/>
      <c r="EK639" s="273"/>
      <c r="EL639" s="273"/>
      <c r="EM639" s="273"/>
      <c r="EN639" s="273"/>
      <c r="EO639" s="273"/>
      <c r="EP639" s="273"/>
      <c r="EQ639" s="273"/>
      <c r="ER639" s="273"/>
      <c r="ES639" s="273"/>
      <c r="ET639" s="273"/>
      <c r="EU639" s="273"/>
      <c r="EV639" s="273"/>
      <c r="EW639" s="273"/>
      <c r="EX639" s="273"/>
      <c r="EY639" s="273"/>
      <c r="EZ639" s="273"/>
      <c r="FA639" s="273"/>
      <c r="FB639" s="273"/>
      <c r="FC639" s="273"/>
      <c r="FD639" s="273"/>
      <c r="FE639" s="273"/>
      <c r="FF639" s="273"/>
      <c r="FG639" s="273"/>
      <c r="FH639" s="273"/>
      <c r="FI639" s="273"/>
      <c r="FJ639" s="273"/>
      <c r="FK639" s="273"/>
      <c r="FL639" s="273"/>
      <c r="FM639" s="273"/>
      <c r="FN639" s="273"/>
      <c r="FO639" s="273"/>
      <c r="FP639" s="273"/>
      <c r="FQ639" s="273"/>
      <c r="FR639" s="273"/>
      <c r="FS639" s="273"/>
      <c r="FT639" s="273"/>
      <c r="FU639" s="273"/>
      <c r="FV639" s="273"/>
      <c r="FW639" s="273"/>
      <c r="FX639" s="273"/>
      <c r="FY639" s="273"/>
      <c r="FZ639" s="273"/>
      <c r="GA639" s="273"/>
      <c r="GB639" s="273"/>
      <c r="GC639" s="273"/>
      <c r="GD639" s="273"/>
      <c r="GE639" s="273"/>
      <c r="GF639" s="273"/>
      <c r="GG639" s="273"/>
      <c r="GH639" s="273"/>
      <c r="GI639" s="273"/>
      <c r="GJ639" s="273"/>
      <c r="GK639" s="273"/>
      <c r="GL639" s="273"/>
      <c r="GM639" s="273"/>
      <c r="GN639" s="273"/>
      <c r="GO639" s="273"/>
      <c r="GP639" s="273"/>
      <c r="GQ639" s="273"/>
      <c r="GR639" s="273"/>
      <c r="GS639" s="273"/>
      <c r="GT639" s="273"/>
      <c r="GU639" s="273"/>
      <c r="GV639" s="273"/>
      <c r="GW639" s="273"/>
      <c r="GX639" s="273"/>
      <c r="GY639" s="273"/>
      <c r="GZ639" s="273"/>
      <c r="HA639" s="273"/>
      <c r="HB639" s="273"/>
      <c r="HC639" s="273"/>
      <c r="HD639" s="273"/>
      <c r="HE639" s="273"/>
      <c r="HF639" s="273"/>
      <c r="HG639" s="273"/>
      <c r="HH639" s="273"/>
      <c r="HI639" s="273"/>
      <c r="HJ639" s="273"/>
      <c r="HK639" s="273"/>
      <c r="HL639" s="273"/>
      <c r="HM639" s="273"/>
      <c r="HN639" s="273"/>
      <c r="HO639" s="273"/>
      <c r="HP639" s="273"/>
      <c r="HQ639" s="273"/>
      <c r="HR639" s="273"/>
      <c r="HS639" s="273"/>
      <c r="HT639" s="273"/>
      <c r="HU639" s="273"/>
      <c r="HV639" s="273"/>
      <c r="HW639" s="273"/>
      <c r="HX639" s="273"/>
      <c r="HY639" s="273"/>
      <c r="HZ639" s="273"/>
      <c r="IA639" s="273"/>
      <c r="IB639" s="273"/>
      <c r="IC639" s="273"/>
      <c r="ID639" s="273"/>
      <c r="IE639" s="273"/>
      <c r="IF639" s="273"/>
      <c r="IG639" s="273"/>
      <c r="IH639" s="273"/>
      <c r="II639" s="273"/>
      <c r="IJ639" s="273"/>
      <c r="IK639" s="273"/>
      <c r="IL639" s="273"/>
      <c r="IM639" s="273"/>
      <c r="IN639" s="273"/>
      <c r="IO639" s="273"/>
      <c r="IP639" s="273"/>
      <c r="IQ639" s="273"/>
      <c r="IR639" s="273"/>
      <c r="IS639" s="273"/>
      <c r="IT639" s="273"/>
      <c r="IU639" s="273"/>
      <c r="IV639" s="273"/>
      <c r="IW639" s="273"/>
      <c r="IX639" s="273"/>
      <c r="IY639" s="273"/>
      <c r="IZ639" s="273"/>
      <c r="JA639" s="273"/>
      <c r="JB639" s="273"/>
      <c r="JC639" s="273"/>
      <c r="JD639" s="273"/>
      <c r="JE639" s="273"/>
      <c r="JF639" s="273"/>
      <c r="JG639" s="273"/>
      <c r="JH639" s="273"/>
      <c r="JI639" s="273"/>
      <c r="JJ639" s="273"/>
      <c r="JK639" s="273"/>
      <c r="JL639" s="273"/>
      <c r="JM639" s="273"/>
      <c r="JN639" s="273"/>
      <c r="JO639" s="273"/>
      <c r="JP639" s="273"/>
      <c r="JQ639" s="273"/>
      <c r="JR639" s="273"/>
      <c r="JS639" s="273"/>
      <c r="JT639" s="273"/>
      <c r="JU639" s="273"/>
      <c r="JV639" s="273"/>
      <c r="JW639" s="273"/>
      <c r="JX639" s="273"/>
      <c r="JY639" s="273"/>
      <c r="JZ639" s="273"/>
      <c r="KA639" s="273"/>
      <c r="KB639" s="273"/>
      <c r="KC639" s="273"/>
      <c r="KD639" s="273"/>
      <c r="KE639" s="273"/>
      <c r="KF639" s="273"/>
      <c r="KG639" s="273"/>
      <c r="KH639" s="273"/>
      <c r="KI639" s="273"/>
      <c r="KJ639" s="273"/>
      <c r="KK639" s="273"/>
      <c r="KL639" s="273"/>
      <c r="KM639" s="273"/>
      <c r="KN639" s="273"/>
      <c r="KO639" s="273"/>
      <c r="KP639" s="273"/>
      <c r="KQ639" s="273"/>
      <c r="KR639" s="273"/>
      <c r="KS639" s="273"/>
      <c r="KT639" s="273"/>
      <c r="KU639" s="273"/>
      <c r="KV639" s="273"/>
      <c r="KW639" s="273"/>
      <c r="KX639" s="273"/>
      <c r="KY639" s="273"/>
      <c r="KZ639" s="273"/>
      <c r="LA639" s="273"/>
      <c r="LB639" s="273"/>
      <c r="LC639" s="273"/>
      <c r="LD639" s="273"/>
      <c r="LE639" s="273"/>
      <c r="LF639" s="273"/>
      <c r="LG639" s="273"/>
      <c r="LH639" s="273"/>
      <c r="LI639" s="273"/>
      <c r="LJ639" s="273"/>
      <c r="LK639" s="273"/>
      <c r="LL639" s="273"/>
      <c r="LM639" s="273"/>
      <c r="LN639" s="273"/>
      <c r="LO639" s="273"/>
      <c r="LP639" s="273"/>
      <c r="LQ639" s="273"/>
      <c r="LR639" s="273"/>
      <c r="LS639" s="273"/>
      <c r="LT639" s="273"/>
      <c r="LU639" s="273"/>
      <c r="LV639" s="273"/>
      <c r="LW639" s="273"/>
      <c r="LX639" s="273"/>
      <c r="LY639" s="273"/>
      <c r="LZ639" s="273"/>
      <c r="MA639" s="273"/>
      <c r="MB639" s="273"/>
      <c r="MC639" s="273"/>
      <c r="MD639" s="273"/>
      <c r="ME639" s="273"/>
      <c r="MF639" s="273"/>
      <c r="MG639" s="273"/>
      <c r="MH639" s="273"/>
      <c r="MI639" s="273"/>
      <c r="MJ639" s="273"/>
      <c r="MK639" s="273"/>
      <c r="ML639" s="273"/>
      <c r="MM639" s="273"/>
      <c r="MN639" s="273"/>
      <c r="MO639" s="273"/>
      <c r="MP639" s="273"/>
      <c r="MQ639" s="273"/>
      <c r="MR639" s="273"/>
      <c r="MS639" s="273"/>
      <c r="MT639" s="273"/>
      <c r="MU639" s="273"/>
      <c r="MV639" s="273"/>
      <c r="MW639" s="273"/>
      <c r="MX639" s="273"/>
      <c r="MY639" s="273"/>
      <c r="MZ639" s="273"/>
      <c r="NA639" s="273"/>
      <c r="NB639" s="273"/>
      <c r="NC639" s="273"/>
      <c r="ND639" s="273"/>
      <c r="NE639" s="273"/>
      <c r="NF639" s="273"/>
      <c r="NG639" s="273"/>
      <c r="NH639" s="273"/>
      <c r="NI639" s="273"/>
      <c r="NJ639" s="273"/>
      <c r="NK639" s="273"/>
      <c r="NL639" s="273"/>
      <c r="NM639" s="273"/>
      <c r="NN639" s="273"/>
      <c r="NO639" s="273"/>
      <c r="NP639" s="273"/>
      <c r="NQ639" s="273"/>
      <c r="NR639" s="273"/>
      <c r="NS639" s="273"/>
      <c r="NT639" s="273"/>
      <c r="NU639" s="273"/>
      <c r="NV639" s="273"/>
      <c r="NW639" s="273"/>
      <c r="NX639" s="273"/>
      <c r="NY639" s="273"/>
      <c r="NZ639" s="273"/>
      <c r="OA639" s="273"/>
      <c r="OB639" s="273"/>
      <c r="OC639" s="273"/>
      <c r="OD639" s="273"/>
      <c r="OE639" s="273"/>
      <c r="OF639" s="273"/>
      <c r="OG639" s="273"/>
      <c r="OH639" s="273"/>
      <c r="OI639" s="273"/>
      <c r="OJ639" s="273"/>
      <c r="OK639" s="273"/>
      <c r="OL639" s="273"/>
      <c r="OM639" s="273"/>
      <c r="ON639" s="273"/>
      <c r="OO639" s="273"/>
      <c r="OP639" s="273"/>
      <c r="OQ639" s="273"/>
      <c r="OR639" s="273"/>
      <c r="OS639" s="273"/>
      <c r="OT639" s="273"/>
      <c r="OU639" s="273"/>
      <c r="OV639" s="273"/>
      <c r="OW639" s="273"/>
      <c r="OX639" s="273"/>
      <c r="OY639" s="273"/>
      <c r="OZ639" s="273"/>
      <c r="PA639" s="273"/>
      <c r="PB639" s="273"/>
      <c r="PC639" s="273"/>
      <c r="PD639" s="273"/>
      <c r="PE639" s="273"/>
      <c r="PF639" s="273"/>
      <c r="PG639" s="273"/>
      <c r="PH639" s="273"/>
      <c r="PI639" s="273"/>
      <c r="PJ639" s="273"/>
      <c r="PK639" s="273"/>
      <c r="PL639" s="273"/>
      <c r="PM639" s="273"/>
      <c r="PN639" s="273"/>
      <c r="PO639" s="273"/>
      <c r="PP639" s="273"/>
      <c r="PQ639" s="273"/>
      <c r="PR639" s="273"/>
      <c r="PS639" s="273"/>
      <c r="PT639" s="273"/>
      <c r="PU639" s="273"/>
      <c r="PV639" s="273"/>
      <c r="PW639" s="273"/>
      <c r="PX639" s="273"/>
      <c r="PY639" s="273"/>
      <c r="PZ639" s="273"/>
      <c r="QA639" s="273"/>
      <c r="QB639" s="273"/>
      <c r="QC639" s="273"/>
      <c r="QD639" s="273"/>
      <c r="QE639" s="273"/>
      <c r="QF639" s="273"/>
      <c r="QG639" s="273"/>
      <c r="QH639" s="273"/>
      <c r="QI639" s="273"/>
      <c r="QJ639" s="273"/>
      <c r="QK639" s="273"/>
      <c r="QL639" s="273"/>
      <c r="QM639" s="273"/>
      <c r="QN639" s="273"/>
      <c r="QO639" s="273"/>
      <c r="QP639" s="273"/>
      <c r="QQ639" s="273"/>
      <c r="QR639" s="273"/>
      <c r="QS639" s="273"/>
      <c r="QT639" s="273"/>
      <c r="QU639" s="273"/>
      <c r="QV639" s="273"/>
      <c r="QW639" s="273"/>
      <c r="QX639" s="273"/>
      <c r="QY639" s="273"/>
      <c r="QZ639" s="273"/>
      <c r="RA639" s="273"/>
      <c r="RB639" s="273"/>
      <c r="RC639" s="273"/>
      <c r="RD639" s="273"/>
      <c r="RE639" s="273"/>
      <c r="RF639" s="273"/>
      <c r="RG639" s="273"/>
      <c r="RH639" s="273"/>
      <c r="RI639" s="273"/>
      <c r="RJ639" s="273"/>
      <c r="RK639" s="273"/>
      <c r="RL639" s="273"/>
      <c r="RM639" s="273"/>
      <c r="RN639" s="273"/>
      <c r="RO639" s="273"/>
      <c r="RP639" s="273"/>
      <c r="RQ639" s="273"/>
    </row>
    <row r="640" spans="1:485" s="450" customFormat="1" ht="14.25" customHeight="1" x14ac:dyDescent="0.25">
      <c r="A640" s="680"/>
      <c r="B640" s="284" t="s">
        <v>1077</v>
      </c>
      <c r="C640" s="1720" t="s">
        <v>17</v>
      </c>
      <c r="D640" s="598" t="s">
        <v>955</v>
      </c>
      <c r="E640" s="468">
        <v>1</v>
      </c>
      <c r="F640" s="468">
        <v>784.505</v>
      </c>
      <c r="G640" s="467">
        <v>4</v>
      </c>
      <c r="H640" s="451">
        <f t="shared" si="277"/>
        <v>3138.02</v>
      </c>
      <c r="I640" s="675">
        <v>1</v>
      </c>
      <c r="J640" s="451">
        <v>1</v>
      </c>
      <c r="K640" s="451">
        <v>487</v>
      </c>
      <c r="L640" s="451">
        <v>10</v>
      </c>
      <c r="M640" s="1834">
        <f t="shared" si="278"/>
        <v>4870</v>
      </c>
      <c r="N640" s="675">
        <v>1</v>
      </c>
      <c r="O640" s="696">
        <f t="shared" si="275"/>
        <v>8008.02</v>
      </c>
      <c r="P640" s="675">
        <v>1</v>
      </c>
      <c r="Q640" s="451">
        <f t="shared" si="279"/>
        <v>8008.02</v>
      </c>
      <c r="R640" s="522" t="s">
        <v>1078</v>
      </c>
      <c r="S640" s="452">
        <f>COOPI!S95</f>
        <v>7214.7719724564304</v>
      </c>
      <c r="T640" s="1071">
        <f t="shared" si="273"/>
        <v>0.90094330089790364</v>
      </c>
      <c r="U640" s="894" t="s">
        <v>1031</v>
      </c>
      <c r="V640" s="591">
        <f t="shared" si="276"/>
        <v>0.90094330089790364</v>
      </c>
      <c r="W640" s="706">
        <f t="shared" si="274"/>
        <v>7214.7719724564304</v>
      </c>
      <c r="X640" s="452" t="s">
        <v>1031</v>
      </c>
      <c r="Y640" s="273"/>
      <c r="Z640" s="273"/>
      <c r="AA640" s="273"/>
      <c r="AB640" s="273"/>
      <c r="AC640" s="273"/>
      <c r="AD640" s="273"/>
      <c r="AE640" s="273"/>
      <c r="AF640" s="273"/>
      <c r="AG640" s="273"/>
      <c r="AH640" s="273"/>
      <c r="AI640" s="273"/>
      <c r="AJ640" s="273"/>
      <c r="AK640" s="273"/>
      <c r="AL640" s="273"/>
      <c r="AM640" s="273"/>
      <c r="AN640" s="273"/>
      <c r="AO640" s="273"/>
      <c r="AP640" s="273"/>
      <c r="AQ640" s="273"/>
      <c r="AR640" s="273"/>
      <c r="AS640" s="273"/>
      <c r="AT640" s="273"/>
      <c r="AU640" s="273"/>
      <c r="AV640" s="273"/>
      <c r="AW640" s="273"/>
      <c r="AX640" s="273"/>
      <c r="AY640" s="273"/>
      <c r="AZ640" s="273"/>
      <c r="BA640" s="273"/>
      <c r="BB640" s="273"/>
      <c r="BC640" s="273"/>
      <c r="BD640" s="273"/>
      <c r="BE640" s="273"/>
      <c r="BF640" s="273"/>
      <c r="BG640" s="273"/>
      <c r="BH640" s="273"/>
      <c r="BI640" s="273"/>
      <c r="BJ640" s="273"/>
      <c r="BK640" s="273"/>
      <c r="BL640" s="273"/>
      <c r="BM640" s="273"/>
      <c r="BN640" s="273"/>
      <c r="BO640" s="273"/>
      <c r="BP640" s="273"/>
      <c r="BQ640" s="273"/>
      <c r="BR640" s="273"/>
      <c r="BS640" s="273"/>
      <c r="BT640" s="273"/>
      <c r="BU640" s="273"/>
      <c r="BV640" s="273"/>
      <c r="BW640" s="273"/>
      <c r="BX640" s="273"/>
      <c r="BY640" s="273"/>
      <c r="BZ640" s="273"/>
      <c r="CA640" s="273"/>
      <c r="CB640" s="273"/>
      <c r="CC640" s="273"/>
      <c r="CD640" s="273"/>
      <c r="CE640" s="273"/>
      <c r="CF640" s="273"/>
      <c r="CG640" s="273"/>
      <c r="CH640" s="273"/>
      <c r="CI640" s="273"/>
      <c r="CJ640" s="273"/>
      <c r="CK640" s="273"/>
      <c r="CL640" s="273"/>
      <c r="CM640" s="273"/>
      <c r="CN640" s="273"/>
      <c r="CO640" s="273"/>
      <c r="CP640" s="273"/>
      <c r="CQ640" s="273"/>
      <c r="CR640" s="273"/>
      <c r="CS640" s="273"/>
      <c r="CT640" s="273"/>
      <c r="CU640" s="273"/>
      <c r="CV640" s="273"/>
      <c r="CW640" s="273"/>
      <c r="CX640" s="273"/>
      <c r="CY640" s="273"/>
      <c r="CZ640" s="273"/>
      <c r="DA640" s="273"/>
      <c r="DB640" s="273"/>
      <c r="DC640" s="273"/>
      <c r="DD640" s="273"/>
      <c r="DE640" s="273"/>
      <c r="DF640" s="273"/>
      <c r="DG640" s="273"/>
      <c r="DH640" s="273"/>
      <c r="DI640" s="273"/>
      <c r="DJ640" s="273"/>
      <c r="DK640" s="273"/>
      <c r="DL640" s="273"/>
      <c r="DM640" s="273"/>
      <c r="DN640" s="273"/>
      <c r="DO640" s="273"/>
      <c r="DP640" s="273"/>
      <c r="DQ640" s="273"/>
      <c r="DR640" s="273"/>
      <c r="DS640" s="273"/>
      <c r="DT640" s="273"/>
      <c r="DU640" s="273"/>
      <c r="DV640" s="273"/>
      <c r="DW640" s="273"/>
      <c r="DX640" s="273"/>
      <c r="DY640" s="273"/>
      <c r="DZ640" s="273"/>
      <c r="EA640" s="273"/>
      <c r="EB640" s="273"/>
      <c r="EC640" s="273"/>
      <c r="ED640" s="273"/>
      <c r="EE640" s="273"/>
      <c r="EF640" s="273"/>
      <c r="EG640" s="273"/>
      <c r="EH640" s="273"/>
      <c r="EI640" s="273"/>
      <c r="EJ640" s="273"/>
      <c r="EK640" s="273"/>
      <c r="EL640" s="273"/>
      <c r="EM640" s="273"/>
      <c r="EN640" s="273"/>
      <c r="EO640" s="273"/>
      <c r="EP640" s="273"/>
      <c r="EQ640" s="273"/>
      <c r="ER640" s="273"/>
      <c r="ES640" s="273"/>
      <c r="ET640" s="273"/>
      <c r="EU640" s="273"/>
      <c r="EV640" s="273"/>
      <c r="EW640" s="273"/>
      <c r="EX640" s="273"/>
      <c r="EY640" s="273"/>
      <c r="EZ640" s="273"/>
      <c r="FA640" s="273"/>
      <c r="FB640" s="273"/>
      <c r="FC640" s="273"/>
      <c r="FD640" s="273"/>
      <c r="FE640" s="273"/>
      <c r="FF640" s="273"/>
      <c r="FG640" s="273"/>
      <c r="FH640" s="273"/>
      <c r="FI640" s="273"/>
      <c r="FJ640" s="273"/>
      <c r="FK640" s="273"/>
      <c r="FL640" s="273"/>
      <c r="FM640" s="273"/>
      <c r="FN640" s="273"/>
      <c r="FO640" s="273"/>
      <c r="FP640" s="273"/>
      <c r="FQ640" s="273"/>
      <c r="FR640" s="273"/>
      <c r="FS640" s="273"/>
      <c r="FT640" s="273"/>
      <c r="FU640" s="273"/>
      <c r="FV640" s="273"/>
      <c r="FW640" s="273"/>
      <c r="FX640" s="273"/>
      <c r="FY640" s="273"/>
      <c r="FZ640" s="273"/>
      <c r="GA640" s="273"/>
      <c r="GB640" s="273"/>
      <c r="GC640" s="273"/>
      <c r="GD640" s="273"/>
      <c r="GE640" s="273"/>
      <c r="GF640" s="273"/>
      <c r="GG640" s="273"/>
      <c r="GH640" s="273"/>
      <c r="GI640" s="273"/>
      <c r="GJ640" s="273"/>
      <c r="GK640" s="273"/>
      <c r="GL640" s="273"/>
      <c r="GM640" s="273"/>
      <c r="GN640" s="273"/>
      <c r="GO640" s="273"/>
      <c r="GP640" s="273"/>
      <c r="GQ640" s="273"/>
      <c r="GR640" s="273"/>
      <c r="GS640" s="273"/>
      <c r="GT640" s="273"/>
      <c r="GU640" s="273"/>
      <c r="GV640" s="273"/>
      <c r="GW640" s="273"/>
      <c r="GX640" s="273"/>
      <c r="GY640" s="273"/>
      <c r="GZ640" s="273"/>
      <c r="HA640" s="273"/>
      <c r="HB640" s="273"/>
      <c r="HC640" s="273"/>
      <c r="HD640" s="273"/>
      <c r="HE640" s="273"/>
      <c r="HF640" s="273"/>
      <c r="HG640" s="273"/>
      <c r="HH640" s="273"/>
      <c r="HI640" s="273"/>
      <c r="HJ640" s="273"/>
      <c r="HK640" s="273"/>
      <c r="HL640" s="273"/>
      <c r="HM640" s="273"/>
      <c r="HN640" s="273"/>
      <c r="HO640" s="273"/>
      <c r="HP640" s="273"/>
      <c r="HQ640" s="273"/>
      <c r="HR640" s="273"/>
      <c r="HS640" s="273"/>
      <c r="HT640" s="273"/>
      <c r="HU640" s="273"/>
      <c r="HV640" s="273"/>
      <c r="HW640" s="273"/>
      <c r="HX640" s="273"/>
      <c r="HY640" s="273"/>
      <c r="HZ640" s="273"/>
      <c r="IA640" s="273"/>
      <c r="IB640" s="273"/>
      <c r="IC640" s="273"/>
      <c r="ID640" s="273"/>
      <c r="IE640" s="273"/>
      <c r="IF640" s="273"/>
      <c r="IG640" s="273"/>
      <c r="IH640" s="273"/>
      <c r="II640" s="273"/>
      <c r="IJ640" s="273"/>
      <c r="IK640" s="273"/>
      <c r="IL640" s="273"/>
      <c r="IM640" s="273"/>
      <c r="IN640" s="273"/>
      <c r="IO640" s="273"/>
      <c r="IP640" s="273"/>
      <c r="IQ640" s="273"/>
      <c r="IR640" s="273"/>
      <c r="IS640" s="273"/>
      <c r="IT640" s="273"/>
      <c r="IU640" s="273"/>
      <c r="IV640" s="273"/>
      <c r="IW640" s="273"/>
      <c r="IX640" s="273"/>
      <c r="IY640" s="273"/>
      <c r="IZ640" s="273"/>
      <c r="JA640" s="273"/>
      <c r="JB640" s="273"/>
      <c r="JC640" s="273"/>
      <c r="JD640" s="273"/>
      <c r="JE640" s="273"/>
      <c r="JF640" s="273"/>
      <c r="JG640" s="273"/>
      <c r="JH640" s="273"/>
      <c r="JI640" s="273"/>
      <c r="JJ640" s="273"/>
      <c r="JK640" s="273"/>
      <c r="JL640" s="273"/>
      <c r="JM640" s="273"/>
      <c r="JN640" s="273"/>
      <c r="JO640" s="273"/>
      <c r="JP640" s="273"/>
      <c r="JQ640" s="273"/>
      <c r="JR640" s="273"/>
      <c r="JS640" s="273"/>
      <c r="JT640" s="273"/>
      <c r="JU640" s="273"/>
      <c r="JV640" s="273"/>
      <c r="JW640" s="273"/>
      <c r="JX640" s="273"/>
      <c r="JY640" s="273"/>
      <c r="JZ640" s="273"/>
      <c r="KA640" s="273"/>
      <c r="KB640" s="273"/>
      <c r="KC640" s="273"/>
      <c r="KD640" s="273"/>
      <c r="KE640" s="273"/>
      <c r="KF640" s="273"/>
      <c r="KG640" s="273"/>
      <c r="KH640" s="273"/>
      <c r="KI640" s="273"/>
      <c r="KJ640" s="273"/>
      <c r="KK640" s="273"/>
      <c r="KL640" s="273"/>
      <c r="KM640" s="273"/>
      <c r="KN640" s="273"/>
      <c r="KO640" s="273"/>
      <c r="KP640" s="273"/>
      <c r="KQ640" s="273"/>
      <c r="KR640" s="273"/>
      <c r="KS640" s="273"/>
      <c r="KT640" s="273"/>
      <c r="KU640" s="273"/>
      <c r="KV640" s="273"/>
      <c r="KW640" s="273"/>
      <c r="KX640" s="273"/>
      <c r="KY640" s="273"/>
      <c r="KZ640" s="273"/>
      <c r="LA640" s="273"/>
      <c r="LB640" s="273"/>
      <c r="LC640" s="273"/>
      <c r="LD640" s="273"/>
      <c r="LE640" s="273"/>
      <c r="LF640" s="273"/>
      <c r="LG640" s="273"/>
      <c r="LH640" s="273"/>
      <c r="LI640" s="273"/>
      <c r="LJ640" s="273"/>
      <c r="LK640" s="273"/>
      <c r="LL640" s="273"/>
      <c r="LM640" s="273"/>
      <c r="LN640" s="273"/>
      <c r="LO640" s="273"/>
      <c r="LP640" s="273"/>
      <c r="LQ640" s="273"/>
      <c r="LR640" s="273"/>
      <c r="LS640" s="273"/>
      <c r="LT640" s="273"/>
      <c r="LU640" s="273"/>
      <c r="LV640" s="273"/>
      <c r="LW640" s="273"/>
      <c r="LX640" s="273"/>
      <c r="LY640" s="273"/>
      <c r="LZ640" s="273"/>
      <c r="MA640" s="273"/>
      <c r="MB640" s="273"/>
      <c r="MC640" s="273"/>
      <c r="MD640" s="273"/>
      <c r="ME640" s="273"/>
      <c r="MF640" s="273"/>
      <c r="MG640" s="273"/>
      <c r="MH640" s="273"/>
      <c r="MI640" s="273"/>
      <c r="MJ640" s="273"/>
      <c r="MK640" s="273"/>
      <c r="ML640" s="273"/>
      <c r="MM640" s="273"/>
      <c r="MN640" s="273"/>
      <c r="MO640" s="273"/>
      <c r="MP640" s="273"/>
      <c r="MQ640" s="273"/>
      <c r="MR640" s="273"/>
      <c r="MS640" s="273"/>
      <c r="MT640" s="273"/>
      <c r="MU640" s="273"/>
      <c r="MV640" s="273"/>
      <c r="MW640" s="273"/>
      <c r="MX640" s="273"/>
      <c r="MY640" s="273"/>
      <c r="MZ640" s="273"/>
      <c r="NA640" s="273"/>
      <c r="NB640" s="273"/>
      <c r="NC640" s="273"/>
      <c r="ND640" s="273"/>
      <c r="NE640" s="273"/>
      <c r="NF640" s="273"/>
      <c r="NG640" s="273"/>
      <c r="NH640" s="273"/>
      <c r="NI640" s="273"/>
      <c r="NJ640" s="273"/>
      <c r="NK640" s="273"/>
      <c r="NL640" s="273"/>
      <c r="NM640" s="273"/>
      <c r="NN640" s="273"/>
      <c r="NO640" s="273"/>
      <c r="NP640" s="273"/>
      <c r="NQ640" s="273"/>
      <c r="NR640" s="273"/>
      <c r="NS640" s="273"/>
      <c r="NT640" s="273"/>
      <c r="NU640" s="273"/>
      <c r="NV640" s="273"/>
      <c r="NW640" s="273"/>
      <c r="NX640" s="273"/>
      <c r="NY640" s="273"/>
      <c r="NZ640" s="273"/>
      <c r="OA640" s="273"/>
      <c r="OB640" s="273"/>
      <c r="OC640" s="273"/>
      <c r="OD640" s="273"/>
      <c r="OE640" s="273"/>
      <c r="OF640" s="273"/>
      <c r="OG640" s="273"/>
      <c r="OH640" s="273"/>
      <c r="OI640" s="273"/>
      <c r="OJ640" s="273"/>
      <c r="OK640" s="273"/>
      <c r="OL640" s="273"/>
      <c r="OM640" s="273"/>
      <c r="ON640" s="273"/>
      <c r="OO640" s="273"/>
      <c r="OP640" s="273"/>
      <c r="OQ640" s="273"/>
      <c r="OR640" s="273"/>
      <c r="OS640" s="273"/>
      <c r="OT640" s="273"/>
      <c r="OU640" s="273"/>
      <c r="OV640" s="273"/>
      <c r="OW640" s="273"/>
      <c r="OX640" s="273"/>
      <c r="OY640" s="273"/>
      <c r="OZ640" s="273"/>
      <c r="PA640" s="273"/>
      <c r="PB640" s="273"/>
      <c r="PC640" s="273"/>
      <c r="PD640" s="273"/>
      <c r="PE640" s="273"/>
      <c r="PF640" s="273"/>
      <c r="PG640" s="273"/>
      <c r="PH640" s="273"/>
      <c r="PI640" s="273"/>
      <c r="PJ640" s="273"/>
      <c r="PK640" s="273"/>
      <c r="PL640" s="273"/>
      <c r="PM640" s="273"/>
      <c r="PN640" s="273"/>
      <c r="PO640" s="273"/>
      <c r="PP640" s="273"/>
      <c r="PQ640" s="273"/>
      <c r="PR640" s="273"/>
      <c r="PS640" s="273"/>
      <c r="PT640" s="273"/>
      <c r="PU640" s="273"/>
      <c r="PV640" s="273"/>
      <c r="PW640" s="273"/>
      <c r="PX640" s="273"/>
      <c r="PY640" s="273"/>
      <c r="PZ640" s="273"/>
      <c r="QA640" s="273"/>
      <c r="QB640" s="273"/>
      <c r="QC640" s="273"/>
      <c r="QD640" s="273"/>
      <c r="QE640" s="273"/>
      <c r="QF640" s="273"/>
      <c r="QG640" s="273"/>
      <c r="QH640" s="273"/>
      <c r="QI640" s="273"/>
      <c r="QJ640" s="273"/>
      <c r="QK640" s="273"/>
      <c r="QL640" s="273"/>
      <c r="QM640" s="273"/>
      <c r="QN640" s="273"/>
      <c r="QO640" s="273"/>
      <c r="QP640" s="273"/>
      <c r="QQ640" s="273"/>
      <c r="QR640" s="273"/>
      <c r="QS640" s="273"/>
      <c r="QT640" s="273"/>
      <c r="QU640" s="273"/>
      <c r="QV640" s="273"/>
      <c r="QW640" s="273"/>
      <c r="QX640" s="273"/>
      <c r="QY640" s="273"/>
      <c r="QZ640" s="273"/>
      <c r="RA640" s="273"/>
      <c r="RB640" s="273"/>
      <c r="RC640" s="273"/>
      <c r="RD640" s="273"/>
      <c r="RE640" s="273"/>
      <c r="RF640" s="273"/>
      <c r="RG640" s="273"/>
      <c r="RH640" s="273"/>
      <c r="RI640" s="273"/>
      <c r="RJ640" s="273"/>
      <c r="RK640" s="273"/>
      <c r="RL640" s="273"/>
      <c r="RM640" s="273"/>
      <c r="RN640" s="273"/>
      <c r="RO640" s="273"/>
      <c r="RP640" s="273"/>
      <c r="RQ640" s="273"/>
    </row>
    <row r="641" spans="1:485" s="450" customFormat="1" ht="14.25" customHeight="1" x14ac:dyDescent="0.25">
      <c r="A641" s="680"/>
      <c r="B641" s="284" t="s">
        <v>1079</v>
      </c>
      <c r="C641" s="1720" t="s">
        <v>17</v>
      </c>
      <c r="D641" s="598" t="s">
        <v>955</v>
      </c>
      <c r="E641" s="468">
        <v>179.4403846153846</v>
      </c>
      <c r="F641" s="468">
        <v>1.3</v>
      </c>
      <c r="G641" s="467">
        <v>12</v>
      </c>
      <c r="H641" s="451">
        <f t="shared" si="277"/>
        <v>2799.2699999999995</v>
      </c>
      <c r="I641" s="675">
        <v>1</v>
      </c>
      <c r="J641" s="451">
        <v>280</v>
      </c>
      <c r="K641" s="451">
        <v>1.3</v>
      </c>
      <c r="L641" s="451">
        <v>12</v>
      </c>
      <c r="M641" s="1834">
        <f t="shared" si="278"/>
        <v>4368</v>
      </c>
      <c r="N641" s="675">
        <v>1</v>
      </c>
      <c r="O641" s="696">
        <f t="shared" si="275"/>
        <v>7167.2699999999995</v>
      </c>
      <c r="P641" s="675">
        <v>1</v>
      </c>
      <c r="Q641" s="451">
        <f t="shared" si="279"/>
        <v>7167.2699999999995</v>
      </c>
      <c r="R641" s="522" t="s">
        <v>1080</v>
      </c>
      <c r="S641" s="452">
        <f>COOPI!S96</f>
        <v>6830.4509771928897</v>
      </c>
      <c r="T641" s="1071">
        <f t="shared" si="273"/>
        <v>0.95300595306063396</v>
      </c>
      <c r="U641" s="894" t="s">
        <v>1031</v>
      </c>
      <c r="V641" s="591">
        <f t="shared" si="276"/>
        <v>0.95300595306063396</v>
      </c>
      <c r="W641" s="706">
        <f t="shared" si="274"/>
        <v>6830.4509771928897</v>
      </c>
      <c r="X641" s="452" t="s">
        <v>1031</v>
      </c>
      <c r="Y641" s="273"/>
      <c r="Z641" s="273"/>
      <c r="AA641" s="273"/>
      <c r="AB641" s="273"/>
      <c r="AC641" s="273"/>
      <c r="AD641" s="273"/>
      <c r="AE641" s="273"/>
      <c r="AF641" s="273"/>
      <c r="AG641" s="273"/>
      <c r="AH641" s="273"/>
      <c r="AI641" s="273"/>
      <c r="AJ641" s="273"/>
      <c r="AK641" s="273"/>
      <c r="AL641" s="273"/>
      <c r="AM641" s="273"/>
      <c r="AN641" s="273"/>
      <c r="AO641" s="273"/>
      <c r="AP641" s="273"/>
      <c r="AQ641" s="273"/>
      <c r="AR641" s="273"/>
      <c r="AS641" s="273"/>
      <c r="AT641" s="273"/>
      <c r="AU641" s="273"/>
      <c r="AV641" s="273"/>
      <c r="AW641" s="273"/>
      <c r="AX641" s="273"/>
      <c r="AY641" s="273"/>
      <c r="AZ641" s="273"/>
      <c r="BA641" s="273"/>
      <c r="BB641" s="273"/>
      <c r="BC641" s="273"/>
      <c r="BD641" s="273"/>
      <c r="BE641" s="273"/>
      <c r="BF641" s="273"/>
      <c r="BG641" s="273"/>
      <c r="BH641" s="273"/>
      <c r="BI641" s="273"/>
      <c r="BJ641" s="273"/>
      <c r="BK641" s="273"/>
      <c r="BL641" s="273"/>
      <c r="BM641" s="273"/>
      <c r="BN641" s="273"/>
      <c r="BO641" s="273"/>
      <c r="BP641" s="273"/>
      <c r="BQ641" s="273"/>
      <c r="BR641" s="273"/>
      <c r="BS641" s="273"/>
      <c r="BT641" s="273"/>
      <c r="BU641" s="273"/>
      <c r="BV641" s="273"/>
      <c r="BW641" s="273"/>
      <c r="BX641" s="273"/>
      <c r="BY641" s="273"/>
      <c r="BZ641" s="273"/>
      <c r="CA641" s="273"/>
      <c r="CB641" s="273"/>
      <c r="CC641" s="273"/>
      <c r="CD641" s="273"/>
      <c r="CE641" s="273"/>
      <c r="CF641" s="273"/>
      <c r="CG641" s="273"/>
      <c r="CH641" s="273"/>
      <c r="CI641" s="273"/>
      <c r="CJ641" s="273"/>
      <c r="CK641" s="273"/>
      <c r="CL641" s="273"/>
      <c r="CM641" s="273"/>
      <c r="CN641" s="273"/>
      <c r="CO641" s="273"/>
      <c r="CP641" s="273"/>
      <c r="CQ641" s="273"/>
      <c r="CR641" s="273"/>
      <c r="CS641" s="273"/>
      <c r="CT641" s="273"/>
      <c r="CU641" s="273"/>
      <c r="CV641" s="273"/>
      <c r="CW641" s="273"/>
      <c r="CX641" s="273"/>
      <c r="CY641" s="273"/>
      <c r="CZ641" s="273"/>
      <c r="DA641" s="273"/>
      <c r="DB641" s="273"/>
      <c r="DC641" s="273"/>
      <c r="DD641" s="273"/>
      <c r="DE641" s="273"/>
      <c r="DF641" s="273"/>
      <c r="DG641" s="273"/>
      <c r="DH641" s="273"/>
      <c r="DI641" s="273"/>
      <c r="DJ641" s="273"/>
      <c r="DK641" s="273"/>
      <c r="DL641" s="273"/>
      <c r="DM641" s="273"/>
      <c r="DN641" s="273"/>
      <c r="DO641" s="273"/>
      <c r="DP641" s="273"/>
      <c r="DQ641" s="273"/>
      <c r="DR641" s="273"/>
      <c r="DS641" s="273"/>
      <c r="DT641" s="273"/>
      <c r="DU641" s="273"/>
      <c r="DV641" s="273"/>
      <c r="DW641" s="273"/>
      <c r="DX641" s="273"/>
      <c r="DY641" s="273"/>
      <c r="DZ641" s="273"/>
      <c r="EA641" s="273"/>
      <c r="EB641" s="273"/>
      <c r="EC641" s="273"/>
      <c r="ED641" s="273"/>
      <c r="EE641" s="273"/>
      <c r="EF641" s="273"/>
      <c r="EG641" s="273"/>
      <c r="EH641" s="273"/>
      <c r="EI641" s="273"/>
      <c r="EJ641" s="273"/>
      <c r="EK641" s="273"/>
      <c r="EL641" s="273"/>
      <c r="EM641" s="273"/>
      <c r="EN641" s="273"/>
      <c r="EO641" s="273"/>
      <c r="EP641" s="273"/>
      <c r="EQ641" s="273"/>
      <c r="ER641" s="273"/>
      <c r="ES641" s="273"/>
      <c r="ET641" s="273"/>
      <c r="EU641" s="273"/>
      <c r="EV641" s="273"/>
      <c r="EW641" s="273"/>
      <c r="EX641" s="273"/>
      <c r="EY641" s="273"/>
      <c r="EZ641" s="273"/>
      <c r="FA641" s="273"/>
      <c r="FB641" s="273"/>
      <c r="FC641" s="273"/>
      <c r="FD641" s="273"/>
      <c r="FE641" s="273"/>
      <c r="FF641" s="273"/>
      <c r="FG641" s="273"/>
      <c r="FH641" s="273"/>
      <c r="FI641" s="273"/>
      <c r="FJ641" s="273"/>
      <c r="FK641" s="273"/>
      <c r="FL641" s="273"/>
      <c r="FM641" s="273"/>
      <c r="FN641" s="273"/>
      <c r="FO641" s="273"/>
      <c r="FP641" s="273"/>
      <c r="FQ641" s="273"/>
      <c r="FR641" s="273"/>
      <c r="FS641" s="273"/>
      <c r="FT641" s="273"/>
      <c r="FU641" s="273"/>
      <c r="FV641" s="273"/>
      <c r="FW641" s="273"/>
      <c r="FX641" s="273"/>
      <c r="FY641" s="273"/>
      <c r="FZ641" s="273"/>
      <c r="GA641" s="273"/>
      <c r="GB641" s="273"/>
      <c r="GC641" s="273"/>
      <c r="GD641" s="273"/>
      <c r="GE641" s="273"/>
      <c r="GF641" s="273"/>
      <c r="GG641" s="273"/>
      <c r="GH641" s="273"/>
      <c r="GI641" s="273"/>
      <c r="GJ641" s="273"/>
      <c r="GK641" s="273"/>
      <c r="GL641" s="273"/>
      <c r="GM641" s="273"/>
      <c r="GN641" s="273"/>
      <c r="GO641" s="273"/>
      <c r="GP641" s="273"/>
      <c r="GQ641" s="273"/>
      <c r="GR641" s="273"/>
      <c r="GS641" s="273"/>
      <c r="GT641" s="273"/>
      <c r="GU641" s="273"/>
      <c r="GV641" s="273"/>
      <c r="GW641" s="273"/>
      <c r="GX641" s="273"/>
      <c r="GY641" s="273"/>
      <c r="GZ641" s="273"/>
      <c r="HA641" s="273"/>
      <c r="HB641" s="273"/>
      <c r="HC641" s="273"/>
      <c r="HD641" s="273"/>
      <c r="HE641" s="273"/>
      <c r="HF641" s="273"/>
      <c r="HG641" s="273"/>
      <c r="HH641" s="273"/>
      <c r="HI641" s="273"/>
      <c r="HJ641" s="273"/>
      <c r="HK641" s="273"/>
      <c r="HL641" s="273"/>
      <c r="HM641" s="273"/>
      <c r="HN641" s="273"/>
      <c r="HO641" s="273"/>
      <c r="HP641" s="273"/>
      <c r="HQ641" s="273"/>
      <c r="HR641" s="273"/>
      <c r="HS641" s="273"/>
      <c r="HT641" s="273"/>
      <c r="HU641" s="273"/>
      <c r="HV641" s="273"/>
      <c r="HW641" s="273"/>
      <c r="HX641" s="273"/>
      <c r="HY641" s="273"/>
      <c r="HZ641" s="273"/>
      <c r="IA641" s="273"/>
      <c r="IB641" s="273"/>
      <c r="IC641" s="273"/>
      <c r="ID641" s="273"/>
      <c r="IE641" s="273"/>
      <c r="IF641" s="273"/>
      <c r="IG641" s="273"/>
      <c r="IH641" s="273"/>
      <c r="II641" s="273"/>
      <c r="IJ641" s="273"/>
      <c r="IK641" s="273"/>
      <c r="IL641" s="273"/>
      <c r="IM641" s="273"/>
      <c r="IN641" s="273"/>
      <c r="IO641" s="273"/>
      <c r="IP641" s="273"/>
      <c r="IQ641" s="273"/>
      <c r="IR641" s="273"/>
      <c r="IS641" s="273"/>
      <c r="IT641" s="273"/>
      <c r="IU641" s="273"/>
      <c r="IV641" s="273"/>
      <c r="IW641" s="273"/>
      <c r="IX641" s="273"/>
      <c r="IY641" s="273"/>
      <c r="IZ641" s="273"/>
      <c r="JA641" s="273"/>
      <c r="JB641" s="273"/>
      <c r="JC641" s="273"/>
      <c r="JD641" s="273"/>
      <c r="JE641" s="273"/>
      <c r="JF641" s="273"/>
      <c r="JG641" s="273"/>
      <c r="JH641" s="273"/>
      <c r="JI641" s="273"/>
      <c r="JJ641" s="273"/>
      <c r="JK641" s="273"/>
      <c r="JL641" s="273"/>
      <c r="JM641" s="273"/>
      <c r="JN641" s="273"/>
      <c r="JO641" s="273"/>
      <c r="JP641" s="273"/>
      <c r="JQ641" s="273"/>
      <c r="JR641" s="273"/>
      <c r="JS641" s="273"/>
      <c r="JT641" s="273"/>
      <c r="JU641" s="273"/>
      <c r="JV641" s="273"/>
      <c r="JW641" s="273"/>
      <c r="JX641" s="273"/>
      <c r="JY641" s="273"/>
      <c r="JZ641" s="273"/>
      <c r="KA641" s="273"/>
      <c r="KB641" s="273"/>
      <c r="KC641" s="273"/>
      <c r="KD641" s="273"/>
      <c r="KE641" s="273"/>
      <c r="KF641" s="273"/>
      <c r="KG641" s="273"/>
      <c r="KH641" s="273"/>
      <c r="KI641" s="273"/>
      <c r="KJ641" s="273"/>
      <c r="KK641" s="273"/>
      <c r="KL641" s="273"/>
      <c r="KM641" s="273"/>
      <c r="KN641" s="273"/>
      <c r="KO641" s="273"/>
      <c r="KP641" s="273"/>
      <c r="KQ641" s="273"/>
      <c r="KR641" s="273"/>
      <c r="KS641" s="273"/>
      <c r="KT641" s="273"/>
      <c r="KU641" s="273"/>
      <c r="KV641" s="273"/>
      <c r="KW641" s="273"/>
      <c r="KX641" s="273"/>
      <c r="KY641" s="273"/>
      <c r="KZ641" s="273"/>
      <c r="LA641" s="273"/>
      <c r="LB641" s="273"/>
      <c r="LC641" s="273"/>
      <c r="LD641" s="273"/>
      <c r="LE641" s="273"/>
      <c r="LF641" s="273"/>
      <c r="LG641" s="273"/>
      <c r="LH641" s="273"/>
      <c r="LI641" s="273"/>
      <c r="LJ641" s="273"/>
      <c r="LK641" s="273"/>
      <c r="LL641" s="273"/>
      <c r="LM641" s="273"/>
      <c r="LN641" s="273"/>
      <c r="LO641" s="273"/>
      <c r="LP641" s="273"/>
      <c r="LQ641" s="273"/>
      <c r="LR641" s="273"/>
      <c r="LS641" s="273"/>
      <c r="LT641" s="273"/>
      <c r="LU641" s="273"/>
      <c r="LV641" s="273"/>
      <c r="LW641" s="273"/>
      <c r="LX641" s="273"/>
      <c r="LY641" s="273"/>
      <c r="LZ641" s="273"/>
      <c r="MA641" s="273"/>
      <c r="MB641" s="273"/>
      <c r="MC641" s="273"/>
      <c r="MD641" s="273"/>
      <c r="ME641" s="273"/>
      <c r="MF641" s="273"/>
      <c r="MG641" s="273"/>
      <c r="MH641" s="273"/>
      <c r="MI641" s="273"/>
      <c r="MJ641" s="273"/>
      <c r="MK641" s="273"/>
      <c r="ML641" s="273"/>
      <c r="MM641" s="273"/>
      <c r="MN641" s="273"/>
      <c r="MO641" s="273"/>
      <c r="MP641" s="273"/>
      <c r="MQ641" s="273"/>
      <c r="MR641" s="273"/>
      <c r="MS641" s="273"/>
      <c r="MT641" s="273"/>
      <c r="MU641" s="273"/>
      <c r="MV641" s="273"/>
      <c r="MW641" s="273"/>
      <c r="MX641" s="273"/>
      <c r="MY641" s="273"/>
      <c r="MZ641" s="273"/>
      <c r="NA641" s="273"/>
      <c r="NB641" s="273"/>
      <c r="NC641" s="273"/>
      <c r="ND641" s="273"/>
      <c r="NE641" s="273"/>
      <c r="NF641" s="273"/>
      <c r="NG641" s="273"/>
      <c r="NH641" s="273"/>
      <c r="NI641" s="273"/>
      <c r="NJ641" s="273"/>
      <c r="NK641" s="273"/>
      <c r="NL641" s="273"/>
      <c r="NM641" s="273"/>
      <c r="NN641" s="273"/>
      <c r="NO641" s="273"/>
      <c r="NP641" s="273"/>
      <c r="NQ641" s="273"/>
      <c r="NR641" s="273"/>
      <c r="NS641" s="273"/>
      <c r="NT641" s="273"/>
      <c r="NU641" s="273"/>
      <c r="NV641" s="273"/>
      <c r="NW641" s="273"/>
      <c r="NX641" s="273"/>
      <c r="NY641" s="273"/>
      <c r="NZ641" s="273"/>
      <c r="OA641" s="273"/>
      <c r="OB641" s="273"/>
      <c r="OC641" s="273"/>
      <c r="OD641" s="273"/>
      <c r="OE641" s="273"/>
      <c r="OF641" s="273"/>
      <c r="OG641" s="273"/>
      <c r="OH641" s="273"/>
      <c r="OI641" s="273"/>
      <c r="OJ641" s="273"/>
      <c r="OK641" s="273"/>
      <c r="OL641" s="273"/>
      <c r="OM641" s="273"/>
      <c r="ON641" s="273"/>
      <c r="OO641" s="273"/>
      <c r="OP641" s="273"/>
      <c r="OQ641" s="273"/>
      <c r="OR641" s="273"/>
      <c r="OS641" s="273"/>
      <c r="OT641" s="273"/>
      <c r="OU641" s="273"/>
      <c r="OV641" s="273"/>
      <c r="OW641" s="273"/>
      <c r="OX641" s="273"/>
      <c r="OY641" s="273"/>
      <c r="OZ641" s="273"/>
      <c r="PA641" s="273"/>
      <c r="PB641" s="273"/>
      <c r="PC641" s="273"/>
      <c r="PD641" s="273"/>
      <c r="PE641" s="273"/>
      <c r="PF641" s="273"/>
      <c r="PG641" s="273"/>
      <c r="PH641" s="273"/>
      <c r="PI641" s="273"/>
      <c r="PJ641" s="273"/>
      <c r="PK641" s="273"/>
      <c r="PL641" s="273"/>
      <c r="PM641" s="273"/>
      <c r="PN641" s="273"/>
      <c r="PO641" s="273"/>
      <c r="PP641" s="273"/>
      <c r="PQ641" s="273"/>
      <c r="PR641" s="273"/>
      <c r="PS641" s="273"/>
      <c r="PT641" s="273"/>
      <c r="PU641" s="273"/>
      <c r="PV641" s="273"/>
      <c r="PW641" s="273"/>
      <c r="PX641" s="273"/>
      <c r="PY641" s="273"/>
      <c r="PZ641" s="273"/>
      <c r="QA641" s="273"/>
      <c r="QB641" s="273"/>
      <c r="QC641" s="273"/>
      <c r="QD641" s="273"/>
      <c r="QE641" s="273"/>
      <c r="QF641" s="273"/>
      <c r="QG641" s="273"/>
      <c r="QH641" s="273"/>
      <c r="QI641" s="273"/>
      <c r="QJ641" s="273"/>
      <c r="QK641" s="273"/>
      <c r="QL641" s="273"/>
      <c r="QM641" s="273"/>
      <c r="QN641" s="273"/>
      <c r="QO641" s="273"/>
      <c r="QP641" s="273"/>
      <c r="QQ641" s="273"/>
      <c r="QR641" s="273"/>
      <c r="QS641" s="273"/>
      <c r="QT641" s="273"/>
      <c r="QU641" s="273"/>
      <c r="QV641" s="273"/>
      <c r="QW641" s="273"/>
      <c r="QX641" s="273"/>
      <c r="QY641" s="273"/>
      <c r="QZ641" s="273"/>
      <c r="RA641" s="273"/>
      <c r="RB641" s="273"/>
      <c r="RC641" s="273"/>
      <c r="RD641" s="273"/>
      <c r="RE641" s="273"/>
      <c r="RF641" s="273"/>
      <c r="RG641" s="273"/>
      <c r="RH641" s="273"/>
      <c r="RI641" s="273"/>
      <c r="RJ641" s="273"/>
      <c r="RK641" s="273"/>
      <c r="RL641" s="273"/>
      <c r="RM641" s="273"/>
      <c r="RN641" s="273"/>
      <c r="RO641" s="273"/>
      <c r="RP641" s="273"/>
      <c r="RQ641" s="273"/>
    </row>
    <row r="642" spans="1:485" s="450" customFormat="1" ht="14.25" customHeight="1" x14ac:dyDescent="0.25">
      <c r="A642" s="680"/>
      <c r="B642" s="284" t="s">
        <v>1081</v>
      </c>
      <c r="C642" s="1720" t="s">
        <v>17</v>
      </c>
      <c r="D642" s="598" t="s">
        <v>955</v>
      </c>
      <c r="E642" s="468">
        <v>208.33333333333334</v>
      </c>
      <c r="F642" s="468">
        <v>1.3</v>
      </c>
      <c r="G642" s="467">
        <v>12</v>
      </c>
      <c r="H642" s="451">
        <f t="shared" si="277"/>
        <v>3250.0000000000005</v>
      </c>
      <c r="I642" s="675">
        <v>1</v>
      </c>
      <c r="J642" s="451">
        <v>137.39294871794871</v>
      </c>
      <c r="K642" s="451">
        <v>1.3</v>
      </c>
      <c r="L642" s="451">
        <v>12</v>
      </c>
      <c r="M642" s="1834">
        <f t="shared" si="278"/>
        <v>2143.33</v>
      </c>
      <c r="N642" s="675">
        <v>1</v>
      </c>
      <c r="O642" s="696">
        <f t="shared" si="275"/>
        <v>5393.33</v>
      </c>
      <c r="P642" s="675">
        <v>1</v>
      </c>
      <c r="Q642" s="451">
        <f t="shared" si="279"/>
        <v>5393.33</v>
      </c>
      <c r="R642" s="522" t="s">
        <v>1082</v>
      </c>
      <c r="S642" s="452">
        <f>COOPI!S97</f>
        <v>5232.7</v>
      </c>
      <c r="T642" s="1071">
        <f t="shared" si="273"/>
        <v>0.97021691607967619</v>
      </c>
      <c r="U642" s="894" t="s">
        <v>1031</v>
      </c>
      <c r="V642" s="591">
        <f t="shared" si="276"/>
        <v>0.97021691607967619</v>
      </c>
      <c r="W642" s="706">
        <f t="shared" si="274"/>
        <v>5232.7</v>
      </c>
      <c r="X642" s="452" t="s">
        <v>1031</v>
      </c>
      <c r="Y642" s="273"/>
      <c r="Z642" s="273"/>
      <c r="AA642" s="273"/>
      <c r="AB642" s="273"/>
      <c r="AC642" s="273"/>
      <c r="AD642" s="273"/>
      <c r="AE642" s="273"/>
      <c r="AF642" s="273"/>
      <c r="AG642" s="273"/>
      <c r="AH642" s="273"/>
      <c r="AI642" s="273"/>
      <c r="AJ642" s="273"/>
      <c r="AK642" s="273"/>
      <c r="AL642" s="273"/>
      <c r="AM642" s="273"/>
      <c r="AN642" s="273"/>
      <c r="AO642" s="273"/>
      <c r="AP642" s="273"/>
      <c r="AQ642" s="273"/>
      <c r="AR642" s="273"/>
      <c r="AS642" s="273"/>
      <c r="AT642" s="273"/>
      <c r="AU642" s="273"/>
      <c r="AV642" s="273"/>
      <c r="AW642" s="273"/>
      <c r="AX642" s="273"/>
      <c r="AY642" s="273"/>
      <c r="AZ642" s="273"/>
      <c r="BA642" s="273"/>
      <c r="BB642" s="273"/>
      <c r="BC642" s="273"/>
      <c r="BD642" s="273"/>
      <c r="BE642" s="273"/>
      <c r="BF642" s="273"/>
      <c r="BG642" s="273"/>
      <c r="BH642" s="273"/>
      <c r="BI642" s="273"/>
      <c r="BJ642" s="273"/>
      <c r="BK642" s="273"/>
      <c r="BL642" s="273"/>
      <c r="BM642" s="273"/>
      <c r="BN642" s="273"/>
      <c r="BO642" s="273"/>
      <c r="BP642" s="273"/>
      <c r="BQ642" s="273"/>
      <c r="BR642" s="273"/>
      <c r="BS642" s="273"/>
      <c r="BT642" s="273"/>
      <c r="BU642" s="273"/>
      <c r="BV642" s="273"/>
      <c r="BW642" s="273"/>
      <c r="BX642" s="273"/>
      <c r="BY642" s="273"/>
      <c r="BZ642" s="273"/>
      <c r="CA642" s="273"/>
      <c r="CB642" s="273"/>
      <c r="CC642" s="273"/>
      <c r="CD642" s="273"/>
      <c r="CE642" s="273"/>
      <c r="CF642" s="273"/>
      <c r="CG642" s="273"/>
      <c r="CH642" s="273"/>
      <c r="CI642" s="273"/>
      <c r="CJ642" s="273"/>
      <c r="CK642" s="273"/>
      <c r="CL642" s="273"/>
      <c r="CM642" s="273"/>
      <c r="CN642" s="273"/>
      <c r="CO642" s="273"/>
      <c r="CP642" s="273"/>
      <c r="CQ642" s="273"/>
      <c r="CR642" s="273"/>
      <c r="CS642" s="273"/>
      <c r="CT642" s="273"/>
      <c r="CU642" s="273"/>
      <c r="CV642" s="273"/>
      <c r="CW642" s="273"/>
      <c r="CX642" s="273"/>
      <c r="CY642" s="273"/>
      <c r="CZ642" s="273"/>
      <c r="DA642" s="273"/>
      <c r="DB642" s="273"/>
      <c r="DC642" s="273"/>
      <c r="DD642" s="273"/>
      <c r="DE642" s="273"/>
      <c r="DF642" s="273"/>
      <c r="DG642" s="273"/>
      <c r="DH642" s="273"/>
      <c r="DI642" s="273"/>
      <c r="DJ642" s="273"/>
      <c r="DK642" s="273"/>
      <c r="DL642" s="273"/>
      <c r="DM642" s="273"/>
      <c r="DN642" s="273"/>
      <c r="DO642" s="273"/>
      <c r="DP642" s="273"/>
      <c r="DQ642" s="273"/>
      <c r="DR642" s="273"/>
      <c r="DS642" s="273"/>
      <c r="DT642" s="273"/>
      <c r="DU642" s="273"/>
      <c r="DV642" s="273"/>
      <c r="DW642" s="273"/>
      <c r="DX642" s="273"/>
      <c r="DY642" s="273"/>
      <c r="DZ642" s="273"/>
      <c r="EA642" s="273"/>
      <c r="EB642" s="273"/>
      <c r="EC642" s="273"/>
      <c r="ED642" s="273"/>
      <c r="EE642" s="273"/>
      <c r="EF642" s="273"/>
      <c r="EG642" s="273"/>
      <c r="EH642" s="273"/>
      <c r="EI642" s="273"/>
      <c r="EJ642" s="273"/>
      <c r="EK642" s="273"/>
      <c r="EL642" s="273"/>
      <c r="EM642" s="273"/>
      <c r="EN642" s="273"/>
      <c r="EO642" s="273"/>
      <c r="EP642" s="273"/>
      <c r="EQ642" s="273"/>
      <c r="ER642" s="273"/>
      <c r="ES642" s="273"/>
      <c r="ET642" s="273"/>
      <c r="EU642" s="273"/>
      <c r="EV642" s="273"/>
      <c r="EW642" s="273"/>
      <c r="EX642" s="273"/>
      <c r="EY642" s="273"/>
      <c r="EZ642" s="273"/>
      <c r="FA642" s="273"/>
      <c r="FB642" s="273"/>
      <c r="FC642" s="273"/>
      <c r="FD642" s="273"/>
      <c r="FE642" s="273"/>
      <c r="FF642" s="273"/>
      <c r="FG642" s="273"/>
      <c r="FH642" s="273"/>
      <c r="FI642" s="273"/>
      <c r="FJ642" s="273"/>
      <c r="FK642" s="273"/>
      <c r="FL642" s="273"/>
      <c r="FM642" s="273"/>
      <c r="FN642" s="273"/>
      <c r="FO642" s="273"/>
      <c r="FP642" s="273"/>
      <c r="FQ642" s="273"/>
      <c r="FR642" s="273"/>
      <c r="FS642" s="273"/>
      <c r="FT642" s="273"/>
      <c r="FU642" s="273"/>
      <c r="FV642" s="273"/>
      <c r="FW642" s="273"/>
      <c r="FX642" s="273"/>
      <c r="FY642" s="273"/>
      <c r="FZ642" s="273"/>
      <c r="GA642" s="273"/>
      <c r="GB642" s="273"/>
      <c r="GC642" s="273"/>
      <c r="GD642" s="273"/>
      <c r="GE642" s="273"/>
      <c r="GF642" s="273"/>
      <c r="GG642" s="273"/>
      <c r="GH642" s="273"/>
      <c r="GI642" s="273"/>
      <c r="GJ642" s="273"/>
      <c r="GK642" s="273"/>
      <c r="GL642" s="273"/>
      <c r="GM642" s="273"/>
      <c r="GN642" s="273"/>
      <c r="GO642" s="273"/>
      <c r="GP642" s="273"/>
      <c r="GQ642" s="273"/>
      <c r="GR642" s="273"/>
      <c r="GS642" s="273"/>
      <c r="GT642" s="273"/>
      <c r="GU642" s="273"/>
      <c r="GV642" s="273"/>
      <c r="GW642" s="273"/>
      <c r="GX642" s="273"/>
      <c r="GY642" s="273"/>
      <c r="GZ642" s="273"/>
      <c r="HA642" s="273"/>
      <c r="HB642" s="273"/>
      <c r="HC642" s="273"/>
      <c r="HD642" s="273"/>
      <c r="HE642" s="273"/>
      <c r="HF642" s="273"/>
      <c r="HG642" s="273"/>
      <c r="HH642" s="273"/>
      <c r="HI642" s="273"/>
      <c r="HJ642" s="273"/>
      <c r="HK642" s="273"/>
      <c r="HL642" s="273"/>
      <c r="HM642" s="273"/>
      <c r="HN642" s="273"/>
      <c r="HO642" s="273"/>
      <c r="HP642" s="273"/>
      <c r="HQ642" s="273"/>
      <c r="HR642" s="273"/>
      <c r="HS642" s="273"/>
      <c r="HT642" s="273"/>
      <c r="HU642" s="273"/>
      <c r="HV642" s="273"/>
      <c r="HW642" s="273"/>
      <c r="HX642" s="273"/>
      <c r="HY642" s="273"/>
      <c r="HZ642" s="273"/>
      <c r="IA642" s="273"/>
      <c r="IB642" s="273"/>
      <c r="IC642" s="273"/>
      <c r="ID642" s="273"/>
      <c r="IE642" s="273"/>
      <c r="IF642" s="273"/>
      <c r="IG642" s="273"/>
      <c r="IH642" s="273"/>
      <c r="II642" s="273"/>
      <c r="IJ642" s="273"/>
      <c r="IK642" s="273"/>
      <c r="IL642" s="273"/>
      <c r="IM642" s="273"/>
      <c r="IN642" s="273"/>
      <c r="IO642" s="273"/>
      <c r="IP642" s="273"/>
      <c r="IQ642" s="273"/>
      <c r="IR642" s="273"/>
      <c r="IS642" s="273"/>
      <c r="IT642" s="273"/>
      <c r="IU642" s="273"/>
      <c r="IV642" s="273"/>
      <c r="IW642" s="273"/>
      <c r="IX642" s="273"/>
      <c r="IY642" s="273"/>
      <c r="IZ642" s="273"/>
      <c r="JA642" s="273"/>
      <c r="JB642" s="273"/>
      <c r="JC642" s="273"/>
      <c r="JD642" s="273"/>
      <c r="JE642" s="273"/>
      <c r="JF642" s="273"/>
      <c r="JG642" s="273"/>
      <c r="JH642" s="273"/>
      <c r="JI642" s="273"/>
      <c r="JJ642" s="273"/>
      <c r="JK642" s="273"/>
      <c r="JL642" s="273"/>
      <c r="JM642" s="273"/>
      <c r="JN642" s="273"/>
      <c r="JO642" s="273"/>
      <c r="JP642" s="273"/>
      <c r="JQ642" s="273"/>
      <c r="JR642" s="273"/>
      <c r="JS642" s="273"/>
      <c r="JT642" s="273"/>
      <c r="JU642" s="273"/>
      <c r="JV642" s="273"/>
      <c r="JW642" s="273"/>
      <c r="JX642" s="273"/>
      <c r="JY642" s="273"/>
      <c r="JZ642" s="273"/>
      <c r="KA642" s="273"/>
      <c r="KB642" s="273"/>
      <c r="KC642" s="273"/>
      <c r="KD642" s="273"/>
      <c r="KE642" s="273"/>
      <c r="KF642" s="273"/>
      <c r="KG642" s="273"/>
      <c r="KH642" s="273"/>
      <c r="KI642" s="273"/>
      <c r="KJ642" s="273"/>
      <c r="KK642" s="273"/>
      <c r="KL642" s="273"/>
      <c r="KM642" s="273"/>
      <c r="KN642" s="273"/>
      <c r="KO642" s="273"/>
      <c r="KP642" s="273"/>
      <c r="KQ642" s="273"/>
      <c r="KR642" s="273"/>
      <c r="KS642" s="273"/>
      <c r="KT642" s="273"/>
      <c r="KU642" s="273"/>
      <c r="KV642" s="273"/>
      <c r="KW642" s="273"/>
      <c r="KX642" s="273"/>
      <c r="KY642" s="273"/>
      <c r="KZ642" s="273"/>
      <c r="LA642" s="273"/>
      <c r="LB642" s="273"/>
      <c r="LC642" s="273"/>
      <c r="LD642" s="273"/>
      <c r="LE642" s="273"/>
      <c r="LF642" s="273"/>
      <c r="LG642" s="273"/>
      <c r="LH642" s="273"/>
      <c r="LI642" s="273"/>
      <c r="LJ642" s="273"/>
      <c r="LK642" s="273"/>
      <c r="LL642" s="273"/>
      <c r="LM642" s="273"/>
      <c r="LN642" s="273"/>
      <c r="LO642" s="273"/>
      <c r="LP642" s="273"/>
      <c r="LQ642" s="273"/>
      <c r="LR642" s="273"/>
      <c r="LS642" s="273"/>
      <c r="LT642" s="273"/>
      <c r="LU642" s="273"/>
      <c r="LV642" s="273"/>
      <c r="LW642" s="273"/>
      <c r="LX642" s="273"/>
      <c r="LY642" s="273"/>
      <c r="LZ642" s="273"/>
      <c r="MA642" s="273"/>
      <c r="MB642" s="273"/>
      <c r="MC642" s="273"/>
      <c r="MD642" s="273"/>
      <c r="ME642" s="273"/>
      <c r="MF642" s="273"/>
      <c r="MG642" s="273"/>
      <c r="MH642" s="273"/>
      <c r="MI642" s="273"/>
      <c r="MJ642" s="273"/>
      <c r="MK642" s="273"/>
      <c r="ML642" s="273"/>
      <c r="MM642" s="273"/>
      <c r="MN642" s="273"/>
      <c r="MO642" s="273"/>
      <c r="MP642" s="273"/>
      <c r="MQ642" s="273"/>
      <c r="MR642" s="273"/>
      <c r="MS642" s="273"/>
      <c r="MT642" s="273"/>
      <c r="MU642" s="273"/>
      <c r="MV642" s="273"/>
      <c r="MW642" s="273"/>
      <c r="MX642" s="273"/>
      <c r="MY642" s="273"/>
      <c r="MZ642" s="273"/>
      <c r="NA642" s="273"/>
      <c r="NB642" s="273"/>
      <c r="NC642" s="273"/>
      <c r="ND642" s="273"/>
      <c r="NE642" s="273"/>
      <c r="NF642" s="273"/>
      <c r="NG642" s="273"/>
      <c r="NH642" s="273"/>
      <c r="NI642" s="273"/>
      <c r="NJ642" s="273"/>
      <c r="NK642" s="273"/>
      <c r="NL642" s="273"/>
      <c r="NM642" s="273"/>
      <c r="NN642" s="273"/>
      <c r="NO642" s="273"/>
      <c r="NP642" s="273"/>
      <c r="NQ642" s="273"/>
      <c r="NR642" s="273"/>
      <c r="NS642" s="273"/>
      <c r="NT642" s="273"/>
      <c r="NU642" s="273"/>
      <c r="NV642" s="273"/>
      <c r="NW642" s="273"/>
      <c r="NX642" s="273"/>
      <c r="NY642" s="273"/>
      <c r="NZ642" s="273"/>
      <c r="OA642" s="273"/>
      <c r="OB642" s="273"/>
      <c r="OC642" s="273"/>
      <c r="OD642" s="273"/>
      <c r="OE642" s="273"/>
      <c r="OF642" s="273"/>
      <c r="OG642" s="273"/>
      <c r="OH642" s="273"/>
      <c r="OI642" s="273"/>
      <c r="OJ642" s="273"/>
      <c r="OK642" s="273"/>
      <c r="OL642" s="273"/>
      <c r="OM642" s="273"/>
      <c r="ON642" s="273"/>
      <c r="OO642" s="273"/>
      <c r="OP642" s="273"/>
      <c r="OQ642" s="273"/>
      <c r="OR642" s="273"/>
      <c r="OS642" s="273"/>
      <c r="OT642" s="273"/>
      <c r="OU642" s="273"/>
      <c r="OV642" s="273"/>
      <c r="OW642" s="273"/>
      <c r="OX642" s="273"/>
      <c r="OY642" s="273"/>
      <c r="OZ642" s="273"/>
      <c r="PA642" s="273"/>
      <c r="PB642" s="273"/>
      <c r="PC642" s="273"/>
      <c r="PD642" s="273"/>
      <c r="PE642" s="273"/>
      <c r="PF642" s="273"/>
      <c r="PG642" s="273"/>
      <c r="PH642" s="273"/>
      <c r="PI642" s="273"/>
      <c r="PJ642" s="273"/>
      <c r="PK642" s="273"/>
      <c r="PL642" s="273"/>
      <c r="PM642" s="273"/>
      <c r="PN642" s="273"/>
      <c r="PO642" s="273"/>
      <c r="PP642" s="273"/>
      <c r="PQ642" s="273"/>
      <c r="PR642" s="273"/>
      <c r="PS642" s="273"/>
      <c r="PT642" s="273"/>
      <c r="PU642" s="273"/>
      <c r="PV642" s="273"/>
      <c r="PW642" s="273"/>
      <c r="PX642" s="273"/>
      <c r="PY642" s="273"/>
      <c r="PZ642" s="273"/>
      <c r="QA642" s="273"/>
      <c r="QB642" s="273"/>
      <c r="QC642" s="273"/>
      <c r="QD642" s="273"/>
      <c r="QE642" s="273"/>
      <c r="QF642" s="273"/>
      <c r="QG642" s="273"/>
      <c r="QH642" s="273"/>
      <c r="QI642" s="273"/>
      <c r="QJ642" s="273"/>
      <c r="QK642" s="273"/>
      <c r="QL642" s="273"/>
      <c r="QM642" s="273"/>
      <c r="QN642" s="273"/>
      <c r="QO642" s="273"/>
      <c r="QP642" s="273"/>
      <c r="QQ642" s="273"/>
      <c r="QR642" s="273"/>
      <c r="QS642" s="273"/>
      <c r="QT642" s="273"/>
      <c r="QU642" s="273"/>
      <c r="QV642" s="273"/>
      <c r="QW642" s="273"/>
      <c r="QX642" s="273"/>
      <c r="QY642" s="273"/>
      <c r="QZ642" s="273"/>
      <c r="RA642" s="273"/>
      <c r="RB642" s="273"/>
      <c r="RC642" s="273"/>
      <c r="RD642" s="273"/>
      <c r="RE642" s="273"/>
      <c r="RF642" s="273"/>
      <c r="RG642" s="273"/>
      <c r="RH642" s="273"/>
      <c r="RI642" s="273"/>
      <c r="RJ642" s="273"/>
      <c r="RK642" s="273"/>
      <c r="RL642" s="273"/>
      <c r="RM642" s="273"/>
      <c r="RN642" s="273"/>
      <c r="RO642" s="273"/>
      <c r="RP642" s="273"/>
      <c r="RQ642" s="273"/>
    </row>
    <row r="643" spans="1:485" s="450" customFormat="1" ht="14.25" customHeight="1" x14ac:dyDescent="0.25">
      <c r="A643" s="680"/>
      <c r="B643" s="284" t="s">
        <v>1083</v>
      </c>
      <c r="C643" s="1720" t="s">
        <v>17</v>
      </c>
      <c r="D643" s="598" t="s">
        <v>955</v>
      </c>
      <c r="E643" s="468">
        <v>60.256410256410255</v>
      </c>
      <c r="F643" s="468">
        <v>1.3</v>
      </c>
      <c r="G643" s="467">
        <v>12</v>
      </c>
      <c r="H643" s="451">
        <f t="shared" si="277"/>
        <v>940</v>
      </c>
      <c r="I643" s="675">
        <v>1</v>
      </c>
      <c r="J643" s="451">
        <v>100</v>
      </c>
      <c r="K643" s="451">
        <v>1.3</v>
      </c>
      <c r="L643" s="451">
        <v>12</v>
      </c>
      <c r="M643" s="1834">
        <f t="shared" si="278"/>
        <v>1560</v>
      </c>
      <c r="N643" s="675">
        <v>1</v>
      </c>
      <c r="O643" s="696">
        <f t="shared" si="275"/>
        <v>2500</v>
      </c>
      <c r="P643" s="675">
        <v>1</v>
      </c>
      <c r="Q643" s="451">
        <f t="shared" si="279"/>
        <v>2500</v>
      </c>
      <c r="R643" s="522" t="s">
        <v>1084</v>
      </c>
      <c r="S643" s="452">
        <f>COOPI!S98</f>
        <v>3031.9</v>
      </c>
      <c r="T643" s="1071">
        <f t="shared" si="273"/>
        <v>1.2127600000000001</v>
      </c>
      <c r="U643" s="894" t="s">
        <v>1031</v>
      </c>
      <c r="V643" s="591">
        <f t="shared" si="276"/>
        <v>1.2127600000000001</v>
      </c>
      <c r="W643" s="706">
        <f t="shared" si="274"/>
        <v>3031.9</v>
      </c>
      <c r="X643" s="452" t="s">
        <v>1031</v>
      </c>
      <c r="Y643" s="273"/>
      <c r="Z643" s="273"/>
      <c r="AA643" s="273"/>
      <c r="AB643" s="273"/>
      <c r="AC643" s="273"/>
      <c r="AD643" s="273"/>
      <c r="AE643" s="273"/>
      <c r="AF643" s="273"/>
      <c r="AG643" s="273"/>
      <c r="AH643" s="273"/>
      <c r="AI643" s="273"/>
      <c r="AJ643" s="273"/>
      <c r="AK643" s="273"/>
      <c r="AL643" s="273"/>
      <c r="AM643" s="273"/>
      <c r="AN643" s="273"/>
      <c r="AO643" s="273"/>
      <c r="AP643" s="273"/>
      <c r="AQ643" s="273"/>
      <c r="AR643" s="273"/>
      <c r="AS643" s="273"/>
      <c r="AT643" s="273"/>
      <c r="AU643" s="273"/>
      <c r="AV643" s="273"/>
      <c r="AW643" s="273"/>
      <c r="AX643" s="273"/>
      <c r="AY643" s="273"/>
      <c r="AZ643" s="273"/>
      <c r="BA643" s="273"/>
      <c r="BB643" s="273"/>
      <c r="BC643" s="273"/>
      <c r="BD643" s="273"/>
      <c r="BE643" s="273"/>
      <c r="BF643" s="273"/>
      <c r="BG643" s="273"/>
      <c r="BH643" s="273"/>
      <c r="BI643" s="273"/>
      <c r="BJ643" s="273"/>
      <c r="BK643" s="273"/>
      <c r="BL643" s="273"/>
      <c r="BM643" s="273"/>
      <c r="BN643" s="273"/>
      <c r="BO643" s="273"/>
      <c r="BP643" s="273"/>
      <c r="BQ643" s="273"/>
      <c r="BR643" s="273"/>
      <c r="BS643" s="273"/>
      <c r="BT643" s="273"/>
      <c r="BU643" s="273"/>
      <c r="BV643" s="273"/>
      <c r="BW643" s="273"/>
      <c r="BX643" s="273"/>
      <c r="BY643" s="273"/>
      <c r="BZ643" s="273"/>
      <c r="CA643" s="273"/>
      <c r="CB643" s="273"/>
      <c r="CC643" s="273"/>
      <c r="CD643" s="273"/>
      <c r="CE643" s="273"/>
      <c r="CF643" s="273"/>
      <c r="CG643" s="273"/>
      <c r="CH643" s="273"/>
      <c r="CI643" s="273"/>
      <c r="CJ643" s="273"/>
      <c r="CK643" s="273"/>
      <c r="CL643" s="273"/>
      <c r="CM643" s="273"/>
      <c r="CN643" s="273"/>
      <c r="CO643" s="273"/>
      <c r="CP643" s="273"/>
      <c r="CQ643" s="273"/>
      <c r="CR643" s="273"/>
      <c r="CS643" s="273"/>
      <c r="CT643" s="273"/>
      <c r="CU643" s="273"/>
      <c r="CV643" s="273"/>
      <c r="CW643" s="273"/>
      <c r="CX643" s="273"/>
      <c r="CY643" s="273"/>
      <c r="CZ643" s="273"/>
      <c r="DA643" s="273"/>
      <c r="DB643" s="273"/>
      <c r="DC643" s="273"/>
      <c r="DD643" s="273"/>
      <c r="DE643" s="273"/>
      <c r="DF643" s="273"/>
      <c r="DG643" s="273"/>
      <c r="DH643" s="273"/>
      <c r="DI643" s="273"/>
      <c r="DJ643" s="273"/>
      <c r="DK643" s="273"/>
      <c r="DL643" s="273"/>
      <c r="DM643" s="273"/>
      <c r="DN643" s="273"/>
      <c r="DO643" s="273"/>
      <c r="DP643" s="273"/>
      <c r="DQ643" s="273"/>
      <c r="DR643" s="273"/>
      <c r="DS643" s="273"/>
      <c r="DT643" s="273"/>
      <c r="DU643" s="273"/>
      <c r="DV643" s="273"/>
      <c r="DW643" s="273"/>
      <c r="DX643" s="273"/>
      <c r="DY643" s="273"/>
      <c r="DZ643" s="273"/>
      <c r="EA643" s="273"/>
      <c r="EB643" s="273"/>
      <c r="EC643" s="273"/>
      <c r="ED643" s="273"/>
      <c r="EE643" s="273"/>
      <c r="EF643" s="273"/>
      <c r="EG643" s="273"/>
      <c r="EH643" s="273"/>
      <c r="EI643" s="273"/>
      <c r="EJ643" s="273"/>
      <c r="EK643" s="273"/>
      <c r="EL643" s="273"/>
      <c r="EM643" s="273"/>
      <c r="EN643" s="273"/>
      <c r="EO643" s="273"/>
      <c r="EP643" s="273"/>
      <c r="EQ643" s="273"/>
      <c r="ER643" s="273"/>
      <c r="ES643" s="273"/>
      <c r="ET643" s="273"/>
      <c r="EU643" s="273"/>
      <c r="EV643" s="273"/>
      <c r="EW643" s="273"/>
      <c r="EX643" s="273"/>
      <c r="EY643" s="273"/>
      <c r="EZ643" s="273"/>
      <c r="FA643" s="273"/>
      <c r="FB643" s="273"/>
      <c r="FC643" s="273"/>
      <c r="FD643" s="273"/>
      <c r="FE643" s="273"/>
      <c r="FF643" s="273"/>
      <c r="FG643" s="273"/>
      <c r="FH643" s="273"/>
      <c r="FI643" s="273"/>
      <c r="FJ643" s="273"/>
      <c r="FK643" s="273"/>
      <c r="FL643" s="273"/>
      <c r="FM643" s="273"/>
      <c r="FN643" s="273"/>
      <c r="FO643" s="273"/>
      <c r="FP643" s="273"/>
      <c r="FQ643" s="273"/>
      <c r="FR643" s="273"/>
      <c r="FS643" s="273"/>
      <c r="FT643" s="273"/>
      <c r="FU643" s="273"/>
      <c r="FV643" s="273"/>
      <c r="FW643" s="273"/>
      <c r="FX643" s="273"/>
      <c r="FY643" s="273"/>
      <c r="FZ643" s="273"/>
      <c r="GA643" s="273"/>
      <c r="GB643" s="273"/>
      <c r="GC643" s="273"/>
      <c r="GD643" s="273"/>
      <c r="GE643" s="273"/>
      <c r="GF643" s="273"/>
      <c r="GG643" s="273"/>
      <c r="GH643" s="273"/>
      <c r="GI643" s="273"/>
      <c r="GJ643" s="273"/>
      <c r="GK643" s="273"/>
      <c r="GL643" s="273"/>
      <c r="GM643" s="273"/>
      <c r="GN643" s="273"/>
      <c r="GO643" s="273"/>
      <c r="GP643" s="273"/>
      <c r="GQ643" s="273"/>
      <c r="GR643" s="273"/>
      <c r="GS643" s="273"/>
      <c r="GT643" s="273"/>
      <c r="GU643" s="273"/>
      <c r="GV643" s="273"/>
      <c r="GW643" s="273"/>
      <c r="GX643" s="273"/>
      <c r="GY643" s="273"/>
      <c r="GZ643" s="273"/>
      <c r="HA643" s="273"/>
      <c r="HB643" s="273"/>
      <c r="HC643" s="273"/>
      <c r="HD643" s="273"/>
      <c r="HE643" s="273"/>
      <c r="HF643" s="273"/>
      <c r="HG643" s="273"/>
      <c r="HH643" s="273"/>
      <c r="HI643" s="273"/>
      <c r="HJ643" s="273"/>
      <c r="HK643" s="273"/>
      <c r="HL643" s="273"/>
      <c r="HM643" s="273"/>
      <c r="HN643" s="273"/>
      <c r="HO643" s="273"/>
      <c r="HP643" s="273"/>
      <c r="HQ643" s="273"/>
      <c r="HR643" s="273"/>
      <c r="HS643" s="273"/>
      <c r="HT643" s="273"/>
      <c r="HU643" s="273"/>
      <c r="HV643" s="273"/>
      <c r="HW643" s="273"/>
      <c r="HX643" s="273"/>
      <c r="HY643" s="273"/>
      <c r="HZ643" s="273"/>
      <c r="IA643" s="273"/>
      <c r="IB643" s="273"/>
      <c r="IC643" s="273"/>
      <c r="ID643" s="273"/>
      <c r="IE643" s="273"/>
      <c r="IF643" s="273"/>
      <c r="IG643" s="273"/>
      <c r="IH643" s="273"/>
      <c r="II643" s="273"/>
      <c r="IJ643" s="273"/>
      <c r="IK643" s="273"/>
      <c r="IL643" s="273"/>
      <c r="IM643" s="273"/>
      <c r="IN643" s="273"/>
      <c r="IO643" s="273"/>
      <c r="IP643" s="273"/>
      <c r="IQ643" s="273"/>
      <c r="IR643" s="273"/>
      <c r="IS643" s="273"/>
      <c r="IT643" s="273"/>
      <c r="IU643" s="273"/>
      <c r="IV643" s="273"/>
      <c r="IW643" s="273"/>
      <c r="IX643" s="273"/>
      <c r="IY643" s="273"/>
      <c r="IZ643" s="273"/>
      <c r="JA643" s="273"/>
      <c r="JB643" s="273"/>
      <c r="JC643" s="273"/>
      <c r="JD643" s="273"/>
      <c r="JE643" s="273"/>
      <c r="JF643" s="273"/>
      <c r="JG643" s="273"/>
      <c r="JH643" s="273"/>
      <c r="JI643" s="273"/>
      <c r="JJ643" s="273"/>
      <c r="JK643" s="273"/>
      <c r="JL643" s="273"/>
      <c r="JM643" s="273"/>
      <c r="JN643" s="273"/>
      <c r="JO643" s="273"/>
      <c r="JP643" s="273"/>
      <c r="JQ643" s="273"/>
      <c r="JR643" s="273"/>
      <c r="JS643" s="273"/>
      <c r="JT643" s="273"/>
      <c r="JU643" s="273"/>
      <c r="JV643" s="273"/>
      <c r="JW643" s="273"/>
      <c r="JX643" s="273"/>
      <c r="JY643" s="273"/>
      <c r="JZ643" s="273"/>
      <c r="KA643" s="273"/>
      <c r="KB643" s="273"/>
      <c r="KC643" s="273"/>
      <c r="KD643" s="273"/>
      <c r="KE643" s="273"/>
      <c r="KF643" s="273"/>
      <c r="KG643" s="273"/>
      <c r="KH643" s="273"/>
      <c r="KI643" s="273"/>
      <c r="KJ643" s="273"/>
      <c r="KK643" s="273"/>
      <c r="KL643" s="273"/>
      <c r="KM643" s="273"/>
      <c r="KN643" s="273"/>
      <c r="KO643" s="273"/>
      <c r="KP643" s="273"/>
      <c r="KQ643" s="273"/>
      <c r="KR643" s="273"/>
      <c r="KS643" s="273"/>
      <c r="KT643" s="273"/>
      <c r="KU643" s="273"/>
      <c r="KV643" s="273"/>
      <c r="KW643" s="273"/>
      <c r="KX643" s="273"/>
      <c r="KY643" s="273"/>
      <c r="KZ643" s="273"/>
      <c r="LA643" s="273"/>
      <c r="LB643" s="273"/>
      <c r="LC643" s="273"/>
      <c r="LD643" s="273"/>
      <c r="LE643" s="273"/>
      <c r="LF643" s="273"/>
      <c r="LG643" s="273"/>
      <c r="LH643" s="273"/>
      <c r="LI643" s="273"/>
      <c r="LJ643" s="273"/>
      <c r="LK643" s="273"/>
      <c r="LL643" s="273"/>
      <c r="LM643" s="273"/>
      <c r="LN643" s="273"/>
      <c r="LO643" s="273"/>
      <c r="LP643" s="273"/>
      <c r="LQ643" s="273"/>
      <c r="LR643" s="273"/>
      <c r="LS643" s="273"/>
      <c r="LT643" s="273"/>
      <c r="LU643" s="273"/>
      <c r="LV643" s="273"/>
      <c r="LW643" s="273"/>
      <c r="LX643" s="273"/>
      <c r="LY643" s="273"/>
      <c r="LZ643" s="273"/>
      <c r="MA643" s="273"/>
      <c r="MB643" s="273"/>
      <c r="MC643" s="273"/>
      <c r="MD643" s="273"/>
      <c r="ME643" s="273"/>
      <c r="MF643" s="273"/>
      <c r="MG643" s="273"/>
      <c r="MH643" s="273"/>
      <c r="MI643" s="273"/>
      <c r="MJ643" s="273"/>
      <c r="MK643" s="273"/>
      <c r="ML643" s="273"/>
      <c r="MM643" s="273"/>
      <c r="MN643" s="273"/>
      <c r="MO643" s="273"/>
      <c r="MP643" s="273"/>
      <c r="MQ643" s="273"/>
      <c r="MR643" s="273"/>
      <c r="MS643" s="273"/>
      <c r="MT643" s="273"/>
      <c r="MU643" s="273"/>
      <c r="MV643" s="273"/>
      <c r="MW643" s="273"/>
      <c r="MX643" s="273"/>
      <c r="MY643" s="273"/>
      <c r="MZ643" s="273"/>
      <c r="NA643" s="273"/>
      <c r="NB643" s="273"/>
      <c r="NC643" s="273"/>
      <c r="ND643" s="273"/>
      <c r="NE643" s="273"/>
      <c r="NF643" s="273"/>
      <c r="NG643" s="273"/>
      <c r="NH643" s="273"/>
      <c r="NI643" s="273"/>
      <c r="NJ643" s="273"/>
      <c r="NK643" s="273"/>
      <c r="NL643" s="273"/>
      <c r="NM643" s="273"/>
      <c r="NN643" s="273"/>
      <c r="NO643" s="273"/>
      <c r="NP643" s="273"/>
      <c r="NQ643" s="273"/>
      <c r="NR643" s="273"/>
      <c r="NS643" s="273"/>
      <c r="NT643" s="273"/>
      <c r="NU643" s="273"/>
      <c r="NV643" s="273"/>
      <c r="NW643" s="273"/>
      <c r="NX643" s="273"/>
      <c r="NY643" s="273"/>
      <c r="NZ643" s="273"/>
      <c r="OA643" s="273"/>
      <c r="OB643" s="273"/>
      <c r="OC643" s="273"/>
      <c r="OD643" s="273"/>
      <c r="OE643" s="273"/>
      <c r="OF643" s="273"/>
      <c r="OG643" s="273"/>
      <c r="OH643" s="273"/>
      <c r="OI643" s="273"/>
      <c r="OJ643" s="273"/>
      <c r="OK643" s="273"/>
      <c r="OL643" s="273"/>
      <c r="OM643" s="273"/>
      <c r="ON643" s="273"/>
      <c r="OO643" s="273"/>
      <c r="OP643" s="273"/>
      <c r="OQ643" s="273"/>
      <c r="OR643" s="273"/>
      <c r="OS643" s="273"/>
      <c r="OT643" s="273"/>
      <c r="OU643" s="273"/>
      <c r="OV643" s="273"/>
      <c r="OW643" s="273"/>
      <c r="OX643" s="273"/>
      <c r="OY643" s="273"/>
      <c r="OZ643" s="273"/>
      <c r="PA643" s="273"/>
      <c r="PB643" s="273"/>
      <c r="PC643" s="273"/>
      <c r="PD643" s="273"/>
      <c r="PE643" s="273"/>
      <c r="PF643" s="273"/>
      <c r="PG643" s="273"/>
      <c r="PH643" s="273"/>
      <c r="PI643" s="273"/>
      <c r="PJ643" s="273"/>
      <c r="PK643" s="273"/>
      <c r="PL643" s="273"/>
      <c r="PM643" s="273"/>
      <c r="PN643" s="273"/>
      <c r="PO643" s="273"/>
      <c r="PP643" s="273"/>
      <c r="PQ643" s="273"/>
      <c r="PR643" s="273"/>
      <c r="PS643" s="273"/>
      <c r="PT643" s="273"/>
      <c r="PU643" s="273"/>
      <c r="PV643" s="273"/>
      <c r="PW643" s="273"/>
      <c r="PX643" s="273"/>
      <c r="PY643" s="273"/>
      <c r="PZ643" s="273"/>
      <c r="QA643" s="273"/>
      <c r="QB643" s="273"/>
      <c r="QC643" s="273"/>
      <c r="QD643" s="273"/>
      <c r="QE643" s="273"/>
      <c r="QF643" s="273"/>
      <c r="QG643" s="273"/>
      <c r="QH643" s="273"/>
      <c r="QI643" s="273"/>
      <c r="QJ643" s="273"/>
      <c r="QK643" s="273"/>
      <c r="QL643" s="273"/>
      <c r="QM643" s="273"/>
      <c r="QN643" s="273"/>
      <c r="QO643" s="273"/>
      <c r="QP643" s="273"/>
      <c r="QQ643" s="273"/>
      <c r="QR643" s="273"/>
      <c r="QS643" s="273"/>
      <c r="QT643" s="273"/>
      <c r="QU643" s="273"/>
      <c r="QV643" s="273"/>
      <c r="QW643" s="273"/>
      <c r="QX643" s="273"/>
      <c r="QY643" s="273"/>
      <c r="QZ643" s="273"/>
      <c r="RA643" s="273"/>
      <c r="RB643" s="273"/>
      <c r="RC643" s="273"/>
      <c r="RD643" s="273"/>
      <c r="RE643" s="273"/>
      <c r="RF643" s="273"/>
      <c r="RG643" s="273"/>
      <c r="RH643" s="273"/>
      <c r="RI643" s="273"/>
      <c r="RJ643" s="273"/>
      <c r="RK643" s="273"/>
      <c r="RL643" s="273"/>
      <c r="RM643" s="273"/>
      <c r="RN643" s="273"/>
      <c r="RO643" s="273"/>
      <c r="RP643" s="273"/>
      <c r="RQ643" s="273"/>
    </row>
    <row r="644" spans="1:485" s="450" customFormat="1" ht="14.25" customHeight="1" x14ac:dyDescent="0.25">
      <c r="A644" s="680"/>
      <c r="B644" s="284" t="s">
        <v>1085</v>
      </c>
      <c r="C644" s="1720" t="s">
        <v>17</v>
      </c>
      <c r="D644" s="598" t="s">
        <v>955</v>
      </c>
      <c r="E644" s="468">
        <v>1</v>
      </c>
      <c r="F644" s="468">
        <v>1456.12</v>
      </c>
      <c r="G644" s="467">
        <v>1</v>
      </c>
      <c r="H644" s="451">
        <f t="shared" si="277"/>
        <v>1456.12</v>
      </c>
      <c r="I644" s="675">
        <v>1</v>
      </c>
      <c r="J644" s="451">
        <v>1</v>
      </c>
      <c r="K644" s="451">
        <v>1500</v>
      </c>
      <c r="L644" s="451">
        <v>1</v>
      </c>
      <c r="M644" s="1834">
        <f t="shared" si="278"/>
        <v>1500</v>
      </c>
      <c r="N644" s="675">
        <v>1</v>
      </c>
      <c r="O644" s="696">
        <f t="shared" si="275"/>
        <v>2956.12</v>
      </c>
      <c r="P644" s="675">
        <v>1</v>
      </c>
      <c r="Q644" s="451">
        <f t="shared" si="279"/>
        <v>2956.12</v>
      </c>
      <c r="R644" s="522" t="s">
        <v>1086</v>
      </c>
      <c r="S644" s="452">
        <f>COOPI!S99</f>
        <v>2716.1166938035899</v>
      </c>
      <c r="T644" s="1071">
        <f t="shared" si="273"/>
        <v>0.91881137903860133</v>
      </c>
      <c r="U644" s="894" t="s">
        <v>1031</v>
      </c>
      <c r="V644" s="591">
        <f t="shared" si="276"/>
        <v>0.91881137903860133</v>
      </c>
      <c r="W644" s="706">
        <f t="shared" si="274"/>
        <v>2716.1166938035899</v>
      </c>
      <c r="X644" s="452" t="s">
        <v>1031</v>
      </c>
      <c r="Y644" s="273"/>
      <c r="Z644" s="273"/>
      <c r="AA644" s="273"/>
      <c r="AB644" s="273"/>
      <c r="AC644" s="273"/>
      <c r="AD644" s="273"/>
      <c r="AE644" s="273"/>
      <c r="AF644" s="273"/>
      <c r="AG644" s="273"/>
      <c r="AH644" s="273"/>
      <c r="AI644" s="273"/>
      <c r="AJ644" s="273"/>
      <c r="AK644" s="273"/>
      <c r="AL644" s="273"/>
      <c r="AM644" s="273"/>
      <c r="AN644" s="273"/>
      <c r="AO644" s="273"/>
      <c r="AP644" s="273"/>
      <c r="AQ644" s="273"/>
      <c r="AR644" s="273"/>
      <c r="AS644" s="273"/>
      <c r="AT644" s="273"/>
      <c r="AU644" s="273"/>
      <c r="AV644" s="273"/>
      <c r="AW644" s="273"/>
      <c r="AX644" s="273"/>
      <c r="AY644" s="273"/>
      <c r="AZ644" s="273"/>
      <c r="BA644" s="273"/>
      <c r="BB644" s="273"/>
      <c r="BC644" s="273"/>
      <c r="BD644" s="273"/>
      <c r="BE644" s="273"/>
      <c r="BF644" s="273"/>
      <c r="BG644" s="273"/>
      <c r="BH644" s="273"/>
      <c r="BI644" s="273"/>
      <c r="BJ644" s="273"/>
      <c r="BK644" s="273"/>
      <c r="BL644" s="273"/>
      <c r="BM644" s="273"/>
      <c r="BN644" s="273"/>
      <c r="BO644" s="273"/>
      <c r="BP644" s="273"/>
      <c r="BQ644" s="273"/>
      <c r="BR644" s="273"/>
      <c r="BS644" s="273"/>
      <c r="BT644" s="273"/>
      <c r="BU644" s="273"/>
      <c r="BV644" s="273"/>
      <c r="BW644" s="273"/>
      <c r="BX644" s="273"/>
      <c r="BY644" s="273"/>
      <c r="BZ644" s="273"/>
      <c r="CA644" s="273"/>
      <c r="CB644" s="273"/>
      <c r="CC644" s="273"/>
      <c r="CD644" s="273"/>
      <c r="CE644" s="273"/>
      <c r="CF644" s="273"/>
      <c r="CG644" s="273"/>
      <c r="CH644" s="273"/>
      <c r="CI644" s="273"/>
      <c r="CJ644" s="273"/>
      <c r="CK644" s="273"/>
      <c r="CL644" s="273"/>
      <c r="CM644" s="273"/>
      <c r="CN644" s="273"/>
      <c r="CO644" s="273"/>
      <c r="CP644" s="273"/>
      <c r="CQ644" s="273"/>
      <c r="CR644" s="273"/>
      <c r="CS644" s="273"/>
      <c r="CT644" s="273"/>
      <c r="CU644" s="273"/>
      <c r="CV644" s="273"/>
      <c r="CW644" s="273"/>
      <c r="CX644" s="273"/>
      <c r="CY644" s="273"/>
      <c r="CZ644" s="273"/>
      <c r="DA644" s="273"/>
      <c r="DB644" s="273"/>
      <c r="DC644" s="273"/>
      <c r="DD644" s="273"/>
      <c r="DE644" s="273"/>
      <c r="DF644" s="273"/>
      <c r="DG644" s="273"/>
      <c r="DH644" s="273"/>
      <c r="DI644" s="273"/>
      <c r="DJ644" s="273"/>
      <c r="DK644" s="273"/>
      <c r="DL644" s="273"/>
      <c r="DM644" s="273"/>
      <c r="DN644" s="273"/>
      <c r="DO644" s="273"/>
      <c r="DP644" s="273"/>
      <c r="DQ644" s="273"/>
      <c r="DR644" s="273"/>
      <c r="DS644" s="273"/>
      <c r="DT644" s="273"/>
      <c r="DU644" s="273"/>
      <c r="DV644" s="273"/>
      <c r="DW644" s="273"/>
      <c r="DX644" s="273"/>
      <c r="DY644" s="273"/>
      <c r="DZ644" s="273"/>
      <c r="EA644" s="273"/>
      <c r="EB644" s="273"/>
      <c r="EC644" s="273"/>
      <c r="ED644" s="273"/>
      <c r="EE644" s="273"/>
      <c r="EF644" s="273"/>
      <c r="EG644" s="273"/>
      <c r="EH644" s="273"/>
      <c r="EI644" s="273"/>
      <c r="EJ644" s="273"/>
      <c r="EK644" s="273"/>
      <c r="EL644" s="273"/>
      <c r="EM644" s="273"/>
      <c r="EN644" s="273"/>
      <c r="EO644" s="273"/>
      <c r="EP644" s="273"/>
      <c r="EQ644" s="273"/>
      <c r="ER644" s="273"/>
      <c r="ES644" s="273"/>
      <c r="ET644" s="273"/>
      <c r="EU644" s="273"/>
      <c r="EV644" s="273"/>
      <c r="EW644" s="273"/>
      <c r="EX644" s="273"/>
      <c r="EY644" s="273"/>
      <c r="EZ644" s="273"/>
      <c r="FA644" s="273"/>
      <c r="FB644" s="273"/>
      <c r="FC644" s="273"/>
      <c r="FD644" s="273"/>
      <c r="FE644" s="273"/>
      <c r="FF644" s="273"/>
      <c r="FG644" s="273"/>
      <c r="FH644" s="273"/>
      <c r="FI644" s="273"/>
      <c r="FJ644" s="273"/>
      <c r="FK644" s="273"/>
      <c r="FL644" s="273"/>
      <c r="FM644" s="273"/>
      <c r="FN644" s="273"/>
      <c r="FO644" s="273"/>
      <c r="FP644" s="273"/>
      <c r="FQ644" s="273"/>
      <c r="FR644" s="273"/>
      <c r="FS644" s="273"/>
      <c r="FT644" s="273"/>
      <c r="FU644" s="273"/>
      <c r="FV644" s="273"/>
      <c r="FW644" s="273"/>
      <c r="FX644" s="273"/>
      <c r="FY644" s="273"/>
      <c r="FZ644" s="273"/>
      <c r="GA644" s="273"/>
      <c r="GB644" s="273"/>
      <c r="GC644" s="273"/>
      <c r="GD644" s="273"/>
      <c r="GE644" s="273"/>
      <c r="GF644" s="273"/>
      <c r="GG644" s="273"/>
      <c r="GH644" s="273"/>
      <c r="GI644" s="273"/>
      <c r="GJ644" s="273"/>
      <c r="GK644" s="273"/>
      <c r="GL644" s="273"/>
      <c r="GM644" s="273"/>
      <c r="GN644" s="273"/>
      <c r="GO644" s="273"/>
      <c r="GP644" s="273"/>
      <c r="GQ644" s="273"/>
      <c r="GR644" s="273"/>
      <c r="GS644" s="273"/>
      <c r="GT644" s="273"/>
      <c r="GU644" s="273"/>
      <c r="GV644" s="273"/>
      <c r="GW644" s="273"/>
      <c r="GX644" s="273"/>
      <c r="GY644" s="273"/>
      <c r="GZ644" s="273"/>
      <c r="HA644" s="273"/>
      <c r="HB644" s="273"/>
      <c r="HC644" s="273"/>
      <c r="HD644" s="273"/>
      <c r="HE644" s="273"/>
      <c r="HF644" s="273"/>
      <c r="HG644" s="273"/>
      <c r="HH644" s="273"/>
      <c r="HI644" s="273"/>
      <c r="HJ644" s="273"/>
      <c r="HK644" s="273"/>
      <c r="HL644" s="273"/>
      <c r="HM644" s="273"/>
      <c r="HN644" s="273"/>
      <c r="HO644" s="273"/>
      <c r="HP644" s="273"/>
      <c r="HQ644" s="273"/>
      <c r="HR644" s="273"/>
      <c r="HS644" s="273"/>
      <c r="HT644" s="273"/>
      <c r="HU644" s="273"/>
      <c r="HV644" s="273"/>
      <c r="HW644" s="273"/>
      <c r="HX644" s="273"/>
      <c r="HY644" s="273"/>
      <c r="HZ644" s="273"/>
      <c r="IA644" s="273"/>
      <c r="IB644" s="273"/>
      <c r="IC644" s="273"/>
      <c r="ID644" s="273"/>
      <c r="IE644" s="273"/>
      <c r="IF644" s="273"/>
      <c r="IG644" s="273"/>
      <c r="IH644" s="273"/>
      <c r="II644" s="273"/>
      <c r="IJ644" s="273"/>
      <c r="IK644" s="273"/>
      <c r="IL644" s="273"/>
      <c r="IM644" s="273"/>
      <c r="IN644" s="273"/>
      <c r="IO644" s="273"/>
      <c r="IP644" s="273"/>
      <c r="IQ644" s="273"/>
      <c r="IR644" s="273"/>
      <c r="IS644" s="273"/>
      <c r="IT644" s="273"/>
      <c r="IU644" s="273"/>
      <c r="IV644" s="273"/>
      <c r="IW644" s="273"/>
      <c r="IX644" s="273"/>
      <c r="IY644" s="273"/>
      <c r="IZ644" s="273"/>
      <c r="JA644" s="273"/>
      <c r="JB644" s="273"/>
      <c r="JC644" s="273"/>
      <c r="JD644" s="273"/>
      <c r="JE644" s="273"/>
      <c r="JF644" s="273"/>
      <c r="JG644" s="273"/>
      <c r="JH644" s="273"/>
      <c r="JI644" s="273"/>
      <c r="JJ644" s="273"/>
      <c r="JK644" s="273"/>
      <c r="JL644" s="273"/>
      <c r="JM644" s="273"/>
      <c r="JN644" s="273"/>
      <c r="JO644" s="273"/>
      <c r="JP644" s="273"/>
      <c r="JQ644" s="273"/>
      <c r="JR644" s="273"/>
      <c r="JS644" s="273"/>
      <c r="JT644" s="273"/>
      <c r="JU644" s="273"/>
      <c r="JV644" s="273"/>
      <c r="JW644" s="273"/>
      <c r="JX644" s="273"/>
      <c r="JY644" s="273"/>
      <c r="JZ644" s="273"/>
      <c r="KA644" s="273"/>
      <c r="KB644" s="273"/>
      <c r="KC644" s="273"/>
      <c r="KD644" s="273"/>
      <c r="KE644" s="273"/>
      <c r="KF644" s="273"/>
      <c r="KG644" s="273"/>
      <c r="KH644" s="273"/>
      <c r="KI644" s="273"/>
      <c r="KJ644" s="273"/>
      <c r="KK644" s="273"/>
      <c r="KL644" s="273"/>
      <c r="KM644" s="273"/>
      <c r="KN644" s="273"/>
      <c r="KO644" s="273"/>
      <c r="KP644" s="273"/>
      <c r="KQ644" s="273"/>
      <c r="KR644" s="273"/>
      <c r="KS644" s="273"/>
      <c r="KT644" s="273"/>
      <c r="KU644" s="273"/>
      <c r="KV644" s="273"/>
      <c r="KW644" s="273"/>
      <c r="KX644" s="273"/>
      <c r="KY644" s="273"/>
      <c r="KZ644" s="273"/>
      <c r="LA644" s="273"/>
      <c r="LB644" s="273"/>
      <c r="LC644" s="273"/>
      <c r="LD644" s="273"/>
      <c r="LE644" s="273"/>
      <c r="LF644" s="273"/>
      <c r="LG644" s="273"/>
      <c r="LH644" s="273"/>
      <c r="LI644" s="273"/>
      <c r="LJ644" s="273"/>
      <c r="LK644" s="273"/>
      <c r="LL644" s="273"/>
      <c r="LM644" s="273"/>
      <c r="LN644" s="273"/>
      <c r="LO644" s="273"/>
      <c r="LP644" s="273"/>
      <c r="LQ644" s="273"/>
      <c r="LR644" s="273"/>
      <c r="LS644" s="273"/>
      <c r="LT644" s="273"/>
      <c r="LU644" s="273"/>
      <c r="LV644" s="273"/>
      <c r="LW644" s="273"/>
      <c r="LX644" s="273"/>
      <c r="LY644" s="273"/>
      <c r="LZ644" s="273"/>
      <c r="MA644" s="273"/>
      <c r="MB644" s="273"/>
      <c r="MC644" s="273"/>
      <c r="MD644" s="273"/>
      <c r="ME644" s="273"/>
      <c r="MF644" s="273"/>
      <c r="MG644" s="273"/>
      <c r="MH644" s="273"/>
      <c r="MI644" s="273"/>
      <c r="MJ644" s="273"/>
      <c r="MK644" s="273"/>
      <c r="ML644" s="273"/>
      <c r="MM644" s="273"/>
      <c r="MN644" s="273"/>
      <c r="MO644" s="273"/>
      <c r="MP644" s="273"/>
      <c r="MQ644" s="273"/>
      <c r="MR644" s="273"/>
      <c r="MS644" s="273"/>
      <c r="MT644" s="273"/>
      <c r="MU644" s="273"/>
      <c r="MV644" s="273"/>
      <c r="MW644" s="273"/>
      <c r="MX644" s="273"/>
      <c r="MY644" s="273"/>
      <c r="MZ644" s="273"/>
      <c r="NA644" s="273"/>
      <c r="NB644" s="273"/>
      <c r="NC644" s="273"/>
      <c r="ND644" s="273"/>
      <c r="NE644" s="273"/>
      <c r="NF644" s="273"/>
      <c r="NG644" s="273"/>
      <c r="NH644" s="273"/>
      <c r="NI644" s="273"/>
      <c r="NJ644" s="273"/>
      <c r="NK644" s="273"/>
      <c r="NL644" s="273"/>
      <c r="NM644" s="273"/>
      <c r="NN644" s="273"/>
      <c r="NO644" s="273"/>
      <c r="NP644" s="273"/>
      <c r="NQ644" s="273"/>
      <c r="NR644" s="273"/>
      <c r="NS644" s="273"/>
      <c r="NT644" s="273"/>
      <c r="NU644" s="273"/>
      <c r="NV644" s="273"/>
      <c r="NW644" s="273"/>
      <c r="NX644" s="273"/>
      <c r="NY644" s="273"/>
      <c r="NZ644" s="273"/>
      <c r="OA644" s="273"/>
      <c r="OB644" s="273"/>
      <c r="OC644" s="273"/>
      <c r="OD644" s="273"/>
      <c r="OE644" s="273"/>
      <c r="OF644" s="273"/>
      <c r="OG644" s="273"/>
      <c r="OH644" s="273"/>
      <c r="OI644" s="273"/>
      <c r="OJ644" s="273"/>
      <c r="OK644" s="273"/>
      <c r="OL644" s="273"/>
      <c r="OM644" s="273"/>
      <c r="ON644" s="273"/>
      <c r="OO644" s="273"/>
      <c r="OP644" s="273"/>
      <c r="OQ644" s="273"/>
      <c r="OR644" s="273"/>
      <c r="OS644" s="273"/>
      <c r="OT644" s="273"/>
      <c r="OU644" s="273"/>
      <c r="OV644" s="273"/>
      <c r="OW644" s="273"/>
      <c r="OX644" s="273"/>
      <c r="OY644" s="273"/>
      <c r="OZ644" s="273"/>
      <c r="PA644" s="273"/>
      <c r="PB644" s="273"/>
      <c r="PC644" s="273"/>
      <c r="PD644" s="273"/>
      <c r="PE644" s="273"/>
      <c r="PF644" s="273"/>
      <c r="PG644" s="273"/>
      <c r="PH644" s="273"/>
      <c r="PI644" s="273"/>
      <c r="PJ644" s="273"/>
      <c r="PK644" s="273"/>
      <c r="PL644" s="273"/>
      <c r="PM644" s="273"/>
      <c r="PN644" s="273"/>
      <c r="PO644" s="273"/>
      <c r="PP644" s="273"/>
      <c r="PQ644" s="273"/>
      <c r="PR644" s="273"/>
      <c r="PS644" s="273"/>
      <c r="PT644" s="273"/>
      <c r="PU644" s="273"/>
      <c r="PV644" s="273"/>
      <c r="PW644" s="273"/>
      <c r="PX644" s="273"/>
      <c r="PY644" s="273"/>
      <c r="PZ644" s="273"/>
      <c r="QA644" s="273"/>
      <c r="QB644" s="273"/>
      <c r="QC644" s="273"/>
      <c r="QD644" s="273"/>
      <c r="QE644" s="273"/>
      <c r="QF644" s="273"/>
      <c r="QG644" s="273"/>
      <c r="QH644" s="273"/>
      <c r="QI644" s="273"/>
      <c r="QJ644" s="273"/>
      <c r="QK644" s="273"/>
      <c r="QL644" s="273"/>
      <c r="QM644" s="273"/>
      <c r="QN644" s="273"/>
      <c r="QO644" s="273"/>
      <c r="QP644" s="273"/>
      <c r="QQ644" s="273"/>
      <c r="QR644" s="273"/>
      <c r="QS644" s="273"/>
      <c r="QT644" s="273"/>
      <c r="QU644" s="273"/>
      <c r="QV644" s="273"/>
      <c r="QW644" s="273"/>
      <c r="QX644" s="273"/>
      <c r="QY644" s="273"/>
      <c r="QZ644" s="273"/>
      <c r="RA644" s="273"/>
      <c r="RB644" s="273"/>
      <c r="RC644" s="273"/>
      <c r="RD644" s="273"/>
      <c r="RE644" s="273"/>
      <c r="RF644" s="273"/>
      <c r="RG644" s="273"/>
      <c r="RH644" s="273"/>
      <c r="RI644" s="273"/>
      <c r="RJ644" s="273"/>
      <c r="RK644" s="273"/>
      <c r="RL644" s="273"/>
      <c r="RM644" s="273"/>
      <c r="RN644" s="273"/>
      <c r="RO644" s="273"/>
      <c r="RP644" s="273"/>
      <c r="RQ644" s="273"/>
    </row>
    <row r="645" spans="1:485" s="450" customFormat="1" ht="14.25" customHeight="1" x14ac:dyDescent="0.25">
      <c r="A645" s="680"/>
      <c r="B645" s="284" t="s">
        <v>1087</v>
      </c>
      <c r="C645" s="1720" t="s">
        <v>17</v>
      </c>
      <c r="D645" s="598" t="s">
        <v>955</v>
      </c>
      <c r="E645" s="468">
        <v>1</v>
      </c>
      <c r="F645" s="468">
        <v>1338.5</v>
      </c>
      <c r="G645" s="467">
        <v>1</v>
      </c>
      <c r="H645" s="451">
        <f t="shared" si="277"/>
        <v>1338.5</v>
      </c>
      <c r="I645" s="675">
        <v>1</v>
      </c>
      <c r="J645" s="451">
        <v>2</v>
      </c>
      <c r="K645" s="451">
        <v>500</v>
      </c>
      <c r="L645" s="451">
        <v>2</v>
      </c>
      <c r="M645" s="1834">
        <f t="shared" si="278"/>
        <v>2000</v>
      </c>
      <c r="N645" s="675">
        <v>1</v>
      </c>
      <c r="O645" s="696">
        <f t="shared" si="275"/>
        <v>3338.5</v>
      </c>
      <c r="P645" s="675">
        <v>1</v>
      </c>
      <c r="Q645" s="451">
        <f t="shared" si="279"/>
        <v>3338.5</v>
      </c>
      <c r="R645" s="522" t="s">
        <v>1088</v>
      </c>
      <c r="S645" s="452">
        <f>COOPI!S100</f>
        <v>1497.5</v>
      </c>
      <c r="T645" s="1071">
        <f t="shared" si="273"/>
        <v>0.4485547401527632</v>
      </c>
      <c r="U645" s="894" t="s">
        <v>1031</v>
      </c>
      <c r="V645" s="591">
        <f t="shared" si="276"/>
        <v>0.4485547401527632</v>
      </c>
      <c r="W645" s="706">
        <f t="shared" si="274"/>
        <v>1497.5</v>
      </c>
      <c r="X645" s="452" t="s">
        <v>1031</v>
      </c>
      <c r="Y645" s="273"/>
      <c r="Z645" s="273"/>
      <c r="AA645" s="273"/>
      <c r="AB645" s="273"/>
      <c r="AC645" s="273"/>
      <c r="AD645" s="273"/>
      <c r="AE645" s="273"/>
      <c r="AF645" s="273"/>
      <c r="AG645" s="273"/>
      <c r="AH645" s="273"/>
      <c r="AI645" s="273"/>
      <c r="AJ645" s="273"/>
      <c r="AK645" s="273"/>
      <c r="AL645" s="273"/>
      <c r="AM645" s="273"/>
      <c r="AN645" s="273"/>
      <c r="AO645" s="273"/>
      <c r="AP645" s="273"/>
      <c r="AQ645" s="273"/>
      <c r="AR645" s="273"/>
      <c r="AS645" s="273"/>
      <c r="AT645" s="273"/>
      <c r="AU645" s="273"/>
      <c r="AV645" s="273"/>
      <c r="AW645" s="273"/>
      <c r="AX645" s="273"/>
      <c r="AY645" s="273"/>
      <c r="AZ645" s="273"/>
      <c r="BA645" s="273"/>
      <c r="BB645" s="273"/>
      <c r="BC645" s="273"/>
      <c r="BD645" s="273"/>
      <c r="BE645" s="273"/>
      <c r="BF645" s="273"/>
      <c r="BG645" s="273"/>
      <c r="BH645" s="273"/>
      <c r="BI645" s="273"/>
      <c r="BJ645" s="273"/>
      <c r="BK645" s="273"/>
      <c r="BL645" s="273"/>
      <c r="BM645" s="273"/>
      <c r="BN645" s="273"/>
      <c r="BO645" s="273"/>
      <c r="BP645" s="273"/>
      <c r="BQ645" s="273"/>
      <c r="BR645" s="273"/>
      <c r="BS645" s="273"/>
      <c r="BT645" s="273"/>
      <c r="BU645" s="273"/>
      <c r="BV645" s="273"/>
      <c r="BW645" s="273"/>
      <c r="BX645" s="273"/>
      <c r="BY645" s="273"/>
      <c r="BZ645" s="273"/>
      <c r="CA645" s="273"/>
      <c r="CB645" s="273"/>
      <c r="CC645" s="273"/>
      <c r="CD645" s="273"/>
      <c r="CE645" s="273"/>
      <c r="CF645" s="273"/>
      <c r="CG645" s="273"/>
      <c r="CH645" s="273"/>
      <c r="CI645" s="273"/>
      <c r="CJ645" s="273"/>
      <c r="CK645" s="273"/>
      <c r="CL645" s="273"/>
      <c r="CM645" s="273"/>
      <c r="CN645" s="273"/>
      <c r="CO645" s="273"/>
      <c r="CP645" s="273"/>
      <c r="CQ645" s="273"/>
      <c r="CR645" s="273"/>
      <c r="CS645" s="273"/>
      <c r="CT645" s="273"/>
      <c r="CU645" s="273"/>
      <c r="CV645" s="273"/>
      <c r="CW645" s="273"/>
      <c r="CX645" s="273"/>
      <c r="CY645" s="273"/>
      <c r="CZ645" s="273"/>
      <c r="DA645" s="273"/>
      <c r="DB645" s="273"/>
      <c r="DC645" s="273"/>
      <c r="DD645" s="273"/>
      <c r="DE645" s="273"/>
      <c r="DF645" s="273"/>
      <c r="DG645" s="273"/>
      <c r="DH645" s="273"/>
      <c r="DI645" s="273"/>
      <c r="DJ645" s="273"/>
      <c r="DK645" s="273"/>
      <c r="DL645" s="273"/>
      <c r="DM645" s="273"/>
      <c r="DN645" s="273"/>
      <c r="DO645" s="273"/>
      <c r="DP645" s="273"/>
      <c r="DQ645" s="273"/>
      <c r="DR645" s="273"/>
      <c r="DS645" s="273"/>
      <c r="DT645" s="273"/>
      <c r="DU645" s="273"/>
      <c r="DV645" s="273"/>
      <c r="DW645" s="273"/>
      <c r="DX645" s="273"/>
      <c r="DY645" s="273"/>
      <c r="DZ645" s="273"/>
      <c r="EA645" s="273"/>
      <c r="EB645" s="273"/>
      <c r="EC645" s="273"/>
      <c r="ED645" s="273"/>
      <c r="EE645" s="273"/>
      <c r="EF645" s="273"/>
      <c r="EG645" s="273"/>
      <c r="EH645" s="273"/>
      <c r="EI645" s="273"/>
      <c r="EJ645" s="273"/>
      <c r="EK645" s="273"/>
      <c r="EL645" s="273"/>
      <c r="EM645" s="273"/>
      <c r="EN645" s="273"/>
      <c r="EO645" s="273"/>
      <c r="EP645" s="273"/>
      <c r="EQ645" s="273"/>
      <c r="ER645" s="273"/>
      <c r="ES645" s="273"/>
      <c r="ET645" s="273"/>
      <c r="EU645" s="273"/>
      <c r="EV645" s="273"/>
      <c r="EW645" s="273"/>
      <c r="EX645" s="273"/>
      <c r="EY645" s="273"/>
      <c r="EZ645" s="273"/>
      <c r="FA645" s="273"/>
      <c r="FB645" s="273"/>
      <c r="FC645" s="273"/>
      <c r="FD645" s="273"/>
      <c r="FE645" s="273"/>
      <c r="FF645" s="273"/>
      <c r="FG645" s="273"/>
      <c r="FH645" s="273"/>
      <c r="FI645" s="273"/>
      <c r="FJ645" s="273"/>
      <c r="FK645" s="273"/>
      <c r="FL645" s="273"/>
      <c r="FM645" s="273"/>
      <c r="FN645" s="273"/>
      <c r="FO645" s="273"/>
      <c r="FP645" s="273"/>
      <c r="FQ645" s="273"/>
      <c r="FR645" s="273"/>
      <c r="FS645" s="273"/>
      <c r="FT645" s="273"/>
      <c r="FU645" s="273"/>
      <c r="FV645" s="273"/>
      <c r="FW645" s="273"/>
      <c r="FX645" s="273"/>
      <c r="FY645" s="273"/>
      <c r="FZ645" s="273"/>
      <c r="GA645" s="273"/>
      <c r="GB645" s="273"/>
      <c r="GC645" s="273"/>
      <c r="GD645" s="273"/>
      <c r="GE645" s="273"/>
      <c r="GF645" s="273"/>
      <c r="GG645" s="273"/>
      <c r="GH645" s="273"/>
      <c r="GI645" s="273"/>
      <c r="GJ645" s="273"/>
      <c r="GK645" s="273"/>
      <c r="GL645" s="273"/>
      <c r="GM645" s="273"/>
      <c r="GN645" s="273"/>
      <c r="GO645" s="273"/>
      <c r="GP645" s="273"/>
      <c r="GQ645" s="273"/>
      <c r="GR645" s="273"/>
      <c r="GS645" s="273"/>
      <c r="GT645" s="273"/>
      <c r="GU645" s="273"/>
      <c r="GV645" s="273"/>
      <c r="GW645" s="273"/>
      <c r="GX645" s="273"/>
      <c r="GY645" s="273"/>
      <c r="GZ645" s="273"/>
      <c r="HA645" s="273"/>
      <c r="HB645" s="273"/>
      <c r="HC645" s="273"/>
      <c r="HD645" s="273"/>
      <c r="HE645" s="273"/>
      <c r="HF645" s="273"/>
      <c r="HG645" s="273"/>
      <c r="HH645" s="273"/>
      <c r="HI645" s="273"/>
      <c r="HJ645" s="273"/>
      <c r="HK645" s="273"/>
      <c r="HL645" s="273"/>
      <c r="HM645" s="273"/>
      <c r="HN645" s="273"/>
      <c r="HO645" s="273"/>
      <c r="HP645" s="273"/>
      <c r="HQ645" s="273"/>
      <c r="HR645" s="273"/>
      <c r="HS645" s="273"/>
      <c r="HT645" s="273"/>
      <c r="HU645" s="273"/>
      <c r="HV645" s="273"/>
      <c r="HW645" s="273"/>
      <c r="HX645" s="273"/>
      <c r="HY645" s="273"/>
      <c r="HZ645" s="273"/>
      <c r="IA645" s="273"/>
      <c r="IB645" s="273"/>
      <c r="IC645" s="273"/>
      <c r="ID645" s="273"/>
      <c r="IE645" s="273"/>
      <c r="IF645" s="273"/>
      <c r="IG645" s="273"/>
      <c r="IH645" s="273"/>
      <c r="II645" s="273"/>
      <c r="IJ645" s="273"/>
      <c r="IK645" s="273"/>
      <c r="IL645" s="273"/>
      <c r="IM645" s="273"/>
      <c r="IN645" s="273"/>
      <c r="IO645" s="273"/>
      <c r="IP645" s="273"/>
      <c r="IQ645" s="273"/>
      <c r="IR645" s="273"/>
      <c r="IS645" s="273"/>
      <c r="IT645" s="273"/>
      <c r="IU645" s="273"/>
      <c r="IV645" s="273"/>
      <c r="IW645" s="273"/>
      <c r="IX645" s="273"/>
      <c r="IY645" s="273"/>
      <c r="IZ645" s="273"/>
      <c r="JA645" s="273"/>
      <c r="JB645" s="273"/>
      <c r="JC645" s="273"/>
      <c r="JD645" s="273"/>
      <c r="JE645" s="273"/>
      <c r="JF645" s="273"/>
      <c r="JG645" s="273"/>
      <c r="JH645" s="273"/>
      <c r="JI645" s="273"/>
      <c r="JJ645" s="273"/>
      <c r="JK645" s="273"/>
      <c r="JL645" s="273"/>
      <c r="JM645" s="273"/>
      <c r="JN645" s="273"/>
      <c r="JO645" s="273"/>
      <c r="JP645" s="273"/>
      <c r="JQ645" s="273"/>
      <c r="JR645" s="273"/>
      <c r="JS645" s="273"/>
      <c r="JT645" s="273"/>
      <c r="JU645" s="273"/>
      <c r="JV645" s="273"/>
      <c r="JW645" s="273"/>
      <c r="JX645" s="273"/>
      <c r="JY645" s="273"/>
      <c r="JZ645" s="273"/>
      <c r="KA645" s="273"/>
      <c r="KB645" s="273"/>
      <c r="KC645" s="273"/>
      <c r="KD645" s="273"/>
      <c r="KE645" s="273"/>
      <c r="KF645" s="273"/>
      <c r="KG645" s="273"/>
      <c r="KH645" s="273"/>
      <c r="KI645" s="273"/>
      <c r="KJ645" s="273"/>
      <c r="KK645" s="273"/>
      <c r="KL645" s="273"/>
      <c r="KM645" s="273"/>
      <c r="KN645" s="273"/>
      <c r="KO645" s="273"/>
      <c r="KP645" s="273"/>
      <c r="KQ645" s="273"/>
      <c r="KR645" s="273"/>
      <c r="KS645" s="273"/>
      <c r="KT645" s="273"/>
      <c r="KU645" s="273"/>
      <c r="KV645" s="273"/>
      <c r="KW645" s="273"/>
      <c r="KX645" s="273"/>
      <c r="KY645" s="273"/>
      <c r="KZ645" s="273"/>
      <c r="LA645" s="273"/>
      <c r="LB645" s="273"/>
      <c r="LC645" s="273"/>
      <c r="LD645" s="273"/>
      <c r="LE645" s="273"/>
      <c r="LF645" s="273"/>
      <c r="LG645" s="273"/>
      <c r="LH645" s="273"/>
      <c r="LI645" s="273"/>
      <c r="LJ645" s="273"/>
      <c r="LK645" s="273"/>
      <c r="LL645" s="273"/>
      <c r="LM645" s="273"/>
      <c r="LN645" s="273"/>
      <c r="LO645" s="273"/>
      <c r="LP645" s="273"/>
      <c r="LQ645" s="273"/>
      <c r="LR645" s="273"/>
      <c r="LS645" s="273"/>
      <c r="LT645" s="273"/>
      <c r="LU645" s="273"/>
      <c r="LV645" s="273"/>
      <c r="LW645" s="273"/>
      <c r="LX645" s="273"/>
      <c r="LY645" s="273"/>
      <c r="LZ645" s="273"/>
      <c r="MA645" s="273"/>
      <c r="MB645" s="273"/>
      <c r="MC645" s="273"/>
      <c r="MD645" s="273"/>
      <c r="ME645" s="273"/>
      <c r="MF645" s="273"/>
      <c r="MG645" s="273"/>
      <c r="MH645" s="273"/>
      <c r="MI645" s="273"/>
      <c r="MJ645" s="273"/>
      <c r="MK645" s="273"/>
      <c r="ML645" s="273"/>
      <c r="MM645" s="273"/>
      <c r="MN645" s="273"/>
      <c r="MO645" s="273"/>
      <c r="MP645" s="273"/>
      <c r="MQ645" s="273"/>
      <c r="MR645" s="273"/>
      <c r="MS645" s="273"/>
      <c r="MT645" s="273"/>
      <c r="MU645" s="273"/>
      <c r="MV645" s="273"/>
      <c r="MW645" s="273"/>
      <c r="MX645" s="273"/>
      <c r="MY645" s="273"/>
      <c r="MZ645" s="273"/>
      <c r="NA645" s="273"/>
      <c r="NB645" s="273"/>
      <c r="NC645" s="273"/>
      <c r="ND645" s="273"/>
      <c r="NE645" s="273"/>
      <c r="NF645" s="273"/>
      <c r="NG645" s="273"/>
      <c r="NH645" s="273"/>
      <c r="NI645" s="273"/>
      <c r="NJ645" s="273"/>
      <c r="NK645" s="273"/>
      <c r="NL645" s="273"/>
      <c r="NM645" s="273"/>
      <c r="NN645" s="273"/>
      <c r="NO645" s="273"/>
      <c r="NP645" s="273"/>
      <c r="NQ645" s="273"/>
      <c r="NR645" s="273"/>
      <c r="NS645" s="273"/>
      <c r="NT645" s="273"/>
      <c r="NU645" s="273"/>
      <c r="NV645" s="273"/>
      <c r="NW645" s="273"/>
      <c r="NX645" s="273"/>
      <c r="NY645" s="273"/>
      <c r="NZ645" s="273"/>
      <c r="OA645" s="273"/>
      <c r="OB645" s="273"/>
      <c r="OC645" s="273"/>
      <c r="OD645" s="273"/>
      <c r="OE645" s="273"/>
      <c r="OF645" s="273"/>
      <c r="OG645" s="273"/>
      <c r="OH645" s="273"/>
      <c r="OI645" s="273"/>
      <c r="OJ645" s="273"/>
      <c r="OK645" s="273"/>
      <c r="OL645" s="273"/>
      <c r="OM645" s="273"/>
      <c r="ON645" s="273"/>
      <c r="OO645" s="273"/>
      <c r="OP645" s="273"/>
      <c r="OQ645" s="273"/>
      <c r="OR645" s="273"/>
      <c r="OS645" s="273"/>
      <c r="OT645" s="273"/>
      <c r="OU645" s="273"/>
      <c r="OV645" s="273"/>
      <c r="OW645" s="273"/>
      <c r="OX645" s="273"/>
      <c r="OY645" s="273"/>
      <c r="OZ645" s="273"/>
      <c r="PA645" s="273"/>
      <c r="PB645" s="273"/>
      <c r="PC645" s="273"/>
      <c r="PD645" s="273"/>
      <c r="PE645" s="273"/>
      <c r="PF645" s="273"/>
      <c r="PG645" s="273"/>
      <c r="PH645" s="273"/>
      <c r="PI645" s="273"/>
      <c r="PJ645" s="273"/>
      <c r="PK645" s="273"/>
      <c r="PL645" s="273"/>
      <c r="PM645" s="273"/>
      <c r="PN645" s="273"/>
      <c r="PO645" s="273"/>
      <c r="PP645" s="273"/>
      <c r="PQ645" s="273"/>
      <c r="PR645" s="273"/>
      <c r="PS645" s="273"/>
      <c r="PT645" s="273"/>
      <c r="PU645" s="273"/>
      <c r="PV645" s="273"/>
      <c r="PW645" s="273"/>
      <c r="PX645" s="273"/>
      <c r="PY645" s="273"/>
      <c r="PZ645" s="273"/>
      <c r="QA645" s="273"/>
      <c r="QB645" s="273"/>
      <c r="QC645" s="273"/>
      <c r="QD645" s="273"/>
      <c r="QE645" s="273"/>
      <c r="QF645" s="273"/>
      <c r="QG645" s="273"/>
      <c r="QH645" s="273"/>
      <c r="QI645" s="273"/>
      <c r="QJ645" s="273"/>
      <c r="QK645" s="273"/>
      <c r="QL645" s="273"/>
      <c r="QM645" s="273"/>
      <c r="QN645" s="273"/>
      <c r="QO645" s="273"/>
      <c r="QP645" s="273"/>
      <c r="QQ645" s="273"/>
      <c r="QR645" s="273"/>
      <c r="QS645" s="273"/>
      <c r="QT645" s="273"/>
      <c r="QU645" s="273"/>
      <c r="QV645" s="273"/>
      <c r="QW645" s="273"/>
      <c r="QX645" s="273"/>
      <c r="QY645" s="273"/>
      <c r="QZ645" s="273"/>
      <c r="RA645" s="273"/>
      <c r="RB645" s="273"/>
      <c r="RC645" s="273"/>
      <c r="RD645" s="273"/>
      <c r="RE645" s="273"/>
      <c r="RF645" s="273"/>
      <c r="RG645" s="273"/>
      <c r="RH645" s="273"/>
      <c r="RI645" s="273"/>
      <c r="RJ645" s="273"/>
      <c r="RK645" s="273"/>
      <c r="RL645" s="273"/>
      <c r="RM645" s="273"/>
      <c r="RN645" s="273"/>
      <c r="RO645" s="273"/>
      <c r="RP645" s="273"/>
      <c r="RQ645" s="273"/>
    </row>
    <row r="646" spans="1:485" s="450" customFormat="1" ht="14.25" customHeight="1" x14ac:dyDescent="0.25">
      <c r="A646" s="680"/>
      <c r="B646" s="284" t="s">
        <v>1089</v>
      </c>
      <c r="C646" s="1720" t="s">
        <v>17</v>
      </c>
      <c r="D646" s="598" t="s">
        <v>955</v>
      </c>
      <c r="E646" s="468">
        <v>2</v>
      </c>
      <c r="F646" s="468">
        <v>350</v>
      </c>
      <c r="G646" s="467">
        <v>5.1235999999999997</v>
      </c>
      <c r="H646" s="451">
        <f t="shared" si="277"/>
        <v>3586.52</v>
      </c>
      <c r="I646" s="675">
        <v>1</v>
      </c>
      <c r="J646" s="451">
        <v>4</v>
      </c>
      <c r="K646" s="451">
        <v>900</v>
      </c>
      <c r="L646" s="451">
        <v>1</v>
      </c>
      <c r="M646" s="1834">
        <f t="shared" si="278"/>
        <v>3600</v>
      </c>
      <c r="N646" s="675">
        <v>1</v>
      </c>
      <c r="O646" s="696">
        <f t="shared" si="275"/>
        <v>7186.52</v>
      </c>
      <c r="P646" s="675">
        <v>1</v>
      </c>
      <c r="Q646" s="451">
        <f t="shared" si="279"/>
        <v>7186.52</v>
      </c>
      <c r="R646" s="522" t="s">
        <v>1090</v>
      </c>
      <c r="S646" s="452">
        <f>COOPI!S101</f>
        <v>5808.9</v>
      </c>
      <c r="T646" s="1071">
        <f t="shared" si="273"/>
        <v>0.80830499323733873</v>
      </c>
      <c r="U646" s="894" t="s">
        <v>1031</v>
      </c>
      <c r="V646" s="591">
        <f t="shared" si="276"/>
        <v>0.80830499323733873</v>
      </c>
      <c r="W646" s="706">
        <f t="shared" si="274"/>
        <v>5808.9</v>
      </c>
      <c r="X646" s="452" t="s">
        <v>1031</v>
      </c>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3"/>
      <c r="AY646" s="273"/>
      <c r="AZ646" s="273"/>
      <c r="BA646" s="273"/>
      <c r="BB646" s="273"/>
      <c r="BC646" s="273"/>
      <c r="BD646" s="273"/>
      <c r="BE646" s="273"/>
      <c r="BF646" s="273"/>
      <c r="BG646" s="273"/>
      <c r="BH646" s="273"/>
      <c r="BI646" s="273"/>
      <c r="BJ646" s="273"/>
      <c r="BK646" s="273"/>
      <c r="BL646" s="273"/>
      <c r="BM646" s="273"/>
      <c r="BN646" s="273"/>
      <c r="BO646" s="273"/>
      <c r="BP646" s="273"/>
      <c r="BQ646" s="273"/>
      <c r="BR646" s="273"/>
      <c r="BS646" s="273"/>
      <c r="BT646" s="273"/>
      <c r="BU646" s="273"/>
      <c r="BV646" s="273"/>
      <c r="BW646" s="273"/>
      <c r="BX646" s="273"/>
      <c r="BY646" s="273"/>
      <c r="BZ646" s="273"/>
      <c r="CA646" s="273"/>
      <c r="CB646" s="273"/>
      <c r="CC646" s="273"/>
      <c r="CD646" s="273"/>
      <c r="CE646" s="273"/>
      <c r="CF646" s="273"/>
      <c r="CG646" s="273"/>
      <c r="CH646" s="273"/>
      <c r="CI646" s="273"/>
      <c r="CJ646" s="273"/>
      <c r="CK646" s="273"/>
      <c r="CL646" s="273"/>
      <c r="CM646" s="273"/>
      <c r="CN646" s="273"/>
      <c r="CO646" s="273"/>
      <c r="CP646" s="273"/>
      <c r="CQ646" s="273"/>
      <c r="CR646" s="273"/>
      <c r="CS646" s="273"/>
      <c r="CT646" s="273"/>
      <c r="CU646" s="273"/>
      <c r="CV646" s="273"/>
      <c r="CW646" s="273"/>
      <c r="CX646" s="273"/>
      <c r="CY646" s="273"/>
      <c r="CZ646" s="273"/>
      <c r="DA646" s="273"/>
      <c r="DB646" s="273"/>
      <c r="DC646" s="273"/>
      <c r="DD646" s="273"/>
      <c r="DE646" s="273"/>
      <c r="DF646" s="273"/>
      <c r="DG646" s="273"/>
      <c r="DH646" s="273"/>
      <c r="DI646" s="273"/>
      <c r="DJ646" s="273"/>
      <c r="DK646" s="273"/>
      <c r="DL646" s="273"/>
      <c r="DM646" s="273"/>
      <c r="DN646" s="273"/>
      <c r="DO646" s="273"/>
      <c r="DP646" s="273"/>
      <c r="DQ646" s="273"/>
      <c r="DR646" s="273"/>
      <c r="DS646" s="273"/>
      <c r="DT646" s="273"/>
      <c r="DU646" s="273"/>
      <c r="DV646" s="273"/>
      <c r="DW646" s="273"/>
      <c r="DX646" s="273"/>
      <c r="DY646" s="273"/>
      <c r="DZ646" s="273"/>
      <c r="EA646" s="273"/>
      <c r="EB646" s="273"/>
      <c r="EC646" s="273"/>
      <c r="ED646" s="273"/>
      <c r="EE646" s="273"/>
      <c r="EF646" s="273"/>
      <c r="EG646" s="273"/>
      <c r="EH646" s="273"/>
      <c r="EI646" s="273"/>
      <c r="EJ646" s="273"/>
      <c r="EK646" s="273"/>
      <c r="EL646" s="273"/>
      <c r="EM646" s="273"/>
      <c r="EN646" s="273"/>
      <c r="EO646" s="273"/>
      <c r="EP646" s="273"/>
      <c r="EQ646" s="273"/>
      <c r="ER646" s="273"/>
      <c r="ES646" s="273"/>
      <c r="ET646" s="273"/>
      <c r="EU646" s="273"/>
      <c r="EV646" s="273"/>
      <c r="EW646" s="273"/>
      <c r="EX646" s="273"/>
      <c r="EY646" s="273"/>
      <c r="EZ646" s="273"/>
      <c r="FA646" s="273"/>
      <c r="FB646" s="273"/>
      <c r="FC646" s="273"/>
      <c r="FD646" s="273"/>
      <c r="FE646" s="273"/>
      <c r="FF646" s="273"/>
      <c r="FG646" s="273"/>
      <c r="FH646" s="273"/>
      <c r="FI646" s="273"/>
      <c r="FJ646" s="273"/>
      <c r="FK646" s="273"/>
      <c r="FL646" s="273"/>
      <c r="FM646" s="273"/>
      <c r="FN646" s="273"/>
      <c r="FO646" s="273"/>
      <c r="FP646" s="273"/>
      <c r="FQ646" s="273"/>
      <c r="FR646" s="273"/>
      <c r="FS646" s="273"/>
      <c r="FT646" s="273"/>
      <c r="FU646" s="273"/>
      <c r="FV646" s="273"/>
      <c r="FW646" s="273"/>
      <c r="FX646" s="273"/>
      <c r="FY646" s="273"/>
      <c r="FZ646" s="273"/>
      <c r="GA646" s="273"/>
      <c r="GB646" s="273"/>
      <c r="GC646" s="273"/>
      <c r="GD646" s="273"/>
      <c r="GE646" s="273"/>
      <c r="GF646" s="273"/>
      <c r="GG646" s="273"/>
      <c r="GH646" s="273"/>
      <c r="GI646" s="273"/>
      <c r="GJ646" s="273"/>
      <c r="GK646" s="273"/>
      <c r="GL646" s="273"/>
      <c r="GM646" s="273"/>
      <c r="GN646" s="273"/>
      <c r="GO646" s="273"/>
      <c r="GP646" s="273"/>
      <c r="GQ646" s="273"/>
      <c r="GR646" s="273"/>
      <c r="GS646" s="273"/>
      <c r="GT646" s="273"/>
      <c r="GU646" s="273"/>
      <c r="GV646" s="273"/>
      <c r="GW646" s="273"/>
      <c r="GX646" s="273"/>
      <c r="GY646" s="273"/>
      <c r="GZ646" s="273"/>
      <c r="HA646" s="273"/>
      <c r="HB646" s="273"/>
      <c r="HC646" s="273"/>
      <c r="HD646" s="273"/>
      <c r="HE646" s="273"/>
      <c r="HF646" s="273"/>
      <c r="HG646" s="273"/>
      <c r="HH646" s="273"/>
      <c r="HI646" s="273"/>
      <c r="HJ646" s="273"/>
      <c r="HK646" s="273"/>
      <c r="HL646" s="273"/>
      <c r="HM646" s="273"/>
      <c r="HN646" s="273"/>
      <c r="HO646" s="273"/>
      <c r="HP646" s="273"/>
      <c r="HQ646" s="273"/>
      <c r="HR646" s="273"/>
      <c r="HS646" s="273"/>
      <c r="HT646" s="273"/>
      <c r="HU646" s="273"/>
      <c r="HV646" s="273"/>
      <c r="HW646" s="273"/>
      <c r="HX646" s="273"/>
      <c r="HY646" s="273"/>
      <c r="HZ646" s="273"/>
      <c r="IA646" s="273"/>
      <c r="IB646" s="273"/>
      <c r="IC646" s="273"/>
      <c r="ID646" s="273"/>
      <c r="IE646" s="273"/>
      <c r="IF646" s="273"/>
      <c r="IG646" s="273"/>
      <c r="IH646" s="273"/>
      <c r="II646" s="273"/>
      <c r="IJ646" s="273"/>
      <c r="IK646" s="273"/>
      <c r="IL646" s="273"/>
      <c r="IM646" s="273"/>
      <c r="IN646" s="273"/>
      <c r="IO646" s="273"/>
      <c r="IP646" s="273"/>
      <c r="IQ646" s="273"/>
      <c r="IR646" s="273"/>
      <c r="IS646" s="273"/>
      <c r="IT646" s="273"/>
      <c r="IU646" s="273"/>
      <c r="IV646" s="273"/>
      <c r="IW646" s="273"/>
      <c r="IX646" s="273"/>
      <c r="IY646" s="273"/>
      <c r="IZ646" s="273"/>
      <c r="JA646" s="273"/>
      <c r="JB646" s="273"/>
      <c r="JC646" s="273"/>
      <c r="JD646" s="273"/>
      <c r="JE646" s="273"/>
      <c r="JF646" s="273"/>
      <c r="JG646" s="273"/>
      <c r="JH646" s="273"/>
      <c r="JI646" s="273"/>
      <c r="JJ646" s="273"/>
      <c r="JK646" s="273"/>
      <c r="JL646" s="273"/>
      <c r="JM646" s="273"/>
      <c r="JN646" s="273"/>
      <c r="JO646" s="273"/>
      <c r="JP646" s="273"/>
      <c r="JQ646" s="273"/>
      <c r="JR646" s="273"/>
      <c r="JS646" s="273"/>
      <c r="JT646" s="273"/>
      <c r="JU646" s="273"/>
      <c r="JV646" s="273"/>
      <c r="JW646" s="273"/>
      <c r="JX646" s="273"/>
      <c r="JY646" s="273"/>
      <c r="JZ646" s="273"/>
      <c r="KA646" s="273"/>
      <c r="KB646" s="273"/>
      <c r="KC646" s="273"/>
      <c r="KD646" s="273"/>
      <c r="KE646" s="273"/>
      <c r="KF646" s="273"/>
      <c r="KG646" s="273"/>
      <c r="KH646" s="273"/>
      <c r="KI646" s="273"/>
      <c r="KJ646" s="273"/>
      <c r="KK646" s="273"/>
      <c r="KL646" s="273"/>
      <c r="KM646" s="273"/>
      <c r="KN646" s="273"/>
      <c r="KO646" s="273"/>
      <c r="KP646" s="273"/>
      <c r="KQ646" s="273"/>
      <c r="KR646" s="273"/>
      <c r="KS646" s="273"/>
      <c r="KT646" s="273"/>
      <c r="KU646" s="273"/>
      <c r="KV646" s="273"/>
      <c r="KW646" s="273"/>
      <c r="KX646" s="273"/>
      <c r="KY646" s="273"/>
      <c r="KZ646" s="273"/>
      <c r="LA646" s="273"/>
      <c r="LB646" s="273"/>
      <c r="LC646" s="273"/>
      <c r="LD646" s="273"/>
      <c r="LE646" s="273"/>
      <c r="LF646" s="273"/>
      <c r="LG646" s="273"/>
      <c r="LH646" s="273"/>
      <c r="LI646" s="273"/>
      <c r="LJ646" s="273"/>
      <c r="LK646" s="273"/>
      <c r="LL646" s="273"/>
      <c r="LM646" s="273"/>
      <c r="LN646" s="273"/>
      <c r="LO646" s="273"/>
      <c r="LP646" s="273"/>
      <c r="LQ646" s="273"/>
      <c r="LR646" s="273"/>
      <c r="LS646" s="273"/>
      <c r="LT646" s="273"/>
      <c r="LU646" s="273"/>
      <c r="LV646" s="273"/>
      <c r="LW646" s="273"/>
      <c r="LX646" s="273"/>
      <c r="LY646" s="273"/>
      <c r="LZ646" s="273"/>
      <c r="MA646" s="273"/>
      <c r="MB646" s="273"/>
      <c r="MC646" s="273"/>
      <c r="MD646" s="273"/>
      <c r="ME646" s="273"/>
      <c r="MF646" s="273"/>
      <c r="MG646" s="273"/>
      <c r="MH646" s="273"/>
      <c r="MI646" s="273"/>
      <c r="MJ646" s="273"/>
      <c r="MK646" s="273"/>
      <c r="ML646" s="273"/>
      <c r="MM646" s="273"/>
      <c r="MN646" s="273"/>
      <c r="MO646" s="273"/>
      <c r="MP646" s="273"/>
      <c r="MQ646" s="273"/>
      <c r="MR646" s="273"/>
      <c r="MS646" s="273"/>
      <c r="MT646" s="273"/>
      <c r="MU646" s="273"/>
      <c r="MV646" s="273"/>
      <c r="MW646" s="273"/>
      <c r="MX646" s="273"/>
      <c r="MY646" s="273"/>
      <c r="MZ646" s="273"/>
      <c r="NA646" s="273"/>
      <c r="NB646" s="273"/>
      <c r="NC646" s="273"/>
      <c r="ND646" s="273"/>
      <c r="NE646" s="273"/>
      <c r="NF646" s="273"/>
      <c r="NG646" s="273"/>
      <c r="NH646" s="273"/>
      <c r="NI646" s="273"/>
      <c r="NJ646" s="273"/>
      <c r="NK646" s="273"/>
      <c r="NL646" s="273"/>
      <c r="NM646" s="273"/>
      <c r="NN646" s="273"/>
      <c r="NO646" s="273"/>
      <c r="NP646" s="273"/>
      <c r="NQ646" s="273"/>
      <c r="NR646" s="273"/>
      <c r="NS646" s="273"/>
      <c r="NT646" s="273"/>
      <c r="NU646" s="273"/>
      <c r="NV646" s="273"/>
      <c r="NW646" s="273"/>
      <c r="NX646" s="273"/>
      <c r="NY646" s="273"/>
      <c r="NZ646" s="273"/>
      <c r="OA646" s="273"/>
      <c r="OB646" s="273"/>
      <c r="OC646" s="273"/>
      <c r="OD646" s="273"/>
      <c r="OE646" s="273"/>
      <c r="OF646" s="273"/>
      <c r="OG646" s="273"/>
      <c r="OH646" s="273"/>
      <c r="OI646" s="273"/>
      <c r="OJ646" s="273"/>
      <c r="OK646" s="273"/>
      <c r="OL646" s="273"/>
      <c r="OM646" s="273"/>
      <c r="ON646" s="273"/>
      <c r="OO646" s="273"/>
      <c r="OP646" s="273"/>
      <c r="OQ646" s="273"/>
      <c r="OR646" s="273"/>
      <c r="OS646" s="273"/>
      <c r="OT646" s="273"/>
      <c r="OU646" s="273"/>
      <c r="OV646" s="273"/>
      <c r="OW646" s="273"/>
      <c r="OX646" s="273"/>
      <c r="OY646" s="273"/>
      <c r="OZ646" s="273"/>
      <c r="PA646" s="273"/>
      <c r="PB646" s="273"/>
      <c r="PC646" s="273"/>
      <c r="PD646" s="273"/>
      <c r="PE646" s="273"/>
      <c r="PF646" s="273"/>
      <c r="PG646" s="273"/>
      <c r="PH646" s="273"/>
      <c r="PI646" s="273"/>
      <c r="PJ646" s="273"/>
      <c r="PK646" s="273"/>
      <c r="PL646" s="273"/>
      <c r="PM646" s="273"/>
      <c r="PN646" s="273"/>
      <c r="PO646" s="273"/>
      <c r="PP646" s="273"/>
      <c r="PQ646" s="273"/>
      <c r="PR646" s="273"/>
      <c r="PS646" s="273"/>
      <c r="PT646" s="273"/>
      <c r="PU646" s="273"/>
      <c r="PV646" s="273"/>
      <c r="PW646" s="273"/>
      <c r="PX646" s="273"/>
      <c r="PY646" s="273"/>
      <c r="PZ646" s="273"/>
      <c r="QA646" s="273"/>
      <c r="QB646" s="273"/>
      <c r="QC646" s="273"/>
      <c r="QD646" s="273"/>
      <c r="QE646" s="273"/>
      <c r="QF646" s="273"/>
      <c r="QG646" s="273"/>
      <c r="QH646" s="273"/>
      <c r="QI646" s="273"/>
      <c r="QJ646" s="273"/>
      <c r="QK646" s="273"/>
      <c r="QL646" s="273"/>
      <c r="QM646" s="273"/>
      <c r="QN646" s="273"/>
      <c r="QO646" s="273"/>
      <c r="QP646" s="273"/>
      <c r="QQ646" s="273"/>
      <c r="QR646" s="273"/>
      <c r="QS646" s="273"/>
      <c r="QT646" s="273"/>
      <c r="QU646" s="273"/>
      <c r="QV646" s="273"/>
      <c r="QW646" s="273"/>
      <c r="QX646" s="273"/>
      <c r="QY646" s="273"/>
      <c r="QZ646" s="273"/>
      <c r="RA646" s="273"/>
      <c r="RB646" s="273"/>
      <c r="RC646" s="273"/>
      <c r="RD646" s="273"/>
      <c r="RE646" s="273"/>
      <c r="RF646" s="273"/>
      <c r="RG646" s="273"/>
      <c r="RH646" s="273"/>
      <c r="RI646" s="273"/>
      <c r="RJ646" s="273"/>
      <c r="RK646" s="273"/>
      <c r="RL646" s="273"/>
      <c r="RM646" s="273"/>
      <c r="RN646" s="273"/>
      <c r="RO646" s="273"/>
      <c r="RP646" s="273"/>
      <c r="RQ646" s="273"/>
    </row>
    <row r="647" spans="1:485" s="450" customFormat="1" ht="14.25" customHeight="1" x14ac:dyDescent="0.25">
      <c r="A647" s="680"/>
      <c r="B647" s="284" t="s">
        <v>1091</v>
      </c>
      <c r="C647" s="1720" t="s">
        <v>17</v>
      </c>
      <c r="D647" s="598" t="s">
        <v>955</v>
      </c>
      <c r="E647" s="468">
        <v>2</v>
      </c>
      <c r="F647" s="468">
        <v>458.16500000000002</v>
      </c>
      <c r="G647" s="467">
        <v>1</v>
      </c>
      <c r="H647" s="451">
        <f t="shared" si="277"/>
        <v>916.33</v>
      </c>
      <c r="I647" s="675">
        <v>1</v>
      </c>
      <c r="J647" s="451">
        <v>2</v>
      </c>
      <c r="K647" s="451">
        <v>1300</v>
      </c>
      <c r="L647" s="451">
        <v>1</v>
      </c>
      <c r="M647" s="1834">
        <f t="shared" si="278"/>
        <v>2600</v>
      </c>
      <c r="N647" s="675">
        <v>1</v>
      </c>
      <c r="O647" s="696">
        <f t="shared" si="275"/>
        <v>3516.33</v>
      </c>
      <c r="P647" s="675">
        <v>1</v>
      </c>
      <c r="Q647" s="451">
        <f t="shared" si="279"/>
        <v>3516.33</v>
      </c>
      <c r="R647" s="522" t="s">
        <v>1092</v>
      </c>
      <c r="S647" s="452">
        <f>COOPI!S102</f>
        <v>2016.3332</v>
      </c>
      <c r="T647" s="1071">
        <f t="shared" si="273"/>
        <v>0.5734197871075809</v>
      </c>
      <c r="U647" s="894" t="s">
        <v>1031</v>
      </c>
      <c r="V647" s="591">
        <f t="shared" si="276"/>
        <v>0.5734197871075809</v>
      </c>
      <c r="W647" s="706">
        <f t="shared" si="274"/>
        <v>2016.3332</v>
      </c>
      <c r="X647" s="452" t="s">
        <v>1031</v>
      </c>
      <c r="Y647" s="273"/>
      <c r="Z647" s="273"/>
      <c r="AA647" s="273"/>
      <c r="AB647" s="273"/>
      <c r="AC647" s="273"/>
      <c r="AD647" s="273"/>
      <c r="AE647" s="273"/>
      <c r="AF647" s="273"/>
      <c r="AG647" s="273"/>
      <c r="AH647" s="273"/>
      <c r="AI647" s="273"/>
      <c r="AJ647" s="273"/>
      <c r="AK647" s="273"/>
      <c r="AL647" s="273"/>
      <c r="AM647" s="273"/>
      <c r="AN647" s="273"/>
      <c r="AO647" s="273"/>
      <c r="AP647" s="273"/>
      <c r="AQ647" s="273"/>
      <c r="AR647" s="273"/>
      <c r="AS647" s="273"/>
      <c r="AT647" s="273"/>
      <c r="AU647" s="273"/>
      <c r="AV647" s="273"/>
      <c r="AW647" s="273"/>
      <c r="AX647" s="273"/>
      <c r="AY647" s="273"/>
      <c r="AZ647" s="273"/>
      <c r="BA647" s="273"/>
      <c r="BB647" s="273"/>
      <c r="BC647" s="273"/>
      <c r="BD647" s="273"/>
      <c r="BE647" s="273"/>
      <c r="BF647" s="273"/>
      <c r="BG647" s="273"/>
      <c r="BH647" s="273"/>
      <c r="BI647" s="273"/>
      <c r="BJ647" s="273"/>
      <c r="BK647" s="273"/>
      <c r="BL647" s="273"/>
      <c r="BM647" s="273"/>
      <c r="BN647" s="273"/>
      <c r="BO647" s="273"/>
      <c r="BP647" s="273"/>
      <c r="BQ647" s="273"/>
      <c r="BR647" s="273"/>
      <c r="BS647" s="273"/>
      <c r="BT647" s="273"/>
      <c r="BU647" s="273"/>
      <c r="BV647" s="273"/>
      <c r="BW647" s="273"/>
      <c r="BX647" s="273"/>
      <c r="BY647" s="273"/>
      <c r="BZ647" s="273"/>
      <c r="CA647" s="273"/>
      <c r="CB647" s="273"/>
      <c r="CC647" s="273"/>
      <c r="CD647" s="273"/>
      <c r="CE647" s="273"/>
      <c r="CF647" s="273"/>
      <c r="CG647" s="273"/>
      <c r="CH647" s="273"/>
      <c r="CI647" s="273"/>
      <c r="CJ647" s="273"/>
      <c r="CK647" s="273"/>
      <c r="CL647" s="273"/>
      <c r="CM647" s="273"/>
      <c r="CN647" s="273"/>
      <c r="CO647" s="273"/>
      <c r="CP647" s="273"/>
      <c r="CQ647" s="273"/>
      <c r="CR647" s="273"/>
      <c r="CS647" s="273"/>
      <c r="CT647" s="273"/>
      <c r="CU647" s="273"/>
      <c r="CV647" s="273"/>
      <c r="CW647" s="273"/>
      <c r="CX647" s="273"/>
      <c r="CY647" s="273"/>
      <c r="CZ647" s="273"/>
      <c r="DA647" s="273"/>
      <c r="DB647" s="273"/>
      <c r="DC647" s="273"/>
      <c r="DD647" s="273"/>
      <c r="DE647" s="273"/>
      <c r="DF647" s="273"/>
      <c r="DG647" s="273"/>
      <c r="DH647" s="273"/>
      <c r="DI647" s="273"/>
      <c r="DJ647" s="273"/>
      <c r="DK647" s="273"/>
      <c r="DL647" s="273"/>
      <c r="DM647" s="273"/>
      <c r="DN647" s="273"/>
      <c r="DO647" s="273"/>
      <c r="DP647" s="273"/>
      <c r="DQ647" s="273"/>
      <c r="DR647" s="273"/>
      <c r="DS647" s="273"/>
      <c r="DT647" s="273"/>
      <c r="DU647" s="273"/>
      <c r="DV647" s="273"/>
      <c r="DW647" s="273"/>
      <c r="DX647" s="273"/>
      <c r="DY647" s="273"/>
      <c r="DZ647" s="273"/>
      <c r="EA647" s="273"/>
      <c r="EB647" s="273"/>
      <c r="EC647" s="273"/>
      <c r="ED647" s="273"/>
      <c r="EE647" s="273"/>
      <c r="EF647" s="273"/>
      <c r="EG647" s="273"/>
      <c r="EH647" s="273"/>
      <c r="EI647" s="273"/>
      <c r="EJ647" s="273"/>
      <c r="EK647" s="273"/>
      <c r="EL647" s="273"/>
      <c r="EM647" s="273"/>
      <c r="EN647" s="273"/>
      <c r="EO647" s="273"/>
      <c r="EP647" s="273"/>
      <c r="EQ647" s="273"/>
      <c r="ER647" s="273"/>
      <c r="ES647" s="273"/>
      <c r="ET647" s="273"/>
      <c r="EU647" s="273"/>
      <c r="EV647" s="273"/>
      <c r="EW647" s="273"/>
      <c r="EX647" s="273"/>
      <c r="EY647" s="273"/>
      <c r="EZ647" s="273"/>
      <c r="FA647" s="273"/>
      <c r="FB647" s="273"/>
      <c r="FC647" s="273"/>
      <c r="FD647" s="273"/>
      <c r="FE647" s="273"/>
      <c r="FF647" s="273"/>
      <c r="FG647" s="273"/>
      <c r="FH647" s="273"/>
      <c r="FI647" s="273"/>
      <c r="FJ647" s="273"/>
      <c r="FK647" s="273"/>
      <c r="FL647" s="273"/>
      <c r="FM647" s="273"/>
      <c r="FN647" s="273"/>
      <c r="FO647" s="273"/>
      <c r="FP647" s="273"/>
      <c r="FQ647" s="273"/>
      <c r="FR647" s="273"/>
      <c r="FS647" s="273"/>
      <c r="FT647" s="273"/>
      <c r="FU647" s="273"/>
      <c r="FV647" s="273"/>
      <c r="FW647" s="273"/>
      <c r="FX647" s="273"/>
      <c r="FY647" s="273"/>
      <c r="FZ647" s="273"/>
      <c r="GA647" s="273"/>
      <c r="GB647" s="273"/>
      <c r="GC647" s="273"/>
      <c r="GD647" s="273"/>
      <c r="GE647" s="273"/>
      <c r="GF647" s="273"/>
      <c r="GG647" s="273"/>
      <c r="GH647" s="273"/>
      <c r="GI647" s="273"/>
      <c r="GJ647" s="273"/>
      <c r="GK647" s="273"/>
      <c r="GL647" s="273"/>
      <c r="GM647" s="273"/>
      <c r="GN647" s="273"/>
      <c r="GO647" s="273"/>
      <c r="GP647" s="273"/>
      <c r="GQ647" s="273"/>
      <c r="GR647" s="273"/>
      <c r="GS647" s="273"/>
      <c r="GT647" s="273"/>
      <c r="GU647" s="273"/>
      <c r="GV647" s="273"/>
      <c r="GW647" s="273"/>
      <c r="GX647" s="273"/>
      <c r="GY647" s="273"/>
      <c r="GZ647" s="273"/>
      <c r="HA647" s="273"/>
      <c r="HB647" s="273"/>
      <c r="HC647" s="273"/>
      <c r="HD647" s="273"/>
      <c r="HE647" s="273"/>
      <c r="HF647" s="273"/>
      <c r="HG647" s="273"/>
      <c r="HH647" s="273"/>
      <c r="HI647" s="273"/>
      <c r="HJ647" s="273"/>
      <c r="HK647" s="273"/>
      <c r="HL647" s="273"/>
      <c r="HM647" s="273"/>
      <c r="HN647" s="273"/>
      <c r="HO647" s="273"/>
      <c r="HP647" s="273"/>
      <c r="HQ647" s="273"/>
      <c r="HR647" s="273"/>
      <c r="HS647" s="273"/>
      <c r="HT647" s="273"/>
      <c r="HU647" s="273"/>
      <c r="HV647" s="273"/>
      <c r="HW647" s="273"/>
      <c r="HX647" s="273"/>
      <c r="HY647" s="273"/>
      <c r="HZ647" s="273"/>
      <c r="IA647" s="273"/>
      <c r="IB647" s="273"/>
      <c r="IC647" s="273"/>
      <c r="ID647" s="273"/>
      <c r="IE647" s="273"/>
      <c r="IF647" s="273"/>
      <c r="IG647" s="273"/>
      <c r="IH647" s="273"/>
      <c r="II647" s="273"/>
      <c r="IJ647" s="273"/>
      <c r="IK647" s="273"/>
      <c r="IL647" s="273"/>
      <c r="IM647" s="273"/>
      <c r="IN647" s="273"/>
      <c r="IO647" s="273"/>
      <c r="IP647" s="273"/>
      <c r="IQ647" s="273"/>
      <c r="IR647" s="273"/>
      <c r="IS647" s="273"/>
      <c r="IT647" s="273"/>
      <c r="IU647" s="273"/>
      <c r="IV647" s="273"/>
      <c r="IW647" s="273"/>
      <c r="IX647" s="273"/>
      <c r="IY647" s="273"/>
      <c r="IZ647" s="273"/>
      <c r="JA647" s="273"/>
      <c r="JB647" s="273"/>
      <c r="JC647" s="273"/>
      <c r="JD647" s="273"/>
      <c r="JE647" s="273"/>
      <c r="JF647" s="273"/>
      <c r="JG647" s="273"/>
      <c r="JH647" s="273"/>
      <c r="JI647" s="273"/>
      <c r="JJ647" s="273"/>
      <c r="JK647" s="273"/>
      <c r="JL647" s="273"/>
      <c r="JM647" s="273"/>
      <c r="JN647" s="273"/>
      <c r="JO647" s="273"/>
      <c r="JP647" s="273"/>
      <c r="JQ647" s="273"/>
      <c r="JR647" s="273"/>
      <c r="JS647" s="273"/>
      <c r="JT647" s="273"/>
      <c r="JU647" s="273"/>
      <c r="JV647" s="273"/>
      <c r="JW647" s="273"/>
      <c r="JX647" s="273"/>
      <c r="JY647" s="273"/>
      <c r="JZ647" s="273"/>
      <c r="KA647" s="273"/>
      <c r="KB647" s="273"/>
      <c r="KC647" s="273"/>
      <c r="KD647" s="273"/>
      <c r="KE647" s="273"/>
      <c r="KF647" s="273"/>
      <c r="KG647" s="273"/>
      <c r="KH647" s="273"/>
      <c r="KI647" s="273"/>
      <c r="KJ647" s="273"/>
      <c r="KK647" s="273"/>
      <c r="KL647" s="273"/>
      <c r="KM647" s="273"/>
      <c r="KN647" s="273"/>
      <c r="KO647" s="273"/>
      <c r="KP647" s="273"/>
      <c r="KQ647" s="273"/>
      <c r="KR647" s="273"/>
      <c r="KS647" s="273"/>
      <c r="KT647" s="273"/>
      <c r="KU647" s="273"/>
      <c r="KV647" s="273"/>
      <c r="KW647" s="273"/>
      <c r="KX647" s="273"/>
      <c r="KY647" s="273"/>
      <c r="KZ647" s="273"/>
      <c r="LA647" s="273"/>
      <c r="LB647" s="273"/>
      <c r="LC647" s="273"/>
      <c r="LD647" s="273"/>
      <c r="LE647" s="273"/>
      <c r="LF647" s="273"/>
      <c r="LG647" s="273"/>
      <c r="LH647" s="273"/>
      <c r="LI647" s="273"/>
      <c r="LJ647" s="273"/>
      <c r="LK647" s="273"/>
      <c r="LL647" s="273"/>
      <c r="LM647" s="273"/>
      <c r="LN647" s="273"/>
      <c r="LO647" s="273"/>
      <c r="LP647" s="273"/>
      <c r="LQ647" s="273"/>
      <c r="LR647" s="273"/>
      <c r="LS647" s="273"/>
      <c r="LT647" s="273"/>
      <c r="LU647" s="273"/>
      <c r="LV647" s="273"/>
      <c r="LW647" s="273"/>
      <c r="LX647" s="273"/>
      <c r="LY647" s="273"/>
      <c r="LZ647" s="273"/>
      <c r="MA647" s="273"/>
      <c r="MB647" s="273"/>
      <c r="MC647" s="273"/>
      <c r="MD647" s="273"/>
      <c r="ME647" s="273"/>
      <c r="MF647" s="273"/>
      <c r="MG647" s="273"/>
      <c r="MH647" s="273"/>
      <c r="MI647" s="273"/>
      <c r="MJ647" s="273"/>
      <c r="MK647" s="273"/>
      <c r="ML647" s="273"/>
      <c r="MM647" s="273"/>
      <c r="MN647" s="273"/>
      <c r="MO647" s="273"/>
      <c r="MP647" s="273"/>
      <c r="MQ647" s="273"/>
      <c r="MR647" s="273"/>
      <c r="MS647" s="273"/>
      <c r="MT647" s="273"/>
      <c r="MU647" s="273"/>
      <c r="MV647" s="273"/>
      <c r="MW647" s="273"/>
      <c r="MX647" s="273"/>
      <c r="MY647" s="273"/>
      <c r="MZ647" s="273"/>
      <c r="NA647" s="273"/>
      <c r="NB647" s="273"/>
      <c r="NC647" s="273"/>
      <c r="ND647" s="273"/>
      <c r="NE647" s="273"/>
      <c r="NF647" s="273"/>
      <c r="NG647" s="273"/>
      <c r="NH647" s="273"/>
      <c r="NI647" s="273"/>
      <c r="NJ647" s="273"/>
      <c r="NK647" s="273"/>
      <c r="NL647" s="273"/>
      <c r="NM647" s="273"/>
      <c r="NN647" s="273"/>
      <c r="NO647" s="273"/>
      <c r="NP647" s="273"/>
      <c r="NQ647" s="273"/>
      <c r="NR647" s="273"/>
      <c r="NS647" s="273"/>
      <c r="NT647" s="273"/>
      <c r="NU647" s="273"/>
      <c r="NV647" s="273"/>
      <c r="NW647" s="273"/>
      <c r="NX647" s="273"/>
      <c r="NY647" s="273"/>
      <c r="NZ647" s="273"/>
      <c r="OA647" s="273"/>
      <c r="OB647" s="273"/>
      <c r="OC647" s="273"/>
      <c r="OD647" s="273"/>
      <c r="OE647" s="273"/>
      <c r="OF647" s="273"/>
      <c r="OG647" s="273"/>
      <c r="OH647" s="273"/>
      <c r="OI647" s="273"/>
      <c r="OJ647" s="273"/>
      <c r="OK647" s="273"/>
      <c r="OL647" s="273"/>
      <c r="OM647" s="273"/>
      <c r="ON647" s="273"/>
      <c r="OO647" s="273"/>
      <c r="OP647" s="273"/>
      <c r="OQ647" s="273"/>
      <c r="OR647" s="273"/>
      <c r="OS647" s="273"/>
      <c r="OT647" s="273"/>
      <c r="OU647" s="273"/>
      <c r="OV647" s="273"/>
      <c r="OW647" s="273"/>
      <c r="OX647" s="273"/>
      <c r="OY647" s="273"/>
      <c r="OZ647" s="273"/>
      <c r="PA647" s="273"/>
      <c r="PB647" s="273"/>
      <c r="PC647" s="273"/>
      <c r="PD647" s="273"/>
      <c r="PE647" s="273"/>
      <c r="PF647" s="273"/>
      <c r="PG647" s="273"/>
      <c r="PH647" s="273"/>
      <c r="PI647" s="273"/>
      <c r="PJ647" s="273"/>
      <c r="PK647" s="273"/>
      <c r="PL647" s="273"/>
      <c r="PM647" s="273"/>
      <c r="PN647" s="273"/>
      <c r="PO647" s="273"/>
      <c r="PP647" s="273"/>
      <c r="PQ647" s="273"/>
      <c r="PR647" s="273"/>
      <c r="PS647" s="273"/>
      <c r="PT647" s="273"/>
      <c r="PU647" s="273"/>
      <c r="PV647" s="273"/>
      <c r="PW647" s="273"/>
      <c r="PX647" s="273"/>
      <c r="PY647" s="273"/>
      <c r="PZ647" s="273"/>
      <c r="QA647" s="273"/>
      <c r="QB647" s="273"/>
      <c r="QC647" s="273"/>
      <c r="QD647" s="273"/>
      <c r="QE647" s="273"/>
      <c r="QF647" s="273"/>
      <c r="QG647" s="273"/>
      <c r="QH647" s="273"/>
      <c r="QI647" s="273"/>
      <c r="QJ647" s="273"/>
      <c r="QK647" s="273"/>
      <c r="QL647" s="273"/>
      <c r="QM647" s="273"/>
      <c r="QN647" s="273"/>
      <c r="QO647" s="273"/>
      <c r="QP647" s="273"/>
      <c r="QQ647" s="273"/>
      <c r="QR647" s="273"/>
      <c r="QS647" s="273"/>
      <c r="QT647" s="273"/>
      <c r="QU647" s="273"/>
      <c r="QV647" s="273"/>
      <c r="QW647" s="273"/>
      <c r="QX647" s="273"/>
      <c r="QY647" s="273"/>
      <c r="QZ647" s="273"/>
      <c r="RA647" s="273"/>
      <c r="RB647" s="273"/>
      <c r="RC647" s="273"/>
      <c r="RD647" s="273"/>
      <c r="RE647" s="273"/>
      <c r="RF647" s="273"/>
      <c r="RG647" s="273"/>
      <c r="RH647" s="273"/>
      <c r="RI647" s="273"/>
      <c r="RJ647" s="273"/>
      <c r="RK647" s="273"/>
      <c r="RL647" s="273"/>
      <c r="RM647" s="273"/>
      <c r="RN647" s="273"/>
      <c r="RO647" s="273"/>
      <c r="RP647" s="273"/>
      <c r="RQ647" s="273"/>
    </row>
    <row r="648" spans="1:485" s="450" customFormat="1" x14ac:dyDescent="0.25">
      <c r="A648" s="1726" t="s">
        <v>172</v>
      </c>
      <c r="B648" s="681" t="s">
        <v>173</v>
      </c>
      <c r="C648" s="1724" t="s">
        <v>17</v>
      </c>
      <c r="D648" s="2490" t="s">
        <v>100</v>
      </c>
      <c r="E648" s="2979">
        <v>1</v>
      </c>
      <c r="F648" s="683">
        <v>2408</v>
      </c>
      <c r="G648" s="682">
        <v>12</v>
      </c>
      <c r="H648" s="708">
        <f>+E648*F648*G648</f>
        <v>28896</v>
      </c>
      <c r="I648" s="684">
        <v>0</v>
      </c>
      <c r="J648" s="1082">
        <v>1</v>
      </c>
      <c r="K648" s="1083">
        <v>2408</v>
      </c>
      <c r="L648" s="1082">
        <v>12</v>
      </c>
      <c r="M648" s="1759">
        <f>+J648*K648*L648</f>
        <v>28896</v>
      </c>
      <c r="N648" s="684">
        <v>0</v>
      </c>
      <c r="O648" s="696">
        <f t="shared" si="275"/>
        <v>57792</v>
      </c>
      <c r="P648" s="684">
        <v>0</v>
      </c>
      <c r="Q648" s="708">
        <v>0</v>
      </c>
      <c r="R648" s="1866"/>
      <c r="S648" s="732">
        <f>UNHABITAT!V78</f>
        <v>63061.89</v>
      </c>
      <c r="T648" s="1071">
        <f t="shared" si="273"/>
        <v>1.0911871885382061</v>
      </c>
      <c r="U648" s="896"/>
      <c r="V648" s="591">
        <v>0</v>
      </c>
      <c r="W648" s="706">
        <f t="shared" si="274"/>
        <v>0</v>
      </c>
      <c r="X648" s="594"/>
    </row>
    <row r="649" spans="1:485" s="450" customFormat="1" ht="14.25" customHeight="1" x14ac:dyDescent="0.25">
      <c r="A649" s="680"/>
      <c r="B649" s="540"/>
      <c r="C649" s="1724" t="s">
        <v>17</v>
      </c>
      <c r="D649" s="467" t="s">
        <v>500</v>
      </c>
      <c r="E649" s="724"/>
      <c r="F649" s="266"/>
      <c r="G649" s="266"/>
      <c r="H649" s="451">
        <v>888</v>
      </c>
      <c r="I649" s="451"/>
      <c r="J649" s="2616"/>
      <c r="K649" s="2616"/>
      <c r="L649" s="2616"/>
      <c r="M649" s="1834">
        <v>888</v>
      </c>
      <c r="N649" s="697"/>
      <c r="O649" s="696">
        <f t="shared" ref="O649" si="280">+H649+M649</f>
        <v>1776</v>
      </c>
      <c r="P649" s="675"/>
      <c r="Q649" s="708">
        <v>0</v>
      </c>
      <c r="R649" s="1069"/>
      <c r="S649" s="706">
        <f>ACIAR!T189</f>
        <v>0</v>
      </c>
      <c r="T649" s="1071">
        <f t="shared" si="273"/>
        <v>0</v>
      </c>
      <c r="U649" s="541" t="s">
        <v>1355</v>
      </c>
      <c r="V649" s="591">
        <v>0</v>
      </c>
      <c r="W649" s="706">
        <f t="shared" si="274"/>
        <v>0</v>
      </c>
      <c r="X649" s="594"/>
    </row>
    <row r="650" spans="1:485" s="461" customFormat="1" x14ac:dyDescent="0.25">
      <c r="A650" s="285"/>
      <c r="B650" s="711" t="s">
        <v>573</v>
      </c>
      <c r="C650" s="711"/>
      <c r="D650" s="897"/>
      <c r="E650" s="1073"/>
      <c r="F650" s="1073"/>
      <c r="G650" s="1073"/>
      <c r="H650" s="470">
        <f>SUM(H627:H649)</f>
        <v>117791.035</v>
      </c>
      <c r="I650" s="1076"/>
      <c r="J650" s="1107"/>
      <c r="K650" s="1107"/>
      <c r="L650" s="1107"/>
      <c r="M650" s="2865">
        <f>SUM(M627:M649)</f>
        <v>120243.605</v>
      </c>
      <c r="N650" s="1108"/>
      <c r="O650" s="470">
        <f>SUM(O627:O649)</f>
        <v>238034.63999999993</v>
      </c>
      <c r="P650" s="1076"/>
      <c r="Q650" s="1109">
        <f>SUM(Q627:Q649)</f>
        <v>77880.590000000011</v>
      </c>
      <c r="R650" s="1110"/>
      <c r="S650" s="1111">
        <f>SUM(S627:S649)</f>
        <v>256018.50336698425</v>
      </c>
      <c r="T650" s="600">
        <f>S650/O650</f>
        <v>1.0755514548932219</v>
      </c>
      <c r="U650" s="711"/>
      <c r="V650" s="600">
        <f>+W650/Q650</f>
        <v>0.90619322949382164</v>
      </c>
      <c r="W650" s="1111">
        <f>SUM(W627:W649)</f>
        <v>70574.863366984238</v>
      </c>
      <c r="X650" s="1112"/>
    </row>
    <row r="651" spans="1:485" s="461" customFormat="1" x14ac:dyDescent="0.25">
      <c r="A651" s="3036" t="s">
        <v>60</v>
      </c>
      <c r="B651" s="3037"/>
      <c r="C651" s="3037"/>
      <c r="D651" s="3037"/>
      <c r="E651" s="3037"/>
      <c r="F651" s="3037"/>
      <c r="G651" s="3037"/>
      <c r="H651" s="3037"/>
      <c r="I651" s="3037"/>
      <c r="J651" s="3037"/>
      <c r="K651" s="3037"/>
      <c r="L651" s="3037"/>
      <c r="M651" s="3037"/>
      <c r="N651" s="3037"/>
      <c r="O651" s="3037"/>
      <c r="P651" s="3037"/>
      <c r="Q651" s="3037"/>
      <c r="R651" s="3037"/>
      <c r="S651" s="3037"/>
      <c r="T651" s="3037"/>
      <c r="U651" s="3037"/>
      <c r="V651" s="3037"/>
      <c r="W651" s="3037"/>
      <c r="X651" s="3038"/>
    </row>
    <row r="652" spans="1:485" s="461" customFormat="1" x14ac:dyDescent="0.25">
      <c r="A652" s="285"/>
      <c r="B652" s="520"/>
      <c r="C652" s="1679"/>
      <c r="D652" s="598"/>
      <c r="E652" s="1065"/>
      <c r="F652" s="1065"/>
      <c r="G652" s="1065"/>
      <c r="H652" s="696"/>
      <c r="I652" s="599"/>
      <c r="J652" s="1114"/>
      <c r="K652" s="1114"/>
      <c r="L652" s="1114"/>
      <c r="M652" s="2883"/>
      <c r="N652" s="601"/>
      <c r="O652" s="696"/>
      <c r="P652" s="599"/>
      <c r="Q652" s="1020"/>
      <c r="R652" s="1115"/>
      <c r="S652" s="1021"/>
      <c r="T652" s="1064"/>
      <c r="U652" s="1681"/>
      <c r="V652" s="1064"/>
      <c r="W652" s="1021"/>
      <c r="X652" s="465"/>
    </row>
    <row r="653" spans="1:485" s="461" customFormat="1" x14ac:dyDescent="0.25">
      <c r="A653" s="285"/>
      <c r="B653" s="520"/>
      <c r="C653" s="1679"/>
      <c r="D653" s="598"/>
      <c r="E653" s="1065"/>
      <c r="F653" s="1065"/>
      <c r="G653" s="1065"/>
      <c r="H653" s="696"/>
      <c r="I653" s="599"/>
      <c r="J653" s="1114"/>
      <c r="K653" s="1114"/>
      <c r="L653" s="1114"/>
      <c r="M653" s="2883"/>
      <c r="N653" s="601"/>
      <c r="O653" s="696"/>
      <c r="P653" s="599"/>
      <c r="Q653" s="1020"/>
      <c r="R653" s="1115"/>
      <c r="S653" s="1021"/>
      <c r="T653" s="1064"/>
      <c r="U653" s="1681"/>
      <c r="V653" s="1064"/>
      <c r="W653" s="1021"/>
      <c r="X653" s="465"/>
    </row>
    <row r="654" spans="1:485" s="461" customFormat="1" x14ac:dyDescent="0.25">
      <c r="A654" s="285"/>
      <c r="B654" s="711" t="s">
        <v>573</v>
      </c>
      <c r="C654" s="711"/>
      <c r="D654" s="897"/>
      <c r="E654" s="1073"/>
      <c r="F654" s="1073"/>
      <c r="G654" s="1073"/>
      <c r="H654" s="470">
        <f>SUM(H652:H653)</f>
        <v>0</v>
      </c>
      <c r="I654" s="1076"/>
      <c r="J654" s="1107"/>
      <c r="K654" s="1107"/>
      <c r="L654" s="1107"/>
      <c r="M654" s="2865">
        <f>SUM(M652:M653)</f>
        <v>0</v>
      </c>
      <c r="N654" s="1108"/>
      <c r="O654" s="470">
        <f>SUM(O652:O653)</f>
        <v>0</v>
      </c>
      <c r="P654" s="1076"/>
      <c r="Q654" s="1109">
        <f>SUM(Q652:Q653)</f>
        <v>0</v>
      </c>
      <c r="R654" s="1110"/>
      <c r="S654" s="1111">
        <f>SUM(S652:S653)</f>
        <v>0</v>
      </c>
      <c r="T654" s="600">
        <v>0</v>
      </c>
      <c r="U654" s="711"/>
      <c r="V654" s="600">
        <v>0</v>
      </c>
      <c r="W654" s="1111">
        <f>SUM(W652:W653)</f>
        <v>0</v>
      </c>
      <c r="X654" s="1112"/>
    </row>
    <row r="655" spans="1:485" s="461" customFormat="1" x14ac:dyDescent="0.25">
      <c r="A655" s="3036" t="s">
        <v>58</v>
      </c>
      <c r="B655" s="3037"/>
      <c r="C655" s="3037"/>
      <c r="D655" s="3037"/>
      <c r="E655" s="3037"/>
      <c r="F655" s="3037"/>
      <c r="G655" s="3037"/>
      <c r="H655" s="3037"/>
      <c r="I655" s="3037"/>
      <c r="J655" s="3037"/>
      <c r="K655" s="3037"/>
      <c r="L655" s="3037"/>
      <c r="M655" s="3037"/>
      <c r="N655" s="3037"/>
      <c r="O655" s="3037"/>
      <c r="P655" s="3037"/>
      <c r="Q655" s="3037"/>
      <c r="R655" s="3037"/>
      <c r="S655" s="3037"/>
      <c r="T655" s="3037"/>
      <c r="U655" s="3037"/>
      <c r="V655" s="3037"/>
      <c r="W655" s="3037"/>
      <c r="X655" s="3038"/>
    </row>
    <row r="656" spans="1:485" s="450" customFormat="1" x14ac:dyDescent="0.25">
      <c r="A656" s="1144" t="s">
        <v>699</v>
      </c>
      <c r="B656" s="1146"/>
      <c r="C656" s="1847"/>
      <c r="D656" s="899"/>
      <c r="E656" s="1058"/>
      <c r="F656" s="1058"/>
      <c r="G656" s="1058"/>
      <c r="H656" s="2744"/>
      <c r="I656" s="2884"/>
      <c r="J656" s="2745"/>
      <c r="K656" s="2745"/>
      <c r="L656" s="2745"/>
      <c r="M656" s="2885"/>
      <c r="N656" s="1060"/>
      <c r="O656" s="2924"/>
      <c r="P656" s="1084"/>
      <c r="Q656" s="1059"/>
      <c r="R656" s="1061"/>
      <c r="S656" s="1675"/>
      <c r="T656" s="1071"/>
      <c r="U656" s="1061"/>
      <c r="V656" s="591"/>
      <c r="W656" s="706"/>
      <c r="X656" s="594"/>
      <c r="Y656" s="273"/>
      <c r="Z656" s="273"/>
      <c r="AA656" s="273"/>
      <c r="AB656" s="273"/>
      <c r="AC656" s="273"/>
      <c r="AD656" s="273"/>
      <c r="AE656" s="273"/>
      <c r="AF656" s="273"/>
      <c r="AG656" s="273"/>
      <c r="AH656" s="273"/>
      <c r="AI656" s="273"/>
      <c r="AJ656" s="273"/>
      <c r="AK656" s="273"/>
      <c r="AL656" s="273"/>
      <c r="AM656" s="273"/>
      <c r="AN656" s="273"/>
      <c r="AO656" s="273"/>
      <c r="AP656" s="273"/>
      <c r="AQ656" s="273"/>
    </row>
    <row r="657" spans="1:43" s="450" customFormat="1" ht="26" x14ac:dyDescent="0.25">
      <c r="A657" s="1832" t="s">
        <v>700</v>
      </c>
      <c r="B657" s="541"/>
      <c r="C657" s="1720" t="s">
        <v>19</v>
      </c>
      <c r="D657" s="598" t="s">
        <v>563</v>
      </c>
      <c r="E657" s="1833">
        <v>1</v>
      </c>
      <c r="F657" s="1833">
        <v>2000</v>
      </c>
      <c r="G657" s="1833">
        <v>1</v>
      </c>
      <c r="H657" s="701">
        <f>G657*F657*E657</f>
        <v>2000</v>
      </c>
      <c r="I657" s="675"/>
      <c r="J657" s="2746">
        <v>1</v>
      </c>
      <c r="K657" s="2746">
        <v>2000</v>
      </c>
      <c r="L657" s="2746">
        <v>1</v>
      </c>
      <c r="M657" s="2882">
        <v>1257.8000000000002</v>
      </c>
      <c r="N657" s="675"/>
      <c r="O657" s="2925">
        <f>M657+H657</f>
        <v>3257.8</v>
      </c>
      <c r="P657" s="697">
        <v>0</v>
      </c>
      <c r="Q657" s="709">
        <v>0</v>
      </c>
      <c r="R657" s="1061"/>
      <c r="S657" s="1069">
        <f>OIM!T171</f>
        <v>2932.53</v>
      </c>
      <c r="T657" s="1071">
        <f>S657/O657</f>
        <v>0.90015654736325124</v>
      </c>
      <c r="U657" s="1061"/>
      <c r="V657" s="591">
        <v>0</v>
      </c>
      <c r="W657" s="706">
        <f>+P657*S657</f>
        <v>0</v>
      </c>
      <c r="X657" s="594"/>
      <c r="Y657" s="273"/>
      <c r="Z657" s="273"/>
      <c r="AA657" s="273"/>
      <c r="AB657" s="273"/>
      <c r="AC657" s="273"/>
      <c r="AD657" s="273"/>
      <c r="AE657" s="273"/>
      <c r="AF657" s="273"/>
      <c r="AG657" s="273"/>
      <c r="AH657" s="273"/>
      <c r="AI657" s="273"/>
      <c r="AJ657" s="273"/>
      <c r="AK657" s="273"/>
      <c r="AL657" s="273"/>
      <c r="AM657" s="273"/>
      <c r="AN657" s="273"/>
      <c r="AO657" s="273"/>
      <c r="AP657" s="273"/>
      <c r="AQ657" s="273"/>
    </row>
    <row r="658" spans="1:43" s="450" customFormat="1" ht="26" x14ac:dyDescent="0.25">
      <c r="A658" s="1832" t="s">
        <v>701</v>
      </c>
      <c r="B658" s="541"/>
      <c r="C658" s="1720" t="s">
        <v>19</v>
      </c>
      <c r="D658" s="598" t="s">
        <v>563</v>
      </c>
      <c r="E658" s="1833">
        <v>1</v>
      </c>
      <c r="F658" s="1833">
        <v>100</v>
      </c>
      <c r="G658" s="1833">
        <v>6</v>
      </c>
      <c r="H658" s="701">
        <f t="shared" ref="H658:H663" si="281">G658*F658*E658</f>
        <v>600</v>
      </c>
      <c r="I658" s="675"/>
      <c r="J658" s="2746">
        <v>1</v>
      </c>
      <c r="K658" s="2746">
        <v>100</v>
      </c>
      <c r="L658" s="2746">
        <v>6</v>
      </c>
      <c r="M658" s="2882">
        <v>580</v>
      </c>
      <c r="N658" s="675"/>
      <c r="O658" s="2925">
        <f t="shared" ref="O658:O705" si="282">M658+H658</f>
        <v>1180</v>
      </c>
      <c r="P658" s="697">
        <v>0</v>
      </c>
      <c r="Q658" s="709">
        <v>0</v>
      </c>
      <c r="R658" s="521"/>
      <c r="S658" s="1069">
        <f>OIM!T172</f>
        <v>2042.43</v>
      </c>
      <c r="T658" s="1071">
        <f t="shared" ref="T658:T706" si="283">S658/O658</f>
        <v>1.7308728813559322</v>
      </c>
      <c r="U658" s="521"/>
      <c r="V658" s="591">
        <v>0</v>
      </c>
      <c r="W658" s="706">
        <f t="shared" ref="W658:W706" si="284">+P658*S658</f>
        <v>0</v>
      </c>
      <c r="X658" s="594"/>
      <c r="Y658" s="273"/>
      <c r="Z658" s="273"/>
      <c r="AA658" s="273"/>
      <c r="AB658" s="273"/>
      <c r="AC658" s="273"/>
      <c r="AD658" s="273"/>
      <c r="AE658" s="273"/>
      <c r="AF658" s="273"/>
      <c r="AG658" s="273"/>
      <c r="AH658" s="273"/>
      <c r="AI658" s="273"/>
      <c r="AJ658" s="273"/>
      <c r="AK658" s="273"/>
      <c r="AL658" s="273"/>
      <c r="AM658" s="273"/>
      <c r="AN658" s="273"/>
      <c r="AO658" s="273"/>
      <c r="AP658" s="273"/>
      <c r="AQ658" s="273"/>
    </row>
    <row r="659" spans="1:43" s="450" customFormat="1" ht="26" x14ac:dyDescent="0.25">
      <c r="A659" s="1832" t="s">
        <v>702</v>
      </c>
      <c r="B659" s="595"/>
      <c r="C659" s="1720" t="s">
        <v>19</v>
      </c>
      <c r="D659" s="598" t="s">
        <v>563</v>
      </c>
      <c r="E659" s="1833">
        <v>1</v>
      </c>
      <c r="F659" s="1833">
        <v>100</v>
      </c>
      <c r="G659" s="1833">
        <v>6</v>
      </c>
      <c r="H659" s="701">
        <f t="shared" si="281"/>
        <v>600</v>
      </c>
      <c r="I659" s="675"/>
      <c r="J659" s="2746">
        <v>1</v>
      </c>
      <c r="K659" s="2746">
        <v>100</v>
      </c>
      <c r="L659" s="2746">
        <v>6</v>
      </c>
      <c r="M659" s="2882">
        <v>1980</v>
      </c>
      <c r="N659" s="675"/>
      <c r="O659" s="2925">
        <f t="shared" si="282"/>
        <v>2580</v>
      </c>
      <c r="P659" s="697">
        <v>0</v>
      </c>
      <c r="Q659" s="709">
        <v>0</v>
      </c>
      <c r="R659" s="521"/>
      <c r="S659" s="1069">
        <f>OIM!T173</f>
        <v>3667.58</v>
      </c>
      <c r="T659" s="1071">
        <f t="shared" si="283"/>
        <v>1.4215426356589147</v>
      </c>
      <c r="U659" s="521"/>
      <c r="V659" s="591">
        <v>0</v>
      </c>
      <c r="W659" s="706">
        <f t="shared" si="284"/>
        <v>0</v>
      </c>
      <c r="X659" s="594"/>
      <c r="Y659" s="273"/>
      <c r="Z659" s="273"/>
      <c r="AA659" s="273"/>
      <c r="AB659" s="273"/>
      <c r="AC659" s="273"/>
      <c r="AD659" s="273"/>
      <c r="AE659" s="273"/>
      <c r="AF659" s="273"/>
      <c r="AG659" s="273"/>
      <c r="AH659" s="273"/>
      <c r="AI659" s="273"/>
      <c r="AJ659" s="273"/>
      <c r="AK659" s="273"/>
      <c r="AL659" s="273"/>
      <c r="AM659" s="273"/>
      <c r="AN659" s="273"/>
      <c r="AO659" s="273"/>
      <c r="AP659" s="273"/>
      <c r="AQ659" s="273"/>
    </row>
    <row r="660" spans="1:43" s="450" customFormat="1" ht="26" x14ac:dyDescent="0.25">
      <c r="A660" s="1832" t="s">
        <v>703</v>
      </c>
      <c r="B660" s="595"/>
      <c r="C660" s="1720" t="s">
        <v>19</v>
      </c>
      <c r="D660" s="598" t="s">
        <v>563</v>
      </c>
      <c r="E660" s="1833">
        <v>1</v>
      </c>
      <c r="F660" s="1833">
        <v>2000</v>
      </c>
      <c r="G660" s="1833">
        <v>1</v>
      </c>
      <c r="H660" s="701">
        <f t="shared" si="281"/>
        <v>2000</v>
      </c>
      <c r="I660" s="675"/>
      <c r="J660" s="2746">
        <v>1</v>
      </c>
      <c r="K660" s="2746">
        <v>2000</v>
      </c>
      <c r="L660" s="2746">
        <v>1</v>
      </c>
      <c r="M660" s="2882">
        <v>3500</v>
      </c>
      <c r="N660" s="675"/>
      <c r="O660" s="2925">
        <f t="shared" si="282"/>
        <v>5500</v>
      </c>
      <c r="P660" s="697">
        <v>0</v>
      </c>
      <c r="Q660" s="709">
        <v>0</v>
      </c>
      <c r="R660" s="521"/>
      <c r="S660" s="1069">
        <f>OIM!T174</f>
        <v>9499.92</v>
      </c>
      <c r="T660" s="1071">
        <f t="shared" si="283"/>
        <v>1.7272581818181818</v>
      </c>
      <c r="U660" s="521"/>
      <c r="V660" s="591">
        <v>0</v>
      </c>
      <c r="W660" s="706">
        <f t="shared" si="284"/>
        <v>0</v>
      </c>
      <c r="X660" s="594"/>
      <c r="Y660" s="273"/>
      <c r="Z660" s="273"/>
      <c r="AA660" s="273"/>
      <c r="AB660" s="273"/>
      <c r="AC660" s="273"/>
      <c r="AD660" s="273"/>
      <c r="AE660" s="273"/>
      <c r="AF660" s="273"/>
      <c r="AG660" s="273"/>
      <c r="AH660" s="273"/>
      <c r="AI660" s="273"/>
      <c r="AJ660" s="273"/>
      <c r="AK660" s="273"/>
      <c r="AL660" s="273"/>
      <c r="AM660" s="273"/>
      <c r="AN660" s="273"/>
      <c r="AO660" s="273"/>
      <c r="AP660" s="273"/>
      <c r="AQ660" s="273"/>
    </row>
    <row r="661" spans="1:43" s="450" customFormat="1" ht="26" x14ac:dyDescent="0.25">
      <c r="A661" s="1832" t="s">
        <v>693</v>
      </c>
      <c r="B661" s="595"/>
      <c r="C661" s="1720" t="s">
        <v>19</v>
      </c>
      <c r="D661" s="598" t="s">
        <v>563</v>
      </c>
      <c r="E661" s="1833">
        <v>1</v>
      </c>
      <c r="F661" s="1833">
        <f>400*0.5</f>
        <v>200</v>
      </c>
      <c r="G661" s="1833">
        <v>6</v>
      </c>
      <c r="H661" s="701">
        <f t="shared" si="281"/>
        <v>1200</v>
      </c>
      <c r="I661" s="675"/>
      <c r="J661" s="2746">
        <v>1</v>
      </c>
      <c r="K661" s="2746">
        <f>400*0.5</f>
        <v>200</v>
      </c>
      <c r="L661" s="2746">
        <v>6</v>
      </c>
      <c r="M661" s="2882">
        <v>1200</v>
      </c>
      <c r="N661" s="675"/>
      <c r="O661" s="2925">
        <f>M661+H661</f>
        <v>2400</v>
      </c>
      <c r="P661" s="697">
        <v>0</v>
      </c>
      <c r="Q661" s="709">
        <v>0</v>
      </c>
      <c r="R661" s="521"/>
      <c r="S661" s="1069">
        <f>OIM!T175</f>
        <v>4676.53</v>
      </c>
      <c r="T661" s="1071">
        <f t="shared" si="283"/>
        <v>1.9485541666666666</v>
      </c>
      <c r="U661" s="521"/>
      <c r="V661" s="591">
        <v>0</v>
      </c>
      <c r="W661" s="706">
        <f t="shared" si="284"/>
        <v>0</v>
      </c>
      <c r="X661" s="594"/>
      <c r="Y661" s="273"/>
      <c r="Z661" s="273"/>
      <c r="AA661" s="273"/>
      <c r="AB661" s="273"/>
      <c r="AC661" s="273"/>
      <c r="AD661" s="273"/>
      <c r="AE661" s="273"/>
      <c r="AF661" s="273"/>
      <c r="AG661" s="273"/>
      <c r="AH661" s="273"/>
      <c r="AI661" s="273"/>
      <c r="AJ661" s="273"/>
      <c r="AK661" s="273"/>
      <c r="AL661" s="273"/>
      <c r="AM661" s="273"/>
      <c r="AN661" s="273"/>
      <c r="AO661" s="273"/>
      <c r="AP661" s="273"/>
      <c r="AQ661" s="273"/>
    </row>
    <row r="662" spans="1:43" s="450" customFormat="1" ht="26" x14ac:dyDescent="0.25">
      <c r="A662" s="1832" t="s">
        <v>704</v>
      </c>
      <c r="B662" s="595"/>
      <c r="C662" s="1720" t="s">
        <v>19</v>
      </c>
      <c r="D662" s="598" t="s">
        <v>563</v>
      </c>
      <c r="E662" s="1833">
        <v>1</v>
      </c>
      <c r="F662" s="1833">
        <v>600</v>
      </c>
      <c r="G662" s="1833">
        <v>6</v>
      </c>
      <c r="H662" s="701">
        <f t="shared" si="281"/>
        <v>3600</v>
      </c>
      <c r="I662" s="675"/>
      <c r="J662" s="2746">
        <v>1</v>
      </c>
      <c r="K662" s="2746">
        <v>600</v>
      </c>
      <c r="L662" s="2746">
        <v>6</v>
      </c>
      <c r="M662" s="2882">
        <v>3400</v>
      </c>
      <c r="N662" s="675"/>
      <c r="O662" s="2925">
        <f>M662+H662</f>
        <v>7000</v>
      </c>
      <c r="P662" s="697">
        <v>0</v>
      </c>
      <c r="Q662" s="709">
        <v>0</v>
      </c>
      <c r="R662" s="521"/>
      <c r="S662" s="1069">
        <f>OIM!T176</f>
        <v>13922.59</v>
      </c>
      <c r="T662" s="1071">
        <f t="shared" si="283"/>
        <v>1.9889414285714286</v>
      </c>
      <c r="U662" s="521"/>
      <c r="V662" s="591">
        <v>0</v>
      </c>
      <c r="W662" s="706">
        <f t="shared" si="284"/>
        <v>0</v>
      </c>
      <c r="X662" s="594"/>
      <c r="Y662" s="273"/>
      <c r="Z662" s="273"/>
      <c r="AA662" s="273"/>
      <c r="AB662" s="273"/>
      <c r="AC662" s="273"/>
      <c r="AD662" s="273"/>
      <c r="AE662" s="273"/>
      <c r="AF662" s="273"/>
      <c r="AG662" s="273"/>
      <c r="AH662" s="273"/>
      <c r="AI662" s="273"/>
      <c r="AJ662" s="273"/>
      <c r="AK662" s="273"/>
      <c r="AL662" s="273"/>
      <c r="AM662" s="273"/>
      <c r="AN662" s="273"/>
      <c r="AO662" s="273"/>
      <c r="AP662" s="273"/>
      <c r="AQ662" s="273"/>
    </row>
    <row r="663" spans="1:43" s="450" customFormat="1" ht="26" x14ac:dyDescent="0.25">
      <c r="A663" s="1832" t="s">
        <v>705</v>
      </c>
      <c r="B663" s="595"/>
      <c r="C663" s="1720" t="s">
        <v>19</v>
      </c>
      <c r="D663" s="598" t="s">
        <v>563</v>
      </c>
      <c r="E663" s="1833">
        <v>1</v>
      </c>
      <c r="F663" s="1833">
        <v>1000</v>
      </c>
      <c r="G663" s="1833">
        <v>6</v>
      </c>
      <c r="H663" s="701">
        <f t="shared" si="281"/>
        <v>6000</v>
      </c>
      <c r="I663" s="675"/>
      <c r="J663" s="2746">
        <v>1</v>
      </c>
      <c r="K663" s="2746">
        <v>1000</v>
      </c>
      <c r="L663" s="2746">
        <v>6</v>
      </c>
      <c r="M663" s="2882">
        <v>6000</v>
      </c>
      <c r="N663" s="697"/>
      <c r="O663" s="2925">
        <f>M663+H663</f>
        <v>12000</v>
      </c>
      <c r="P663" s="697">
        <v>0</v>
      </c>
      <c r="Q663" s="709">
        <v>0</v>
      </c>
      <c r="R663" s="521"/>
      <c r="S663" s="1069">
        <f>OIM!T177</f>
        <v>24805.200000000001</v>
      </c>
      <c r="T663" s="1071">
        <f t="shared" si="283"/>
        <v>2.0670999999999999</v>
      </c>
      <c r="U663" s="521"/>
      <c r="V663" s="591">
        <v>0</v>
      </c>
      <c r="W663" s="706">
        <f t="shared" si="284"/>
        <v>0</v>
      </c>
      <c r="X663" s="594"/>
      <c r="Y663" s="273"/>
      <c r="Z663" s="273"/>
      <c r="AA663" s="273"/>
      <c r="AB663" s="273"/>
      <c r="AC663" s="273"/>
      <c r="AD663" s="273"/>
      <c r="AE663" s="273"/>
      <c r="AF663" s="273"/>
      <c r="AG663" s="273"/>
      <c r="AH663" s="273"/>
      <c r="AI663" s="273"/>
      <c r="AJ663" s="273"/>
      <c r="AK663" s="273"/>
      <c r="AL663" s="273"/>
      <c r="AM663" s="273"/>
      <c r="AN663" s="273"/>
      <c r="AO663" s="273"/>
      <c r="AP663" s="273"/>
      <c r="AQ663" s="273"/>
    </row>
    <row r="664" spans="1:43" s="450" customFormat="1" x14ac:dyDescent="0.25">
      <c r="A664" s="1144" t="s">
        <v>706</v>
      </c>
      <c r="B664" s="595"/>
      <c r="C664" s="1720"/>
      <c r="D664" s="598"/>
      <c r="E664" s="724"/>
      <c r="F664" s="1824"/>
      <c r="G664" s="724"/>
      <c r="H664" s="701"/>
      <c r="I664" s="675"/>
      <c r="J664" s="710"/>
      <c r="K664" s="1824"/>
      <c r="L664" s="710"/>
      <c r="M664" s="2882"/>
      <c r="N664" s="697"/>
      <c r="O664" s="2925">
        <f t="shared" si="282"/>
        <v>0</v>
      </c>
      <c r="P664" s="697"/>
      <c r="Q664" s="709"/>
      <c r="R664" s="1061"/>
      <c r="S664" s="1069"/>
      <c r="T664" s="1071"/>
      <c r="U664" s="1061"/>
      <c r="V664" s="591"/>
      <c r="W664" s="706"/>
      <c r="X664" s="594"/>
      <c r="Y664" s="273"/>
      <c r="Z664" s="273"/>
      <c r="AA664" s="273"/>
      <c r="AB664" s="273"/>
      <c r="AC664" s="273"/>
      <c r="AD664" s="273"/>
      <c r="AE664" s="273"/>
      <c r="AF664" s="273"/>
      <c r="AG664" s="273"/>
      <c r="AH664" s="273"/>
      <c r="AI664" s="273"/>
      <c r="AJ664" s="273"/>
      <c r="AK664" s="273"/>
      <c r="AL664" s="273"/>
      <c r="AM664" s="273"/>
      <c r="AN664" s="273"/>
      <c r="AO664" s="273"/>
      <c r="AP664" s="273"/>
      <c r="AQ664" s="273"/>
    </row>
    <row r="665" spans="1:43" s="450" customFormat="1" ht="26" x14ac:dyDescent="0.25">
      <c r="A665" s="1832" t="s">
        <v>700</v>
      </c>
      <c r="B665" s="595"/>
      <c r="C665" s="1720" t="s">
        <v>19</v>
      </c>
      <c r="D665" s="598" t="s">
        <v>563</v>
      </c>
      <c r="E665" s="1833">
        <v>1</v>
      </c>
      <c r="F665" s="1833">
        <v>2000</v>
      </c>
      <c r="G665" s="2747">
        <v>1</v>
      </c>
      <c r="H665" s="701">
        <f>+E665*F665*G665</f>
        <v>2000</v>
      </c>
      <c r="I665" s="675"/>
      <c r="J665" s="2746">
        <v>1</v>
      </c>
      <c r="K665" s="2746">
        <v>2000</v>
      </c>
      <c r="L665" s="2746">
        <v>1</v>
      </c>
      <c r="M665" s="2882">
        <f>+J665*K665*L665</f>
        <v>2000</v>
      </c>
      <c r="N665" s="697"/>
      <c r="O665" s="2925">
        <f t="shared" si="282"/>
        <v>4000</v>
      </c>
      <c r="P665" s="697">
        <v>0</v>
      </c>
      <c r="Q665" s="709">
        <v>0</v>
      </c>
      <c r="R665" s="1061"/>
      <c r="S665" s="1069">
        <v>0</v>
      </c>
      <c r="T665" s="1071">
        <f t="shared" si="283"/>
        <v>0</v>
      </c>
      <c r="U665" s="1061"/>
      <c r="V665" s="591">
        <v>0</v>
      </c>
      <c r="W665" s="706">
        <f t="shared" si="284"/>
        <v>0</v>
      </c>
      <c r="X665" s="594"/>
      <c r="Y665" s="273"/>
      <c r="Z665" s="273"/>
      <c r="AA665" s="273"/>
      <c r="AB665" s="273"/>
      <c r="AC665" s="273"/>
      <c r="AD665" s="273"/>
      <c r="AE665" s="273"/>
      <c r="AF665" s="273"/>
      <c r="AG665" s="273"/>
      <c r="AH665" s="273"/>
      <c r="AI665" s="273"/>
      <c r="AJ665" s="273"/>
      <c r="AK665" s="273"/>
      <c r="AL665" s="273"/>
      <c r="AM665" s="273"/>
      <c r="AN665" s="273"/>
      <c r="AO665" s="273"/>
      <c r="AP665" s="273"/>
      <c r="AQ665" s="273"/>
    </row>
    <row r="666" spans="1:43" s="450" customFormat="1" ht="26" x14ac:dyDescent="0.25">
      <c r="A666" s="1832" t="s">
        <v>701</v>
      </c>
      <c r="B666" s="595"/>
      <c r="C666" s="1720" t="s">
        <v>19</v>
      </c>
      <c r="D666" s="598" t="s">
        <v>563</v>
      </c>
      <c r="E666" s="1833">
        <v>1</v>
      </c>
      <c r="F666" s="1833">
        <v>100</v>
      </c>
      <c r="G666" s="2747">
        <v>6</v>
      </c>
      <c r="H666" s="701">
        <f>+E666*F666*G666</f>
        <v>600</v>
      </c>
      <c r="I666" s="675"/>
      <c r="J666" s="2746">
        <v>1</v>
      </c>
      <c r="K666" s="2746">
        <v>100</v>
      </c>
      <c r="L666" s="2746">
        <v>6</v>
      </c>
      <c r="M666" s="2882">
        <f>+J666*K666*L666</f>
        <v>600</v>
      </c>
      <c r="N666" s="697"/>
      <c r="O666" s="2925">
        <f t="shared" si="282"/>
        <v>1200</v>
      </c>
      <c r="P666" s="697">
        <v>0</v>
      </c>
      <c r="Q666" s="709">
        <v>0</v>
      </c>
      <c r="R666" s="1061"/>
      <c r="S666" s="1069">
        <v>0</v>
      </c>
      <c r="T666" s="1071">
        <f t="shared" si="283"/>
        <v>0</v>
      </c>
      <c r="U666" s="1061"/>
      <c r="V666" s="591">
        <v>0</v>
      </c>
      <c r="W666" s="706">
        <f t="shared" si="284"/>
        <v>0</v>
      </c>
      <c r="X666" s="594"/>
      <c r="Y666" s="273"/>
      <c r="Z666" s="273"/>
      <c r="AA666" s="273"/>
      <c r="AB666" s="273"/>
      <c r="AC666" s="273"/>
      <c r="AD666" s="273"/>
      <c r="AE666" s="273"/>
      <c r="AF666" s="273"/>
      <c r="AG666" s="273"/>
      <c r="AH666" s="273"/>
      <c r="AI666" s="273"/>
      <c r="AJ666" s="273"/>
      <c r="AK666" s="273"/>
      <c r="AL666" s="273"/>
      <c r="AM666" s="273"/>
      <c r="AN666" s="273"/>
      <c r="AO666" s="273"/>
      <c r="AP666" s="273"/>
      <c r="AQ666" s="273"/>
    </row>
    <row r="667" spans="1:43" s="450" customFormat="1" ht="26" x14ac:dyDescent="0.25">
      <c r="A667" s="1832" t="s">
        <v>702</v>
      </c>
      <c r="B667" s="595"/>
      <c r="C667" s="1720" t="s">
        <v>19</v>
      </c>
      <c r="D667" s="598" t="s">
        <v>563</v>
      </c>
      <c r="E667" s="1833">
        <v>1</v>
      </c>
      <c r="F667" s="1833">
        <v>100</v>
      </c>
      <c r="G667" s="2747">
        <v>6</v>
      </c>
      <c r="H667" s="701">
        <f>+E667*F667*G667</f>
        <v>600</v>
      </c>
      <c r="I667" s="675"/>
      <c r="J667" s="2746">
        <v>1</v>
      </c>
      <c r="K667" s="2746">
        <v>100</v>
      </c>
      <c r="L667" s="2746">
        <v>6</v>
      </c>
      <c r="M667" s="2882">
        <f>+J667*K667*L667</f>
        <v>600</v>
      </c>
      <c r="N667" s="697"/>
      <c r="O667" s="2925">
        <f t="shared" si="282"/>
        <v>1200</v>
      </c>
      <c r="P667" s="697">
        <v>0</v>
      </c>
      <c r="Q667" s="709">
        <v>0</v>
      </c>
      <c r="R667" s="1061"/>
      <c r="S667" s="1069">
        <v>0</v>
      </c>
      <c r="T667" s="1071">
        <f t="shared" si="283"/>
        <v>0</v>
      </c>
      <c r="U667" s="1061"/>
      <c r="V667" s="591">
        <v>0</v>
      </c>
      <c r="W667" s="706">
        <f t="shared" si="284"/>
        <v>0</v>
      </c>
      <c r="X667" s="594"/>
      <c r="Y667" s="273"/>
      <c r="Z667" s="273"/>
      <c r="AA667" s="273"/>
      <c r="AB667" s="273"/>
      <c r="AC667" s="273"/>
      <c r="AD667" s="273"/>
      <c r="AE667" s="273"/>
      <c r="AF667" s="273"/>
      <c r="AG667" s="273"/>
      <c r="AH667" s="273"/>
      <c r="AI667" s="273"/>
      <c r="AJ667" s="273"/>
      <c r="AK667" s="273"/>
      <c r="AL667" s="273"/>
      <c r="AM667" s="273"/>
      <c r="AN667" s="273"/>
      <c r="AO667" s="273"/>
      <c r="AP667" s="273"/>
      <c r="AQ667" s="273"/>
    </row>
    <row r="668" spans="1:43" s="450" customFormat="1" ht="26" x14ac:dyDescent="0.25">
      <c r="A668" s="1832" t="s">
        <v>703</v>
      </c>
      <c r="B668" s="595"/>
      <c r="C668" s="1720" t="s">
        <v>19</v>
      </c>
      <c r="D668" s="598" t="s">
        <v>563</v>
      </c>
      <c r="E668" s="1833">
        <v>1</v>
      </c>
      <c r="F668" s="1833">
        <v>2000</v>
      </c>
      <c r="G668" s="2747">
        <v>1</v>
      </c>
      <c r="H668" s="701">
        <f>+E668*F668*G668</f>
        <v>2000</v>
      </c>
      <c r="I668" s="675"/>
      <c r="J668" s="2746">
        <v>1</v>
      </c>
      <c r="K668" s="2746">
        <v>2000</v>
      </c>
      <c r="L668" s="2746">
        <v>1</v>
      </c>
      <c r="M668" s="2882">
        <f>L668*K668*J668</f>
        <v>2000</v>
      </c>
      <c r="N668" s="697"/>
      <c r="O668" s="2925">
        <f t="shared" si="282"/>
        <v>4000</v>
      </c>
      <c r="P668" s="697">
        <v>0</v>
      </c>
      <c r="Q668" s="709">
        <v>0</v>
      </c>
      <c r="R668" s="1061"/>
      <c r="S668" s="1069">
        <v>0</v>
      </c>
      <c r="T668" s="1071">
        <f t="shared" si="283"/>
        <v>0</v>
      </c>
      <c r="U668" s="1061"/>
      <c r="V668" s="591">
        <v>0</v>
      </c>
      <c r="W668" s="706">
        <f t="shared" si="284"/>
        <v>0</v>
      </c>
      <c r="X668" s="594"/>
      <c r="Y668" s="273"/>
      <c r="Z668" s="273"/>
      <c r="AA668" s="273"/>
      <c r="AB668" s="273"/>
      <c r="AC668" s="273"/>
      <c r="AD668" s="273"/>
      <c r="AE668" s="273"/>
      <c r="AF668" s="273"/>
      <c r="AG668" s="273"/>
      <c r="AH668" s="273"/>
      <c r="AI668" s="273"/>
      <c r="AJ668" s="273"/>
      <c r="AK668" s="273"/>
      <c r="AL668" s="273"/>
      <c r="AM668" s="273"/>
      <c r="AN668" s="273"/>
      <c r="AO668" s="273"/>
      <c r="AP668" s="273"/>
      <c r="AQ668" s="273"/>
    </row>
    <row r="669" spans="1:43" s="450" customFormat="1" ht="26" x14ac:dyDescent="0.25">
      <c r="A669" s="1832" t="s">
        <v>693</v>
      </c>
      <c r="B669" s="595"/>
      <c r="C669" s="1720" t="s">
        <v>19</v>
      </c>
      <c r="D669" s="598" t="s">
        <v>563</v>
      </c>
      <c r="E669" s="1833">
        <v>1</v>
      </c>
      <c r="F669" s="1833">
        <f>400*0.5</f>
        <v>200</v>
      </c>
      <c r="G669" s="2747">
        <v>6</v>
      </c>
      <c r="H669" s="701">
        <f>+E669*F669*G669</f>
        <v>1200</v>
      </c>
      <c r="I669" s="675"/>
      <c r="J669" s="2746">
        <v>1</v>
      </c>
      <c r="K669" s="2746">
        <f>400*0.5</f>
        <v>200</v>
      </c>
      <c r="L669" s="2746">
        <v>6</v>
      </c>
      <c r="M669" s="2882">
        <f>L669*K669*J669</f>
        <v>1200</v>
      </c>
      <c r="N669" s="697"/>
      <c r="O669" s="2925">
        <f t="shared" si="282"/>
        <v>2400</v>
      </c>
      <c r="P669" s="697">
        <v>0</v>
      </c>
      <c r="Q669" s="709">
        <v>0</v>
      </c>
      <c r="R669" s="1061"/>
      <c r="S669" s="1069">
        <v>0</v>
      </c>
      <c r="T669" s="1071">
        <f t="shared" si="283"/>
        <v>0</v>
      </c>
      <c r="U669" s="1061"/>
      <c r="V669" s="591">
        <v>0</v>
      </c>
      <c r="W669" s="706">
        <f t="shared" si="284"/>
        <v>0</v>
      </c>
      <c r="X669" s="594"/>
      <c r="Y669" s="273"/>
      <c r="Z669" s="273"/>
      <c r="AA669" s="273"/>
      <c r="AB669" s="273"/>
      <c r="AC669" s="273"/>
      <c r="AD669" s="273"/>
      <c r="AE669" s="273"/>
      <c r="AF669" s="273"/>
      <c r="AG669" s="273"/>
      <c r="AH669" s="273"/>
      <c r="AI669" s="273"/>
      <c r="AJ669" s="273"/>
      <c r="AK669" s="273"/>
      <c r="AL669" s="273"/>
      <c r="AM669" s="273"/>
      <c r="AN669" s="273"/>
      <c r="AO669" s="273"/>
      <c r="AP669" s="273"/>
      <c r="AQ669" s="273"/>
    </row>
    <row r="670" spans="1:43" s="450" customFormat="1" ht="26" x14ac:dyDescent="0.25">
      <c r="A670" s="1832" t="s">
        <v>704</v>
      </c>
      <c r="B670" s="466"/>
      <c r="C670" s="1720" t="s">
        <v>19</v>
      </c>
      <c r="D670" s="598" t="s">
        <v>563</v>
      </c>
      <c r="E670" s="1833">
        <v>1</v>
      </c>
      <c r="F670" s="1833">
        <v>600</v>
      </c>
      <c r="G670" s="2747">
        <v>6</v>
      </c>
      <c r="H670" s="701">
        <f>G670*F670*E670</f>
        <v>3600</v>
      </c>
      <c r="I670" s="675"/>
      <c r="J670" s="2746">
        <v>1</v>
      </c>
      <c r="K670" s="2746">
        <v>600</v>
      </c>
      <c r="L670" s="2746">
        <v>6</v>
      </c>
      <c r="M670" s="2882">
        <f>L670*K670*J670</f>
        <v>3600</v>
      </c>
      <c r="N670" s="697"/>
      <c r="O670" s="2925">
        <f t="shared" si="282"/>
        <v>7200</v>
      </c>
      <c r="P670" s="697">
        <v>0</v>
      </c>
      <c r="Q670" s="709">
        <v>0</v>
      </c>
      <c r="R670" s="1061"/>
      <c r="S670" s="1069">
        <v>0</v>
      </c>
      <c r="T670" s="1071">
        <f t="shared" si="283"/>
        <v>0</v>
      </c>
      <c r="U670" s="1061"/>
      <c r="V670" s="591">
        <v>0</v>
      </c>
      <c r="W670" s="706">
        <f t="shared" si="284"/>
        <v>0</v>
      </c>
      <c r="X670" s="594"/>
      <c r="Y670" s="273"/>
      <c r="Z670" s="273"/>
      <c r="AA670" s="273"/>
      <c r="AB670" s="273"/>
      <c r="AC670" s="273"/>
      <c r="AD670" s="273"/>
      <c r="AE670" s="273"/>
      <c r="AF670" s="273"/>
      <c r="AG670" s="273"/>
      <c r="AH670" s="273"/>
      <c r="AI670" s="273"/>
      <c r="AJ670" s="273"/>
      <c r="AK670" s="273"/>
      <c r="AL670" s="273"/>
      <c r="AM670" s="273"/>
      <c r="AN670" s="273"/>
      <c r="AO670" s="273"/>
      <c r="AP670" s="273"/>
      <c r="AQ670" s="273"/>
    </row>
    <row r="671" spans="1:43" s="450" customFormat="1" ht="26" x14ac:dyDescent="0.25">
      <c r="A671" s="1832" t="s">
        <v>705</v>
      </c>
      <c r="B671" s="466"/>
      <c r="C671" s="1720" t="s">
        <v>19</v>
      </c>
      <c r="D671" s="598" t="s">
        <v>563</v>
      </c>
      <c r="E671" s="1833">
        <v>1</v>
      </c>
      <c r="F671" s="1833">
        <v>1000</v>
      </c>
      <c r="G671" s="2747">
        <v>6</v>
      </c>
      <c r="H671" s="701">
        <f>G671*F671*E671</f>
        <v>6000</v>
      </c>
      <c r="I671" s="675"/>
      <c r="J671" s="2746">
        <v>1</v>
      </c>
      <c r="K671" s="2746">
        <v>1000</v>
      </c>
      <c r="L671" s="2746">
        <v>6</v>
      </c>
      <c r="M671" s="2882">
        <f>L671*K671*J671</f>
        <v>6000</v>
      </c>
      <c r="N671" s="697"/>
      <c r="O671" s="2925">
        <f t="shared" si="282"/>
        <v>12000</v>
      </c>
      <c r="P671" s="697">
        <v>0</v>
      </c>
      <c r="Q671" s="709">
        <v>0</v>
      </c>
      <c r="R671" s="1061"/>
      <c r="S671" s="1069">
        <v>0</v>
      </c>
      <c r="T671" s="1071">
        <f t="shared" si="283"/>
        <v>0</v>
      </c>
      <c r="U671" s="1061"/>
      <c r="V671" s="591">
        <v>0</v>
      </c>
      <c r="W671" s="706">
        <f t="shared" si="284"/>
        <v>0</v>
      </c>
      <c r="X671" s="594"/>
      <c r="Y671" s="273"/>
      <c r="Z671" s="273"/>
      <c r="AA671" s="273"/>
      <c r="AB671" s="273"/>
      <c r="AC671" s="273"/>
      <c r="AD671" s="273"/>
      <c r="AE671" s="273"/>
      <c r="AF671" s="273"/>
      <c r="AG671" s="273"/>
      <c r="AH671" s="273"/>
      <c r="AI671" s="273"/>
      <c r="AJ671" s="273"/>
      <c r="AK671" s="273"/>
      <c r="AL671" s="273"/>
      <c r="AM671" s="273"/>
      <c r="AN671" s="273"/>
      <c r="AO671" s="273"/>
      <c r="AP671" s="273"/>
      <c r="AQ671" s="273"/>
    </row>
    <row r="672" spans="1:43" s="450" customFormat="1" ht="26" x14ac:dyDescent="0.25">
      <c r="A672" s="680"/>
      <c r="B672" s="284" t="s">
        <v>485</v>
      </c>
      <c r="C672" s="595" t="s">
        <v>19</v>
      </c>
      <c r="D672" s="731" t="s">
        <v>398</v>
      </c>
      <c r="E672" s="468">
        <v>0.5</v>
      </c>
      <c r="F672" s="286">
        <v>150</v>
      </c>
      <c r="G672" s="2849">
        <v>12</v>
      </c>
      <c r="H672" s="452">
        <f>SFCG!H113</f>
        <v>900</v>
      </c>
      <c r="I672" s="679"/>
      <c r="J672" s="1797">
        <v>0.5</v>
      </c>
      <c r="K672" s="1797">
        <f>F672</f>
        <v>150</v>
      </c>
      <c r="L672" s="1830">
        <v>12</v>
      </c>
      <c r="M672" s="452">
        <f>SFCG!M113+SFCG!N113</f>
        <v>4500</v>
      </c>
      <c r="N672" s="1686"/>
      <c r="O672" s="2926">
        <f>+H672+M672</f>
        <v>5400</v>
      </c>
      <c r="P672" s="679"/>
      <c r="Q672" s="1687">
        <f>O672*P672</f>
        <v>0</v>
      </c>
      <c r="R672" s="1867" t="s">
        <v>1215</v>
      </c>
      <c r="S672" s="285">
        <f>SFCG!T113</f>
        <v>-449.00999999999857</v>
      </c>
      <c r="T672" s="1071">
        <f>S672/O672</f>
        <v>-8.3149999999999738E-2</v>
      </c>
      <c r="U672" s="595"/>
      <c r="V672" s="591"/>
      <c r="W672" s="706"/>
      <c r="X672" s="266"/>
    </row>
    <row r="673" spans="1:24" s="450" customFormat="1" ht="39" x14ac:dyDescent="0.25">
      <c r="A673" s="680"/>
      <c r="B673" s="284" t="s">
        <v>489</v>
      </c>
      <c r="C673" s="595" t="s">
        <v>19</v>
      </c>
      <c r="D673" s="467" t="s">
        <v>398</v>
      </c>
      <c r="E673" s="468">
        <v>0.5</v>
      </c>
      <c r="F673" s="468">
        <v>500</v>
      </c>
      <c r="G673" s="468">
        <v>12</v>
      </c>
      <c r="H673" s="451">
        <f>SFCG!H124</f>
        <v>3000</v>
      </c>
      <c r="I673" s="675"/>
      <c r="J673" s="710">
        <v>0.5</v>
      </c>
      <c r="K673" s="710">
        <f t="shared" ref="K673:K677" si="285">F673</f>
        <v>500</v>
      </c>
      <c r="L673" s="710">
        <v>12</v>
      </c>
      <c r="M673" s="1834">
        <f>SFCG!M124+SFCG!N124</f>
        <v>5100</v>
      </c>
      <c r="N673" s="697"/>
      <c r="O673" s="2925">
        <f t="shared" si="282"/>
        <v>8100</v>
      </c>
      <c r="P673" s="697">
        <v>0</v>
      </c>
      <c r="Q673" s="709">
        <f t="shared" ref="Q673:Q706" si="286">O673*P673</f>
        <v>0</v>
      </c>
      <c r="R673" s="1145" t="s">
        <v>1218</v>
      </c>
      <c r="S673" s="706">
        <f>SFCG!T124</f>
        <v>11259.25</v>
      </c>
      <c r="T673" s="1071">
        <f t="shared" si="283"/>
        <v>1.390030864197531</v>
      </c>
      <c r="U673" s="595" t="s">
        <v>487</v>
      </c>
      <c r="V673" s="591">
        <v>0</v>
      </c>
      <c r="W673" s="706">
        <f t="shared" si="284"/>
        <v>0</v>
      </c>
      <c r="X673" s="266" t="s">
        <v>1117</v>
      </c>
    </row>
    <row r="674" spans="1:24" s="450" customFormat="1" ht="26" x14ac:dyDescent="0.25">
      <c r="A674" s="680"/>
      <c r="B674" s="284" t="s">
        <v>490</v>
      </c>
      <c r="C674" s="595" t="s">
        <v>19</v>
      </c>
      <c r="D674" s="731" t="s">
        <v>398</v>
      </c>
      <c r="E674" s="468">
        <v>0.5</v>
      </c>
      <c r="F674" s="689">
        <v>900</v>
      </c>
      <c r="G674" s="468">
        <v>12</v>
      </c>
      <c r="H674" s="451">
        <f>SFCG!H125</f>
        <v>5400</v>
      </c>
      <c r="I674" s="675"/>
      <c r="J674" s="710">
        <v>0.5</v>
      </c>
      <c r="K674" s="710">
        <f t="shared" si="285"/>
        <v>900</v>
      </c>
      <c r="L674" s="710">
        <v>12</v>
      </c>
      <c r="M674" s="1834">
        <f>SFCG!M125+SFCG!N125</f>
        <v>12600</v>
      </c>
      <c r="N674" s="697"/>
      <c r="O674" s="2925">
        <f t="shared" si="282"/>
        <v>18000</v>
      </c>
      <c r="P674" s="697">
        <v>0</v>
      </c>
      <c r="Q674" s="709">
        <f t="shared" si="286"/>
        <v>0</v>
      </c>
      <c r="R674" s="1145" t="s">
        <v>1219</v>
      </c>
      <c r="S674" s="706">
        <f>SFCG!T125</f>
        <v>7499.5</v>
      </c>
      <c r="T674" s="1071">
        <f t="shared" si="283"/>
        <v>0.41663888888888889</v>
      </c>
      <c r="U674" s="595" t="s">
        <v>491</v>
      </c>
      <c r="V674" s="591">
        <v>0</v>
      </c>
      <c r="W674" s="706">
        <f t="shared" si="284"/>
        <v>0</v>
      </c>
      <c r="X674" s="266"/>
    </row>
    <row r="675" spans="1:24" s="450" customFormat="1" ht="39" x14ac:dyDescent="0.25">
      <c r="A675" s="680"/>
      <c r="B675" s="284" t="s">
        <v>492</v>
      </c>
      <c r="C675" s="595" t="s">
        <v>19</v>
      </c>
      <c r="D675" s="731" t="s">
        <v>398</v>
      </c>
      <c r="E675" s="468">
        <v>7.0000000000000007E-2</v>
      </c>
      <c r="F675" s="689">
        <v>4800</v>
      </c>
      <c r="G675" s="468">
        <v>12</v>
      </c>
      <c r="H675" s="451">
        <f>SFCG!H126</f>
        <v>4032.0000000000009</v>
      </c>
      <c r="I675" s="675"/>
      <c r="J675" s="710">
        <v>7.0000000000000007E-2</v>
      </c>
      <c r="K675" s="710">
        <f t="shared" si="285"/>
        <v>4800</v>
      </c>
      <c r="L675" s="710">
        <v>12</v>
      </c>
      <c r="M675" s="1834">
        <f>SFCG!M126+SFCG!N126</f>
        <v>4032.0000000000009</v>
      </c>
      <c r="N675" s="697"/>
      <c r="O675" s="2925">
        <f t="shared" si="282"/>
        <v>8064.0000000000018</v>
      </c>
      <c r="P675" s="697">
        <v>0</v>
      </c>
      <c r="Q675" s="709">
        <f t="shared" si="286"/>
        <v>0</v>
      </c>
      <c r="R675" s="1145" t="s">
        <v>1220</v>
      </c>
      <c r="S675" s="706">
        <f>SFCG!T126</f>
        <v>8098.5199999999986</v>
      </c>
      <c r="T675" s="1071">
        <f t="shared" si="283"/>
        <v>1.0042807539682537</v>
      </c>
      <c r="U675" s="595" t="s">
        <v>491</v>
      </c>
      <c r="V675" s="591">
        <v>0</v>
      </c>
      <c r="W675" s="706">
        <f t="shared" si="284"/>
        <v>0</v>
      </c>
      <c r="X675" s="266"/>
    </row>
    <row r="676" spans="1:24" s="450" customFormat="1" ht="26" x14ac:dyDescent="0.25">
      <c r="A676" s="680"/>
      <c r="B676" s="284" t="s">
        <v>493</v>
      </c>
      <c r="C676" s="595" t="s">
        <v>19</v>
      </c>
      <c r="D676" s="731" t="s">
        <v>398</v>
      </c>
      <c r="E676" s="468">
        <v>0.5</v>
      </c>
      <c r="F676" s="689">
        <v>500</v>
      </c>
      <c r="G676" s="468">
        <v>12</v>
      </c>
      <c r="H676" s="451">
        <f>SFCG!H127</f>
        <v>3000</v>
      </c>
      <c r="I676" s="675"/>
      <c r="J676" s="710">
        <v>0.5</v>
      </c>
      <c r="K676" s="710">
        <f t="shared" si="285"/>
        <v>500</v>
      </c>
      <c r="L676" s="710">
        <v>12</v>
      </c>
      <c r="M676" s="1834">
        <f>SFCG!M127+SFCG!N127</f>
        <v>3540</v>
      </c>
      <c r="N676" s="697"/>
      <c r="O676" s="2925">
        <f t="shared" si="282"/>
        <v>6540</v>
      </c>
      <c r="P676" s="697">
        <v>0</v>
      </c>
      <c r="Q676" s="709">
        <f t="shared" si="286"/>
        <v>0</v>
      </c>
      <c r="R676" s="1145" t="s">
        <v>1221</v>
      </c>
      <c r="S676" s="706">
        <f>SFCG!T127</f>
        <v>7550.4499999999989</v>
      </c>
      <c r="T676" s="1071">
        <f t="shared" si="283"/>
        <v>1.1545030581039755</v>
      </c>
      <c r="U676" s="595" t="s">
        <v>494</v>
      </c>
      <c r="V676" s="591">
        <v>0</v>
      </c>
      <c r="W676" s="706">
        <f t="shared" si="284"/>
        <v>0</v>
      </c>
      <c r="X676" s="266"/>
    </row>
    <row r="677" spans="1:24" s="450" customFormat="1" ht="26" x14ac:dyDescent="0.25">
      <c r="A677" s="680"/>
      <c r="B677" s="284" t="s">
        <v>495</v>
      </c>
      <c r="C677" s="595" t="s">
        <v>19</v>
      </c>
      <c r="D677" s="731" t="s">
        <v>398</v>
      </c>
      <c r="E677" s="468">
        <v>0.5</v>
      </c>
      <c r="F677" s="689">
        <v>900</v>
      </c>
      <c r="G677" s="468">
        <v>12</v>
      </c>
      <c r="H677" s="451">
        <f>SFCG!H128</f>
        <v>5400</v>
      </c>
      <c r="I677" s="675"/>
      <c r="J677" s="710">
        <v>0.5</v>
      </c>
      <c r="K677" s="710">
        <f t="shared" si="285"/>
        <v>900</v>
      </c>
      <c r="L677" s="710">
        <v>12</v>
      </c>
      <c r="M677" s="1834">
        <f>SFCG!M128+SFCG!N128</f>
        <v>6600</v>
      </c>
      <c r="N677" s="697"/>
      <c r="O677" s="2925">
        <f t="shared" si="282"/>
        <v>12000</v>
      </c>
      <c r="P677" s="697">
        <v>0</v>
      </c>
      <c r="Q677" s="709">
        <f t="shared" si="286"/>
        <v>0</v>
      </c>
      <c r="R677" s="1145" t="s">
        <v>1222</v>
      </c>
      <c r="S677" s="706">
        <f>SFCG!T128</f>
        <v>14508.42</v>
      </c>
      <c r="T677" s="1071">
        <f t="shared" si="283"/>
        <v>1.2090350000000001</v>
      </c>
      <c r="U677" s="595" t="s">
        <v>491</v>
      </c>
      <c r="V677" s="591">
        <v>0</v>
      </c>
      <c r="W677" s="706">
        <f t="shared" si="284"/>
        <v>0</v>
      </c>
      <c r="X677" s="266"/>
    </row>
    <row r="678" spans="1:24" s="450" customFormat="1" ht="117" x14ac:dyDescent="0.25">
      <c r="A678" s="680"/>
      <c r="B678" s="284" t="s">
        <v>496</v>
      </c>
      <c r="C678" s="595" t="s">
        <v>19</v>
      </c>
      <c r="D678" s="467" t="s">
        <v>398</v>
      </c>
      <c r="E678" s="468">
        <v>1</v>
      </c>
      <c r="F678" s="468">
        <v>645</v>
      </c>
      <c r="G678" s="468">
        <v>12</v>
      </c>
      <c r="H678" s="451">
        <f>SFCG!H129</f>
        <v>7740</v>
      </c>
      <c r="I678" s="675"/>
      <c r="J678" s="710">
        <v>1</v>
      </c>
      <c r="K678" s="710">
        <v>460</v>
      </c>
      <c r="L678" s="710">
        <v>12</v>
      </c>
      <c r="M678" s="1834">
        <f>SFCG!M129+SFCG!N129</f>
        <v>5520</v>
      </c>
      <c r="N678" s="697"/>
      <c r="O678" s="2925">
        <f t="shared" si="282"/>
        <v>13260</v>
      </c>
      <c r="P678" s="697">
        <v>0</v>
      </c>
      <c r="Q678" s="709">
        <f t="shared" si="286"/>
        <v>0</v>
      </c>
      <c r="R678" s="1145" t="s">
        <v>1223</v>
      </c>
      <c r="S678" s="706">
        <f>SFCG!T129</f>
        <v>19651.299999999996</v>
      </c>
      <c r="T678" s="1071">
        <f t="shared" si="283"/>
        <v>1.4819984917043738</v>
      </c>
      <c r="U678" s="595" t="s">
        <v>491</v>
      </c>
      <c r="V678" s="591">
        <v>0</v>
      </c>
      <c r="W678" s="706">
        <f t="shared" si="284"/>
        <v>0</v>
      </c>
      <c r="X678" s="266"/>
    </row>
    <row r="679" spans="1:24" s="450" customFormat="1" ht="91" x14ac:dyDescent="0.25">
      <c r="A679" s="680"/>
      <c r="B679" s="284" t="s">
        <v>497</v>
      </c>
      <c r="C679" s="595" t="s">
        <v>19</v>
      </c>
      <c r="D679" s="467" t="s">
        <v>398</v>
      </c>
      <c r="E679" s="468">
        <v>1</v>
      </c>
      <c r="F679" s="468">
        <v>188</v>
      </c>
      <c r="G679" s="468">
        <v>12</v>
      </c>
      <c r="H679" s="451">
        <f>SFCG!H130</f>
        <v>2256</v>
      </c>
      <c r="I679" s="675"/>
      <c r="J679" s="710">
        <v>1</v>
      </c>
      <c r="K679" s="710">
        <f>F679</f>
        <v>188</v>
      </c>
      <c r="L679" s="710">
        <v>12</v>
      </c>
      <c r="M679" s="1834">
        <f>SFCG!M130+SFCG!N130</f>
        <v>2256</v>
      </c>
      <c r="N679" s="697"/>
      <c r="O679" s="2925">
        <f t="shared" si="282"/>
        <v>4512</v>
      </c>
      <c r="P679" s="697">
        <v>0</v>
      </c>
      <c r="Q679" s="709">
        <f t="shared" si="286"/>
        <v>0</v>
      </c>
      <c r="R679" s="1145" t="s">
        <v>1224</v>
      </c>
      <c r="S679" s="706">
        <f>SFCG!T130</f>
        <v>5983.8499999999995</v>
      </c>
      <c r="T679" s="1071">
        <f t="shared" si="283"/>
        <v>1.3262078900709218</v>
      </c>
      <c r="U679" s="595" t="s">
        <v>498</v>
      </c>
      <c r="V679" s="591">
        <v>0</v>
      </c>
      <c r="W679" s="706">
        <f t="shared" si="284"/>
        <v>0</v>
      </c>
      <c r="X679" s="266"/>
    </row>
    <row r="680" spans="1:24" s="450" customFormat="1" ht="26" x14ac:dyDescent="0.25">
      <c r="A680" s="680"/>
      <c r="B680" s="466" t="s">
        <v>362</v>
      </c>
      <c r="C680" s="1720"/>
      <c r="D680" s="1820" t="s">
        <v>1373</v>
      </c>
      <c r="E680" s="1821"/>
      <c r="F680" s="1822"/>
      <c r="G680" s="266"/>
      <c r="H680" s="1829"/>
      <c r="I680" s="1060"/>
      <c r="J680" s="710"/>
      <c r="K680" s="710"/>
      <c r="L680" s="710"/>
      <c r="M680" s="1834"/>
      <c r="N680" s="697"/>
      <c r="O680" s="2925"/>
      <c r="P680" s="697"/>
      <c r="Q680" s="709"/>
      <c r="R680" s="522"/>
      <c r="S680" s="706"/>
      <c r="T680" s="1071"/>
      <c r="U680" s="595"/>
      <c r="V680" s="591">
        <v>0</v>
      </c>
      <c r="W680" s="706">
        <f t="shared" si="284"/>
        <v>0</v>
      </c>
      <c r="X680" s="266"/>
    </row>
    <row r="681" spans="1:24" s="450" customFormat="1" ht="65" x14ac:dyDescent="0.25">
      <c r="A681" s="680"/>
      <c r="B681" s="284" t="s">
        <v>1303</v>
      </c>
      <c r="C681" s="1720" t="s">
        <v>19</v>
      </c>
      <c r="D681" s="1820" t="s">
        <v>1373</v>
      </c>
      <c r="E681" s="1821">
        <v>1</v>
      </c>
      <c r="F681" s="1822">
        <f>(750+350+300)*3%</f>
        <v>42</v>
      </c>
      <c r="G681" s="266">
        <v>12</v>
      </c>
      <c r="H681" s="1829">
        <f>O681/2</f>
        <v>1953</v>
      </c>
      <c r="I681" s="1060"/>
      <c r="J681" s="710">
        <v>1</v>
      </c>
      <c r="K681" s="710">
        <v>42</v>
      </c>
      <c r="L681" s="710">
        <v>12</v>
      </c>
      <c r="M681" s="1834">
        <f>H681</f>
        <v>1953</v>
      </c>
      <c r="N681" s="697">
        <v>0</v>
      </c>
      <c r="O681" s="2925">
        <v>3906</v>
      </c>
      <c r="P681" s="675">
        <v>0</v>
      </c>
      <c r="Q681" s="709">
        <f t="shared" si="286"/>
        <v>0</v>
      </c>
      <c r="R681" s="1810" t="s">
        <v>364</v>
      </c>
      <c r="S681" s="706">
        <f>'MERCY COPRS'!H154</f>
        <v>3830.2300000000005</v>
      </c>
      <c r="T681" s="1071">
        <f t="shared" si="283"/>
        <v>0.98060163850486448</v>
      </c>
      <c r="U681" s="595"/>
      <c r="V681" s="591">
        <v>0</v>
      </c>
      <c r="W681" s="706">
        <f t="shared" si="284"/>
        <v>0</v>
      </c>
      <c r="X681" s="266"/>
    </row>
    <row r="682" spans="1:24" s="450" customFormat="1" ht="26" x14ac:dyDescent="0.25">
      <c r="A682" s="680"/>
      <c r="B682" s="284" t="s">
        <v>365</v>
      </c>
      <c r="C682" s="1720" t="s">
        <v>19</v>
      </c>
      <c r="D682" s="1820" t="s">
        <v>1373</v>
      </c>
      <c r="E682" s="1821">
        <v>1</v>
      </c>
      <c r="F682" s="1822">
        <f>2500*3%</f>
        <v>75</v>
      </c>
      <c r="G682" s="266">
        <v>12</v>
      </c>
      <c r="H682" s="1829">
        <f t="shared" ref="H682:H696" si="287">O682/2</f>
        <v>630</v>
      </c>
      <c r="I682" s="1060"/>
      <c r="J682" s="710">
        <v>1</v>
      </c>
      <c r="K682" s="710">
        <v>75</v>
      </c>
      <c r="L682" s="710">
        <v>12</v>
      </c>
      <c r="M682" s="1834">
        <f t="shared" ref="M682:M696" si="288">H682</f>
        <v>630</v>
      </c>
      <c r="N682" s="697">
        <v>0</v>
      </c>
      <c r="O682" s="2925">
        <v>1260</v>
      </c>
      <c r="P682" s="675">
        <v>0</v>
      </c>
      <c r="Q682" s="709">
        <f t="shared" si="286"/>
        <v>0</v>
      </c>
      <c r="R682" s="1810" t="s">
        <v>366</v>
      </c>
      <c r="S682" s="706">
        <f>'MERCY COPRS'!H155</f>
        <v>465.25000000000006</v>
      </c>
      <c r="T682" s="1071">
        <f t="shared" si="283"/>
        <v>0.36924603174603177</v>
      </c>
      <c r="U682" s="595"/>
      <c r="V682" s="591">
        <v>0</v>
      </c>
      <c r="W682" s="706">
        <f t="shared" si="284"/>
        <v>0</v>
      </c>
      <c r="X682" s="266"/>
    </row>
    <row r="683" spans="1:24" s="450" customFormat="1" ht="91" x14ac:dyDescent="0.25">
      <c r="A683" s="680"/>
      <c r="B683" s="284" t="s">
        <v>367</v>
      </c>
      <c r="C683" s="1720" t="s">
        <v>19</v>
      </c>
      <c r="D683" s="1820" t="s">
        <v>1373</v>
      </c>
      <c r="E683" s="1821">
        <v>1</v>
      </c>
      <c r="F683" s="1822">
        <f>8000*3%</f>
        <v>240</v>
      </c>
      <c r="G683" s="266">
        <v>12</v>
      </c>
      <c r="H683" s="1829">
        <f t="shared" si="287"/>
        <v>5040</v>
      </c>
      <c r="I683" s="1060"/>
      <c r="J683" s="710">
        <v>1</v>
      </c>
      <c r="K683" s="710">
        <v>240</v>
      </c>
      <c r="L683" s="710">
        <v>12</v>
      </c>
      <c r="M683" s="1834">
        <f t="shared" si="288"/>
        <v>5040</v>
      </c>
      <c r="N683" s="697">
        <v>0</v>
      </c>
      <c r="O683" s="2925">
        <v>10080</v>
      </c>
      <c r="P683" s="675">
        <v>0</v>
      </c>
      <c r="Q683" s="709">
        <f t="shared" si="286"/>
        <v>0</v>
      </c>
      <c r="R683" s="1810" t="s">
        <v>368</v>
      </c>
      <c r="S683" s="706">
        <f>'MERCY COPRS'!H156</f>
        <v>9854.2400000000016</v>
      </c>
      <c r="T683" s="1071">
        <f t="shared" si="283"/>
        <v>0.97760317460317481</v>
      </c>
      <c r="U683" s="595"/>
      <c r="V683" s="591">
        <v>0</v>
      </c>
      <c r="W683" s="706">
        <f t="shared" si="284"/>
        <v>0</v>
      </c>
      <c r="X683" s="266"/>
    </row>
    <row r="684" spans="1:24" s="450" customFormat="1" ht="39" x14ac:dyDescent="0.25">
      <c r="A684" s="680"/>
      <c r="B684" s="284" t="s">
        <v>369</v>
      </c>
      <c r="C684" s="1720" t="s">
        <v>19</v>
      </c>
      <c r="D684" s="1820" t="s">
        <v>1373</v>
      </c>
      <c r="E684" s="1821">
        <v>1</v>
      </c>
      <c r="F684" s="1822">
        <f>4000*3%</f>
        <v>120</v>
      </c>
      <c r="G684" s="266">
        <v>12</v>
      </c>
      <c r="H684" s="1829">
        <f t="shared" si="287"/>
        <v>2520</v>
      </c>
      <c r="I684" s="1060"/>
      <c r="J684" s="710">
        <v>1</v>
      </c>
      <c r="K684" s="710">
        <v>120</v>
      </c>
      <c r="L684" s="710">
        <v>12</v>
      </c>
      <c r="M684" s="1834">
        <f t="shared" si="288"/>
        <v>2520</v>
      </c>
      <c r="N684" s="697">
        <v>0</v>
      </c>
      <c r="O684" s="2925">
        <v>5040</v>
      </c>
      <c r="P684" s="675">
        <v>0</v>
      </c>
      <c r="Q684" s="709">
        <f t="shared" si="286"/>
        <v>0</v>
      </c>
      <c r="R684" s="1810" t="s">
        <v>370</v>
      </c>
      <c r="S684" s="706">
        <f>'MERCY COPRS'!H157</f>
        <v>4244.72</v>
      </c>
      <c r="T684" s="1071">
        <f t="shared" si="283"/>
        <v>0.84220634920634929</v>
      </c>
      <c r="U684" s="595"/>
      <c r="V684" s="591">
        <v>0</v>
      </c>
      <c r="W684" s="706">
        <f t="shared" si="284"/>
        <v>0</v>
      </c>
      <c r="X684" s="266"/>
    </row>
    <row r="685" spans="1:24" s="450" customFormat="1" ht="104" x14ac:dyDescent="0.25">
      <c r="A685" s="680"/>
      <c r="B685" s="284" t="s">
        <v>371</v>
      </c>
      <c r="C685" s="1720" t="s">
        <v>19</v>
      </c>
      <c r="D685" s="1820" t="s">
        <v>1373</v>
      </c>
      <c r="E685" s="1821">
        <v>1</v>
      </c>
      <c r="F685" s="1822">
        <f>5000*3%</f>
        <v>150</v>
      </c>
      <c r="G685" s="266">
        <v>12</v>
      </c>
      <c r="H685" s="1829">
        <f t="shared" si="287"/>
        <v>2268</v>
      </c>
      <c r="I685" s="1060"/>
      <c r="J685" s="710">
        <v>1</v>
      </c>
      <c r="K685" s="710">
        <v>150</v>
      </c>
      <c r="L685" s="710">
        <v>12</v>
      </c>
      <c r="M685" s="1834">
        <f t="shared" si="288"/>
        <v>2268</v>
      </c>
      <c r="N685" s="697">
        <v>0</v>
      </c>
      <c r="O685" s="2925">
        <v>4536</v>
      </c>
      <c r="P685" s="675">
        <v>0</v>
      </c>
      <c r="Q685" s="709">
        <f t="shared" si="286"/>
        <v>0</v>
      </c>
      <c r="R685" s="1810" t="s">
        <v>372</v>
      </c>
      <c r="S685" s="706">
        <f>'MERCY COPRS'!H158</f>
        <v>4696.0000000000437</v>
      </c>
      <c r="T685" s="1071">
        <f t="shared" si="283"/>
        <v>1.0352733686067115</v>
      </c>
      <c r="U685" s="595"/>
      <c r="V685" s="591">
        <v>0</v>
      </c>
      <c r="W685" s="706">
        <f t="shared" si="284"/>
        <v>0</v>
      </c>
      <c r="X685" s="266"/>
    </row>
    <row r="686" spans="1:24" s="450" customFormat="1" ht="26" x14ac:dyDescent="0.25">
      <c r="A686" s="680"/>
      <c r="B686" s="284" t="s">
        <v>373</v>
      </c>
      <c r="C686" s="1720" t="s">
        <v>19</v>
      </c>
      <c r="D686" s="1820" t="s">
        <v>1373</v>
      </c>
      <c r="E686" s="1821">
        <v>1</v>
      </c>
      <c r="F686" s="1822">
        <f>9000*3%</f>
        <v>270</v>
      </c>
      <c r="G686" s="266">
        <v>12</v>
      </c>
      <c r="H686" s="1829">
        <f t="shared" si="287"/>
        <v>2520</v>
      </c>
      <c r="I686" s="1060"/>
      <c r="J686" s="710">
        <v>1</v>
      </c>
      <c r="K686" s="710">
        <v>270</v>
      </c>
      <c r="L686" s="710">
        <v>12</v>
      </c>
      <c r="M686" s="1834">
        <f t="shared" si="288"/>
        <v>2520</v>
      </c>
      <c r="N686" s="697">
        <v>0</v>
      </c>
      <c r="O686" s="2925">
        <v>5040</v>
      </c>
      <c r="P686" s="675">
        <v>0</v>
      </c>
      <c r="Q686" s="709">
        <f t="shared" si="286"/>
        <v>0</v>
      </c>
      <c r="R686" s="1810" t="s">
        <v>374</v>
      </c>
      <c r="S686" s="706">
        <f>'MERCY COPRS'!H159</f>
        <v>3487.49</v>
      </c>
      <c r="T686" s="1071">
        <f t="shared" si="283"/>
        <v>0.69196230158730154</v>
      </c>
      <c r="U686" s="595"/>
      <c r="V686" s="591">
        <v>0</v>
      </c>
      <c r="W686" s="706">
        <f t="shared" si="284"/>
        <v>0</v>
      </c>
      <c r="X686" s="266"/>
    </row>
    <row r="687" spans="1:24" s="450" customFormat="1" ht="26" x14ac:dyDescent="0.25">
      <c r="A687" s="680"/>
      <c r="B687" s="284" t="s">
        <v>375</v>
      </c>
      <c r="C687" s="1720" t="s">
        <v>19</v>
      </c>
      <c r="D687" s="1820" t="s">
        <v>1373</v>
      </c>
      <c r="E687" s="1821">
        <v>1</v>
      </c>
      <c r="F687" s="1822">
        <f>4000*3%</f>
        <v>120</v>
      </c>
      <c r="G687" s="266">
        <v>12</v>
      </c>
      <c r="H687" s="1829">
        <f t="shared" si="287"/>
        <v>1890</v>
      </c>
      <c r="I687" s="1060"/>
      <c r="J687" s="710">
        <v>1</v>
      </c>
      <c r="K687" s="710">
        <v>120</v>
      </c>
      <c r="L687" s="710">
        <v>12</v>
      </c>
      <c r="M687" s="1834">
        <f t="shared" si="288"/>
        <v>1890</v>
      </c>
      <c r="N687" s="697">
        <v>0</v>
      </c>
      <c r="O687" s="2925">
        <v>3780</v>
      </c>
      <c r="P687" s="675">
        <v>0</v>
      </c>
      <c r="Q687" s="709">
        <f t="shared" si="286"/>
        <v>0</v>
      </c>
      <c r="R687" s="1810" t="s">
        <v>366</v>
      </c>
      <c r="S687" s="706">
        <f>'MERCY COPRS'!H160</f>
        <v>5204.9900000000007</v>
      </c>
      <c r="T687" s="1071">
        <f t="shared" si="283"/>
        <v>1.3769814814814816</v>
      </c>
      <c r="U687" s="595"/>
      <c r="V687" s="591">
        <v>0</v>
      </c>
      <c r="W687" s="706">
        <f t="shared" si="284"/>
        <v>0</v>
      </c>
      <c r="X687" s="266"/>
    </row>
    <row r="688" spans="1:24" s="450" customFormat="1" ht="26" x14ac:dyDescent="0.25">
      <c r="A688" s="680"/>
      <c r="B688" s="466" t="s">
        <v>376</v>
      </c>
      <c r="C688" s="1720"/>
      <c r="D688" s="1820" t="s">
        <v>1373</v>
      </c>
      <c r="E688" s="1821"/>
      <c r="F688" s="1822"/>
      <c r="G688" s="266"/>
      <c r="H688" s="1829">
        <f t="shared" si="287"/>
        <v>0</v>
      </c>
      <c r="I688" s="1060"/>
      <c r="J688" s="710"/>
      <c r="K688" s="710"/>
      <c r="L688" s="710"/>
      <c r="M688" s="1834">
        <f t="shared" si="288"/>
        <v>0</v>
      </c>
      <c r="N688" s="697">
        <v>0</v>
      </c>
      <c r="O688" s="2925"/>
      <c r="P688" s="675">
        <v>0</v>
      </c>
      <c r="Q688" s="709">
        <f t="shared" si="286"/>
        <v>0</v>
      </c>
      <c r="R688" s="1810"/>
      <c r="S688" s="706"/>
      <c r="T688" s="1071"/>
      <c r="U688" s="595"/>
      <c r="V688" s="591">
        <v>0</v>
      </c>
      <c r="W688" s="706">
        <f t="shared" si="284"/>
        <v>0</v>
      </c>
      <c r="X688" s="266"/>
    </row>
    <row r="689" spans="1:485" s="450" customFormat="1" ht="52" x14ac:dyDescent="0.25">
      <c r="A689" s="680"/>
      <c r="B689" s="284" t="s">
        <v>377</v>
      </c>
      <c r="C689" s="1720" t="s">
        <v>19</v>
      </c>
      <c r="D689" s="1820" t="s">
        <v>1373</v>
      </c>
      <c r="E689" s="1821">
        <v>1</v>
      </c>
      <c r="F689" s="1822">
        <f>5800*25%</f>
        <v>1450</v>
      </c>
      <c r="G689" s="266">
        <v>12</v>
      </c>
      <c r="H689" s="1829">
        <f t="shared" si="287"/>
        <v>8820</v>
      </c>
      <c r="I689" s="1060"/>
      <c r="J689" s="710">
        <v>1</v>
      </c>
      <c r="K689" s="710">
        <v>1450</v>
      </c>
      <c r="L689" s="710">
        <v>12</v>
      </c>
      <c r="M689" s="1834">
        <f t="shared" si="288"/>
        <v>8820</v>
      </c>
      <c r="N689" s="697">
        <v>0</v>
      </c>
      <c r="O689" s="2925">
        <v>17640</v>
      </c>
      <c r="P689" s="675">
        <v>0</v>
      </c>
      <c r="Q689" s="709">
        <f t="shared" si="286"/>
        <v>0</v>
      </c>
      <c r="R689" s="1810" t="s">
        <v>378</v>
      </c>
      <c r="S689" s="706">
        <f>'MERCY COPRS'!H162</f>
        <v>16610.16</v>
      </c>
      <c r="T689" s="1071">
        <f t="shared" si="283"/>
        <v>0.94161904761904758</v>
      </c>
      <c r="U689" s="595"/>
      <c r="V689" s="591">
        <v>0</v>
      </c>
      <c r="W689" s="706">
        <f t="shared" si="284"/>
        <v>0</v>
      </c>
      <c r="X689" s="266"/>
    </row>
    <row r="690" spans="1:485" s="450" customFormat="1" ht="26" x14ac:dyDescent="0.25">
      <c r="A690" s="680"/>
      <c r="B690" s="284" t="s">
        <v>379</v>
      </c>
      <c r="C690" s="1720" t="s">
        <v>19</v>
      </c>
      <c r="D690" s="1820" t="s">
        <v>1373</v>
      </c>
      <c r="E690" s="1821">
        <v>1</v>
      </c>
      <c r="F690" s="1822">
        <f>2000*25%</f>
        <v>500</v>
      </c>
      <c r="G690" s="266">
        <v>12</v>
      </c>
      <c r="H690" s="1829">
        <f t="shared" si="287"/>
        <v>6300</v>
      </c>
      <c r="I690" s="1060"/>
      <c r="J690" s="710">
        <v>1</v>
      </c>
      <c r="K690" s="710">
        <v>500</v>
      </c>
      <c r="L690" s="710">
        <v>12</v>
      </c>
      <c r="M690" s="1834">
        <f t="shared" si="288"/>
        <v>6300</v>
      </c>
      <c r="N690" s="697">
        <v>0</v>
      </c>
      <c r="O690" s="2925">
        <v>12600</v>
      </c>
      <c r="P690" s="675">
        <v>0</v>
      </c>
      <c r="Q690" s="709">
        <f t="shared" si="286"/>
        <v>0</v>
      </c>
      <c r="R690" s="1810" t="s">
        <v>380</v>
      </c>
      <c r="S690" s="706">
        <f>'MERCY COPRS'!H163</f>
        <v>11233.5</v>
      </c>
      <c r="T690" s="1071">
        <f t="shared" si="283"/>
        <v>0.89154761904761903</v>
      </c>
      <c r="U690" s="595"/>
      <c r="V690" s="591">
        <v>0</v>
      </c>
      <c r="W690" s="706">
        <f t="shared" si="284"/>
        <v>0</v>
      </c>
      <c r="X690" s="266"/>
    </row>
    <row r="691" spans="1:485" s="450" customFormat="1" ht="26" x14ac:dyDescent="0.25">
      <c r="A691" s="680"/>
      <c r="B691" s="284" t="s">
        <v>381</v>
      </c>
      <c r="C691" s="1720" t="s">
        <v>19</v>
      </c>
      <c r="D691" s="1820" t="s">
        <v>1373</v>
      </c>
      <c r="E691" s="1821">
        <v>1</v>
      </c>
      <c r="F691" s="1822">
        <v>689.24972526089221</v>
      </c>
      <c r="G691" s="266">
        <v>12</v>
      </c>
      <c r="H691" s="1829">
        <f t="shared" si="287"/>
        <v>2835</v>
      </c>
      <c r="I691" s="1060"/>
      <c r="J691" s="710">
        <v>1</v>
      </c>
      <c r="K691" s="710">
        <v>689.24972526089221</v>
      </c>
      <c r="L691" s="710">
        <v>12</v>
      </c>
      <c r="M691" s="1834">
        <f t="shared" si="288"/>
        <v>2835</v>
      </c>
      <c r="N691" s="697">
        <v>0</v>
      </c>
      <c r="O691" s="2925">
        <v>5670</v>
      </c>
      <c r="P691" s="675">
        <v>0</v>
      </c>
      <c r="Q691" s="709">
        <f t="shared" si="286"/>
        <v>0</v>
      </c>
      <c r="R691" s="1810" t="s">
        <v>382</v>
      </c>
      <c r="S691" s="706">
        <f>'MERCY COPRS'!H164</f>
        <v>4836.26</v>
      </c>
      <c r="T691" s="1071">
        <f t="shared" si="283"/>
        <v>0.85295590828924162</v>
      </c>
      <c r="U691" s="595"/>
      <c r="V691" s="591">
        <v>0</v>
      </c>
      <c r="W691" s="706">
        <f t="shared" si="284"/>
        <v>0</v>
      </c>
      <c r="X691" s="266"/>
    </row>
    <row r="692" spans="1:485" s="450" customFormat="1" ht="26" x14ac:dyDescent="0.25">
      <c r="A692" s="680"/>
      <c r="B692" s="284" t="s">
        <v>383</v>
      </c>
      <c r="C692" s="1720" t="s">
        <v>19</v>
      </c>
      <c r="D692" s="1820" t="s">
        <v>1373</v>
      </c>
      <c r="E692" s="1821">
        <v>2</v>
      </c>
      <c r="F692" s="1822">
        <f>800*33.3%</f>
        <v>266.39999999999998</v>
      </c>
      <c r="G692" s="266">
        <v>12</v>
      </c>
      <c r="H692" s="1829">
        <f t="shared" si="287"/>
        <v>3180</v>
      </c>
      <c r="I692" s="1060"/>
      <c r="J692" s="710">
        <v>2</v>
      </c>
      <c r="K692" s="710">
        <v>266.39999999999998</v>
      </c>
      <c r="L692" s="710">
        <v>12</v>
      </c>
      <c r="M692" s="1834">
        <f t="shared" si="288"/>
        <v>3180</v>
      </c>
      <c r="N692" s="697">
        <v>0</v>
      </c>
      <c r="O692" s="2925">
        <v>6360</v>
      </c>
      <c r="P692" s="675">
        <v>0</v>
      </c>
      <c r="Q692" s="709">
        <f t="shared" si="286"/>
        <v>0</v>
      </c>
      <c r="R692" s="1810" t="s">
        <v>384</v>
      </c>
      <c r="S692" s="706">
        <f>'MERCY COPRS'!H165</f>
        <v>3320.38</v>
      </c>
      <c r="T692" s="1071">
        <f t="shared" si="283"/>
        <v>0.52207232704402518</v>
      </c>
      <c r="U692" s="595"/>
      <c r="V692" s="591">
        <v>0</v>
      </c>
      <c r="W692" s="706">
        <f t="shared" si="284"/>
        <v>0</v>
      </c>
      <c r="X692" s="266"/>
    </row>
    <row r="693" spans="1:485" s="450" customFormat="1" ht="26" x14ac:dyDescent="0.25">
      <c r="A693" s="680"/>
      <c r="B693" s="284" t="s">
        <v>385</v>
      </c>
      <c r="C693" s="1720" t="s">
        <v>19</v>
      </c>
      <c r="D693" s="1820" t="s">
        <v>1373</v>
      </c>
      <c r="E693" s="1821">
        <v>1</v>
      </c>
      <c r="F693" s="1822">
        <f>400*100%</f>
        <v>400</v>
      </c>
      <c r="G693" s="266">
        <v>12</v>
      </c>
      <c r="H693" s="1829">
        <f t="shared" si="287"/>
        <v>3480</v>
      </c>
      <c r="I693" s="1060"/>
      <c r="J693" s="710">
        <v>1</v>
      </c>
      <c r="K693" s="710">
        <v>400</v>
      </c>
      <c r="L693" s="710">
        <v>12</v>
      </c>
      <c r="M693" s="1834">
        <f t="shared" si="288"/>
        <v>3480</v>
      </c>
      <c r="N693" s="697">
        <v>0</v>
      </c>
      <c r="O693" s="2925">
        <v>6960</v>
      </c>
      <c r="P693" s="675">
        <v>0</v>
      </c>
      <c r="Q693" s="709">
        <f t="shared" si="286"/>
        <v>0</v>
      </c>
      <c r="R693" s="1810" t="s">
        <v>386</v>
      </c>
      <c r="S693" s="706">
        <f>'MERCY COPRS'!H166</f>
        <v>3060.48</v>
      </c>
      <c r="T693" s="1071">
        <f t="shared" si="283"/>
        <v>0.43972413793103449</v>
      </c>
      <c r="U693" s="595"/>
      <c r="V693" s="591">
        <v>0</v>
      </c>
      <c r="W693" s="706">
        <f t="shared" si="284"/>
        <v>0</v>
      </c>
      <c r="X693" s="266"/>
    </row>
    <row r="694" spans="1:485" s="450" customFormat="1" ht="26" x14ac:dyDescent="0.25">
      <c r="A694" s="680"/>
      <c r="B694" s="284" t="s">
        <v>387</v>
      </c>
      <c r="C694" s="1720" t="s">
        <v>19</v>
      </c>
      <c r="D694" s="1820" t="s">
        <v>1373</v>
      </c>
      <c r="E694" s="1821">
        <v>1</v>
      </c>
      <c r="F694" s="1822">
        <v>200</v>
      </c>
      <c r="G694" s="266">
        <v>12</v>
      </c>
      <c r="H694" s="1829">
        <f t="shared" si="287"/>
        <v>1260</v>
      </c>
      <c r="I694" s="1060"/>
      <c r="J694" s="710">
        <v>1</v>
      </c>
      <c r="K694" s="710">
        <v>200</v>
      </c>
      <c r="L694" s="710">
        <v>12</v>
      </c>
      <c r="M694" s="1834">
        <f t="shared" si="288"/>
        <v>1260</v>
      </c>
      <c r="N694" s="697">
        <v>0</v>
      </c>
      <c r="O694" s="2925">
        <v>2520</v>
      </c>
      <c r="P694" s="675">
        <v>0</v>
      </c>
      <c r="Q694" s="709">
        <f t="shared" si="286"/>
        <v>0</v>
      </c>
      <c r="R694" s="1810" t="s">
        <v>388</v>
      </c>
      <c r="S694" s="706">
        <f>'MERCY COPRS'!H167</f>
        <v>120</v>
      </c>
      <c r="T694" s="1071">
        <f t="shared" si="283"/>
        <v>4.7619047619047616E-2</v>
      </c>
      <c r="U694" s="595"/>
      <c r="V694" s="591">
        <v>0</v>
      </c>
      <c r="W694" s="706">
        <f t="shared" si="284"/>
        <v>0</v>
      </c>
      <c r="X694" s="266"/>
    </row>
    <row r="695" spans="1:485" s="450" customFormat="1" ht="104" x14ac:dyDescent="0.25">
      <c r="A695" s="680"/>
      <c r="B695" s="284" t="s">
        <v>389</v>
      </c>
      <c r="C695" s="1720" t="s">
        <v>19</v>
      </c>
      <c r="D695" s="1820" t="s">
        <v>1373</v>
      </c>
      <c r="E695" s="1821">
        <v>1</v>
      </c>
      <c r="F695" s="1822">
        <f>400*100%</f>
        <v>400</v>
      </c>
      <c r="G695" s="266">
        <v>12</v>
      </c>
      <c r="H695" s="1829">
        <f t="shared" si="287"/>
        <v>15068.560000000001</v>
      </c>
      <c r="I695" s="1060"/>
      <c r="J695" s="710">
        <v>1</v>
      </c>
      <c r="K695" s="710">
        <v>400</v>
      </c>
      <c r="L695" s="710">
        <v>12</v>
      </c>
      <c r="M695" s="1834">
        <f t="shared" si="288"/>
        <v>15068.560000000001</v>
      </c>
      <c r="N695" s="697">
        <v>0</v>
      </c>
      <c r="O695" s="2925">
        <v>30137.120000000003</v>
      </c>
      <c r="P695" s="675">
        <v>0</v>
      </c>
      <c r="Q695" s="709">
        <f t="shared" si="286"/>
        <v>0</v>
      </c>
      <c r="R695" s="1810" t="s">
        <v>390</v>
      </c>
      <c r="S695" s="706">
        <f>'MERCY COPRS'!H168</f>
        <v>24929.94000000001</v>
      </c>
      <c r="T695" s="1071">
        <f t="shared" si="283"/>
        <v>0.82721706652792326</v>
      </c>
      <c r="U695" s="595"/>
      <c r="V695" s="591">
        <v>0</v>
      </c>
      <c r="W695" s="706">
        <f t="shared" si="284"/>
        <v>0</v>
      </c>
      <c r="X695" s="266"/>
    </row>
    <row r="696" spans="1:485" s="450" customFormat="1" ht="26" x14ac:dyDescent="0.25">
      <c r="A696" s="680"/>
      <c r="B696" s="284" t="s">
        <v>391</v>
      </c>
      <c r="C696" s="1720" t="s">
        <v>19</v>
      </c>
      <c r="D696" s="1820" t="s">
        <v>1373</v>
      </c>
      <c r="E696" s="1821">
        <v>1</v>
      </c>
      <c r="F696" s="1822">
        <f>300*100%</f>
        <v>300</v>
      </c>
      <c r="G696" s="266">
        <v>12</v>
      </c>
      <c r="H696" s="1829">
        <f t="shared" si="287"/>
        <v>4060</v>
      </c>
      <c r="I696" s="1060"/>
      <c r="J696" s="710">
        <v>1</v>
      </c>
      <c r="K696" s="710">
        <v>300</v>
      </c>
      <c r="L696" s="710">
        <v>12</v>
      </c>
      <c r="M696" s="1834">
        <f t="shared" si="288"/>
        <v>4060</v>
      </c>
      <c r="N696" s="697">
        <v>0</v>
      </c>
      <c r="O696" s="2925">
        <v>8120</v>
      </c>
      <c r="P696" s="675">
        <v>0</v>
      </c>
      <c r="Q696" s="709">
        <f t="shared" si="286"/>
        <v>0</v>
      </c>
      <c r="R696" s="1810" t="s">
        <v>388</v>
      </c>
      <c r="S696" s="706">
        <f>'MERCY COPRS'!H169</f>
        <v>5787.7100000000019</v>
      </c>
      <c r="T696" s="1071">
        <f t="shared" si="283"/>
        <v>0.7127721674876849</v>
      </c>
      <c r="U696" s="595"/>
      <c r="V696" s="591">
        <v>0</v>
      </c>
      <c r="W696" s="706">
        <f t="shared" si="284"/>
        <v>0</v>
      </c>
      <c r="X696" s="266"/>
    </row>
    <row r="697" spans="1:485" s="450" customFormat="1" ht="26" x14ac:dyDescent="0.25">
      <c r="A697" s="680"/>
      <c r="B697" s="595" t="s">
        <v>917</v>
      </c>
      <c r="C697" s="1720" t="s">
        <v>19</v>
      </c>
      <c r="D697" s="467" t="s">
        <v>724</v>
      </c>
      <c r="E697" s="724">
        <v>1</v>
      </c>
      <c r="F697" s="266">
        <v>90</v>
      </c>
      <c r="G697" s="266">
        <v>12</v>
      </c>
      <c r="H697" s="722">
        <f>CARITAS!H119</f>
        <v>1080</v>
      </c>
      <c r="I697" s="714"/>
      <c r="J697" s="437"/>
      <c r="K697" s="437"/>
      <c r="L697" s="437"/>
      <c r="M697" s="2875">
        <f>CARITAS!M119</f>
        <v>0</v>
      </c>
      <c r="N697" s="1784"/>
      <c r="O697" s="2925">
        <f t="shared" si="282"/>
        <v>1080</v>
      </c>
      <c r="P697" s="675">
        <v>0.5</v>
      </c>
      <c r="Q697" s="709">
        <f t="shared" si="286"/>
        <v>540</v>
      </c>
      <c r="R697" s="522" t="s">
        <v>913</v>
      </c>
      <c r="S697" s="1865">
        <f>CARITAS!S119</f>
        <v>5420.369999999999</v>
      </c>
      <c r="T697" s="1071">
        <f t="shared" si="283"/>
        <v>5.0188611111111099</v>
      </c>
      <c r="U697" s="595" t="s">
        <v>918</v>
      </c>
      <c r="V697" s="591">
        <f>+W697/Q697</f>
        <v>5.0188611111111099</v>
      </c>
      <c r="W697" s="706">
        <f t="shared" si="284"/>
        <v>2710.1849999999995</v>
      </c>
      <c r="X697" s="522" t="s">
        <v>913</v>
      </c>
    </row>
    <row r="698" spans="1:485" s="450" customFormat="1" ht="26" x14ac:dyDescent="0.25">
      <c r="A698" s="680"/>
      <c r="B698" s="595" t="s">
        <v>919</v>
      </c>
      <c r="C698" s="1720" t="s">
        <v>19</v>
      </c>
      <c r="D698" s="467" t="s">
        <v>724</v>
      </c>
      <c r="E698" s="724">
        <v>1</v>
      </c>
      <c r="F698" s="266">
        <v>875</v>
      </c>
      <c r="G698" s="266">
        <v>4</v>
      </c>
      <c r="H698" s="722">
        <f>CARITAS!H120</f>
        <v>3500</v>
      </c>
      <c r="I698" s="714"/>
      <c r="J698" s="437">
        <v>1</v>
      </c>
      <c r="K698" s="437">
        <v>875</v>
      </c>
      <c r="L698" s="437">
        <v>4</v>
      </c>
      <c r="M698" s="2875">
        <f>CARITAS!M120</f>
        <v>3500</v>
      </c>
      <c r="N698" s="714"/>
      <c r="O698" s="2925">
        <f t="shared" si="282"/>
        <v>7000</v>
      </c>
      <c r="P698" s="675">
        <v>0.5</v>
      </c>
      <c r="Q698" s="709">
        <f t="shared" si="286"/>
        <v>3500</v>
      </c>
      <c r="R698" s="522" t="s">
        <v>913</v>
      </c>
      <c r="S698" s="1865">
        <f>CARITAS!S120</f>
        <v>7000</v>
      </c>
      <c r="T698" s="1071">
        <f t="shared" si="283"/>
        <v>1</v>
      </c>
      <c r="U698" s="595" t="s">
        <v>920</v>
      </c>
      <c r="V698" s="591">
        <f t="shared" ref="V698:V703" si="289">+W698/Q698</f>
        <v>1</v>
      </c>
      <c r="W698" s="706">
        <f t="shared" si="284"/>
        <v>3500</v>
      </c>
      <c r="X698" s="522" t="s">
        <v>913</v>
      </c>
    </row>
    <row r="699" spans="1:485" s="450" customFormat="1" ht="26" x14ac:dyDescent="0.25">
      <c r="A699" s="680"/>
      <c r="B699" s="595" t="s">
        <v>921</v>
      </c>
      <c r="C699" s="1720" t="s">
        <v>19</v>
      </c>
      <c r="D699" s="467" t="s">
        <v>724</v>
      </c>
      <c r="E699" s="724">
        <v>1</v>
      </c>
      <c r="F699" s="266">
        <v>1600</v>
      </c>
      <c r="G699" s="266">
        <v>4</v>
      </c>
      <c r="H699" s="722">
        <f>CARITAS!H121</f>
        <v>6400</v>
      </c>
      <c r="I699" s="714"/>
      <c r="J699" s="437">
        <v>1</v>
      </c>
      <c r="K699" s="437">
        <v>1600</v>
      </c>
      <c r="L699" s="437">
        <v>4</v>
      </c>
      <c r="M699" s="2875">
        <f>CARITAS!M121</f>
        <v>6400</v>
      </c>
      <c r="N699" s="714"/>
      <c r="O699" s="2925">
        <f t="shared" si="282"/>
        <v>12800</v>
      </c>
      <c r="P699" s="675">
        <v>0.5</v>
      </c>
      <c r="Q699" s="709">
        <f t="shared" si="286"/>
        <v>6400</v>
      </c>
      <c r="R699" s="522" t="s">
        <v>913</v>
      </c>
      <c r="S699" s="1865">
        <f>CARITAS!S121</f>
        <v>7470</v>
      </c>
      <c r="T699" s="1071">
        <f t="shared" si="283"/>
        <v>0.58359375000000002</v>
      </c>
      <c r="U699" s="595" t="s">
        <v>922</v>
      </c>
      <c r="V699" s="591">
        <f t="shared" si="289"/>
        <v>0.58359375000000002</v>
      </c>
      <c r="W699" s="706">
        <f t="shared" si="284"/>
        <v>3735</v>
      </c>
      <c r="X699" s="522" t="s">
        <v>913</v>
      </c>
    </row>
    <row r="700" spans="1:485" s="450" customFormat="1" ht="52" x14ac:dyDescent="0.25">
      <c r="A700" s="680"/>
      <c r="B700" s="595" t="s">
        <v>923</v>
      </c>
      <c r="C700" s="1720" t="s">
        <v>19</v>
      </c>
      <c r="D700" s="467" t="s">
        <v>724</v>
      </c>
      <c r="E700" s="724">
        <v>7</v>
      </c>
      <c r="F700" s="266">
        <v>737.8</v>
      </c>
      <c r="G700" s="266">
        <v>1</v>
      </c>
      <c r="H700" s="722">
        <f>CARITAS!H122</f>
        <v>5164.5999999999995</v>
      </c>
      <c r="I700" s="714"/>
      <c r="J700" s="437">
        <v>7</v>
      </c>
      <c r="K700" s="437">
        <v>737.75</v>
      </c>
      <c r="L700" s="437">
        <v>1</v>
      </c>
      <c r="M700" s="2875">
        <f>CARITAS!M122</f>
        <v>5164.25</v>
      </c>
      <c r="N700" s="714"/>
      <c r="O700" s="2925">
        <f t="shared" si="282"/>
        <v>10328.849999999999</v>
      </c>
      <c r="P700" s="675">
        <v>0.5</v>
      </c>
      <c r="Q700" s="709">
        <f>O700*P700</f>
        <v>5164.4249999999993</v>
      </c>
      <c r="R700" s="522" t="s">
        <v>913</v>
      </c>
      <c r="S700" s="1865">
        <f>CARITAS!S122</f>
        <v>10328.41</v>
      </c>
      <c r="T700" s="1071">
        <f t="shared" si="283"/>
        <v>0.99995740087231411</v>
      </c>
      <c r="U700" s="595" t="s">
        <v>924</v>
      </c>
      <c r="V700" s="591">
        <f t="shared" si="289"/>
        <v>0.99995740087231411</v>
      </c>
      <c r="W700" s="706">
        <f t="shared" si="284"/>
        <v>5164.2049999999999</v>
      </c>
      <c r="X700" s="522" t="s">
        <v>913</v>
      </c>
    </row>
    <row r="701" spans="1:485" s="450" customFormat="1" ht="52" x14ac:dyDescent="0.25">
      <c r="A701" s="680"/>
      <c r="B701" s="595" t="s">
        <v>925</v>
      </c>
      <c r="C701" s="1720" t="s">
        <v>19</v>
      </c>
      <c r="D701" s="467" t="s">
        <v>724</v>
      </c>
      <c r="E701" s="724">
        <v>1</v>
      </c>
      <c r="F701" s="266">
        <v>2920</v>
      </c>
      <c r="G701" s="266">
        <v>4</v>
      </c>
      <c r="H701" s="722">
        <f>CARITAS!H123</f>
        <v>11680</v>
      </c>
      <c r="I701" s="714"/>
      <c r="J701" s="437">
        <v>1</v>
      </c>
      <c r="K701" s="437">
        <v>2920</v>
      </c>
      <c r="L701" s="437">
        <v>4</v>
      </c>
      <c r="M701" s="2875">
        <f>CARITAS!M123</f>
        <v>11680</v>
      </c>
      <c r="N701" s="714"/>
      <c r="O701" s="2925">
        <f t="shared" si="282"/>
        <v>23360</v>
      </c>
      <c r="P701" s="675">
        <v>0.5</v>
      </c>
      <c r="Q701" s="709">
        <f t="shared" si="286"/>
        <v>11680</v>
      </c>
      <c r="R701" s="522" t="s">
        <v>913</v>
      </c>
      <c r="S701" s="1865">
        <f>CARITAS!S123</f>
        <v>21322.55</v>
      </c>
      <c r="T701" s="1071">
        <f t="shared" si="283"/>
        <v>0.91278039383561638</v>
      </c>
      <c r="U701" s="595" t="s">
        <v>926</v>
      </c>
      <c r="V701" s="591">
        <f t="shared" si="289"/>
        <v>0.91278039383561638</v>
      </c>
      <c r="W701" s="706">
        <f t="shared" si="284"/>
        <v>10661.275</v>
      </c>
      <c r="X701" s="522" t="s">
        <v>913</v>
      </c>
    </row>
    <row r="702" spans="1:485" s="450" customFormat="1" ht="65" x14ac:dyDescent="0.25">
      <c r="A702" s="680"/>
      <c r="B702" s="284" t="s">
        <v>212</v>
      </c>
      <c r="C702" s="1720" t="s">
        <v>19</v>
      </c>
      <c r="D702" s="598" t="s">
        <v>955</v>
      </c>
      <c r="E702" s="468">
        <v>1</v>
      </c>
      <c r="F702" s="468">
        <v>4818.9975000000004</v>
      </c>
      <c r="G702" s="467">
        <v>4</v>
      </c>
      <c r="H702" s="451">
        <f t="shared" ref="H702:H703" si="290">E702*F702*G702</f>
        <v>19275.990000000002</v>
      </c>
      <c r="I702" s="675">
        <v>1</v>
      </c>
      <c r="J702" s="451">
        <v>1</v>
      </c>
      <c r="K702" s="451">
        <v>3378.1</v>
      </c>
      <c r="L702" s="451">
        <v>1</v>
      </c>
      <c r="M702" s="1834">
        <f t="shared" ref="M702:M703" si="291">J702*K702*L702</f>
        <v>3378.1</v>
      </c>
      <c r="N702" s="697">
        <v>1</v>
      </c>
      <c r="O702" s="2925">
        <f t="shared" si="282"/>
        <v>22654.09</v>
      </c>
      <c r="P702" s="675">
        <v>1</v>
      </c>
      <c r="Q702" s="709">
        <f t="shared" si="286"/>
        <v>22654.09</v>
      </c>
      <c r="R702" s="522" t="s">
        <v>1093</v>
      </c>
      <c r="S702" s="452">
        <f>COOPI!S108</f>
        <v>28829.591677999997</v>
      </c>
      <c r="T702" s="1071">
        <f t="shared" si="283"/>
        <v>1.2725998562731937</v>
      </c>
      <c r="U702" s="894" t="s">
        <v>1094</v>
      </c>
      <c r="V702" s="591">
        <f t="shared" si="289"/>
        <v>1.2725998562731937</v>
      </c>
      <c r="W702" s="706">
        <f t="shared" si="284"/>
        <v>28829.591677999997</v>
      </c>
      <c r="X702" s="453" t="s">
        <v>1094</v>
      </c>
      <c r="Y702" s="273"/>
      <c r="Z702" s="273"/>
      <c r="AA702" s="273"/>
      <c r="AB702" s="273"/>
      <c r="AC702" s="273"/>
      <c r="AD702" s="273"/>
      <c r="AE702" s="273"/>
      <c r="AF702" s="273"/>
      <c r="AG702" s="273"/>
      <c r="AH702" s="273"/>
      <c r="AI702" s="273"/>
      <c r="AJ702" s="273"/>
      <c r="AK702" s="273"/>
      <c r="AL702" s="273"/>
      <c r="AM702" s="273"/>
      <c r="AN702" s="273"/>
      <c r="AO702" s="273"/>
      <c r="AP702" s="273"/>
      <c r="AQ702" s="273"/>
      <c r="AR702" s="273"/>
      <c r="AS702" s="273"/>
      <c r="AT702" s="273"/>
      <c r="AU702" s="273"/>
      <c r="AV702" s="273"/>
      <c r="AW702" s="273"/>
      <c r="AX702" s="273"/>
      <c r="AY702" s="273"/>
      <c r="AZ702" s="273"/>
      <c r="BA702" s="273"/>
      <c r="BB702" s="273"/>
      <c r="BC702" s="273"/>
      <c r="BD702" s="273"/>
      <c r="BE702" s="273"/>
      <c r="BF702" s="273"/>
      <c r="BG702" s="273"/>
      <c r="BH702" s="273"/>
      <c r="BI702" s="273"/>
      <c r="BJ702" s="273"/>
      <c r="BK702" s="273"/>
      <c r="BL702" s="273"/>
      <c r="BM702" s="273"/>
      <c r="BN702" s="273"/>
      <c r="BO702" s="273"/>
      <c r="BP702" s="273"/>
      <c r="BQ702" s="273"/>
      <c r="BR702" s="273"/>
      <c r="BS702" s="273"/>
      <c r="BT702" s="273"/>
      <c r="BU702" s="273"/>
      <c r="BV702" s="273"/>
      <c r="BW702" s="273"/>
      <c r="BX702" s="273"/>
      <c r="BY702" s="273"/>
      <c r="BZ702" s="273"/>
      <c r="CA702" s="273"/>
      <c r="CB702" s="273"/>
      <c r="CC702" s="273"/>
      <c r="CD702" s="273"/>
      <c r="CE702" s="273"/>
      <c r="CF702" s="273"/>
      <c r="CG702" s="273"/>
      <c r="CH702" s="273"/>
      <c r="CI702" s="273"/>
      <c r="CJ702" s="273"/>
      <c r="CK702" s="273"/>
      <c r="CL702" s="273"/>
      <c r="CM702" s="273"/>
      <c r="CN702" s="273"/>
      <c r="CO702" s="273"/>
      <c r="CP702" s="273"/>
      <c r="CQ702" s="273"/>
      <c r="CR702" s="273"/>
      <c r="CS702" s="273"/>
      <c r="CT702" s="273"/>
      <c r="CU702" s="273"/>
      <c r="CV702" s="273"/>
      <c r="CW702" s="273"/>
      <c r="CX702" s="273"/>
      <c r="CY702" s="273"/>
      <c r="CZ702" s="273"/>
      <c r="DA702" s="273"/>
      <c r="DB702" s="273"/>
      <c r="DC702" s="273"/>
      <c r="DD702" s="273"/>
      <c r="DE702" s="273"/>
      <c r="DF702" s="273"/>
      <c r="DG702" s="273"/>
      <c r="DH702" s="273"/>
      <c r="DI702" s="273"/>
      <c r="DJ702" s="273"/>
      <c r="DK702" s="273"/>
      <c r="DL702" s="273"/>
      <c r="DM702" s="273"/>
      <c r="DN702" s="273"/>
      <c r="DO702" s="273"/>
      <c r="DP702" s="273"/>
      <c r="DQ702" s="273"/>
      <c r="DR702" s="273"/>
      <c r="DS702" s="273"/>
      <c r="DT702" s="273"/>
      <c r="DU702" s="273"/>
      <c r="DV702" s="273"/>
      <c r="DW702" s="273"/>
      <c r="DX702" s="273"/>
      <c r="DY702" s="273"/>
      <c r="DZ702" s="273"/>
      <c r="EA702" s="273"/>
      <c r="EB702" s="273"/>
      <c r="EC702" s="273"/>
      <c r="ED702" s="273"/>
      <c r="EE702" s="273"/>
      <c r="EF702" s="273"/>
      <c r="EG702" s="273"/>
      <c r="EH702" s="273"/>
      <c r="EI702" s="273"/>
      <c r="EJ702" s="273"/>
      <c r="EK702" s="273"/>
      <c r="EL702" s="273"/>
      <c r="EM702" s="273"/>
      <c r="EN702" s="273"/>
      <c r="EO702" s="273"/>
      <c r="EP702" s="273"/>
      <c r="EQ702" s="273"/>
      <c r="ER702" s="273"/>
      <c r="ES702" s="273"/>
      <c r="ET702" s="273"/>
      <c r="EU702" s="273"/>
      <c r="EV702" s="273"/>
      <c r="EW702" s="273"/>
      <c r="EX702" s="273"/>
      <c r="EY702" s="273"/>
      <c r="EZ702" s="273"/>
      <c r="FA702" s="273"/>
      <c r="FB702" s="273"/>
      <c r="FC702" s="273"/>
      <c r="FD702" s="273"/>
      <c r="FE702" s="273"/>
      <c r="FF702" s="273"/>
      <c r="FG702" s="273"/>
      <c r="FH702" s="273"/>
      <c r="FI702" s="273"/>
      <c r="FJ702" s="273"/>
      <c r="FK702" s="273"/>
      <c r="FL702" s="273"/>
      <c r="FM702" s="273"/>
      <c r="FN702" s="273"/>
      <c r="FO702" s="273"/>
      <c r="FP702" s="273"/>
      <c r="FQ702" s="273"/>
      <c r="FR702" s="273"/>
      <c r="FS702" s="273"/>
      <c r="FT702" s="273"/>
      <c r="FU702" s="273"/>
      <c r="FV702" s="273"/>
      <c r="FW702" s="273"/>
      <c r="FX702" s="273"/>
      <c r="FY702" s="273"/>
      <c r="FZ702" s="273"/>
      <c r="GA702" s="273"/>
      <c r="GB702" s="273"/>
      <c r="GC702" s="273"/>
      <c r="GD702" s="273"/>
      <c r="GE702" s="273"/>
      <c r="GF702" s="273"/>
      <c r="GG702" s="273"/>
      <c r="GH702" s="273"/>
      <c r="GI702" s="273"/>
      <c r="GJ702" s="273"/>
      <c r="GK702" s="273"/>
      <c r="GL702" s="273"/>
      <c r="GM702" s="273"/>
      <c r="GN702" s="273"/>
      <c r="GO702" s="273"/>
      <c r="GP702" s="273"/>
      <c r="GQ702" s="273"/>
      <c r="GR702" s="273"/>
      <c r="GS702" s="273"/>
      <c r="GT702" s="273"/>
      <c r="GU702" s="273"/>
      <c r="GV702" s="273"/>
      <c r="GW702" s="273"/>
      <c r="GX702" s="273"/>
      <c r="GY702" s="273"/>
      <c r="GZ702" s="273"/>
      <c r="HA702" s="273"/>
      <c r="HB702" s="273"/>
      <c r="HC702" s="273"/>
      <c r="HD702" s="273"/>
      <c r="HE702" s="273"/>
      <c r="HF702" s="273"/>
      <c r="HG702" s="273"/>
      <c r="HH702" s="273"/>
      <c r="HI702" s="273"/>
      <c r="HJ702" s="273"/>
      <c r="HK702" s="273"/>
      <c r="HL702" s="273"/>
      <c r="HM702" s="273"/>
      <c r="HN702" s="273"/>
      <c r="HO702" s="273"/>
      <c r="HP702" s="273"/>
      <c r="HQ702" s="273"/>
      <c r="HR702" s="273"/>
      <c r="HS702" s="273"/>
      <c r="HT702" s="273"/>
      <c r="HU702" s="273"/>
      <c r="HV702" s="273"/>
      <c r="HW702" s="273"/>
      <c r="HX702" s="273"/>
      <c r="HY702" s="273"/>
      <c r="HZ702" s="273"/>
      <c r="IA702" s="273"/>
      <c r="IB702" s="273"/>
      <c r="IC702" s="273"/>
      <c r="ID702" s="273"/>
      <c r="IE702" s="273"/>
      <c r="IF702" s="273"/>
      <c r="IG702" s="273"/>
      <c r="IH702" s="273"/>
      <c r="II702" s="273"/>
      <c r="IJ702" s="273"/>
      <c r="IK702" s="273"/>
      <c r="IL702" s="273"/>
      <c r="IM702" s="273"/>
      <c r="IN702" s="273"/>
      <c r="IO702" s="273"/>
      <c r="IP702" s="273"/>
      <c r="IQ702" s="273"/>
      <c r="IR702" s="273"/>
      <c r="IS702" s="273"/>
      <c r="IT702" s="273"/>
      <c r="IU702" s="273"/>
      <c r="IV702" s="273"/>
      <c r="IW702" s="273"/>
      <c r="IX702" s="273"/>
      <c r="IY702" s="273"/>
      <c r="IZ702" s="273"/>
      <c r="JA702" s="273"/>
      <c r="JB702" s="273"/>
      <c r="JC702" s="273"/>
      <c r="JD702" s="273"/>
      <c r="JE702" s="273"/>
      <c r="JF702" s="273"/>
      <c r="JG702" s="273"/>
      <c r="JH702" s="273"/>
      <c r="JI702" s="273"/>
      <c r="JJ702" s="273"/>
      <c r="JK702" s="273"/>
      <c r="JL702" s="273"/>
      <c r="JM702" s="273"/>
      <c r="JN702" s="273"/>
      <c r="JO702" s="273"/>
      <c r="JP702" s="273"/>
      <c r="JQ702" s="273"/>
      <c r="JR702" s="273"/>
      <c r="JS702" s="273"/>
      <c r="JT702" s="273"/>
      <c r="JU702" s="273"/>
      <c r="JV702" s="273"/>
      <c r="JW702" s="273"/>
      <c r="JX702" s="273"/>
      <c r="JY702" s="273"/>
      <c r="JZ702" s="273"/>
      <c r="KA702" s="273"/>
      <c r="KB702" s="273"/>
      <c r="KC702" s="273"/>
      <c r="KD702" s="273"/>
      <c r="KE702" s="273"/>
      <c r="KF702" s="273"/>
      <c r="KG702" s="273"/>
      <c r="KH702" s="273"/>
      <c r="KI702" s="273"/>
      <c r="KJ702" s="273"/>
      <c r="KK702" s="273"/>
      <c r="KL702" s="273"/>
      <c r="KM702" s="273"/>
      <c r="KN702" s="273"/>
      <c r="KO702" s="273"/>
      <c r="KP702" s="273"/>
      <c r="KQ702" s="273"/>
      <c r="KR702" s="273"/>
      <c r="KS702" s="273"/>
      <c r="KT702" s="273"/>
      <c r="KU702" s="273"/>
      <c r="KV702" s="273"/>
      <c r="KW702" s="273"/>
      <c r="KX702" s="273"/>
      <c r="KY702" s="273"/>
      <c r="KZ702" s="273"/>
      <c r="LA702" s="273"/>
      <c r="LB702" s="273"/>
      <c r="LC702" s="273"/>
      <c r="LD702" s="273"/>
      <c r="LE702" s="273"/>
      <c r="LF702" s="273"/>
      <c r="LG702" s="273"/>
      <c r="LH702" s="273"/>
      <c r="LI702" s="273"/>
      <c r="LJ702" s="273"/>
      <c r="LK702" s="273"/>
      <c r="LL702" s="273"/>
      <c r="LM702" s="273"/>
      <c r="LN702" s="273"/>
      <c r="LO702" s="273"/>
      <c r="LP702" s="273"/>
      <c r="LQ702" s="273"/>
      <c r="LR702" s="273"/>
      <c r="LS702" s="273"/>
      <c r="LT702" s="273"/>
      <c r="LU702" s="273"/>
      <c r="LV702" s="273"/>
      <c r="LW702" s="273"/>
      <c r="LX702" s="273"/>
      <c r="LY702" s="273"/>
      <c r="LZ702" s="273"/>
      <c r="MA702" s="273"/>
      <c r="MB702" s="273"/>
      <c r="MC702" s="273"/>
      <c r="MD702" s="273"/>
      <c r="ME702" s="273"/>
      <c r="MF702" s="273"/>
      <c r="MG702" s="273"/>
      <c r="MH702" s="273"/>
      <c r="MI702" s="273"/>
      <c r="MJ702" s="273"/>
      <c r="MK702" s="273"/>
      <c r="ML702" s="273"/>
      <c r="MM702" s="273"/>
      <c r="MN702" s="273"/>
      <c r="MO702" s="273"/>
      <c r="MP702" s="273"/>
      <c r="MQ702" s="273"/>
      <c r="MR702" s="273"/>
      <c r="MS702" s="273"/>
      <c r="MT702" s="273"/>
      <c r="MU702" s="273"/>
      <c r="MV702" s="273"/>
      <c r="MW702" s="273"/>
      <c r="MX702" s="273"/>
      <c r="MY702" s="273"/>
      <c r="MZ702" s="273"/>
      <c r="NA702" s="273"/>
      <c r="NB702" s="273"/>
      <c r="NC702" s="273"/>
      <c r="ND702" s="273"/>
      <c r="NE702" s="273"/>
      <c r="NF702" s="273"/>
      <c r="NG702" s="273"/>
      <c r="NH702" s="273"/>
      <c r="NI702" s="273"/>
      <c r="NJ702" s="273"/>
      <c r="NK702" s="273"/>
      <c r="NL702" s="273"/>
      <c r="NM702" s="273"/>
      <c r="NN702" s="273"/>
      <c r="NO702" s="273"/>
      <c r="NP702" s="273"/>
      <c r="NQ702" s="273"/>
      <c r="NR702" s="273"/>
      <c r="NS702" s="273"/>
      <c r="NT702" s="273"/>
      <c r="NU702" s="273"/>
      <c r="NV702" s="273"/>
      <c r="NW702" s="273"/>
      <c r="NX702" s="273"/>
      <c r="NY702" s="273"/>
      <c r="NZ702" s="273"/>
      <c r="OA702" s="273"/>
      <c r="OB702" s="273"/>
      <c r="OC702" s="273"/>
      <c r="OD702" s="273"/>
      <c r="OE702" s="273"/>
      <c r="OF702" s="273"/>
      <c r="OG702" s="273"/>
      <c r="OH702" s="273"/>
      <c r="OI702" s="273"/>
      <c r="OJ702" s="273"/>
      <c r="OK702" s="273"/>
      <c r="OL702" s="273"/>
      <c r="OM702" s="273"/>
      <c r="ON702" s="273"/>
      <c r="OO702" s="273"/>
      <c r="OP702" s="273"/>
      <c r="OQ702" s="273"/>
      <c r="OR702" s="273"/>
      <c r="OS702" s="273"/>
      <c r="OT702" s="273"/>
      <c r="OU702" s="273"/>
      <c r="OV702" s="273"/>
      <c r="OW702" s="273"/>
      <c r="OX702" s="273"/>
      <c r="OY702" s="273"/>
      <c r="OZ702" s="273"/>
      <c r="PA702" s="273"/>
      <c r="PB702" s="273"/>
      <c r="PC702" s="273"/>
      <c r="PD702" s="273"/>
      <c r="PE702" s="273"/>
      <c r="PF702" s="273"/>
      <c r="PG702" s="273"/>
      <c r="PH702" s="273"/>
      <c r="PI702" s="273"/>
      <c r="PJ702" s="273"/>
      <c r="PK702" s="273"/>
      <c r="PL702" s="273"/>
      <c r="PM702" s="273"/>
      <c r="PN702" s="273"/>
      <c r="PO702" s="273"/>
      <c r="PP702" s="273"/>
      <c r="PQ702" s="273"/>
      <c r="PR702" s="273"/>
      <c r="PS702" s="273"/>
      <c r="PT702" s="273"/>
      <c r="PU702" s="273"/>
      <c r="PV702" s="273"/>
      <c r="PW702" s="273"/>
      <c r="PX702" s="273"/>
      <c r="PY702" s="273"/>
      <c r="PZ702" s="273"/>
      <c r="QA702" s="273"/>
      <c r="QB702" s="273"/>
      <c r="QC702" s="273"/>
      <c r="QD702" s="273"/>
      <c r="QE702" s="273"/>
      <c r="QF702" s="273"/>
      <c r="QG702" s="273"/>
      <c r="QH702" s="273"/>
      <c r="QI702" s="273"/>
      <c r="QJ702" s="273"/>
      <c r="QK702" s="273"/>
      <c r="QL702" s="273"/>
      <c r="QM702" s="273"/>
      <c r="QN702" s="273"/>
      <c r="QO702" s="273"/>
      <c r="QP702" s="273"/>
      <c r="QQ702" s="273"/>
      <c r="QR702" s="273"/>
      <c r="QS702" s="273"/>
      <c r="QT702" s="273"/>
      <c r="QU702" s="273"/>
      <c r="QV702" s="273"/>
      <c r="QW702" s="273"/>
      <c r="QX702" s="273"/>
      <c r="QY702" s="273"/>
      <c r="QZ702" s="273"/>
      <c r="RA702" s="273"/>
      <c r="RB702" s="273"/>
      <c r="RC702" s="273"/>
      <c r="RD702" s="273"/>
      <c r="RE702" s="273"/>
      <c r="RF702" s="273"/>
      <c r="RG702" s="273"/>
      <c r="RH702" s="273"/>
      <c r="RI702" s="273"/>
      <c r="RJ702" s="273"/>
      <c r="RK702" s="273"/>
      <c r="RL702" s="273"/>
      <c r="RM702" s="273"/>
      <c r="RN702" s="273"/>
      <c r="RO702" s="273"/>
      <c r="RP702" s="273"/>
      <c r="RQ702" s="273"/>
    </row>
    <row r="703" spans="1:485" s="450" customFormat="1" ht="26" x14ac:dyDescent="0.25">
      <c r="A703" s="680"/>
      <c r="B703" s="284" t="s">
        <v>1095</v>
      </c>
      <c r="C703" s="1720" t="s">
        <v>19</v>
      </c>
      <c r="D703" s="598" t="s">
        <v>955</v>
      </c>
      <c r="E703" s="468">
        <v>1</v>
      </c>
      <c r="F703" s="468">
        <v>1131.77</v>
      </c>
      <c r="G703" s="467">
        <v>10</v>
      </c>
      <c r="H703" s="451">
        <f t="shared" si="290"/>
        <v>11317.7</v>
      </c>
      <c r="I703" s="675">
        <v>1</v>
      </c>
      <c r="J703" s="451">
        <v>1</v>
      </c>
      <c r="K703" s="451">
        <v>1415</v>
      </c>
      <c r="L703" s="451">
        <v>12</v>
      </c>
      <c r="M703" s="1834">
        <f t="shared" si="291"/>
        <v>16980</v>
      </c>
      <c r="N703" s="697">
        <v>1</v>
      </c>
      <c r="O703" s="2925">
        <f t="shared" si="282"/>
        <v>28297.7</v>
      </c>
      <c r="P703" s="675">
        <v>1</v>
      </c>
      <c r="Q703" s="709">
        <f t="shared" si="286"/>
        <v>28297.7</v>
      </c>
      <c r="R703" s="522" t="s">
        <v>1096</v>
      </c>
      <c r="S703" s="452">
        <f>COOPI!S109</f>
        <v>25486.9754495337</v>
      </c>
      <c r="T703" s="1071">
        <f t="shared" si="283"/>
        <v>0.90067303878172777</v>
      </c>
      <c r="U703" s="894" t="s">
        <v>1097</v>
      </c>
      <c r="V703" s="591">
        <f t="shared" si="289"/>
        <v>0.90067303878172777</v>
      </c>
      <c r="W703" s="706">
        <f t="shared" si="284"/>
        <v>25486.9754495337</v>
      </c>
      <c r="X703" s="452" t="s">
        <v>1097</v>
      </c>
      <c r="Y703" s="273"/>
      <c r="Z703" s="273"/>
      <c r="AA703" s="273"/>
      <c r="AB703" s="273"/>
      <c r="AC703" s="273"/>
      <c r="AD703" s="273"/>
      <c r="AE703" s="273"/>
      <c r="AF703" s="273"/>
      <c r="AG703" s="273"/>
      <c r="AH703" s="273"/>
      <c r="AI703" s="273"/>
      <c r="AJ703" s="273"/>
      <c r="AK703" s="273"/>
      <c r="AL703" s="273"/>
      <c r="AM703" s="273"/>
      <c r="AN703" s="273"/>
      <c r="AO703" s="273"/>
      <c r="AP703" s="273"/>
      <c r="AQ703" s="273"/>
      <c r="AR703" s="273"/>
      <c r="AS703" s="273"/>
      <c r="AT703" s="273"/>
      <c r="AU703" s="273"/>
      <c r="AV703" s="273"/>
      <c r="AW703" s="273"/>
      <c r="AX703" s="273"/>
      <c r="AY703" s="273"/>
      <c r="AZ703" s="273"/>
      <c r="BA703" s="273"/>
      <c r="BB703" s="273"/>
      <c r="BC703" s="273"/>
      <c r="BD703" s="273"/>
      <c r="BE703" s="273"/>
      <c r="BF703" s="273"/>
      <c r="BG703" s="273"/>
      <c r="BH703" s="273"/>
      <c r="BI703" s="273"/>
      <c r="BJ703" s="273"/>
      <c r="BK703" s="273"/>
      <c r="BL703" s="273"/>
      <c r="BM703" s="273"/>
      <c r="BN703" s="273"/>
      <c r="BO703" s="273"/>
      <c r="BP703" s="273"/>
      <c r="BQ703" s="273"/>
      <c r="BR703" s="273"/>
      <c r="BS703" s="273"/>
      <c r="BT703" s="273"/>
      <c r="BU703" s="273"/>
      <c r="BV703" s="273"/>
      <c r="BW703" s="273"/>
      <c r="BX703" s="273"/>
      <c r="BY703" s="273"/>
      <c r="BZ703" s="273"/>
      <c r="CA703" s="273"/>
      <c r="CB703" s="273"/>
      <c r="CC703" s="273"/>
      <c r="CD703" s="273"/>
      <c r="CE703" s="273"/>
      <c r="CF703" s="273"/>
      <c r="CG703" s="273"/>
      <c r="CH703" s="273"/>
      <c r="CI703" s="273"/>
      <c r="CJ703" s="273"/>
      <c r="CK703" s="273"/>
      <c r="CL703" s="273"/>
      <c r="CM703" s="273"/>
      <c r="CN703" s="273"/>
      <c r="CO703" s="273"/>
      <c r="CP703" s="273"/>
      <c r="CQ703" s="273"/>
      <c r="CR703" s="273"/>
      <c r="CS703" s="273"/>
      <c r="CT703" s="273"/>
      <c r="CU703" s="273"/>
      <c r="CV703" s="273"/>
      <c r="CW703" s="273"/>
      <c r="CX703" s="273"/>
      <c r="CY703" s="273"/>
      <c r="CZ703" s="273"/>
      <c r="DA703" s="273"/>
      <c r="DB703" s="273"/>
      <c r="DC703" s="273"/>
      <c r="DD703" s="273"/>
      <c r="DE703" s="273"/>
      <c r="DF703" s="273"/>
      <c r="DG703" s="273"/>
      <c r="DH703" s="273"/>
      <c r="DI703" s="273"/>
      <c r="DJ703" s="273"/>
      <c r="DK703" s="273"/>
      <c r="DL703" s="273"/>
      <c r="DM703" s="273"/>
      <c r="DN703" s="273"/>
      <c r="DO703" s="273"/>
      <c r="DP703" s="273"/>
      <c r="DQ703" s="273"/>
      <c r="DR703" s="273"/>
      <c r="DS703" s="273"/>
      <c r="DT703" s="273"/>
      <c r="DU703" s="273"/>
      <c r="DV703" s="273"/>
      <c r="DW703" s="273"/>
      <c r="DX703" s="273"/>
      <c r="DY703" s="273"/>
      <c r="DZ703" s="273"/>
      <c r="EA703" s="273"/>
      <c r="EB703" s="273"/>
      <c r="EC703" s="273"/>
      <c r="ED703" s="273"/>
      <c r="EE703" s="273"/>
      <c r="EF703" s="273"/>
      <c r="EG703" s="273"/>
      <c r="EH703" s="273"/>
      <c r="EI703" s="273"/>
      <c r="EJ703" s="273"/>
      <c r="EK703" s="273"/>
      <c r="EL703" s="273"/>
      <c r="EM703" s="273"/>
      <c r="EN703" s="273"/>
      <c r="EO703" s="273"/>
      <c r="EP703" s="273"/>
      <c r="EQ703" s="273"/>
      <c r="ER703" s="273"/>
      <c r="ES703" s="273"/>
      <c r="ET703" s="273"/>
      <c r="EU703" s="273"/>
      <c r="EV703" s="273"/>
      <c r="EW703" s="273"/>
      <c r="EX703" s="273"/>
      <c r="EY703" s="273"/>
      <c r="EZ703" s="273"/>
      <c r="FA703" s="273"/>
      <c r="FB703" s="273"/>
      <c r="FC703" s="273"/>
      <c r="FD703" s="273"/>
      <c r="FE703" s="273"/>
      <c r="FF703" s="273"/>
      <c r="FG703" s="273"/>
      <c r="FH703" s="273"/>
      <c r="FI703" s="273"/>
      <c r="FJ703" s="273"/>
      <c r="FK703" s="273"/>
      <c r="FL703" s="273"/>
      <c r="FM703" s="273"/>
      <c r="FN703" s="273"/>
      <c r="FO703" s="273"/>
      <c r="FP703" s="273"/>
      <c r="FQ703" s="273"/>
      <c r="FR703" s="273"/>
      <c r="FS703" s="273"/>
      <c r="FT703" s="273"/>
      <c r="FU703" s="273"/>
      <c r="FV703" s="273"/>
      <c r="FW703" s="273"/>
      <c r="FX703" s="273"/>
      <c r="FY703" s="273"/>
      <c r="FZ703" s="273"/>
      <c r="GA703" s="273"/>
      <c r="GB703" s="273"/>
      <c r="GC703" s="273"/>
      <c r="GD703" s="273"/>
      <c r="GE703" s="273"/>
      <c r="GF703" s="273"/>
      <c r="GG703" s="273"/>
      <c r="GH703" s="273"/>
      <c r="GI703" s="273"/>
      <c r="GJ703" s="273"/>
      <c r="GK703" s="273"/>
      <c r="GL703" s="273"/>
      <c r="GM703" s="273"/>
      <c r="GN703" s="273"/>
      <c r="GO703" s="273"/>
      <c r="GP703" s="273"/>
      <c r="GQ703" s="273"/>
      <c r="GR703" s="273"/>
      <c r="GS703" s="273"/>
      <c r="GT703" s="273"/>
      <c r="GU703" s="273"/>
      <c r="GV703" s="273"/>
      <c r="GW703" s="273"/>
      <c r="GX703" s="273"/>
      <c r="GY703" s="273"/>
      <c r="GZ703" s="273"/>
      <c r="HA703" s="273"/>
      <c r="HB703" s="273"/>
      <c r="HC703" s="273"/>
      <c r="HD703" s="273"/>
      <c r="HE703" s="273"/>
      <c r="HF703" s="273"/>
      <c r="HG703" s="273"/>
      <c r="HH703" s="273"/>
      <c r="HI703" s="273"/>
      <c r="HJ703" s="273"/>
      <c r="HK703" s="273"/>
      <c r="HL703" s="273"/>
      <c r="HM703" s="273"/>
      <c r="HN703" s="273"/>
      <c r="HO703" s="273"/>
      <c r="HP703" s="273"/>
      <c r="HQ703" s="273"/>
      <c r="HR703" s="273"/>
      <c r="HS703" s="273"/>
      <c r="HT703" s="273"/>
      <c r="HU703" s="273"/>
      <c r="HV703" s="273"/>
      <c r="HW703" s="273"/>
      <c r="HX703" s="273"/>
      <c r="HY703" s="273"/>
      <c r="HZ703" s="273"/>
      <c r="IA703" s="273"/>
      <c r="IB703" s="273"/>
      <c r="IC703" s="273"/>
      <c r="ID703" s="273"/>
      <c r="IE703" s="273"/>
      <c r="IF703" s="273"/>
      <c r="IG703" s="273"/>
      <c r="IH703" s="273"/>
      <c r="II703" s="273"/>
      <c r="IJ703" s="273"/>
      <c r="IK703" s="273"/>
      <c r="IL703" s="273"/>
      <c r="IM703" s="273"/>
      <c r="IN703" s="273"/>
      <c r="IO703" s="273"/>
      <c r="IP703" s="273"/>
      <c r="IQ703" s="273"/>
      <c r="IR703" s="273"/>
      <c r="IS703" s="273"/>
      <c r="IT703" s="273"/>
      <c r="IU703" s="273"/>
      <c r="IV703" s="273"/>
      <c r="IW703" s="273"/>
      <c r="IX703" s="273"/>
      <c r="IY703" s="273"/>
      <c r="IZ703" s="273"/>
      <c r="JA703" s="273"/>
      <c r="JB703" s="273"/>
      <c r="JC703" s="273"/>
      <c r="JD703" s="273"/>
      <c r="JE703" s="273"/>
      <c r="JF703" s="273"/>
      <c r="JG703" s="273"/>
      <c r="JH703" s="273"/>
      <c r="JI703" s="273"/>
      <c r="JJ703" s="273"/>
      <c r="JK703" s="273"/>
      <c r="JL703" s="273"/>
      <c r="JM703" s="273"/>
      <c r="JN703" s="273"/>
      <c r="JO703" s="273"/>
      <c r="JP703" s="273"/>
      <c r="JQ703" s="273"/>
      <c r="JR703" s="273"/>
      <c r="JS703" s="273"/>
      <c r="JT703" s="273"/>
      <c r="JU703" s="273"/>
      <c r="JV703" s="273"/>
      <c r="JW703" s="273"/>
      <c r="JX703" s="273"/>
      <c r="JY703" s="273"/>
      <c r="JZ703" s="273"/>
      <c r="KA703" s="273"/>
      <c r="KB703" s="273"/>
      <c r="KC703" s="273"/>
      <c r="KD703" s="273"/>
      <c r="KE703" s="273"/>
      <c r="KF703" s="273"/>
      <c r="KG703" s="273"/>
      <c r="KH703" s="273"/>
      <c r="KI703" s="273"/>
      <c r="KJ703" s="273"/>
      <c r="KK703" s="273"/>
      <c r="KL703" s="273"/>
      <c r="KM703" s="273"/>
      <c r="KN703" s="273"/>
      <c r="KO703" s="273"/>
      <c r="KP703" s="273"/>
      <c r="KQ703" s="273"/>
      <c r="KR703" s="273"/>
      <c r="KS703" s="273"/>
      <c r="KT703" s="273"/>
      <c r="KU703" s="273"/>
      <c r="KV703" s="273"/>
      <c r="KW703" s="273"/>
      <c r="KX703" s="273"/>
      <c r="KY703" s="273"/>
      <c r="KZ703" s="273"/>
      <c r="LA703" s="273"/>
      <c r="LB703" s="273"/>
      <c r="LC703" s="273"/>
      <c r="LD703" s="273"/>
      <c r="LE703" s="273"/>
      <c r="LF703" s="273"/>
      <c r="LG703" s="273"/>
      <c r="LH703" s="273"/>
      <c r="LI703" s="273"/>
      <c r="LJ703" s="273"/>
      <c r="LK703" s="273"/>
      <c r="LL703" s="273"/>
      <c r="LM703" s="273"/>
      <c r="LN703" s="273"/>
      <c r="LO703" s="273"/>
      <c r="LP703" s="273"/>
      <c r="LQ703" s="273"/>
      <c r="LR703" s="273"/>
      <c r="LS703" s="273"/>
      <c r="LT703" s="273"/>
      <c r="LU703" s="273"/>
      <c r="LV703" s="273"/>
      <c r="LW703" s="273"/>
      <c r="LX703" s="273"/>
      <c r="LY703" s="273"/>
      <c r="LZ703" s="273"/>
      <c r="MA703" s="273"/>
      <c r="MB703" s="273"/>
      <c r="MC703" s="273"/>
      <c r="MD703" s="273"/>
      <c r="ME703" s="273"/>
      <c r="MF703" s="273"/>
      <c r="MG703" s="273"/>
      <c r="MH703" s="273"/>
      <c r="MI703" s="273"/>
      <c r="MJ703" s="273"/>
      <c r="MK703" s="273"/>
      <c r="ML703" s="273"/>
      <c r="MM703" s="273"/>
      <c r="MN703" s="273"/>
      <c r="MO703" s="273"/>
      <c r="MP703" s="273"/>
      <c r="MQ703" s="273"/>
      <c r="MR703" s="273"/>
      <c r="MS703" s="273"/>
      <c r="MT703" s="273"/>
      <c r="MU703" s="273"/>
      <c r="MV703" s="273"/>
      <c r="MW703" s="273"/>
      <c r="MX703" s="273"/>
      <c r="MY703" s="273"/>
      <c r="MZ703" s="273"/>
      <c r="NA703" s="273"/>
      <c r="NB703" s="273"/>
      <c r="NC703" s="273"/>
      <c r="ND703" s="273"/>
      <c r="NE703" s="273"/>
      <c r="NF703" s="273"/>
      <c r="NG703" s="273"/>
      <c r="NH703" s="273"/>
      <c r="NI703" s="273"/>
      <c r="NJ703" s="273"/>
      <c r="NK703" s="273"/>
      <c r="NL703" s="273"/>
      <c r="NM703" s="273"/>
      <c r="NN703" s="273"/>
      <c r="NO703" s="273"/>
      <c r="NP703" s="273"/>
      <c r="NQ703" s="273"/>
      <c r="NR703" s="273"/>
      <c r="NS703" s="273"/>
      <c r="NT703" s="273"/>
      <c r="NU703" s="273"/>
      <c r="NV703" s="273"/>
      <c r="NW703" s="273"/>
      <c r="NX703" s="273"/>
      <c r="NY703" s="273"/>
      <c r="NZ703" s="273"/>
      <c r="OA703" s="273"/>
      <c r="OB703" s="273"/>
      <c r="OC703" s="273"/>
      <c r="OD703" s="273"/>
      <c r="OE703" s="273"/>
      <c r="OF703" s="273"/>
      <c r="OG703" s="273"/>
      <c r="OH703" s="273"/>
      <c r="OI703" s="273"/>
      <c r="OJ703" s="273"/>
      <c r="OK703" s="273"/>
      <c r="OL703" s="273"/>
      <c r="OM703" s="273"/>
      <c r="ON703" s="273"/>
      <c r="OO703" s="273"/>
      <c r="OP703" s="273"/>
      <c r="OQ703" s="273"/>
      <c r="OR703" s="273"/>
      <c r="OS703" s="273"/>
      <c r="OT703" s="273"/>
      <c r="OU703" s="273"/>
      <c r="OV703" s="273"/>
      <c r="OW703" s="273"/>
      <c r="OX703" s="273"/>
      <c r="OY703" s="273"/>
      <c r="OZ703" s="273"/>
      <c r="PA703" s="273"/>
      <c r="PB703" s="273"/>
      <c r="PC703" s="273"/>
      <c r="PD703" s="273"/>
      <c r="PE703" s="273"/>
      <c r="PF703" s="273"/>
      <c r="PG703" s="273"/>
      <c r="PH703" s="273"/>
      <c r="PI703" s="273"/>
      <c r="PJ703" s="273"/>
      <c r="PK703" s="273"/>
      <c r="PL703" s="273"/>
      <c r="PM703" s="273"/>
      <c r="PN703" s="273"/>
      <c r="PO703" s="273"/>
      <c r="PP703" s="273"/>
      <c r="PQ703" s="273"/>
      <c r="PR703" s="273"/>
      <c r="PS703" s="273"/>
      <c r="PT703" s="273"/>
      <c r="PU703" s="273"/>
      <c r="PV703" s="273"/>
      <c r="PW703" s="273"/>
      <c r="PX703" s="273"/>
      <c r="PY703" s="273"/>
      <c r="PZ703" s="273"/>
      <c r="QA703" s="273"/>
      <c r="QB703" s="273"/>
      <c r="QC703" s="273"/>
      <c r="QD703" s="273"/>
      <c r="QE703" s="273"/>
      <c r="QF703" s="273"/>
      <c r="QG703" s="273"/>
      <c r="QH703" s="273"/>
      <c r="QI703" s="273"/>
      <c r="QJ703" s="273"/>
      <c r="QK703" s="273"/>
      <c r="QL703" s="273"/>
      <c r="QM703" s="273"/>
      <c r="QN703" s="273"/>
      <c r="QO703" s="273"/>
      <c r="QP703" s="273"/>
      <c r="QQ703" s="273"/>
      <c r="QR703" s="273"/>
      <c r="QS703" s="273"/>
      <c r="QT703" s="273"/>
      <c r="QU703" s="273"/>
      <c r="QV703" s="273"/>
      <c r="QW703" s="273"/>
      <c r="QX703" s="273"/>
      <c r="QY703" s="273"/>
      <c r="QZ703" s="273"/>
      <c r="RA703" s="273"/>
      <c r="RB703" s="273"/>
      <c r="RC703" s="273"/>
      <c r="RD703" s="273"/>
      <c r="RE703" s="273"/>
      <c r="RF703" s="273"/>
      <c r="RG703" s="273"/>
      <c r="RH703" s="273"/>
      <c r="RI703" s="273"/>
      <c r="RJ703" s="273"/>
      <c r="RK703" s="273"/>
      <c r="RL703" s="273"/>
      <c r="RM703" s="273"/>
      <c r="RN703" s="273"/>
      <c r="RO703" s="273"/>
      <c r="RP703" s="273"/>
      <c r="RQ703" s="273"/>
    </row>
    <row r="704" spans="1:485" s="450" customFormat="1" ht="26" x14ac:dyDescent="0.25">
      <c r="A704" s="1062" t="s">
        <v>175</v>
      </c>
      <c r="B704" s="284" t="s">
        <v>175</v>
      </c>
      <c r="C704" s="1859" t="s">
        <v>19</v>
      </c>
      <c r="D704" s="598" t="s">
        <v>100</v>
      </c>
      <c r="E704" s="724">
        <v>1</v>
      </c>
      <c r="F704" s="1057">
        <v>735</v>
      </c>
      <c r="G704" s="467">
        <v>3</v>
      </c>
      <c r="H704" s="451">
        <f>+E704*F704*G704</f>
        <v>2205</v>
      </c>
      <c r="I704" s="675">
        <v>0</v>
      </c>
      <c r="J704" s="1085">
        <v>1</v>
      </c>
      <c r="K704" s="1085">
        <v>740</v>
      </c>
      <c r="L704" s="437">
        <v>3</v>
      </c>
      <c r="M704" s="1834">
        <f>+J704*K704*L704</f>
        <v>2220</v>
      </c>
      <c r="N704" s="675">
        <v>0</v>
      </c>
      <c r="O704" s="2925">
        <f t="shared" si="282"/>
        <v>4425</v>
      </c>
      <c r="P704" s="675">
        <v>0</v>
      </c>
      <c r="Q704" s="709">
        <f t="shared" si="286"/>
        <v>0</v>
      </c>
      <c r="R704" s="522" t="s">
        <v>177</v>
      </c>
      <c r="S704" s="706">
        <f>UNHABITAT!V84</f>
        <v>4425</v>
      </c>
      <c r="T704" s="1071">
        <f t="shared" si="283"/>
        <v>1</v>
      </c>
      <c r="U704" s="541"/>
      <c r="V704" s="591">
        <v>0</v>
      </c>
      <c r="W704" s="706">
        <f t="shared" si="284"/>
        <v>0</v>
      </c>
      <c r="X704" s="594"/>
    </row>
    <row r="705" spans="1:24" s="450" customFormat="1" ht="26" x14ac:dyDescent="0.25">
      <c r="A705" s="1063" t="s">
        <v>176</v>
      </c>
      <c r="B705" s="284"/>
      <c r="C705" s="266" t="s">
        <v>19</v>
      </c>
      <c r="D705" s="598" t="s">
        <v>100</v>
      </c>
      <c r="E705" s="724">
        <v>1</v>
      </c>
      <c r="F705" s="727">
        <f>1665-250+5.65</f>
        <v>1420.65</v>
      </c>
      <c r="G705" s="467">
        <v>12</v>
      </c>
      <c r="H705" s="451">
        <f>+E705*F705*G705</f>
        <v>17047.800000000003</v>
      </c>
      <c r="I705" s="675">
        <v>0</v>
      </c>
      <c r="J705" s="1085">
        <v>1</v>
      </c>
      <c r="K705" s="676">
        <f>1665-216+5</f>
        <v>1454</v>
      </c>
      <c r="L705" s="437">
        <v>12</v>
      </c>
      <c r="M705" s="1834">
        <f>+J705*K705*L705</f>
        <v>17448</v>
      </c>
      <c r="N705" s="675">
        <v>0</v>
      </c>
      <c r="O705" s="2925">
        <f t="shared" si="282"/>
        <v>34495.800000000003</v>
      </c>
      <c r="P705" s="675">
        <v>0</v>
      </c>
      <c r="Q705" s="709">
        <f t="shared" si="286"/>
        <v>0</v>
      </c>
      <c r="R705" s="522" t="s">
        <v>178</v>
      </c>
      <c r="S705" s="706">
        <f>UNHABITAT!V85</f>
        <v>34967.729999999996</v>
      </c>
      <c r="T705" s="1071">
        <f t="shared" si="283"/>
        <v>1.0136807959229817</v>
      </c>
      <c r="U705" s="896"/>
      <c r="V705" s="591">
        <v>0</v>
      </c>
      <c r="W705" s="706">
        <f t="shared" si="284"/>
        <v>0</v>
      </c>
      <c r="X705" s="594"/>
    </row>
    <row r="706" spans="1:24" s="450" customFormat="1" ht="26" x14ac:dyDescent="0.25">
      <c r="A706" s="680"/>
      <c r="B706" s="284"/>
      <c r="C706" s="266" t="s">
        <v>19</v>
      </c>
      <c r="D706" s="467" t="s">
        <v>500</v>
      </c>
      <c r="E706" s="724"/>
      <c r="F706" s="266"/>
      <c r="G706" s="266"/>
      <c r="H706" s="451">
        <v>15600</v>
      </c>
      <c r="I706" s="451"/>
      <c r="J706" s="2616"/>
      <c r="K706" s="2616"/>
      <c r="L706" s="2616"/>
      <c r="M706" s="1834">
        <v>15056.1</v>
      </c>
      <c r="N706" s="697"/>
      <c r="O706" s="2925">
        <f>M706+H706</f>
        <v>30656.1</v>
      </c>
      <c r="P706" s="675">
        <v>0</v>
      </c>
      <c r="Q706" s="709">
        <f t="shared" si="286"/>
        <v>0</v>
      </c>
      <c r="R706" s="1069"/>
      <c r="S706" s="706">
        <f>ACIAR!T196</f>
        <v>23879.599999999999</v>
      </c>
      <c r="T706" s="1071">
        <f t="shared" si="283"/>
        <v>0.7789510081191019</v>
      </c>
      <c r="U706" s="541" t="s">
        <v>507</v>
      </c>
      <c r="V706" s="591">
        <v>0</v>
      </c>
      <c r="W706" s="706">
        <f t="shared" si="284"/>
        <v>0</v>
      </c>
      <c r="X706" s="594"/>
    </row>
    <row r="707" spans="1:24" s="461" customFormat="1" x14ac:dyDescent="0.25">
      <c r="A707" s="285"/>
      <c r="B707" s="711" t="s">
        <v>573</v>
      </c>
      <c r="C707" s="711"/>
      <c r="D707" s="897"/>
      <c r="E707" s="1073"/>
      <c r="F707" s="1073"/>
      <c r="G707" s="1073"/>
      <c r="H707" s="470">
        <f>SUM(H656:H706)</f>
        <v>218823.65000000002</v>
      </c>
      <c r="I707" s="1076"/>
      <c r="J707" s="1107"/>
      <c r="K707" s="1107"/>
      <c r="L707" s="1107"/>
      <c r="M707" s="2865">
        <f>SUM(M656:M706)</f>
        <v>221716.81000000003</v>
      </c>
      <c r="N707" s="1108"/>
      <c r="O707" s="470">
        <f>SUM(O656:O706)</f>
        <v>440540.45999999996</v>
      </c>
      <c r="P707" s="1076"/>
      <c r="Q707" s="1109">
        <f>SUM(Q656:Q706)</f>
        <v>78236.214999999997</v>
      </c>
      <c r="R707" s="1110"/>
      <c r="S707" s="1111">
        <f>SUM(S656:S706)</f>
        <v>406460.63712753373</v>
      </c>
      <c r="T707" s="600">
        <f>+S707/O707</f>
        <v>0.92264087872322498</v>
      </c>
      <c r="U707" s="711"/>
      <c r="V707" s="600">
        <f>+W707/Q707</f>
        <v>1.0236593389331745</v>
      </c>
      <c r="W707" s="1111">
        <f>SUM(W656:W706)</f>
        <v>80087.232127533702</v>
      </c>
      <c r="X707" s="1112"/>
    </row>
    <row r="708" spans="1:24" s="480" customFormat="1" ht="25.9" customHeight="1" x14ac:dyDescent="0.25">
      <c r="A708" s="3039" t="s">
        <v>51</v>
      </c>
      <c r="B708" s="3040"/>
      <c r="C708" s="3041"/>
      <c r="D708" s="1133"/>
      <c r="E708" s="1147"/>
      <c r="F708" s="1147"/>
      <c r="G708" s="1147"/>
      <c r="H708" s="1135">
        <f>H591+H600+H614+H625+H650+H654+H707</f>
        <v>988494.93000000017</v>
      </c>
      <c r="I708" s="1136"/>
      <c r="J708" s="1137"/>
      <c r="K708" s="1137"/>
      <c r="L708" s="1137"/>
      <c r="M708" s="2877">
        <f>M591+M600+M614+M625+M650+M654+M707</f>
        <v>951709.31000000017</v>
      </c>
      <c r="N708" s="1136"/>
      <c r="O708" s="1135">
        <f>O591+O600+O614+O625+O650+O654+O707</f>
        <v>1940204.24</v>
      </c>
      <c r="P708" s="1136"/>
      <c r="Q708" s="1138">
        <f>Q591+Q600+Q614+Q625+Q650+Q654+Q707</f>
        <v>288338.18550000002</v>
      </c>
      <c r="R708" s="1139"/>
      <c r="S708" s="1142">
        <f>S591+S600+S614+S625+S650+S654+S707</f>
        <v>1971641.0091682146</v>
      </c>
      <c r="T708" s="1140">
        <f>S708/O708</f>
        <v>1.0162028143842292</v>
      </c>
      <c r="U708" s="1141"/>
      <c r="V708" s="1140">
        <f>W708/Q708</f>
        <v>0.97750227865851647</v>
      </c>
      <c r="W708" s="1142">
        <f>W591+W600+W614+W625+W650+W654+W707</f>
        <v>281851.23335051205</v>
      </c>
      <c r="X708" s="1139"/>
    </row>
    <row r="709" spans="1:24" ht="21.65" customHeight="1" x14ac:dyDescent="0.25">
      <c r="A709" s="698" t="s">
        <v>50</v>
      </c>
      <c r="B709" s="1676"/>
      <c r="C709" s="1848"/>
      <c r="D709" s="900"/>
      <c r="E709" s="690"/>
      <c r="F709" s="690"/>
      <c r="G709" s="690"/>
      <c r="H709" s="702" t="s">
        <v>3</v>
      </c>
      <c r="I709" s="1086"/>
      <c r="J709" s="1087"/>
      <c r="K709" s="1087"/>
      <c r="L709" s="1087"/>
      <c r="M709" s="2886" t="s">
        <v>4</v>
      </c>
      <c r="N709" s="691"/>
      <c r="O709" s="702"/>
      <c r="P709" s="1086"/>
      <c r="Q709" s="703"/>
      <c r="R709" s="692"/>
      <c r="S709" s="707"/>
      <c r="T709" s="1075"/>
      <c r="U709" s="692"/>
      <c r="V709" s="1075"/>
      <c r="W709" s="707"/>
      <c r="X709" s="290"/>
    </row>
    <row r="710" spans="1:24" ht="22.15" customHeight="1" x14ac:dyDescent="0.25">
      <c r="A710" s="699"/>
      <c r="B710" s="1677"/>
      <c r="C710" s="1849"/>
      <c r="D710" s="901"/>
      <c r="E710" s="690"/>
      <c r="F710" s="690"/>
      <c r="G710" s="690"/>
      <c r="H710" s="702">
        <f>H493+H708</f>
        <v>3060484.6150000002</v>
      </c>
      <c r="I710" s="1086"/>
      <c r="J710" s="1087"/>
      <c r="K710" s="1087"/>
      <c r="L710" s="1087"/>
      <c r="M710" s="2886">
        <f>M493+M708</f>
        <v>3174420.19</v>
      </c>
      <c r="N710" s="691"/>
      <c r="O710" s="702">
        <f>O493+O708</f>
        <v>6234904.8050000006</v>
      </c>
      <c r="P710" s="1086"/>
      <c r="Q710" s="703">
        <f>Q493+Q708</f>
        <v>1840830.5448981482</v>
      </c>
      <c r="R710" s="692"/>
      <c r="S710" s="707">
        <f>S493+S708</f>
        <v>5950381.8894255813</v>
      </c>
      <c r="T710" s="1075">
        <f>+S710/O710</f>
        <v>0.95436611713040909</v>
      </c>
      <c r="U710" s="692"/>
      <c r="V710" s="1075">
        <f>+W710/Q710</f>
        <v>0.90099608168495782</v>
      </c>
      <c r="W710" s="707">
        <f>W493+W708</f>
        <v>1658581.1079992172</v>
      </c>
      <c r="X710" s="290"/>
    </row>
    <row r="711" spans="1:24" ht="17.5" customHeight="1" x14ac:dyDescent="0.25">
      <c r="A711" s="3042" t="s">
        <v>61</v>
      </c>
      <c r="B711" s="3043"/>
      <c r="C711" s="3043"/>
      <c r="D711" s="3044"/>
      <c r="E711" s="1148"/>
      <c r="F711" s="1148"/>
      <c r="G711" s="1148"/>
      <c r="H711" s="489">
        <f>H710*0.07</f>
        <v>214233.92305000004</v>
      </c>
      <c r="I711" s="1149"/>
      <c r="J711" s="1150"/>
      <c r="K711" s="1150"/>
      <c r="L711" s="1150"/>
      <c r="M711" s="2887">
        <f>M710*0.07</f>
        <v>222209.41330000001</v>
      </c>
      <c r="N711" s="1151"/>
      <c r="O711" s="489">
        <f>O710*0.07</f>
        <v>436443.33635000011</v>
      </c>
      <c r="P711" s="1149"/>
      <c r="Q711" s="1152">
        <f>Q710*0.07</f>
        <v>128858.13814287039</v>
      </c>
      <c r="R711" s="1153"/>
      <c r="S711" s="1156">
        <f>'Expense per agency'!Q20</f>
        <v>416526.7322597907</v>
      </c>
      <c r="T711" s="1154"/>
      <c r="U711" s="1155"/>
      <c r="V711" s="1154"/>
      <c r="W711" s="1156">
        <f>W710*0.07</f>
        <v>116100.67755994522</v>
      </c>
      <c r="X711" s="1156"/>
    </row>
    <row r="712" spans="1:24" x14ac:dyDescent="0.25">
      <c r="A712" s="3045"/>
      <c r="B712" s="3046"/>
      <c r="C712" s="3046"/>
      <c r="D712" s="902" t="s">
        <v>26</v>
      </c>
      <c r="E712" s="695"/>
      <c r="F712" s="695"/>
      <c r="G712" s="695"/>
      <c r="H712" s="1157">
        <f>H710+H711</f>
        <v>3274718.5380500001</v>
      </c>
      <c r="I712" s="1149"/>
      <c r="J712" s="1150"/>
      <c r="K712" s="1150"/>
      <c r="L712" s="1150"/>
      <c r="M712" s="2888">
        <f>M710+M711</f>
        <v>3396629.6033000001</v>
      </c>
      <c r="N712" s="1151"/>
      <c r="O712" s="489">
        <f>O710+O711</f>
        <v>6671348.1413500011</v>
      </c>
      <c r="P712" s="1149"/>
      <c r="Q712" s="1152">
        <f>Q710+Q711</f>
        <v>1969688.6830410184</v>
      </c>
      <c r="R712" s="1153"/>
      <c r="S712" s="1156">
        <f>S710+S711</f>
        <v>6366908.6216853717</v>
      </c>
      <c r="T712" s="1154">
        <f>+S712/O712</f>
        <v>0.95436611713040909</v>
      </c>
      <c r="U712" s="1155"/>
      <c r="V712" s="1154">
        <f>+W712/Q712</f>
        <v>0.90099608168495782</v>
      </c>
      <c r="W712" s="1156">
        <f>+W710+W711</f>
        <v>1774681.7855591625</v>
      </c>
      <c r="X712" s="1156"/>
    </row>
    <row r="713" spans="1:24" x14ac:dyDescent="0.25">
      <c r="R713" s="1161"/>
    </row>
    <row r="714" spans="1:24" x14ac:dyDescent="0.25">
      <c r="A714" s="496" t="s">
        <v>5</v>
      </c>
      <c r="B714" s="1162"/>
      <c r="C714" s="1850"/>
      <c r="D714" s="1163"/>
      <c r="E714" s="1164"/>
      <c r="F714" s="1165"/>
      <c r="G714" s="1165"/>
      <c r="H714" s="1166"/>
      <c r="I714" s="2889"/>
      <c r="J714" s="1167"/>
      <c r="K714" s="1167"/>
      <c r="L714" s="1167"/>
      <c r="M714" s="2890"/>
      <c r="N714" s="1094"/>
      <c r="O714" s="1166"/>
    </row>
    <row r="715" spans="1:24" x14ac:dyDescent="0.25">
      <c r="A715" s="1168" t="s">
        <v>27</v>
      </c>
      <c r="B715" s="1169"/>
      <c r="C715" s="1680"/>
      <c r="D715" s="449"/>
      <c r="E715" s="1170"/>
      <c r="F715" s="1165"/>
      <c r="G715" s="1165"/>
      <c r="H715" s="1166"/>
      <c r="I715" s="2980"/>
      <c r="J715" s="1167"/>
      <c r="K715" s="1167"/>
      <c r="L715" s="1167"/>
      <c r="M715" s="2890"/>
      <c r="N715" s="1094"/>
      <c r="O715" s="1166"/>
    </row>
    <row r="716" spans="1:24" ht="13.9" customHeight="1" x14ac:dyDescent="0.25">
      <c r="A716" s="3020" t="s">
        <v>46</v>
      </c>
      <c r="B716" s="3021"/>
      <c r="C716" s="3021"/>
      <c r="D716" s="3021"/>
      <c r="E716" s="3022"/>
      <c r="F716" s="1097"/>
      <c r="G716" s="1097"/>
      <c r="H716" s="1171"/>
      <c r="I716" s="2981"/>
      <c r="J716" s="1173"/>
      <c r="K716" s="1173"/>
      <c r="L716" s="1173"/>
      <c r="M716" s="2891"/>
      <c r="N716" s="1172"/>
      <c r="O716" s="2927"/>
      <c r="P716" s="1095"/>
      <c r="Q716" s="1095"/>
      <c r="R716" s="1095"/>
    </row>
    <row r="717" spans="1:24" x14ac:dyDescent="0.25">
      <c r="A717" s="1168" t="s">
        <v>62</v>
      </c>
      <c r="B717" s="1089"/>
      <c r="C717" s="1843"/>
      <c r="D717" s="449"/>
      <c r="E717" s="1170"/>
      <c r="I717" s="2982"/>
    </row>
    <row r="718" spans="1:24" x14ac:dyDescent="0.25">
      <c r="A718" s="1168"/>
      <c r="B718" s="1089" t="s">
        <v>33</v>
      </c>
      <c r="C718" s="1843"/>
      <c r="D718" s="449"/>
      <c r="E718" s="1170"/>
    </row>
    <row r="719" spans="1:24" x14ac:dyDescent="0.25">
      <c r="A719" s="1168"/>
      <c r="B719" s="1089" t="s">
        <v>34</v>
      </c>
      <c r="C719" s="1843"/>
      <c r="D719" s="449"/>
      <c r="E719" s="1170"/>
    </row>
    <row r="720" spans="1:24" ht="13.9" customHeight="1" x14ac:dyDescent="0.25">
      <c r="A720" s="3033" t="s">
        <v>63</v>
      </c>
      <c r="B720" s="3034"/>
      <c r="C720" s="3034"/>
      <c r="D720" s="3034"/>
      <c r="E720" s="3035"/>
    </row>
    <row r="722" spans="1:21" x14ac:dyDescent="0.25">
      <c r="A722" s="497" t="s">
        <v>49</v>
      </c>
      <c r="B722" s="596"/>
      <c r="C722" s="1847"/>
      <c r="D722" s="1163"/>
      <c r="E722" s="1174"/>
    </row>
    <row r="723" spans="1:21" x14ac:dyDescent="0.25">
      <c r="A723" s="670" t="s">
        <v>14</v>
      </c>
      <c r="B723" s="1089"/>
      <c r="C723" s="1843"/>
      <c r="D723" s="449"/>
      <c r="E723" s="1170"/>
      <c r="H723" s="733"/>
      <c r="I723" s="1094"/>
      <c r="J723" s="1175"/>
      <c r="K723" s="1175"/>
      <c r="L723" s="1175"/>
      <c r="M723" s="2890"/>
      <c r="N723" s="1094"/>
      <c r="O723" s="1166"/>
      <c r="U723" s="523"/>
    </row>
    <row r="724" spans="1:21" x14ac:dyDescent="0.25">
      <c r="A724" s="670" t="s">
        <v>15</v>
      </c>
      <c r="B724" s="1089"/>
      <c r="C724" s="1843"/>
      <c r="D724" s="449"/>
      <c r="E724" s="1170"/>
      <c r="H724" s="733"/>
      <c r="I724" s="1094"/>
      <c r="J724" s="1175"/>
      <c r="K724" s="1175"/>
      <c r="L724" s="1175"/>
      <c r="M724" s="2890"/>
      <c r="N724" s="1094"/>
      <c r="O724" s="1166"/>
      <c r="U724" s="523"/>
    </row>
    <row r="725" spans="1:21" x14ac:dyDescent="0.25">
      <c r="A725" s="670" t="s">
        <v>36</v>
      </c>
      <c r="B725" s="1089"/>
      <c r="C725" s="1843"/>
      <c r="D725" s="449"/>
      <c r="E725" s="1170"/>
      <c r="H725" s="733"/>
      <c r="I725" s="1094"/>
      <c r="J725" s="1175"/>
      <c r="K725" s="1175"/>
      <c r="L725" s="1175"/>
      <c r="M725" s="2890"/>
      <c r="N725" s="1094"/>
      <c r="O725" s="1166"/>
      <c r="U725" s="523"/>
    </row>
    <row r="726" spans="1:21" x14ac:dyDescent="0.25">
      <c r="A726" s="670" t="s">
        <v>47</v>
      </c>
      <c r="B726" s="1089"/>
      <c r="C726" s="1843"/>
      <c r="D726" s="449"/>
      <c r="E726" s="1170"/>
      <c r="H726" s="733"/>
      <c r="I726" s="1094"/>
      <c r="J726" s="1175"/>
      <c r="K726" s="1175"/>
      <c r="L726" s="1175"/>
      <c r="M726" s="2890"/>
      <c r="N726" s="1094"/>
      <c r="O726" s="1166"/>
      <c r="U726" s="523"/>
    </row>
    <row r="727" spans="1:21" x14ac:dyDescent="0.25">
      <c r="A727" s="670" t="s">
        <v>17</v>
      </c>
      <c r="B727" s="1089"/>
      <c r="C727" s="1843"/>
      <c r="D727" s="449"/>
      <c r="E727" s="1170"/>
      <c r="H727" s="733"/>
      <c r="I727" s="1094"/>
      <c r="J727" s="1175"/>
      <c r="K727" s="1175"/>
      <c r="L727" s="1175"/>
      <c r="M727" s="2890"/>
      <c r="N727" s="1094"/>
      <c r="O727" s="1166"/>
      <c r="U727" s="523"/>
    </row>
    <row r="728" spans="1:21" x14ac:dyDescent="0.25">
      <c r="A728" s="670" t="s">
        <v>48</v>
      </c>
      <c r="B728" s="1089"/>
      <c r="C728" s="1843"/>
      <c r="D728" s="449"/>
      <c r="E728" s="1170"/>
      <c r="H728" s="733"/>
      <c r="I728" s="1094"/>
      <c r="J728" s="1175"/>
      <c r="K728" s="1175"/>
      <c r="L728" s="1175"/>
      <c r="M728" s="2890"/>
      <c r="N728" s="1094"/>
      <c r="O728" s="1166"/>
      <c r="U728" s="523"/>
    </row>
    <row r="729" spans="1:21" x14ac:dyDescent="0.25">
      <c r="A729" s="1176" t="s">
        <v>19</v>
      </c>
      <c r="B729" s="1177"/>
      <c r="C729" s="1851"/>
      <c r="D729" s="1178"/>
      <c r="E729" s="1179"/>
      <c r="H729" s="733"/>
      <c r="I729" s="1094"/>
      <c r="J729" s="1175"/>
      <c r="K729" s="1175"/>
      <c r="L729" s="1175"/>
      <c r="M729" s="2890"/>
      <c r="N729" s="1094"/>
      <c r="O729" s="1166"/>
      <c r="U729" s="523"/>
    </row>
  </sheetData>
  <autoFilter ref="A10:X233" xr:uid="{00000000-0009-0000-0000-000000000000}"/>
  <mergeCells count="127">
    <mergeCell ref="A214:A219"/>
    <mergeCell ref="A220:A221"/>
    <mergeCell ref="A225:A228"/>
    <mergeCell ref="A210:A213"/>
    <mergeCell ref="Y14:AB18"/>
    <mergeCell ref="B52:B56"/>
    <mergeCell ref="U52:U56"/>
    <mergeCell ref="B57:B60"/>
    <mergeCell ref="B100:B103"/>
    <mergeCell ref="U100:U103"/>
    <mergeCell ref="B82:B86"/>
    <mergeCell ref="U82:U86"/>
    <mergeCell ref="B87:B91"/>
    <mergeCell ref="U87:U91"/>
    <mergeCell ref="B95:B99"/>
    <mergeCell ref="U95:U99"/>
    <mergeCell ref="A180:R180"/>
    <mergeCell ref="A119:A122"/>
    <mergeCell ref="A123:A127"/>
    <mergeCell ref="A110:A118"/>
    <mergeCell ref="A168:R168"/>
    <mergeCell ref="A175:A177"/>
    <mergeCell ref="A128:B128"/>
    <mergeCell ref="A129:X129"/>
    <mergeCell ref="A131:A134"/>
    <mergeCell ref="A135:A145"/>
    <mergeCell ref="A185:A190"/>
    <mergeCell ref="A169:A172"/>
    <mergeCell ref="A173:A174"/>
    <mergeCell ref="A178:B178"/>
    <mergeCell ref="A181:A184"/>
    <mergeCell ref="A146:A149"/>
    <mergeCell ref="A130:R130"/>
    <mergeCell ref="A150:R150"/>
    <mergeCell ref="A151:A157"/>
    <mergeCell ref="A160:A167"/>
    <mergeCell ref="A179:X179"/>
    <mergeCell ref="A720:E720"/>
    <mergeCell ref="A615:X615"/>
    <mergeCell ref="A626:X626"/>
    <mergeCell ref="A651:X651"/>
    <mergeCell ref="A655:X655"/>
    <mergeCell ref="A708:C708"/>
    <mergeCell ref="A711:D711"/>
    <mergeCell ref="A712:C712"/>
    <mergeCell ref="A283:X283"/>
    <mergeCell ref="A284:R284"/>
    <mergeCell ref="A382:R382"/>
    <mergeCell ref="U412:U413"/>
    <mergeCell ref="A601:X601"/>
    <mergeCell ref="A470:A478"/>
    <mergeCell ref="A479:B479"/>
    <mergeCell ref="B395:B399"/>
    <mergeCell ref="A592:X592"/>
    <mergeCell ref="A481:A491"/>
    <mergeCell ref="A493:C493"/>
    <mergeCell ref="A494:X494"/>
    <mergeCell ref="A364:A381"/>
    <mergeCell ref="A383:A404"/>
    <mergeCell ref="A405:A415"/>
    <mergeCell ref="A285:A294"/>
    <mergeCell ref="U405:U406"/>
    <mergeCell ref="B407:B410"/>
    <mergeCell ref="U407:U410"/>
    <mergeCell ref="A282:B282"/>
    <mergeCell ref="A229:A232"/>
    <mergeCell ref="A269:A281"/>
    <mergeCell ref="B400:B403"/>
    <mergeCell ref="U400:U403"/>
    <mergeCell ref="B405:B406"/>
    <mergeCell ref="A353:A360"/>
    <mergeCell ref="A233:R233"/>
    <mergeCell ref="A235:A268"/>
    <mergeCell ref="B383:B384"/>
    <mergeCell ref="U383:U384"/>
    <mergeCell ref="B385:B389"/>
    <mergeCell ref="A341:R341"/>
    <mergeCell ref="A361:A363"/>
    <mergeCell ref="A342:A352"/>
    <mergeCell ref="B45:B49"/>
    <mergeCell ref="A716:E716"/>
    <mergeCell ref="A417:X417"/>
    <mergeCell ref="A416:B416"/>
    <mergeCell ref="A418:R418"/>
    <mergeCell ref="A305:A319"/>
    <mergeCell ref="A320:A329"/>
    <mergeCell ref="A480:X480"/>
    <mergeCell ref="B390:B394"/>
    <mergeCell ref="U390:U394"/>
    <mergeCell ref="A419:A444"/>
    <mergeCell ref="A445:R445"/>
    <mergeCell ref="A446:A451"/>
    <mergeCell ref="A452:A469"/>
    <mergeCell ref="A295:A304"/>
    <mergeCell ref="A330:A340"/>
    <mergeCell ref="U395:U399"/>
    <mergeCell ref="A191:A197"/>
    <mergeCell ref="A198:A203"/>
    <mergeCell ref="A204:A207"/>
    <mergeCell ref="A223:X223"/>
    <mergeCell ref="A224:R224"/>
    <mergeCell ref="A208:B208"/>
    <mergeCell ref="A209:X209"/>
    <mergeCell ref="A492:B492"/>
    <mergeCell ref="S9:X9"/>
    <mergeCell ref="A11:X11"/>
    <mergeCell ref="A12:X12"/>
    <mergeCell ref="A14:A34"/>
    <mergeCell ref="A35:A50"/>
    <mergeCell ref="A52:A76"/>
    <mergeCell ref="A13:R13"/>
    <mergeCell ref="A109:R109"/>
    <mergeCell ref="A51:R51"/>
    <mergeCell ref="A77:A94"/>
    <mergeCell ref="A95:A106"/>
    <mergeCell ref="A107:B107"/>
    <mergeCell ref="A108:X108"/>
    <mergeCell ref="B14:B18"/>
    <mergeCell ref="B19:B23"/>
    <mergeCell ref="B24:B28"/>
    <mergeCell ref="B29:B33"/>
    <mergeCell ref="B35:B39"/>
    <mergeCell ref="B61:B64"/>
    <mergeCell ref="U61:U64"/>
    <mergeCell ref="B77:B81"/>
    <mergeCell ref="U77:U81"/>
    <mergeCell ref="B40:B44"/>
  </mergeCells>
  <conditionalFormatting sqref="B343">
    <cfRule type="duplicateValues" dxfId="96" priority="83"/>
  </conditionalFormatting>
  <conditionalFormatting sqref="B344:B345">
    <cfRule type="duplicateValues" dxfId="95" priority="82"/>
  </conditionalFormatting>
  <conditionalFormatting sqref="B346">
    <cfRule type="duplicateValues" dxfId="94" priority="81"/>
  </conditionalFormatting>
  <conditionalFormatting sqref="F296:H296 J295:N296 E295:H295 J305:N310 E305:G310 J320:L320 E320:G320 J330:L331 E330:G331 E605:H605 E599:H599 E596:H597 N320 N330:N331 H606">
    <cfRule type="cellIs" dxfId="93" priority="72" operator="equal">
      <formula>0</formula>
    </cfRule>
  </conditionalFormatting>
  <conditionalFormatting sqref="F286:G286 J286:N286 M287:M293">
    <cfRule type="cellIs" dxfId="92" priority="70" operator="equal">
      <formula>0</formula>
    </cfRule>
  </conditionalFormatting>
  <conditionalFormatting sqref="F297:H298 J297:N298">
    <cfRule type="cellIs" dxfId="91" priority="68" operator="equal">
      <formula>0</formula>
    </cfRule>
  </conditionalFormatting>
  <conditionalFormatting sqref="F322:G323 J322:L323 N322:N323">
    <cfRule type="cellIs" dxfId="90" priority="66" operator="equal">
      <formula>0</formula>
    </cfRule>
  </conditionalFormatting>
  <conditionalFormatting sqref="F289:G289 J289:L289 N289">
    <cfRule type="cellIs" dxfId="89" priority="60" operator="equal">
      <formula>0</formula>
    </cfRule>
  </conditionalFormatting>
  <conditionalFormatting sqref="F324:G324 J324:L324 N324">
    <cfRule type="cellIs" dxfId="88" priority="54" operator="equal">
      <formula>0</formula>
    </cfRule>
  </conditionalFormatting>
  <conditionalFormatting sqref="F335:G335 J335:L335 N335">
    <cfRule type="cellIs" dxfId="87" priority="52" operator="equal">
      <formula>0</formula>
    </cfRule>
  </conditionalFormatting>
  <conditionalFormatting sqref="F285:H285 F300:H303 F315:G318 F325:G328 J325:L328 J315:N318 J300:N303 J290:L293 J285:N285 F336:G339 J336:L339 F290:G293 N290:N293 H286:H293 N325:N328 N336:N339">
    <cfRule type="cellIs" dxfId="86" priority="80" operator="equal">
      <formula>0</formula>
    </cfRule>
  </conditionalFormatting>
  <conditionalFormatting sqref="F321:G321 J321:L321 N321">
    <cfRule type="cellIs" dxfId="85" priority="78" operator="equal">
      <formula>0</formula>
    </cfRule>
  </conditionalFormatting>
  <conditionalFormatting sqref="F332:G332 J332:L332 N332">
    <cfRule type="cellIs" dxfId="84" priority="76" operator="equal">
      <formula>0</formula>
    </cfRule>
  </conditionalFormatting>
  <conditionalFormatting sqref="B321">
    <cfRule type="duplicateValues" dxfId="83" priority="49"/>
  </conditionalFormatting>
  <conditionalFormatting sqref="B332">
    <cfRule type="duplicateValues" dxfId="82" priority="47"/>
  </conditionalFormatting>
  <conditionalFormatting sqref="B311">
    <cfRule type="duplicateValues" dxfId="81" priority="45"/>
  </conditionalFormatting>
  <conditionalFormatting sqref="F311:G311 J311:N311">
    <cfRule type="cellIs" dxfId="80" priority="74" operator="equal">
      <formula>0</formula>
    </cfRule>
  </conditionalFormatting>
  <conditionalFormatting sqref="B296">
    <cfRule type="duplicateValues" dxfId="79" priority="43"/>
  </conditionalFormatting>
  <conditionalFormatting sqref="B286">
    <cfRule type="duplicateValues" dxfId="78" priority="41"/>
  </conditionalFormatting>
  <conditionalFormatting sqref="F287:G288 J287:L288 N287:N288">
    <cfRule type="cellIs" dxfId="77" priority="69" operator="equal">
      <formula>0</formula>
    </cfRule>
  </conditionalFormatting>
  <conditionalFormatting sqref="F312:G313 J312:N313">
    <cfRule type="cellIs" dxfId="76" priority="67" operator="equal">
      <formula>0</formula>
    </cfRule>
  </conditionalFormatting>
  <conditionalFormatting sqref="F333:G334 J333:L334 N333:N334">
    <cfRule type="cellIs" dxfId="75" priority="65" operator="equal">
      <formula>0</formula>
    </cfRule>
  </conditionalFormatting>
  <conditionalFormatting sqref="B287:B288">
    <cfRule type="duplicateValues" dxfId="74" priority="34"/>
  </conditionalFormatting>
  <conditionalFormatting sqref="B297:B298">
    <cfRule type="duplicateValues" dxfId="73" priority="33"/>
  </conditionalFormatting>
  <conditionalFormatting sqref="B322:B323">
    <cfRule type="duplicateValues" dxfId="72" priority="32"/>
  </conditionalFormatting>
  <conditionalFormatting sqref="B333:B334 B336">
    <cfRule type="duplicateValues" dxfId="71" priority="31"/>
  </conditionalFormatting>
  <conditionalFormatting sqref="B289">
    <cfRule type="duplicateValues" dxfId="70" priority="29"/>
  </conditionalFormatting>
  <conditionalFormatting sqref="F299:H299 J299:N299">
    <cfRule type="cellIs" dxfId="69" priority="58" operator="equal">
      <formula>0</formula>
    </cfRule>
  </conditionalFormatting>
  <conditionalFormatting sqref="B299">
    <cfRule type="duplicateValues" dxfId="68" priority="27"/>
  </conditionalFormatting>
  <conditionalFormatting sqref="F314:G314 J314:N314">
    <cfRule type="cellIs" dxfId="67" priority="56" operator="equal">
      <formula>0</formula>
    </cfRule>
  </conditionalFormatting>
  <conditionalFormatting sqref="B314">
    <cfRule type="duplicateValues" dxfId="66" priority="25"/>
  </conditionalFormatting>
  <conditionalFormatting sqref="B324">
    <cfRule type="duplicateValues" dxfId="65" priority="23"/>
  </conditionalFormatting>
  <conditionalFormatting sqref="B335">
    <cfRule type="duplicateValues" dxfId="64" priority="21"/>
  </conditionalFormatting>
  <conditionalFormatting sqref="E296">
    <cfRule type="cellIs" dxfId="63" priority="42" operator="equal">
      <formula>0</formula>
    </cfRule>
  </conditionalFormatting>
  <conditionalFormatting sqref="E286">
    <cfRule type="cellIs" dxfId="62" priority="40" operator="equal">
      <formula>0</formula>
    </cfRule>
  </conditionalFormatting>
  <conditionalFormatting sqref="E297:E298">
    <cfRule type="cellIs" dxfId="61" priority="38" operator="equal">
      <formula>0</formula>
    </cfRule>
  </conditionalFormatting>
  <conditionalFormatting sqref="E322:E323">
    <cfRule type="cellIs" dxfId="60" priority="36" operator="equal">
      <formula>0</formula>
    </cfRule>
  </conditionalFormatting>
  <conditionalFormatting sqref="E289">
    <cfRule type="cellIs" dxfId="59" priority="30" operator="equal">
      <formula>0</formula>
    </cfRule>
  </conditionalFormatting>
  <conditionalFormatting sqref="E324">
    <cfRule type="cellIs" dxfId="58" priority="24" operator="equal">
      <formula>0</formula>
    </cfRule>
  </conditionalFormatting>
  <conditionalFormatting sqref="E335">
    <cfRule type="cellIs" dxfId="57" priority="22" operator="equal">
      <formula>0</formula>
    </cfRule>
  </conditionalFormatting>
  <conditionalFormatting sqref="E285 E290:E293 E300:E303 E315:E318 E325:E328 E336:E339">
    <cfRule type="cellIs" dxfId="56" priority="50" operator="equal">
      <formula>0</formula>
    </cfRule>
  </conditionalFormatting>
  <conditionalFormatting sqref="E321">
    <cfRule type="cellIs" dxfId="55" priority="48" operator="equal">
      <formula>0</formula>
    </cfRule>
  </conditionalFormatting>
  <conditionalFormatting sqref="E332">
    <cfRule type="cellIs" dxfId="54" priority="46" operator="equal">
      <formula>0</formula>
    </cfRule>
  </conditionalFormatting>
  <conditionalFormatting sqref="E311">
    <cfRule type="cellIs" dxfId="53" priority="44" operator="equal">
      <formula>0</formula>
    </cfRule>
  </conditionalFormatting>
  <conditionalFormatting sqref="E287:E288">
    <cfRule type="cellIs" dxfId="52" priority="39" operator="equal">
      <formula>0</formula>
    </cfRule>
  </conditionalFormatting>
  <conditionalFormatting sqref="E312:E313">
    <cfRule type="cellIs" dxfId="51" priority="37" operator="equal">
      <formula>0</formula>
    </cfRule>
  </conditionalFormatting>
  <conditionalFormatting sqref="E333:E334">
    <cfRule type="cellIs" dxfId="50" priority="35" operator="equal">
      <formula>0</formula>
    </cfRule>
  </conditionalFormatting>
  <conditionalFormatting sqref="E299">
    <cfRule type="cellIs" dxfId="49" priority="28" operator="equal">
      <formula>0</formula>
    </cfRule>
  </conditionalFormatting>
  <conditionalFormatting sqref="E314">
    <cfRule type="cellIs" dxfId="48" priority="26" operator="equal">
      <formula>0</formula>
    </cfRule>
  </conditionalFormatting>
  <conditionalFormatting sqref="E607:H613 E606:G606">
    <cfRule type="cellIs" dxfId="47" priority="14" operator="equal">
      <formula>0</formula>
    </cfRule>
  </conditionalFormatting>
  <conditionalFormatting sqref="B596:B597 B605 B599">
    <cfRule type="duplicateValues" dxfId="46" priority="19"/>
  </conditionalFormatting>
  <conditionalFormatting sqref="B633:B649">
    <cfRule type="duplicateValues" dxfId="45" priority="13"/>
  </conditionalFormatting>
  <conditionalFormatting sqref="E633:H649">
    <cfRule type="cellIs" dxfId="44" priority="12" operator="equal">
      <formula>0</formula>
    </cfRule>
  </conditionalFormatting>
  <conditionalFormatting sqref="E680:H706">
    <cfRule type="cellIs" dxfId="43" priority="10" operator="equal">
      <formula>0</formula>
    </cfRule>
  </conditionalFormatting>
  <conditionalFormatting sqref="B680:B705">
    <cfRule type="duplicateValues" dxfId="42" priority="11"/>
  </conditionalFormatting>
  <conditionalFormatting sqref="B524:B590">
    <cfRule type="duplicateValues" dxfId="41" priority="84"/>
  </conditionalFormatting>
  <conditionalFormatting sqref="E598:H598">
    <cfRule type="cellIs" dxfId="40" priority="7" operator="equal">
      <formula>0</formula>
    </cfRule>
  </conditionalFormatting>
  <conditionalFormatting sqref="A598">
    <cfRule type="duplicateValues" dxfId="39" priority="9"/>
  </conditionalFormatting>
  <conditionalFormatting sqref="B598">
    <cfRule type="duplicateValues" dxfId="38" priority="8"/>
  </conditionalFormatting>
  <conditionalFormatting sqref="A606:A613">
    <cfRule type="duplicateValues" dxfId="37" priority="85"/>
  </conditionalFormatting>
  <conditionalFormatting sqref="B606:B613">
    <cfRule type="duplicateValues" dxfId="36" priority="86"/>
  </conditionalFormatting>
  <conditionalFormatting sqref="H305:H318">
    <cfRule type="cellIs" dxfId="35" priority="6" operator="equal">
      <formula>0</formula>
    </cfRule>
  </conditionalFormatting>
  <conditionalFormatting sqref="H320:H328">
    <cfRule type="cellIs" dxfId="34" priority="5" operator="equal">
      <formula>0</formula>
    </cfRule>
  </conditionalFormatting>
  <conditionalFormatting sqref="M320:M328">
    <cfRule type="cellIs" dxfId="33" priority="4" operator="equal">
      <formula>0</formula>
    </cfRule>
  </conditionalFormatting>
  <conditionalFormatting sqref="H330:H339">
    <cfRule type="cellIs" dxfId="32" priority="3" operator="equal">
      <formula>0</formula>
    </cfRule>
  </conditionalFormatting>
  <conditionalFormatting sqref="M330:M339">
    <cfRule type="cellIs" dxfId="31" priority="2" operator="equal">
      <formula>0</formula>
    </cfRule>
  </conditionalFormatting>
  <conditionalFormatting sqref="H524:H573">
    <cfRule type="cellIs" dxfId="30" priority="1" operator="equal">
      <formula>0</formula>
    </cfRule>
  </conditionalFormatting>
  <dataValidations count="3">
    <dataValidation type="list" allowBlank="1" showInputMessage="1" showErrorMessage="1" sqref="C72:C73 C342:C381 C446:C478 WVJ593 S77:S81 C131:C135 C141:C149 C151:C167 C169:C177 WVK330:WVK339 C234 C232 C52:C65 C14:C50 C181:C207 C219 C222 C213 C228 C268 C281 WLO285:WLO293 WBS285:WBS293 VRW285:VRW293 VIA285:VIA293 UYE285:UYE293 UOI285:UOI293 UEM285:UEM293 TUQ285:TUQ293 TKU285:TKU293 TAY285:TAY293 SRC285:SRC293 SHG285:SHG293 RXK285:RXK293 RNO285:RNO293 RDS285:RDS293 QTW285:QTW293 QKA285:QKA293 QAE285:QAE293 PQI285:PQI293 PGM285:PGM293 OWQ285:OWQ293 OMU285:OMU293 OCY285:OCY293 NTC285:NTC293 NJG285:NJG293 MZK285:MZK293 MPO285:MPO293 MFS285:MFS293 LVW285:LVW293 LMA285:LMA293 LCE285:LCE293 KSI285:KSI293 KIM285:KIM293 JYQ285:JYQ293 JOU285:JOU293 JEY285:JEY293 IVC285:IVC293 ILG285:ILG293 IBK285:IBK293 HRO285:HRO293 HHS285:HHS293 GXW285:GXW293 GOA285:GOA293 GEE285:GEE293 FUI285:FUI293 FKM285:FKM293 FAQ285:FAQ293 EQU285:EQU293 EGY285:EGY293 DXC285:DXC293 DNG285:DNG293 DDK285:DDK293 CTO285:CTO293 CJS285:CJS293 BZW285:BZW293 BQA285:BQA293 BGE285:BGE293 AWI285:AWI293 AMM285:AMM293 ACQ285:ACQ293 SU285:SU293 IY285:IY293 WVK285:WVK293 IY295:IY303 SU295:SU303 ACQ295:ACQ303 AMM295:AMM303 AWI295:AWI303 BGE295:BGE303 BQA295:BQA303 BZW295:BZW303 CJS295:CJS303 CTO295:CTO303 DDK295:DDK303 DNG295:DNG303 DXC295:DXC303 EGY295:EGY303 EQU295:EQU303 FAQ295:FAQ303 FKM295:FKM303 FUI295:FUI303 GEE295:GEE303 GOA295:GOA303 GXW295:GXW303 HHS295:HHS303 HRO295:HRO303 IBK295:IBK303 ILG295:ILG303 IVC295:IVC303 JEY295:JEY303 JOU295:JOU303 JYQ295:JYQ303 KIM295:KIM303 KSI295:KSI303 LCE295:LCE303 LMA295:LMA303 LVW295:LVW303 MFS295:MFS303 MPO295:MPO303 MZK295:MZK303 NJG295:NJG303 NTC295:NTC303 OCY295:OCY303 OMU295:OMU303 OWQ295:OWQ303 PGM295:PGM303 PQI295:PQI303 QAE295:QAE303 QKA295:QKA303 QTW295:QTW303 RDS295:RDS303 RNO295:RNO303 RXK295:RXK303 SHG295:SHG303 SRC295:SRC303 TAY295:TAY303 TKU295:TKU303 TUQ295:TUQ303 UEM295:UEM303 UOI295:UOI303 UYE295:UYE303 VIA295:VIA303 VRW295:VRW303 WBS295:WBS303 WLO295:WLO303 WVK295:WVK303 WLO305:WLO318 WBS305:WBS318 VRW305:VRW318 VIA305:VIA318 UYE305:UYE318 UOI305:UOI318 UEM305:UEM318 TUQ305:TUQ318 TKU305:TKU318 TAY305:TAY318 SRC305:SRC318 SHG305:SHG318 RXK305:RXK318 RNO305:RNO318 RDS305:RDS318 QTW305:QTW318 QKA305:QKA318 QAE305:QAE318 PQI305:PQI318 PGM305:PGM318 OWQ305:OWQ318 OMU305:OMU318 OCY305:OCY318 NTC305:NTC318 NJG305:NJG318 MZK305:MZK318 MPO305:MPO318 MFS305:MFS318 LVW305:LVW318 LMA305:LMA318 LCE305:LCE318 KSI305:KSI318 KIM305:KIM318 JYQ305:JYQ318 JOU305:JOU318 JEY305:JEY318 IVC305:IVC318 ILG305:ILG318 IBK305:IBK318 HRO305:HRO318 HHS305:HHS318 GXW305:GXW318 GOA305:GOA318 GEE305:GEE318 FUI305:FUI318 FKM305:FKM318 FAQ305:FAQ318 EQU305:EQU318 EGY305:EGY318 DXC305:DXC318 DNG305:DNG318 DDK305:DDK318 CTO305:CTO318 CJS305:CJS318 BZW305:BZW318 BQA305:BQA318 BGE305:BGE318 AWI305:AWI318 AMM305:AMM318 ACQ305:ACQ318 SU305:SU318 IY305:IY318 WVK305:WVK318 IY320:IY328 SU320:SU328 ACQ320:ACQ328 AMM320:AMM328 AWI320:AWI328 BGE320:BGE328 BQA320:BQA328 BZW320:BZW328 CJS320:CJS328 CTO320:CTO328 DDK320:DDK328 DNG320:DNG328 DXC320:DXC328 EGY320:EGY328 EQU320:EQU328 FAQ320:FAQ328 FKM320:FKM328 FUI320:FUI328 GEE320:GEE328 GOA320:GOA328 GXW320:GXW328 HHS320:HHS328 HRO320:HRO328 IBK320:IBK328 ILG320:ILG328 IVC320:IVC328 JEY320:JEY328 JOU320:JOU328 JYQ320:JYQ328 KIM320:KIM328 KSI320:KSI328 LCE320:LCE328 LMA320:LMA328 LVW320:LVW328 MFS320:MFS328 MPO320:MPO328 MZK320:MZK328 NJG320:NJG328 NTC320:NTC328 OCY320:OCY328 OMU320:OMU328 OWQ320:OWQ328 PGM320:PGM328 PQI320:PQI328 QAE320:QAE328 QKA320:QKA328 QTW320:QTW328 RDS320:RDS328 RNO320:RNO328 RXK320:RXK328 SHG320:SHG328 SRC320:SRC328 TAY320:TAY328 TKU320:TKU328 TUQ320:TUQ328 UEM320:UEM328 UOI320:UOI328 UYE320:UYE328 VIA320:VIA328 VRW320:VRW328 WBS320:WBS328 WLO320:WLO328 WVK320:WVK328 IY330:IY339 SU330:SU339 ACQ330:ACQ339 AMM330:AMM339 AWI330:AWI339 BGE330:BGE339 BQA330:BQA339 BZW330:BZW339 CJS330:CJS339 CTO330:CTO339 DDK330:DDK339 DNG330:DNG339 DXC330:DXC339 EGY330:EGY339 EQU330:EQU339 FAQ330:FAQ339 FKM330:FKM339 FUI330:FUI339 GEE330:GEE339 GOA330:GOA339 GXW330:GXW339 HHS330:HHS339 HRO330:HRO339 IBK330:IBK339 ILG330:ILG339 IVC330:IVC339 JEY330:JEY339 JOU330:JOU339 JYQ330:JYQ339 KIM330:KIM339 KSI330:KSI339 LCE330:LCE339 LMA330:LMA339 LVW330:LVW339 MFS330:MFS339 MPO330:MPO339 MZK330:MZK339 NJG330:NJG339 NTC330:NTC339 OCY330:OCY339 OMU330:OMU339 OWQ330:OWQ339 PGM330:PGM339 PQI330:PQI339 QAE330:QAE339 QKA330:QKA339 QTW330:QTW339 RDS330:RDS339 RNO330:RNO339 RXK330:RXK339 SHG330:SHG339 SRC330:SRC339 TAY330:TAY339 TKU330:TKU339 TUQ330:TUQ339 UEM330:UEM339 UOI330:UOI339 UYE330:UYE339 VIA330:VIA339 VRW330:VRW339 WBS330:WBS339 WLO330:WLO339 C619:C625 C383:C415 C285:C340 C419:C444 C524:C583 C110:C127 C492 IX492 ST492 ACP492 AML492 AWH492 BGD492 BPZ492 BZV492 CJR492 CTN492 DDJ492 DNF492 DXB492 EGX492 EQT492 FAP492 FKL492 FUH492 GED492 GNZ492 GXV492 HHR492 HRN492 IBJ492 ILF492 IVB492 JEX492 JOT492 JYP492 KIL492 KSH492 LCD492 LLZ492 LVV492 MFR492 MPN492 MZJ492 NJF492 NTB492 OCX492 OMT492 OWP492 PGL492 PQH492 QAD492 QJZ492 QTV492 RDR492 RNN492 RXJ492 SHF492 SRB492 TAX492 TKT492 TUP492 UEL492 UOH492 UYD492 VHZ492 VRV492 WBR492 WLN492 WVJ492 C496:C500 IX496:IX500 ST496:ST500 ACP496:ACP500 AML496:AML500 AWH496:AWH500 BGD496:BGD500 BPZ496:BPZ500 BZV496:BZV500 CJR496:CJR500 CTN496:CTN500 DDJ496:DDJ500 DNF496:DNF500 DXB496:DXB500 EGX496:EGX500 EQT496:EQT500 FAP496:FAP500 FKL496:FKL500 FUH496:FUH500 GED496:GED500 GNZ496:GNZ500 GXV496:GXV500 HHR496:HHR500 HRN496:HRN500 IBJ496:IBJ500 ILF496:ILF500 IVB496:IVB500 JEX496:JEX500 JOT496:JOT500 JYP496:JYP500 KIL496:KIL500 KSH496:KSH500 LCD496:LCD500 LLZ496:LLZ500 LVV496:LVV500 MFR496:MFR500 MPN496:MPN500 MZJ496:MZJ500 NJF496:NJF500 NTB496:NTB500 OCX496:OCX500 OMT496:OMT500 OWP496:OWP500 PGL496:PGL500 PQH496:PQH500 QAD496:QAD500 QJZ496:QJZ500 QTV496:QTV500 RDR496:RDR500 RNN496:RNN500 RXJ496:RXJ500 SHF496:SHF500 SRB496:SRB500 TAX496:TAX500 TKT496:TKT500 TUP496:TUP500 UEL496:UEL500 UOH496:UOH500 UYD496:UYD500 VHZ496:VHZ500 VRV496:VRV500 WBR496:WBR500 WLN496:WLN500 WVJ496:WVJ500 C593 IX593 ST593 ACP593 AML593 AWH593 BGD593 BPZ593 BZV593 CJR593 CTN593 DDJ593 DNF593 DXB593 EGX593 EQT593 FAP593 FKL593 FUH593 GED593 GNZ593 GXV593 HHR593 HRN593 IBJ593 ILF593 IVB593 JEX593 JOT593 JYP593 KIL593 KSH593 LCD593 LLZ593 LVV593 MFR593 MPN593 MZJ593 NJF593 NTB593 OCX593 OMT593 OWP593 PGL593 PQH593 QAD593 QJZ593 QTV593 RDR593 RNN593 RXJ593 SHF593 SRB593 TAX593 TKT593 TUP593 UEL593 UOH593 UYD593 VHZ593 VRV593 WBR593 WLN593 IX648 ST648 ACP648 AML648 AWH648 BGD648 BPZ648 BZV648 CJR648 CTN648 DDJ648 DNF648 DXB648 EGX648 EQT648 FAP648 FKL648 FUH648 GED648 GNZ648 GXV648 HHR648 HRN648 IBJ648 ILF648 IVB648 JEX648 JOT648 JYP648 KIL648 KSH648 LCD648 LLZ648 LVV648 MFR648 MPN648 MZJ648 NJF648 NTB648 OCX648 OMT648 OWP648 PGL648 PQH648 QAD648 QJZ648 QTV648 RDR648 RNN648 RXJ648 SHF648 SRB648 TAX648 TKT648 TUP648 UEL648 UOH648 UYD648 VHZ648 VRV648 WBR648 WLN648 ST704:ST706 ACP704:ACP706 AML704:AML706 AWH704:AWH706 BGD704:BGD706 BPZ704:BPZ706 BZV704:BZV706 CJR704:CJR706 CTN704:CTN706 DDJ704:DDJ706 DNF704:DNF706 DXB704:DXB706 EGX704:EGX706 EQT704:EQT706 FAP704:FAP706 FKL704:FKL706 FUH704:FUH706 GED704:GED706 GNZ704:GNZ706 GXV704:GXV706 HHR704:HHR706 HRN704:HRN706 IBJ704:IBJ706 ILF704:ILF706 IVB704:IVB706 JEX704:JEX706 JOT704:JOT706 JYP704:JYP706 KIL704:KIL706 KSH704:KSH706 LCD704:LCD706 LLZ704:LLZ706 LVV704:LVV706 MFR704:MFR706 MPN704:MPN706 MZJ704:MZJ706 NJF704:NJF706 NTB704:NTB706 OCX704:OCX706 OMT704:OMT706 OWP704:OWP706 PGL704:PGL706 PQH704:PQH706 QAD704:QAD706 QJZ704:QJZ706 QTV704:QTV706 RDR704:RDR706 RNN704:RNN706 RXJ704:RXJ706 SHF704:SHF706 SRB704:SRB706 TAX704:TAX706 TKT704:TKT706 TUP704:TUP706 UEL704:UEL706 UOH704:UOH706 UYD704:UYD706 VHZ704:VHZ706 VRV704:VRV706 WBR704:WBR706 WLN704:WLN706 WVJ704:WVJ706 IX704:IX706 C76:C106 C591 WVJ648 C652:C654 C633:C650 C613:C614 S61:S64 C680:C707 C605:C611 C596:C600 B502:B506" xr:uid="{00000000-0002-0000-0000-000000000000}">
      <formula1>categories</formula1>
    </dataValidation>
    <dataValidation type="list" allowBlank="1" showInputMessage="1" showErrorMessage="1" sqref="C235:C267" xr:uid="{00000000-0002-0000-0000-000001000000}">
      <formula1>categorie</formula1>
    </dataValidation>
    <dataValidation type="list" allowBlank="1" showInputMessage="1" showErrorMessage="1" sqref="C508:C511 C502:C506" xr:uid="{00000000-0002-0000-0000-000002000000}">
      <formula1>catégorie</formula1>
    </dataValidation>
  </dataValidations>
  <pageMargins left="0.7" right="0.7" top="0.75" bottom="0.75" header="0.3" footer="0.3"/>
  <pageSetup orientation="portrait" horizontalDpi="4294967295" verticalDpi="4294967295" r:id="rId1"/>
  <ignoredErrors>
    <ignoredError sqref="H147 T707 M172 M174 W184 W190 W197 M203 M213 W213 M219 Q219 W469 M469 V94 H172 H17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0"/>
  <sheetViews>
    <sheetView topLeftCell="A17" zoomScale="63" workbookViewId="0">
      <selection activeCell="J27" sqref="J27"/>
    </sheetView>
  </sheetViews>
  <sheetFormatPr baseColWidth="10" defaultColWidth="11.453125" defaultRowHeight="13" x14ac:dyDescent="0.3"/>
  <cols>
    <col min="1" max="1" width="31.81640625" style="1" customWidth="1"/>
    <col min="2" max="2" width="15.7265625" style="1" customWidth="1"/>
    <col min="3" max="3" width="12" style="1" bestFit="1" customWidth="1"/>
    <col min="4" max="4" width="14.81640625" style="447" customWidth="1"/>
    <col min="5" max="5" width="12.7265625" style="552" customWidth="1"/>
    <col min="6" max="6" width="12.26953125" style="447" bestFit="1" customWidth="1"/>
    <col min="7" max="7" width="13.453125" style="1" bestFit="1" customWidth="1"/>
    <col min="8" max="8" width="11.7265625" style="1" customWidth="1"/>
    <col min="9" max="9" width="12.26953125" style="1" customWidth="1"/>
    <col min="10" max="10" width="17.26953125" style="1" customWidth="1"/>
    <col min="11" max="11" width="9" style="1" bestFit="1" customWidth="1"/>
    <col min="12" max="15" width="11.453125" style="1"/>
    <col min="16" max="16" width="12.453125" style="1" customWidth="1"/>
    <col min="17" max="18" width="11.453125" style="1"/>
    <col min="19" max="19" width="14.08984375" style="1" customWidth="1"/>
    <col min="20" max="16384" width="11.453125" style="1"/>
  </cols>
  <sheetData>
    <row r="1" spans="1:12" ht="15.5" x14ac:dyDescent="0.35">
      <c r="B1" s="8" t="s">
        <v>32</v>
      </c>
    </row>
    <row r="2" spans="1:12" x14ac:dyDescent="0.3">
      <c r="A2" s="5" t="s">
        <v>23</v>
      </c>
      <c r="B2" s="548" t="s">
        <v>1680</v>
      </c>
    </row>
    <row r="3" spans="1:12" x14ac:dyDescent="0.3">
      <c r="A3" s="5" t="s">
        <v>24</v>
      </c>
      <c r="B3" s="549" t="s">
        <v>501</v>
      </c>
    </row>
    <row r="4" spans="1:12" x14ac:dyDescent="0.3">
      <c r="A4" s="5" t="s">
        <v>21</v>
      </c>
      <c r="B4" s="550" t="s">
        <v>1673</v>
      </c>
    </row>
    <row r="5" spans="1:12" x14ac:dyDescent="0.3">
      <c r="A5" s="5" t="s">
        <v>22</v>
      </c>
      <c r="B5" s="590">
        <f>'Expense per agency'!P19</f>
        <v>6234904.7599999998</v>
      </c>
    </row>
    <row r="6" spans="1:12" x14ac:dyDescent="0.3">
      <c r="A6" s="6" t="s">
        <v>37</v>
      </c>
      <c r="B6" s="590">
        <f>B5*0.07</f>
        <v>436443.33320000005</v>
      </c>
    </row>
    <row r="7" spans="1:12" x14ac:dyDescent="0.3">
      <c r="A7" s="6" t="s">
        <v>38</v>
      </c>
      <c r="B7" s="590">
        <f>SUM(B5:B6)</f>
        <v>6671348.0932</v>
      </c>
    </row>
    <row r="8" spans="1:12" ht="19.149999999999999" customHeight="1" x14ac:dyDescent="0.3">
      <c r="F8" s="3060" t="s">
        <v>1639</v>
      </c>
      <c r="G8" s="3061"/>
      <c r="H8" s="3061"/>
    </row>
    <row r="9" spans="1:12" ht="26" x14ac:dyDescent="0.3">
      <c r="A9" s="4" t="s">
        <v>1</v>
      </c>
      <c r="B9" s="4" t="s">
        <v>29</v>
      </c>
      <c r="C9" s="4" t="s">
        <v>30</v>
      </c>
      <c r="D9" s="2472" t="s">
        <v>31</v>
      </c>
      <c r="E9" s="553" t="s">
        <v>39</v>
      </c>
      <c r="F9" s="2483" t="s">
        <v>1135</v>
      </c>
      <c r="G9" s="528" t="s">
        <v>1136</v>
      </c>
      <c r="H9" s="528" t="s">
        <v>81</v>
      </c>
    </row>
    <row r="10" spans="1:12" ht="24.65" customHeight="1" x14ac:dyDescent="0.3">
      <c r="A10" s="533" t="s">
        <v>14</v>
      </c>
      <c r="B10" s="2471">
        <f>SUM('Expense per agency'!B12,'Expense per agency'!D12)/2</f>
        <v>255762.83</v>
      </c>
      <c r="C10" s="557">
        <f>B10</f>
        <v>255762.83</v>
      </c>
      <c r="D10" s="2473">
        <f>SUM(B10:C10)</f>
        <v>511525.66</v>
      </c>
      <c r="E10" s="263">
        <f>D10/D21</f>
        <v>7.6675006738351731E-2</v>
      </c>
      <c r="F10" s="2495">
        <f>SUM('Expense per agency'!C12,'Expense per agency'!E12)</f>
        <v>543195.74</v>
      </c>
      <c r="G10" s="263">
        <f>F10/D10</f>
        <v>1.061912983993804</v>
      </c>
      <c r="H10" s="267"/>
    </row>
    <row r="11" spans="1:12" ht="22.9" customHeight="1" x14ac:dyDescent="0.3">
      <c r="A11" s="265" t="s">
        <v>15</v>
      </c>
      <c r="B11" s="2471">
        <f>SUM('Expense per agency'!B13,'Expense per agency'!D13)/2</f>
        <v>361140.5</v>
      </c>
      <c r="C11" s="557">
        <f t="shared" ref="C11:C16" si="0">B11</f>
        <v>361140.5</v>
      </c>
      <c r="D11" s="2473">
        <f t="shared" ref="D11:D16" si="1">SUM(B11:C11)</f>
        <v>722281</v>
      </c>
      <c r="E11" s="263">
        <f>D11/D21</f>
        <v>0.10826612401415685</v>
      </c>
      <c r="F11" s="2495">
        <f>SUM('Expense per agency'!C13,'Expense per agency'!E13)</f>
        <v>639386.66999999993</v>
      </c>
      <c r="G11" s="263">
        <f t="shared" ref="G11:G15" si="2">F11/D11</f>
        <v>0.88523257568730163</v>
      </c>
      <c r="H11" s="267"/>
    </row>
    <row r="12" spans="1:12" ht="53.5" customHeight="1" x14ac:dyDescent="0.3">
      <c r="A12" s="265" t="s">
        <v>36</v>
      </c>
      <c r="B12" s="2471">
        <f>SUM('Expense per agency'!B14,'Expense per agency'!D14)/2</f>
        <v>4900</v>
      </c>
      <c r="C12" s="557">
        <f t="shared" si="0"/>
        <v>4900</v>
      </c>
      <c r="D12" s="2473">
        <f t="shared" si="1"/>
        <v>9800</v>
      </c>
      <c r="E12" s="263">
        <f>D12/D21</f>
        <v>1.4689684698043241E-3</v>
      </c>
      <c r="F12" s="2495">
        <f>SUM('Expense per agency'!C14,'Expense per agency'!E14)</f>
        <v>11758.119999999999</v>
      </c>
      <c r="G12" s="263">
        <f t="shared" si="2"/>
        <v>1.1998081632653059</v>
      </c>
      <c r="H12" s="264"/>
      <c r="J12" s="298"/>
      <c r="L12" s="1207"/>
    </row>
    <row r="13" spans="1:12" ht="20.5" customHeight="1" x14ac:dyDescent="0.3">
      <c r="A13" s="265" t="s">
        <v>16</v>
      </c>
      <c r="B13" s="2471">
        <f>SUM('Expense per agency'!B15,'Expense per agency'!D15)/2</f>
        <v>143500</v>
      </c>
      <c r="C13" s="557">
        <f t="shared" si="0"/>
        <v>143500</v>
      </c>
      <c r="D13" s="2473">
        <f t="shared" si="1"/>
        <v>287000</v>
      </c>
      <c r="E13" s="263">
        <f>D13/D21</f>
        <v>4.301979090141235E-2</v>
      </c>
      <c r="F13" s="2495">
        <f>SUM('Expense per agency'!C15,'Expense per agency'!E15)</f>
        <v>276705.58</v>
      </c>
      <c r="G13" s="263">
        <f t="shared" si="2"/>
        <v>0.96413094076655059</v>
      </c>
      <c r="H13" s="267"/>
    </row>
    <row r="14" spans="1:12" ht="18.649999999999999" customHeight="1" x14ac:dyDescent="0.3">
      <c r="A14" s="264" t="s">
        <v>17</v>
      </c>
      <c r="B14" s="2471">
        <f>SUM('Expense per agency'!B16,'Expense per agency'!D16)/2</f>
        <v>85236</v>
      </c>
      <c r="C14" s="557">
        <f t="shared" si="0"/>
        <v>85236</v>
      </c>
      <c r="D14" s="2473">
        <f t="shared" si="1"/>
        <v>170472</v>
      </c>
      <c r="E14" s="263">
        <f>D14/D21</f>
        <v>2.5552856426988037E-2</v>
      </c>
      <c r="F14" s="2495">
        <f>SUM('Expense per agency'!C16,'Expense per agency'!E16)</f>
        <v>166531.61000000002</v>
      </c>
      <c r="G14" s="263">
        <f t="shared" si="2"/>
        <v>0.97688541226711723</v>
      </c>
      <c r="H14" s="267"/>
    </row>
    <row r="15" spans="1:12" ht="17.5" customHeight="1" x14ac:dyDescent="0.3">
      <c r="A15" s="264" t="s">
        <v>18</v>
      </c>
      <c r="B15" s="2471">
        <f>SUM('Expense per agency'!B17,'Expense per agency'!D17)/2</f>
        <v>146650</v>
      </c>
      <c r="C15" s="557">
        <f t="shared" si="0"/>
        <v>146650</v>
      </c>
      <c r="D15" s="2473">
        <f t="shared" si="1"/>
        <v>293300</v>
      </c>
      <c r="E15" s="263">
        <f>D15/D21</f>
        <v>4.3964127774857989E-2</v>
      </c>
      <c r="F15" s="2495">
        <f>SUM('Expense per agency'!C17,'Expense per agency'!E17)</f>
        <v>342931.52</v>
      </c>
      <c r="G15" s="263">
        <f t="shared" si="2"/>
        <v>1.1692175929082851</v>
      </c>
      <c r="H15" s="267"/>
    </row>
    <row r="16" spans="1:12" ht="26" x14ac:dyDescent="0.3">
      <c r="A16" s="264" t="s">
        <v>19</v>
      </c>
      <c r="B16" s="2471">
        <f>SUM('Expense per agency'!B18,'Expense per agency'!D18)/2</f>
        <v>64960.4</v>
      </c>
      <c r="C16" s="557">
        <f t="shared" si="0"/>
        <v>64960.4</v>
      </c>
      <c r="D16" s="2473">
        <f t="shared" si="1"/>
        <v>129920.8</v>
      </c>
      <c r="E16" s="263">
        <f>D16/D21</f>
        <v>1.9474444772627924E-2</v>
      </c>
      <c r="F16" s="2495">
        <f>SUM('Expense per agency'!C18,'Expense per agency'!E18)</f>
        <v>120844.10999999999</v>
      </c>
      <c r="G16" s="263">
        <f t="shared" ref="G16:G19" si="3">F16/D16</f>
        <v>0.93013674484763009</v>
      </c>
      <c r="H16" s="267"/>
    </row>
    <row r="17" spans="1:10" ht="18.649999999999999" customHeight="1" x14ac:dyDescent="0.3">
      <c r="A17" s="300" t="s">
        <v>20</v>
      </c>
      <c r="B17" s="1191">
        <f t="shared" ref="B17:C17" si="4">SUM(B10:B16)</f>
        <v>1062149.73</v>
      </c>
      <c r="C17" s="1191">
        <f t="shared" si="4"/>
        <v>1062149.73</v>
      </c>
      <c r="D17" s="2474">
        <f>SUM(D10:D16)</f>
        <v>2124299.46</v>
      </c>
      <c r="E17" s="562">
        <f>D17/D21</f>
        <v>0.31842131909819921</v>
      </c>
      <c r="F17" s="2474">
        <f>SUM(F10:F16)</f>
        <v>2101353.35</v>
      </c>
      <c r="G17" s="562">
        <f t="shared" si="3"/>
        <v>0.98919826962626078</v>
      </c>
      <c r="H17" s="267"/>
    </row>
    <row r="18" spans="1:10" ht="19.899999999999999" customHeight="1" x14ac:dyDescent="0.3">
      <c r="A18" s="269"/>
      <c r="B18" s="532"/>
      <c r="C18" s="532"/>
      <c r="D18" s="2473"/>
      <c r="E18" s="263"/>
      <c r="F18" s="2473"/>
      <c r="G18" s="267"/>
      <c r="H18" s="267"/>
    </row>
    <row r="19" spans="1:10" ht="17.5" customHeight="1" x14ac:dyDescent="0.3">
      <c r="A19" s="268" t="s">
        <v>40</v>
      </c>
      <c r="B19" s="563">
        <f>SUM('Expense per agency'!F21,'Expense per agency'!H21,'Expense per agency'!J21,'Expense per agency'!L21,'Expense per agency'!N21)/2</f>
        <v>2199173.8355</v>
      </c>
      <c r="C19" s="563">
        <f>B19</f>
        <v>2199173.8355</v>
      </c>
      <c r="D19" s="2475">
        <f>SUM(B19:C19)</f>
        <v>4398347.6710000001</v>
      </c>
      <c r="E19" s="562">
        <f>D19/D21</f>
        <v>0.65928918856492691</v>
      </c>
      <c r="F19" s="2473">
        <f>SUM('Expense per agency'!G21,'Expense per agency'!I21,'Expense per agency'!K21,'Expense per agency'!M21,'Expense per agency'!O21)</f>
        <v>4120016.3919853712</v>
      </c>
      <c r="G19" s="263">
        <f t="shared" si="3"/>
        <v>0.93671912731006368</v>
      </c>
      <c r="H19" s="267"/>
    </row>
    <row r="20" spans="1:10" ht="22.9" customHeight="1" x14ac:dyDescent="0.3">
      <c r="A20" s="270" t="s">
        <v>41</v>
      </c>
      <c r="B20" s="270">
        <f>B17*7%</f>
        <v>74350.481100000005</v>
      </c>
      <c r="C20" s="270">
        <f>C17*7%</f>
        <v>74350.481100000005</v>
      </c>
      <c r="D20" s="2476">
        <f>D17*0.07</f>
        <v>148700.96220000001</v>
      </c>
      <c r="E20" s="271">
        <f>D20/D21</f>
        <v>2.2289492336873946E-2</v>
      </c>
      <c r="F20" s="2476">
        <f>F17*0.07</f>
        <v>147094.73450000002</v>
      </c>
      <c r="G20" s="271">
        <f>F20/F21</f>
        <v>2.3097362801209918E-2</v>
      </c>
      <c r="H20" s="270"/>
    </row>
    <row r="21" spans="1:10" ht="22.15" customHeight="1" x14ac:dyDescent="0.3">
      <c r="A21" s="272" t="s">
        <v>2</v>
      </c>
      <c r="B21" s="558">
        <f>B17+B19+B20</f>
        <v>3335674.0466</v>
      </c>
      <c r="C21" s="558">
        <f t="shared" ref="C21:F21" si="5">C17+C19+C20</f>
        <v>3335674.0466</v>
      </c>
      <c r="D21" s="558">
        <f t="shared" si="5"/>
        <v>6671348.0932</v>
      </c>
      <c r="E21" s="559">
        <f>SUM(E17,E19,E20)</f>
        <v>1</v>
      </c>
      <c r="F21" s="558">
        <f t="shared" si="5"/>
        <v>6368464.4764853716</v>
      </c>
      <c r="G21" s="560">
        <f>F21/D21</f>
        <v>0.95459933847203193</v>
      </c>
      <c r="H21" s="561"/>
    </row>
    <row r="23" spans="1:10" x14ac:dyDescent="0.3">
      <c r="A23" s="1" t="s">
        <v>65</v>
      </c>
    </row>
    <row r="24" spans="1:10" x14ac:dyDescent="0.3">
      <c r="A24" s="3066"/>
      <c r="B24" s="3066"/>
      <c r="C24" s="3066"/>
      <c r="D24" s="3066"/>
    </row>
    <row r="27" spans="1:10" x14ac:dyDescent="0.3">
      <c r="A27" s="9" t="s">
        <v>1132</v>
      </c>
      <c r="B27" s="10" t="s">
        <v>194</v>
      </c>
      <c r="C27" s="10" t="s">
        <v>398</v>
      </c>
      <c r="D27" s="10" t="s">
        <v>500</v>
      </c>
      <c r="E27" s="554" t="s">
        <v>927</v>
      </c>
      <c r="F27" s="10" t="s">
        <v>955</v>
      </c>
      <c r="G27" s="10" t="s">
        <v>66</v>
      </c>
    </row>
    <row r="28" spans="1:10" x14ac:dyDescent="0.3">
      <c r="A28" s="11" t="s">
        <v>71</v>
      </c>
      <c r="B28" s="1194">
        <f>'MERCY COPRS'!E174</f>
        <v>1119158.92</v>
      </c>
      <c r="C28" s="1194">
        <f>SFCG!P134</f>
        <v>693222.1</v>
      </c>
      <c r="D28" s="2477">
        <f>ACIAR!P200</f>
        <v>1042056.1</v>
      </c>
      <c r="E28" s="1195">
        <f>CARITAS!O126</f>
        <v>714953.49</v>
      </c>
      <c r="F28" s="2477">
        <f>COOPI!O112</f>
        <v>541214.95500000007</v>
      </c>
      <c r="G28" s="1196">
        <f>SUM(B28:F28)</f>
        <v>4110605.5650000004</v>
      </c>
      <c r="J28" s="301"/>
    </row>
    <row r="29" spans="1:10" x14ac:dyDescent="0.3">
      <c r="A29" s="13" t="s">
        <v>72</v>
      </c>
      <c r="B29" s="1197">
        <f t="shared" ref="B29:E29" si="6">B28*0.07</f>
        <v>78341.124400000001</v>
      </c>
      <c r="C29" s="1197">
        <f t="shared" si="6"/>
        <v>48525.547000000006</v>
      </c>
      <c r="D29" s="2478">
        <f t="shared" si="6"/>
        <v>72943.927000000011</v>
      </c>
      <c r="E29" s="1198">
        <f t="shared" si="6"/>
        <v>50046.744300000006</v>
      </c>
      <c r="F29" s="2478">
        <f>F28*0.07</f>
        <v>37885.046850000006</v>
      </c>
      <c r="G29" s="1199">
        <f t="shared" ref="G29" si="7">SUM(B29:F29)</f>
        <v>287742.38955000002</v>
      </c>
    </row>
    <row r="30" spans="1:10" x14ac:dyDescent="0.3">
      <c r="A30" s="15" t="s">
        <v>69</v>
      </c>
      <c r="B30" s="1200">
        <f>B28+B29</f>
        <v>1197500.0444</v>
      </c>
      <c r="C30" s="1200">
        <f>SUM(C28:C29)</f>
        <v>741747.647</v>
      </c>
      <c r="D30" s="2479">
        <f>SUM(D28:D29)</f>
        <v>1115000.027</v>
      </c>
      <c r="E30" s="1201">
        <f>SUM(E28:E29)</f>
        <v>765000.23430000001</v>
      </c>
      <c r="F30" s="2479">
        <f>SUM(F28:F29)</f>
        <v>579100.00185000012</v>
      </c>
      <c r="G30" s="1202">
        <f>SUM(B30:F30)</f>
        <v>4398347.9545499999</v>
      </c>
    </row>
    <row r="31" spans="1:10" x14ac:dyDescent="0.3">
      <c r="A31" s="18" t="s">
        <v>70</v>
      </c>
      <c r="B31" s="1203">
        <f>B28*0.07</f>
        <v>78341.124400000001</v>
      </c>
      <c r="C31" s="1203">
        <f t="shared" ref="C31:F31" si="8">C28*0.07</f>
        <v>48525.547000000006</v>
      </c>
      <c r="D31" s="1203">
        <f t="shared" si="8"/>
        <v>72943.927000000011</v>
      </c>
      <c r="E31" s="1203">
        <f t="shared" si="8"/>
        <v>50046.744300000006</v>
      </c>
      <c r="F31" s="1203">
        <f t="shared" si="8"/>
        <v>37885.046850000006</v>
      </c>
      <c r="G31" s="1205">
        <f>SUM(B31:F31)</f>
        <v>287742.38955000002</v>
      </c>
    </row>
    <row r="32" spans="1:10" x14ac:dyDescent="0.3">
      <c r="A32" s="18" t="s">
        <v>499</v>
      </c>
      <c r="B32" s="1203">
        <f>B30*0.01</f>
        <v>11975.000444000001</v>
      </c>
      <c r="C32" s="1203">
        <f>C30*0.01</f>
        <v>7417.4764700000005</v>
      </c>
      <c r="D32" s="2480">
        <f>D30*0.01</f>
        <v>11150.00027</v>
      </c>
      <c r="E32" s="1204">
        <f>E30*0.01</f>
        <v>7650.0023430000001</v>
      </c>
      <c r="F32" s="2480">
        <f>F30*0.01</f>
        <v>5791.0000185000017</v>
      </c>
      <c r="G32" s="1205">
        <f>SUM(B32:F32)</f>
        <v>43983.479545500006</v>
      </c>
      <c r="H32" s="2598"/>
    </row>
    <row r="33" spans="1:36" x14ac:dyDescent="0.3">
      <c r="A33" s="564" t="s">
        <v>31</v>
      </c>
      <c r="B33" s="1206">
        <f>B30+B32</f>
        <v>1209475.0448439999</v>
      </c>
      <c r="C33" s="1206">
        <f t="shared" ref="C33:G33" si="9">C30+C32</f>
        <v>749165.12346999999</v>
      </c>
      <c r="D33" s="1206">
        <f t="shared" si="9"/>
        <v>1126150.02727</v>
      </c>
      <c r="E33" s="1206">
        <f t="shared" si="9"/>
        <v>772650.23664300004</v>
      </c>
      <c r="F33" s="1206">
        <f t="shared" si="9"/>
        <v>584891.00186850014</v>
      </c>
      <c r="G33" s="1206">
        <f t="shared" si="9"/>
        <v>4442331.4340955</v>
      </c>
    </row>
    <row r="36" spans="1:36" x14ac:dyDescent="0.3">
      <c r="A36" s="9" t="s">
        <v>1133</v>
      </c>
      <c r="B36" s="9" t="s">
        <v>97</v>
      </c>
      <c r="C36" s="565" t="s">
        <v>563</v>
      </c>
      <c r="D36" s="2481" t="s">
        <v>66</v>
      </c>
    </row>
    <row r="37" spans="1:36" x14ac:dyDescent="0.3">
      <c r="A37" s="11" t="s">
        <v>67</v>
      </c>
      <c r="B37" s="1194">
        <f>UNHABITAT!O89</f>
        <v>1398130.94</v>
      </c>
      <c r="C37" s="1194">
        <f>'Budget tous PMO'!E17</f>
        <v>726168.5</v>
      </c>
      <c r="D37" s="2477">
        <f>SUM(B37:C37)</f>
        <v>2124299.44</v>
      </c>
    </row>
    <row r="38" spans="1:36" x14ac:dyDescent="0.3">
      <c r="A38" s="13" t="s">
        <v>68</v>
      </c>
      <c r="B38" s="1197">
        <f t="shared" ref="B38:C38" si="10">B37*0.07</f>
        <v>97869.165800000002</v>
      </c>
      <c r="C38" s="1197">
        <f t="shared" si="10"/>
        <v>50831.795000000006</v>
      </c>
      <c r="D38" s="2478">
        <f>SUM(B38:C38)</f>
        <v>148700.9608</v>
      </c>
    </row>
    <row r="39" spans="1:36" x14ac:dyDescent="0.3">
      <c r="A39" s="15" t="s">
        <v>73</v>
      </c>
      <c r="B39" s="1202">
        <f>SUM(B37:B38)</f>
        <v>1496000.1058</v>
      </c>
      <c r="C39" s="1202">
        <f>SUM(C37:C38)</f>
        <v>777000.29500000004</v>
      </c>
      <c r="D39" s="2482">
        <f>SUM(B39:C39)</f>
        <v>2273000.4007999999</v>
      </c>
    </row>
    <row r="41" spans="1:36" ht="28.9" customHeight="1" x14ac:dyDescent="0.3">
      <c r="D41" s="3060" t="s">
        <v>1674</v>
      </c>
      <c r="E41" s="3061"/>
      <c r="F41" s="3061"/>
      <c r="I41" s="3060" t="s">
        <v>1674</v>
      </c>
      <c r="J41" s="3061"/>
      <c r="K41" s="3061"/>
      <c r="N41" s="3060" t="s">
        <v>1674</v>
      </c>
      <c r="O41" s="3061"/>
      <c r="P41" s="3061"/>
      <c r="S41" s="3060" t="s">
        <v>1674</v>
      </c>
      <c r="T41" s="3061"/>
      <c r="U41" s="3061"/>
      <c r="X41" s="3060" t="s">
        <v>1674</v>
      </c>
      <c r="Y41" s="3061"/>
      <c r="Z41" s="3061"/>
      <c r="AC41" s="3060" t="s">
        <v>1674</v>
      </c>
      <c r="AD41" s="3061"/>
      <c r="AE41" s="3061"/>
      <c r="AH41" s="3060" t="s">
        <v>1674</v>
      </c>
      <c r="AI41" s="3061"/>
      <c r="AJ41" s="3061"/>
    </row>
    <row r="42" spans="1:36" ht="39" x14ac:dyDescent="0.35">
      <c r="A42" s="19" t="s">
        <v>74</v>
      </c>
      <c r="B42" s="1192" t="s">
        <v>97</v>
      </c>
      <c r="C42" s="20" t="s">
        <v>75</v>
      </c>
      <c r="D42" s="2483" t="s">
        <v>79</v>
      </c>
      <c r="E42" s="555" t="s">
        <v>80</v>
      </c>
      <c r="F42" s="2483" t="s">
        <v>81</v>
      </c>
      <c r="G42" s="20" t="s">
        <v>563</v>
      </c>
      <c r="H42" s="20" t="s">
        <v>75</v>
      </c>
      <c r="I42" s="528" t="s">
        <v>79</v>
      </c>
      <c r="J42" s="528" t="s">
        <v>80</v>
      </c>
      <c r="K42" s="528" t="s">
        <v>81</v>
      </c>
      <c r="L42" s="20" t="s">
        <v>1134</v>
      </c>
      <c r="M42" s="20" t="s">
        <v>75</v>
      </c>
      <c r="N42" s="528" t="s">
        <v>79</v>
      </c>
      <c r="O42" s="528" t="s">
        <v>80</v>
      </c>
      <c r="P42" s="528" t="s">
        <v>81</v>
      </c>
      <c r="Q42" s="20" t="s">
        <v>500</v>
      </c>
      <c r="R42" s="20" t="s">
        <v>75</v>
      </c>
      <c r="S42" s="556" t="s">
        <v>79</v>
      </c>
      <c r="T42" s="556" t="s">
        <v>80</v>
      </c>
      <c r="U42" s="556" t="s">
        <v>81</v>
      </c>
      <c r="V42" s="20" t="s">
        <v>398</v>
      </c>
      <c r="W42" s="20" t="s">
        <v>75</v>
      </c>
      <c r="X42" s="556" t="s">
        <v>79</v>
      </c>
      <c r="Y42" s="556" t="s">
        <v>80</v>
      </c>
      <c r="Z42" s="556" t="s">
        <v>81</v>
      </c>
      <c r="AA42" s="20" t="s">
        <v>955</v>
      </c>
      <c r="AB42" s="20" t="s">
        <v>75</v>
      </c>
      <c r="AC42" s="556" t="s">
        <v>79</v>
      </c>
      <c r="AD42" s="556" t="s">
        <v>80</v>
      </c>
      <c r="AE42" s="556" t="s">
        <v>81</v>
      </c>
      <c r="AF42" s="20" t="s">
        <v>927</v>
      </c>
      <c r="AG42" s="20" t="s">
        <v>75</v>
      </c>
      <c r="AH42" s="556" t="s">
        <v>79</v>
      </c>
      <c r="AI42" s="556" t="s">
        <v>80</v>
      </c>
      <c r="AJ42" s="556" t="s">
        <v>81</v>
      </c>
    </row>
    <row r="43" spans="1:36" ht="41.5" x14ac:dyDescent="0.3">
      <c r="A43" s="274" t="s">
        <v>76</v>
      </c>
      <c r="B43" s="22">
        <f>UNHABITAT!O59</f>
        <v>1013392.04</v>
      </c>
      <c r="C43" s="23">
        <f>B43/B46</f>
        <v>0.67740104834957826</v>
      </c>
      <c r="D43" s="2484">
        <f>UNHABITAT!V59</f>
        <v>996438.00999999978</v>
      </c>
      <c r="E43" s="40">
        <f>D43/D46</f>
        <v>0.66606818427296266</v>
      </c>
      <c r="F43" s="2496"/>
      <c r="G43" s="567">
        <f>OIM!P135</f>
        <v>462431.5</v>
      </c>
      <c r="H43" s="571">
        <f>G43/G46</f>
        <v>0.59514987360728477</v>
      </c>
      <c r="I43" s="570">
        <f>OIM!T135</f>
        <v>445809.11000000004</v>
      </c>
      <c r="J43" s="573">
        <f>I43/I46</f>
        <v>0.59247823844854686</v>
      </c>
      <c r="K43" s="570"/>
      <c r="L43" s="570">
        <f>'MERCY COPRS'!E70</f>
        <v>730809.6</v>
      </c>
      <c r="M43" s="573">
        <f t="shared" ref="M43" si="11">L43/L46</f>
        <v>0.61027939282137367</v>
      </c>
      <c r="N43" s="570">
        <f>'MERCY COPRS'!H70</f>
        <v>547828.16200000001</v>
      </c>
      <c r="O43" s="573">
        <f>N43/N46</f>
        <v>0.55985727054300483</v>
      </c>
      <c r="P43" s="566"/>
      <c r="Q43" s="570">
        <f>SUM(ACIAR!P172)</f>
        <v>800424</v>
      </c>
      <c r="R43" s="573">
        <f t="shared" ref="R43" si="12">Q43/Q46</f>
        <v>0.7178690409125883</v>
      </c>
      <c r="S43" s="570">
        <f>ACIAR!T172</f>
        <v>791994.67999999993</v>
      </c>
      <c r="T43" s="573">
        <f>S43/S46</f>
        <v>0.71030918100873042</v>
      </c>
      <c r="U43" s="566"/>
      <c r="V43" s="570">
        <f>SUM(SFCG!P86)</f>
        <v>477763.1</v>
      </c>
      <c r="W43" s="573">
        <f t="shared" ref="W43" si="13">V43/V46</f>
        <v>0.64410463846068655</v>
      </c>
      <c r="X43" s="570">
        <f>SFCG!T86</f>
        <v>395931.14999999997</v>
      </c>
      <c r="Y43" s="573">
        <f>X43/X46</f>
        <v>0.57538483398302032</v>
      </c>
      <c r="Z43" s="566"/>
      <c r="AA43" s="570">
        <f>COOPI!O71</f>
        <v>333395.72499999998</v>
      </c>
      <c r="AB43" s="573">
        <f t="shared" ref="AB43" si="14">AA43/AA46</f>
        <v>0.57571356231208737</v>
      </c>
      <c r="AC43" s="570">
        <f>COOPI!S71</f>
        <v>328161.89825736621</v>
      </c>
      <c r="AD43" s="573">
        <f>AC43/AC46</f>
        <v>0.56667391425618729</v>
      </c>
      <c r="AE43" s="566"/>
      <c r="AF43" s="570">
        <f>CARITAS!O82</f>
        <v>476484.6</v>
      </c>
      <c r="AG43" s="573">
        <f t="shared" ref="AG43" si="15">AF43/AF46</f>
        <v>0.62285549550974817</v>
      </c>
      <c r="AH43" s="570">
        <f>CARITAS!S82</f>
        <v>472577.87</v>
      </c>
      <c r="AI43" s="573">
        <f>AH43/AH46</f>
        <v>0.62367626465309756</v>
      </c>
      <c r="AJ43" s="566"/>
    </row>
    <row r="44" spans="1:36" ht="41.5" x14ac:dyDescent="0.3">
      <c r="A44" s="274" t="s">
        <v>77</v>
      </c>
      <c r="B44" s="24">
        <f>UNHABITAT!O87</f>
        <v>384738.89999999997</v>
      </c>
      <c r="C44" s="23">
        <f>B44/B46</f>
        <v>0.25717839090275818</v>
      </c>
      <c r="D44" s="2484">
        <f>UNHABITAT!V87</f>
        <v>401692.84</v>
      </c>
      <c r="E44" s="40">
        <f>D44/D46</f>
        <v>0.26851125497937373</v>
      </c>
      <c r="F44" s="2497"/>
      <c r="G44" s="569">
        <f>SUM(OIM!P187)</f>
        <v>263736.8</v>
      </c>
      <c r="H44" s="572">
        <f>G44/G46</f>
        <v>0.33942956564505172</v>
      </c>
      <c r="I44" s="570">
        <f>OIM!T187</f>
        <v>257413.38999999998</v>
      </c>
      <c r="J44" s="573">
        <f>I44/I46</f>
        <v>0.3421012008037897</v>
      </c>
      <c r="K44" s="570"/>
      <c r="L44" s="570">
        <f>'MERCY COPRS'!E172</f>
        <v>388349.31999999995</v>
      </c>
      <c r="M44" s="573">
        <f>L44/L46</f>
        <v>0.32430004643096272</v>
      </c>
      <c r="N44" s="570">
        <f>'MERCY COPRS'!H172</f>
        <v>366670.87800000003</v>
      </c>
      <c r="O44" s="573">
        <f>N44/N46</f>
        <v>0.37472216870933173</v>
      </c>
      <c r="P44" s="568"/>
      <c r="Q44" s="570">
        <f>SUM(ACIAR!P198)</f>
        <v>241632.1</v>
      </c>
      <c r="R44" s="573">
        <f>Q44/Q46</f>
        <v>0.2167103983397482</v>
      </c>
      <c r="S44" s="587">
        <f>ACIAR!T198</f>
        <v>250061.32</v>
      </c>
      <c r="T44" s="573">
        <f>S44/S46</f>
        <v>0.224270258243606</v>
      </c>
      <c r="U44" s="568"/>
      <c r="V44" s="570">
        <f>SUM(SFCG!P132)</f>
        <v>215459</v>
      </c>
      <c r="W44" s="573">
        <f>V44/V46</f>
        <v>0.29047480079164983</v>
      </c>
      <c r="X44" s="570">
        <f>SFCG!T132</f>
        <v>247167.33000000002</v>
      </c>
      <c r="Y44" s="573">
        <f>X44/X46</f>
        <v>0.35919460526931618</v>
      </c>
      <c r="Z44" s="568"/>
      <c r="AA44" s="570">
        <f>COOPI!O111</f>
        <v>207819.23000000004</v>
      </c>
      <c r="AB44" s="573">
        <f>AA44/AA46</f>
        <v>0.35886587694024885</v>
      </c>
      <c r="AC44" s="1193">
        <f>COOPI!S111</f>
        <v>213054.76116821446</v>
      </c>
      <c r="AD44" s="573">
        <f>AC44/AC46</f>
        <v>0.36790552499614926</v>
      </c>
      <c r="AE44" s="568"/>
      <c r="AF44" s="570">
        <f>CARITAS!O125</f>
        <v>238468.89</v>
      </c>
      <c r="AG44" s="573">
        <f>AF44/AF46</f>
        <v>0.31172394374258822</v>
      </c>
      <c r="AH44" s="570">
        <f>CARITAS!S125</f>
        <v>235580.49</v>
      </c>
      <c r="AI44" s="573">
        <f>AH44/AH46</f>
        <v>0.31090317459923889</v>
      </c>
      <c r="AJ44" s="568"/>
    </row>
    <row r="45" spans="1:36" s="295" customFormat="1" ht="22.9" customHeight="1" x14ac:dyDescent="0.35">
      <c r="A45" s="579" t="s">
        <v>78</v>
      </c>
      <c r="B45" s="580">
        <f>SUM(B43:B44)*7%</f>
        <v>97869.165800000002</v>
      </c>
      <c r="C45" s="581">
        <f>B45/B46</f>
        <v>6.5420560747663559E-2</v>
      </c>
      <c r="D45" s="2485">
        <f>SUM(D43:D44)*7/100</f>
        <v>97869.159499999994</v>
      </c>
      <c r="E45" s="583">
        <f>D45/D46</f>
        <v>6.5420560747663545E-2</v>
      </c>
      <c r="F45" s="3064"/>
      <c r="G45" s="584">
        <f>SUM(G43:G44)*7%</f>
        <v>50831.78100000001</v>
      </c>
      <c r="H45" s="581">
        <f>G45/G46</f>
        <v>6.5420560747663559E-2</v>
      </c>
      <c r="I45" s="585">
        <f>SUM(I43:I44)*7/100</f>
        <v>49225.574999999997</v>
      </c>
      <c r="J45" s="586">
        <f>I45/I46</f>
        <v>6.5420560747663545E-2</v>
      </c>
      <c r="K45" s="3062"/>
      <c r="L45" s="585">
        <f>SUM(L43:L44)*7%</f>
        <v>78341.124400000001</v>
      </c>
      <c r="M45" s="586">
        <f>L45/L46</f>
        <v>6.5420560747663545E-2</v>
      </c>
      <c r="N45" s="585">
        <f>SUM(N43:N44)*7/100</f>
        <v>64014.932800000002</v>
      </c>
      <c r="O45" s="586">
        <f>N45/N46</f>
        <v>6.5420560747663559E-2</v>
      </c>
      <c r="P45" s="3062"/>
      <c r="Q45" s="585">
        <f>SUM(Q43:Q44)*7%</f>
        <v>72943.927000000011</v>
      </c>
      <c r="R45" s="586">
        <f>Q45/Q46</f>
        <v>6.5420560747663559E-2</v>
      </c>
      <c r="S45" s="588">
        <f>SUM(S43:S44)*7/100</f>
        <v>72943.92</v>
      </c>
      <c r="T45" s="586">
        <f>S45/S46</f>
        <v>6.5420560747663559E-2</v>
      </c>
      <c r="U45" s="3062"/>
      <c r="V45" s="585">
        <f>SUM(V43:V44)*7%</f>
        <v>48525.547000000006</v>
      </c>
      <c r="W45" s="586">
        <f>V45/V46</f>
        <v>6.5420560747663559E-2</v>
      </c>
      <c r="X45" s="582">
        <f>SUM(X43:X44)*7/100</f>
        <v>45016.893599999996</v>
      </c>
      <c r="Y45" s="586">
        <f>X45/X46</f>
        <v>6.5420560747663545E-2</v>
      </c>
      <c r="Z45" s="3062"/>
      <c r="AA45" s="585">
        <f>SUM(AA43:AA44)*7%</f>
        <v>37885.046850000006</v>
      </c>
      <c r="AB45" s="586">
        <f>AA45/AA46</f>
        <v>6.5420560747663545E-2</v>
      </c>
      <c r="AC45" s="582">
        <f>SUM(AC43:AC44)*7/100</f>
        <v>37885.166159790642</v>
      </c>
      <c r="AD45" s="586">
        <f>AC45/AC46</f>
        <v>6.5420560747663559E-2</v>
      </c>
      <c r="AE45" s="3062"/>
      <c r="AF45" s="585">
        <f>SUM(AF43:AF44)*7%</f>
        <v>50046.744300000006</v>
      </c>
      <c r="AG45" s="586">
        <f>AF45/AF46</f>
        <v>6.5420560747663559E-2</v>
      </c>
      <c r="AH45" s="585">
        <f>SUM(AH43:AH44)*7/100</f>
        <v>49571.085199999994</v>
      </c>
      <c r="AI45" s="586">
        <f>AH45/AH46</f>
        <v>6.5420560747663545E-2</v>
      </c>
      <c r="AJ45" s="3062"/>
    </row>
    <row r="46" spans="1:36" s="500" customFormat="1" ht="21.65" customHeight="1" x14ac:dyDescent="0.25">
      <c r="A46" s="578" t="s">
        <v>31</v>
      </c>
      <c r="B46" s="576">
        <f>SUM(B43:B45)</f>
        <v>1496000.1058</v>
      </c>
      <c r="C46" s="577">
        <f>SUM(C43:C45)</f>
        <v>1</v>
      </c>
      <c r="D46" s="2486">
        <f>SUM(D43:D45)</f>
        <v>1496000.0094999999</v>
      </c>
      <c r="E46" s="575"/>
      <c r="F46" s="3065"/>
      <c r="G46" s="574">
        <f>SUM(G43:G45)</f>
        <v>777000.08100000001</v>
      </c>
      <c r="H46" s="575">
        <f>SUM(H43:H45)</f>
        <v>1</v>
      </c>
      <c r="I46" s="574">
        <f>SUM(I43:I45)</f>
        <v>752448.07499999995</v>
      </c>
      <c r="J46" s="575"/>
      <c r="K46" s="3063"/>
      <c r="L46" s="574">
        <f>SUM(L43:L45)</f>
        <v>1197500.0444</v>
      </c>
      <c r="M46" s="575">
        <f>SUM(M43:M45)</f>
        <v>0.99999999999999989</v>
      </c>
      <c r="N46" s="574">
        <f>SUM(N43:N45)</f>
        <v>978513.97279999999</v>
      </c>
      <c r="O46" s="575"/>
      <c r="P46" s="3063"/>
      <c r="Q46" s="574">
        <f>SUM(Q43:Q45)</f>
        <v>1115000.027</v>
      </c>
      <c r="R46" s="575">
        <f>SUM(R43:R45)</f>
        <v>1</v>
      </c>
      <c r="S46" s="589">
        <f>SUM(S43:S45)</f>
        <v>1114999.92</v>
      </c>
      <c r="T46" s="575"/>
      <c r="U46" s="3063"/>
      <c r="V46" s="589">
        <f>SUM(V43:V45)</f>
        <v>741747.647</v>
      </c>
      <c r="W46" s="575">
        <f>SUM(W43:W45)</f>
        <v>0.99999999999999989</v>
      </c>
      <c r="X46" s="574">
        <f>SUM(X43:X45)</f>
        <v>688115.37359999993</v>
      </c>
      <c r="Y46" s="575"/>
      <c r="Z46" s="3063"/>
      <c r="AA46" s="574">
        <f>SUM(AA43:AA45)</f>
        <v>579100.00185000012</v>
      </c>
      <c r="AB46" s="575">
        <f>SUM(AB43:AB45)</f>
        <v>0.99999999999999978</v>
      </c>
      <c r="AC46" s="574">
        <f>SUM(AC43:AC45)</f>
        <v>579101.82558537123</v>
      </c>
      <c r="AD46" s="575"/>
      <c r="AE46" s="3063"/>
      <c r="AF46" s="574">
        <f>SUM(AF43:AF45)</f>
        <v>765000.23430000001</v>
      </c>
      <c r="AG46" s="575">
        <f>SUM(AG43:AG45)</f>
        <v>0.99999999999999989</v>
      </c>
      <c r="AH46" s="574">
        <f>SUM(AH43:AH45)</f>
        <v>757729.44519999996</v>
      </c>
      <c r="AI46" s="575"/>
      <c r="AJ46" s="3063"/>
    </row>
    <row r="50" spans="24:24" x14ac:dyDescent="0.3">
      <c r="X50" s="642"/>
    </row>
  </sheetData>
  <mergeCells count="16">
    <mergeCell ref="F45:F46"/>
    <mergeCell ref="F8:H8"/>
    <mergeCell ref="A24:D24"/>
    <mergeCell ref="D41:F41"/>
    <mergeCell ref="I41:K41"/>
    <mergeCell ref="K45:K46"/>
    <mergeCell ref="P45:P46"/>
    <mergeCell ref="U45:U46"/>
    <mergeCell ref="X41:Z41"/>
    <mergeCell ref="Z45:Z46"/>
    <mergeCell ref="N41:P41"/>
    <mergeCell ref="AC41:AE41"/>
    <mergeCell ref="AE45:AE46"/>
    <mergeCell ref="AH41:AJ41"/>
    <mergeCell ref="AJ45:AJ46"/>
    <mergeCell ref="S41:U41"/>
  </mergeCells>
  <pageMargins left="0.7" right="0.7" top="0.75" bottom="0.75" header="0.3" footer="0.3"/>
  <pageSetup orientation="portrait" horizontalDpi="4294967295" verticalDpi="4294967295" r:id="rId1"/>
  <ignoredErrors>
    <ignoredError sqref="E20:F20 B30:D30 E30:F30 N45 S45 AH45 I45"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E109"/>
  <sheetViews>
    <sheetView zoomScale="46" zoomScaleNormal="60" workbookViewId="0">
      <pane xSplit="15" ySplit="11" topLeftCell="X16" activePane="bottomRight" state="frozen"/>
      <selection pane="topRight" activeCell="P1" sqref="P1"/>
      <selection pane="bottomLeft" activeCell="A12" sqref="A12"/>
      <selection pane="bottomRight" activeCell="A83" sqref="A83:X83"/>
    </sheetView>
  </sheetViews>
  <sheetFormatPr baseColWidth="10" defaultColWidth="11.453125" defaultRowHeight="13" x14ac:dyDescent="0.25"/>
  <cols>
    <col min="1" max="1" width="26.1796875" style="30" customWidth="1"/>
    <col min="2" max="2" width="35.7265625" style="31" customWidth="1"/>
    <col min="3" max="3" width="30.7265625" style="31" customWidth="1"/>
    <col min="4" max="4" width="13.54296875" style="30" customWidth="1"/>
    <col min="5" max="5" width="10" style="30" customWidth="1"/>
    <col min="6" max="6" width="10.81640625" style="347" customWidth="1"/>
    <col min="7" max="7" width="12.1796875" style="30" customWidth="1"/>
    <col min="8" max="8" width="14.26953125" style="31" customWidth="1"/>
    <col min="9" max="9" width="11.26953125" style="31" customWidth="1"/>
    <col min="10" max="10" width="9.7265625" style="31" customWidth="1"/>
    <col min="11" max="11" width="11.26953125" style="31" customWidth="1"/>
    <col min="12" max="12" width="11.453125" style="31"/>
    <col min="13" max="13" width="17" style="31" customWidth="1"/>
    <col min="14" max="14" width="11.26953125" style="31" customWidth="1"/>
    <col min="15" max="15" width="16.81640625" style="328" customWidth="1"/>
    <col min="16" max="16" width="18" style="30" customWidth="1"/>
    <col min="17" max="17" width="25.453125" style="30" customWidth="1"/>
    <col min="18" max="18" width="29.7265625" style="309" customWidth="1"/>
    <col min="19" max="19" width="18" style="2498" customWidth="1"/>
    <col min="20" max="20" width="16.54296875" style="2498" customWidth="1"/>
    <col min="21" max="21" width="43.7265625" style="2498" customWidth="1"/>
    <col min="22" max="22" width="17.81640625" style="2666" customWidth="1"/>
    <col min="23" max="23" width="21.1796875" style="311" customWidth="1"/>
    <col min="24" max="24" width="36.26953125" style="30" customWidth="1"/>
    <col min="25" max="25" width="27.54296875" style="311" customWidth="1"/>
    <col min="26" max="26" width="14.26953125" style="310" customWidth="1"/>
    <col min="27" max="27" width="49.81640625" style="30" customWidth="1"/>
    <col min="28" max="258" width="11.453125" style="30"/>
    <col min="259" max="259" width="30.26953125" style="30" customWidth="1"/>
    <col min="260" max="260" width="35.7265625" style="30" customWidth="1"/>
    <col min="261" max="261" width="30.7265625" style="30" customWidth="1"/>
    <col min="262" max="262" width="13.54296875" style="30" customWidth="1"/>
    <col min="263" max="263" width="10" style="30" customWidth="1"/>
    <col min="264" max="264" width="10.81640625" style="30" customWidth="1"/>
    <col min="265" max="265" width="12.1796875" style="30" customWidth="1"/>
    <col min="266" max="266" width="14.26953125" style="30" customWidth="1"/>
    <col min="267" max="267" width="8.7265625" style="30" customWidth="1"/>
    <col min="268" max="268" width="9.7265625" style="30" customWidth="1"/>
    <col min="269" max="269" width="11.26953125" style="30" customWidth="1"/>
    <col min="270" max="270" width="11.453125" style="30"/>
    <col min="271" max="271" width="17" style="30" customWidth="1"/>
    <col min="272" max="272" width="11.26953125" style="30" customWidth="1"/>
    <col min="273" max="273" width="16.81640625" style="30" customWidth="1"/>
    <col min="274" max="274" width="8.81640625" style="30" customWidth="1"/>
    <col min="275" max="275" width="15.453125" style="30" customWidth="1"/>
    <col min="276" max="276" width="61.26953125" style="30" customWidth="1"/>
    <col min="277" max="277" width="17.81640625" style="30" customWidth="1"/>
    <col min="278" max="278" width="21.1796875" style="30" customWidth="1"/>
    <col min="279" max="279" width="36.26953125" style="30" customWidth="1"/>
    <col min="280" max="280" width="13.81640625" style="30" customWidth="1"/>
    <col min="281" max="281" width="17.26953125" style="30" customWidth="1"/>
    <col min="282" max="282" width="36.81640625" style="30" customWidth="1"/>
    <col min="283" max="283" width="41.81640625" style="30" customWidth="1"/>
    <col min="284" max="514" width="11.453125" style="30"/>
    <col min="515" max="515" width="30.26953125" style="30" customWidth="1"/>
    <col min="516" max="516" width="35.7265625" style="30" customWidth="1"/>
    <col min="517" max="517" width="30.7265625" style="30" customWidth="1"/>
    <col min="518" max="518" width="13.54296875" style="30" customWidth="1"/>
    <col min="519" max="519" width="10" style="30" customWidth="1"/>
    <col min="520" max="520" width="10.81640625" style="30" customWidth="1"/>
    <col min="521" max="521" width="12.1796875" style="30" customWidth="1"/>
    <col min="522" max="522" width="14.26953125" style="30" customWidth="1"/>
    <col min="523" max="523" width="8.7265625" style="30" customWidth="1"/>
    <col min="524" max="524" width="9.7265625" style="30" customWidth="1"/>
    <col min="525" max="525" width="11.26953125" style="30" customWidth="1"/>
    <col min="526" max="526" width="11.453125" style="30"/>
    <col min="527" max="527" width="17" style="30" customWidth="1"/>
    <col min="528" max="528" width="11.26953125" style="30" customWidth="1"/>
    <col min="529" max="529" width="16.81640625" style="30" customWidth="1"/>
    <col min="530" max="530" width="8.81640625" style="30" customWidth="1"/>
    <col min="531" max="531" width="15.453125" style="30" customWidth="1"/>
    <col min="532" max="532" width="61.26953125" style="30" customWidth="1"/>
    <col min="533" max="533" width="17.81640625" style="30" customWidth="1"/>
    <col min="534" max="534" width="21.1796875" style="30" customWidth="1"/>
    <col min="535" max="535" width="36.26953125" style="30" customWidth="1"/>
    <col min="536" max="536" width="13.81640625" style="30" customWidth="1"/>
    <col min="537" max="537" width="17.26953125" style="30" customWidth="1"/>
    <col min="538" max="538" width="36.81640625" style="30" customWidth="1"/>
    <col min="539" max="539" width="41.81640625" style="30" customWidth="1"/>
    <col min="540" max="770" width="11.453125" style="30"/>
    <col min="771" max="771" width="30.26953125" style="30" customWidth="1"/>
    <col min="772" max="772" width="35.7265625" style="30" customWidth="1"/>
    <col min="773" max="773" width="30.7265625" style="30" customWidth="1"/>
    <col min="774" max="774" width="13.54296875" style="30" customWidth="1"/>
    <col min="775" max="775" width="10" style="30" customWidth="1"/>
    <col min="776" max="776" width="10.81640625" style="30" customWidth="1"/>
    <col min="777" max="777" width="12.1796875" style="30" customWidth="1"/>
    <col min="778" max="778" width="14.26953125" style="30" customWidth="1"/>
    <col min="779" max="779" width="8.7265625" style="30" customWidth="1"/>
    <col min="780" max="780" width="9.7265625" style="30" customWidth="1"/>
    <col min="781" max="781" width="11.26953125" style="30" customWidth="1"/>
    <col min="782" max="782" width="11.453125" style="30"/>
    <col min="783" max="783" width="17" style="30" customWidth="1"/>
    <col min="784" max="784" width="11.26953125" style="30" customWidth="1"/>
    <col min="785" max="785" width="16.81640625" style="30" customWidth="1"/>
    <col min="786" max="786" width="8.81640625" style="30" customWidth="1"/>
    <col min="787" max="787" width="15.453125" style="30" customWidth="1"/>
    <col min="788" max="788" width="61.26953125" style="30" customWidth="1"/>
    <col min="789" max="789" width="17.81640625" style="30" customWidth="1"/>
    <col min="790" max="790" width="21.1796875" style="30" customWidth="1"/>
    <col min="791" max="791" width="36.26953125" style="30" customWidth="1"/>
    <col min="792" max="792" width="13.81640625" style="30" customWidth="1"/>
    <col min="793" max="793" width="17.26953125" style="30" customWidth="1"/>
    <col min="794" max="794" width="36.81640625" style="30" customWidth="1"/>
    <col min="795" max="795" width="41.81640625" style="30" customWidth="1"/>
    <col min="796" max="1026" width="11.453125" style="30"/>
    <col min="1027" max="1027" width="30.26953125" style="30" customWidth="1"/>
    <col min="1028" max="1028" width="35.7265625" style="30" customWidth="1"/>
    <col min="1029" max="1029" width="30.7265625" style="30" customWidth="1"/>
    <col min="1030" max="1030" width="13.54296875" style="30" customWidth="1"/>
    <col min="1031" max="1031" width="10" style="30" customWidth="1"/>
    <col min="1032" max="1032" width="10.81640625" style="30" customWidth="1"/>
    <col min="1033" max="1033" width="12.1796875" style="30" customWidth="1"/>
    <col min="1034" max="1034" width="14.26953125" style="30" customWidth="1"/>
    <col min="1035" max="1035" width="8.7265625" style="30" customWidth="1"/>
    <col min="1036" max="1036" width="9.7265625" style="30" customWidth="1"/>
    <col min="1037" max="1037" width="11.26953125" style="30" customWidth="1"/>
    <col min="1038" max="1038" width="11.453125" style="30"/>
    <col min="1039" max="1039" width="17" style="30" customWidth="1"/>
    <col min="1040" max="1040" width="11.26953125" style="30" customWidth="1"/>
    <col min="1041" max="1041" width="16.81640625" style="30" customWidth="1"/>
    <col min="1042" max="1042" width="8.81640625" style="30" customWidth="1"/>
    <col min="1043" max="1043" width="15.453125" style="30" customWidth="1"/>
    <col min="1044" max="1044" width="61.26953125" style="30" customWidth="1"/>
    <col min="1045" max="1045" width="17.81640625" style="30" customWidth="1"/>
    <col min="1046" max="1046" width="21.1796875" style="30" customWidth="1"/>
    <col min="1047" max="1047" width="36.26953125" style="30" customWidth="1"/>
    <col min="1048" max="1048" width="13.81640625" style="30" customWidth="1"/>
    <col min="1049" max="1049" width="17.26953125" style="30" customWidth="1"/>
    <col min="1050" max="1050" width="36.81640625" style="30" customWidth="1"/>
    <col min="1051" max="1051" width="41.81640625" style="30" customWidth="1"/>
    <col min="1052" max="1282" width="11.453125" style="30"/>
    <col min="1283" max="1283" width="30.26953125" style="30" customWidth="1"/>
    <col min="1284" max="1284" width="35.7265625" style="30" customWidth="1"/>
    <col min="1285" max="1285" width="30.7265625" style="30" customWidth="1"/>
    <col min="1286" max="1286" width="13.54296875" style="30" customWidth="1"/>
    <col min="1287" max="1287" width="10" style="30" customWidth="1"/>
    <col min="1288" max="1288" width="10.81640625" style="30" customWidth="1"/>
    <col min="1289" max="1289" width="12.1796875" style="30" customWidth="1"/>
    <col min="1290" max="1290" width="14.26953125" style="30" customWidth="1"/>
    <col min="1291" max="1291" width="8.7265625" style="30" customWidth="1"/>
    <col min="1292" max="1292" width="9.7265625" style="30" customWidth="1"/>
    <col min="1293" max="1293" width="11.26953125" style="30" customWidth="1"/>
    <col min="1294" max="1294" width="11.453125" style="30"/>
    <col min="1295" max="1295" width="17" style="30" customWidth="1"/>
    <col min="1296" max="1296" width="11.26953125" style="30" customWidth="1"/>
    <col min="1297" max="1297" width="16.81640625" style="30" customWidth="1"/>
    <col min="1298" max="1298" width="8.81640625" style="30" customWidth="1"/>
    <col min="1299" max="1299" width="15.453125" style="30" customWidth="1"/>
    <col min="1300" max="1300" width="61.26953125" style="30" customWidth="1"/>
    <col min="1301" max="1301" width="17.81640625" style="30" customWidth="1"/>
    <col min="1302" max="1302" width="21.1796875" style="30" customWidth="1"/>
    <col min="1303" max="1303" width="36.26953125" style="30" customWidth="1"/>
    <col min="1304" max="1304" width="13.81640625" style="30" customWidth="1"/>
    <col min="1305" max="1305" width="17.26953125" style="30" customWidth="1"/>
    <col min="1306" max="1306" width="36.81640625" style="30" customWidth="1"/>
    <col min="1307" max="1307" width="41.81640625" style="30" customWidth="1"/>
    <col min="1308" max="1538" width="11.453125" style="30"/>
    <col min="1539" max="1539" width="30.26953125" style="30" customWidth="1"/>
    <col min="1540" max="1540" width="35.7265625" style="30" customWidth="1"/>
    <col min="1541" max="1541" width="30.7265625" style="30" customWidth="1"/>
    <col min="1542" max="1542" width="13.54296875" style="30" customWidth="1"/>
    <col min="1543" max="1543" width="10" style="30" customWidth="1"/>
    <col min="1544" max="1544" width="10.81640625" style="30" customWidth="1"/>
    <col min="1545" max="1545" width="12.1796875" style="30" customWidth="1"/>
    <col min="1546" max="1546" width="14.26953125" style="30" customWidth="1"/>
    <col min="1547" max="1547" width="8.7265625" style="30" customWidth="1"/>
    <col min="1548" max="1548" width="9.7265625" style="30" customWidth="1"/>
    <col min="1549" max="1549" width="11.26953125" style="30" customWidth="1"/>
    <col min="1550" max="1550" width="11.453125" style="30"/>
    <col min="1551" max="1551" width="17" style="30" customWidth="1"/>
    <col min="1552" max="1552" width="11.26953125" style="30" customWidth="1"/>
    <col min="1553" max="1553" width="16.81640625" style="30" customWidth="1"/>
    <col min="1554" max="1554" width="8.81640625" style="30" customWidth="1"/>
    <col min="1555" max="1555" width="15.453125" style="30" customWidth="1"/>
    <col min="1556" max="1556" width="61.26953125" style="30" customWidth="1"/>
    <col min="1557" max="1557" width="17.81640625" style="30" customWidth="1"/>
    <col min="1558" max="1558" width="21.1796875" style="30" customWidth="1"/>
    <col min="1559" max="1559" width="36.26953125" style="30" customWidth="1"/>
    <col min="1560" max="1560" width="13.81640625" style="30" customWidth="1"/>
    <col min="1561" max="1561" width="17.26953125" style="30" customWidth="1"/>
    <col min="1562" max="1562" width="36.81640625" style="30" customWidth="1"/>
    <col min="1563" max="1563" width="41.81640625" style="30" customWidth="1"/>
    <col min="1564" max="1794" width="11.453125" style="30"/>
    <col min="1795" max="1795" width="30.26953125" style="30" customWidth="1"/>
    <col min="1796" max="1796" width="35.7265625" style="30" customWidth="1"/>
    <col min="1797" max="1797" width="30.7265625" style="30" customWidth="1"/>
    <col min="1798" max="1798" width="13.54296875" style="30" customWidth="1"/>
    <col min="1799" max="1799" width="10" style="30" customWidth="1"/>
    <col min="1800" max="1800" width="10.81640625" style="30" customWidth="1"/>
    <col min="1801" max="1801" width="12.1796875" style="30" customWidth="1"/>
    <col min="1802" max="1802" width="14.26953125" style="30" customWidth="1"/>
    <col min="1803" max="1803" width="8.7265625" style="30" customWidth="1"/>
    <col min="1804" max="1804" width="9.7265625" style="30" customWidth="1"/>
    <col min="1805" max="1805" width="11.26953125" style="30" customWidth="1"/>
    <col min="1806" max="1806" width="11.453125" style="30"/>
    <col min="1807" max="1807" width="17" style="30" customWidth="1"/>
    <col min="1808" max="1808" width="11.26953125" style="30" customWidth="1"/>
    <col min="1809" max="1809" width="16.81640625" style="30" customWidth="1"/>
    <col min="1810" max="1810" width="8.81640625" style="30" customWidth="1"/>
    <col min="1811" max="1811" width="15.453125" style="30" customWidth="1"/>
    <col min="1812" max="1812" width="61.26953125" style="30" customWidth="1"/>
    <col min="1813" max="1813" width="17.81640625" style="30" customWidth="1"/>
    <col min="1814" max="1814" width="21.1796875" style="30" customWidth="1"/>
    <col min="1815" max="1815" width="36.26953125" style="30" customWidth="1"/>
    <col min="1816" max="1816" width="13.81640625" style="30" customWidth="1"/>
    <col min="1817" max="1817" width="17.26953125" style="30" customWidth="1"/>
    <col min="1818" max="1818" width="36.81640625" style="30" customWidth="1"/>
    <col min="1819" max="1819" width="41.81640625" style="30" customWidth="1"/>
    <col min="1820" max="2050" width="11.453125" style="30"/>
    <col min="2051" max="2051" width="30.26953125" style="30" customWidth="1"/>
    <col min="2052" max="2052" width="35.7265625" style="30" customWidth="1"/>
    <col min="2053" max="2053" width="30.7265625" style="30" customWidth="1"/>
    <col min="2054" max="2054" width="13.54296875" style="30" customWidth="1"/>
    <col min="2055" max="2055" width="10" style="30" customWidth="1"/>
    <col min="2056" max="2056" width="10.81640625" style="30" customWidth="1"/>
    <col min="2057" max="2057" width="12.1796875" style="30" customWidth="1"/>
    <col min="2058" max="2058" width="14.26953125" style="30" customWidth="1"/>
    <col min="2059" max="2059" width="8.7265625" style="30" customWidth="1"/>
    <col min="2060" max="2060" width="9.7265625" style="30" customWidth="1"/>
    <col min="2061" max="2061" width="11.26953125" style="30" customWidth="1"/>
    <col min="2062" max="2062" width="11.453125" style="30"/>
    <col min="2063" max="2063" width="17" style="30" customWidth="1"/>
    <col min="2064" max="2064" width="11.26953125" style="30" customWidth="1"/>
    <col min="2065" max="2065" width="16.81640625" style="30" customWidth="1"/>
    <col min="2066" max="2066" width="8.81640625" style="30" customWidth="1"/>
    <col min="2067" max="2067" width="15.453125" style="30" customWidth="1"/>
    <col min="2068" max="2068" width="61.26953125" style="30" customWidth="1"/>
    <col min="2069" max="2069" width="17.81640625" style="30" customWidth="1"/>
    <col min="2070" max="2070" width="21.1796875" style="30" customWidth="1"/>
    <col min="2071" max="2071" width="36.26953125" style="30" customWidth="1"/>
    <col min="2072" max="2072" width="13.81640625" style="30" customWidth="1"/>
    <col min="2073" max="2073" width="17.26953125" style="30" customWidth="1"/>
    <col min="2074" max="2074" width="36.81640625" style="30" customWidth="1"/>
    <col min="2075" max="2075" width="41.81640625" style="30" customWidth="1"/>
    <col min="2076" max="2306" width="11.453125" style="30"/>
    <col min="2307" max="2307" width="30.26953125" style="30" customWidth="1"/>
    <col min="2308" max="2308" width="35.7265625" style="30" customWidth="1"/>
    <col min="2309" max="2309" width="30.7265625" style="30" customWidth="1"/>
    <col min="2310" max="2310" width="13.54296875" style="30" customWidth="1"/>
    <col min="2311" max="2311" width="10" style="30" customWidth="1"/>
    <col min="2312" max="2312" width="10.81640625" style="30" customWidth="1"/>
    <col min="2313" max="2313" width="12.1796875" style="30" customWidth="1"/>
    <col min="2314" max="2314" width="14.26953125" style="30" customWidth="1"/>
    <col min="2315" max="2315" width="8.7265625" style="30" customWidth="1"/>
    <col min="2316" max="2316" width="9.7265625" style="30" customWidth="1"/>
    <col min="2317" max="2317" width="11.26953125" style="30" customWidth="1"/>
    <col min="2318" max="2318" width="11.453125" style="30"/>
    <col min="2319" max="2319" width="17" style="30" customWidth="1"/>
    <col min="2320" max="2320" width="11.26953125" style="30" customWidth="1"/>
    <col min="2321" max="2321" width="16.81640625" style="30" customWidth="1"/>
    <col min="2322" max="2322" width="8.81640625" style="30" customWidth="1"/>
    <col min="2323" max="2323" width="15.453125" style="30" customWidth="1"/>
    <col min="2324" max="2324" width="61.26953125" style="30" customWidth="1"/>
    <col min="2325" max="2325" width="17.81640625" style="30" customWidth="1"/>
    <col min="2326" max="2326" width="21.1796875" style="30" customWidth="1"/>
    <col min="2327" max="2327" width="36.26953125" style="30" customWidth="1"/>
    <col min="2328" max="2328" width="13.81640625" style="30" customWidth="1"/>
    <col min="2329" max="2329" width="17.26953125" style="30" customWidth="1"/>
    <col min="2330" max="2330" width="36.81640625" style="30" customWidth="1"/>
    <col min="2331" max="2331" width="41.81640625" style="30" customWidth="1"/>
    <col min="2332" max="2562" width="11.453125" style="30"/>
    <col min="2563" max="2563" width="30.26953125" style="30" customWidth="1"/>
    <col min="2564" max="2564" width="35.7265625" style="30" customWidth="1"/>
    <col min="2565" max="2565" width="30.7265625" style="30" customWidth="1"/>
    <col min="2566" max="2566" width="13.54296875" style="30" customWidth="1"/>
    <col min="2567" max="2567" width="10" style="30" customWidth="1"/>
    <col min="2568" max="2568" width="10.81640625" style="30" customWidth="1"/>
    <col min="2569" max="2569" width="12.1796875" style="30" customWidth="1"/>
    <col min="2570" max="2570" width="14.26953125" style="30" customWidth="1"/>
    <col min="2571" max="2571" width="8.7265625" style="30" customWidth="1"/>
    <col min="2572" max="2572" width="9.7265625" style="30" customWidth="1"/>
    <col min="2573" max="2573" width="11.26953125" style="30" customWidth="1"/>
    <col min="2574" max="2574" width="11.453125" style="30"/>
    <col min="2575" max="2575" width="17" style="30" customWidth="1"/>
    <col min="2576" max="2576" width="11.26953125" style="30" customWidth="1"/>
    <col min="2577" max="2577" width="16.81640625" style="30" customWidth="1"/>
    <col min="2578" max="2578" width="8.81640625" style="30" customWidth="1"/>
    <col min="2579" max="2579" width="15.453125" style="30" customWidth="1"/>
    <col min="2580" max="2580" width="61.26953125" style="30" customWidth="1"/>
    <col min="2581" max="2581" width="17.81640625" style="30" customWidth="1"/>
    <col min="2582" max="2582" width="21.1796875" style="30" customWidth="1"/>
    <col min="2583" max="2583" width="36.26953125" style="30" customWidth="1"/>
    <col min="2584" max="2584" width="13.81640625" style="30" customWidth="1"/>
    <col min="2585" max="2585" width="17.26953125" style="30" customWidth="1"/>
    <col min="2586" max="2586" width="36.81640625" style="30" customWidth="1"/>
    <col min="2587" max="2587" width="41.81640625" style="30" customWidth="1"/>
    <col min="2588" max="2818" width="11.453125" style="30"/>
    <col min="2819" max="2819" width="30.26953125" style="30" customWidth="1"/>
    <col min="2820" max="2820" width="35.7265625" style="30" customWidth="1"/>
    <col min="2821" max="2821" width="30.7265625" style="30" customWidth="1"/>
    <col min="2822" max="2822" width="13.54296875" style="30" customWidth="1"/>
    <col min="2823" max="2823" width="10" style="30" customWidth="1"/>
    <col min="2824" max="2824" width="10.81640625" style="30" customWidth="1"/>
    <col min="2825" max="2825" width="12.1796875" style="30" customWidth="1"/>
    <col min="2826" max="2826" width="14.26953125" style="30" customWidth="1"/>
    <col min="2827" max="2827" width="8.7265625" style="30" customWidth="1"/>
    <col min="2828" max="2828" width="9.7265625" style="30" customWidth="1"/>
    <col min="2829" max="2829" width="11.26953125" style="30" customWidth="1"/>
    <col min="2830" max="2830" width="11.453125" style="30"/>
    <col min="2831" max="2831" width="17" style="30" customWidth="1"/>
    <col min="2832" max="2832" width="11.26953125" style="30" customWidth="1"/>
    <col min="2833" max="2833" width="16.81640625" style="30" customWidth="1"/>
    <col min="2834" max="2834" width="8.81640625" style="30" customWidth="1"/>
    <col min="2835" max="2835" width="15.453125" style="30" customWidth="1"/>
    <col min="2836" max="2836" width="61.26953125" style="30" customWidth="1"/>
    <col min="2837" max="2837" width="17.81640625" style="30" customWidth="1"/>
    <col min="2838" max="2838" width="21.1796875" style="30" customWidth="1"/>
    <col min="2839" max="2839" width="36.26953125" style="30" customWidth="1"/>
    <col min="2840" max="2840" width="13.81640625" style="30" customWidth="1"/>
    <col min="2841" max="2841" width="17.26953125" style="30" customWidth="1"/>
    <col min="2842" max="2842" width="36.81640625" style="30" customWidth="1"/>
    <col min="2843" max="2843" width="41.81640625" style="30" customWidth="1"/>
    <col min="2844" max="3074" width="11.453125" style="30"/>
    <col min="3075" max="3075" width="30.26953125" style="30" customWidth="1"/>
    <col min="3076" max="3076" width="35.7265625" style="30" customWidth="1"/>
    <col min="3077" max="3077" width="30.7265625" style="30" customWidth="1"/>
    <col min="3078" max="3078" width="13.54296875" style="30" customWidth="1"/>
    <col min="3079" max="3079" width="10" style="30" customWidth="1"/>
    <col min="3080" max="3080" width="10.81640625" style="30" customWidth="1"/>
    <col min="3081" max="3081" width="12.1796875" style="30" customWidth="1"/>
    <col min="3082" max="3082" width="14.26953125" style="30" customWidth="1"/>
    <col min="3083" max="3083" width="8.7265625" style="30" customWidth="1"/>
    <col min="3084" max="3084" width="9.7265625" style="30" customWidth="1"/>
    <col min="3085" max="3085" width="11.26953125" style="30" customWidth="1"/>
    <col min="3086" max="3086" width="11.453125" style="30"/>
    <col min="3087" max="3087" width="17" style="30" customWidth="1"/>
    <col min="3088" max="3088" width="11.26953125" style="30" customWidth="1"/>
    <col min="3089" max="3089" width="16.81640625" style="30" customWidth="1"/>
    <col min="3090" max="3090" width="8.81640625" style="30" customWidth="1"/>
    <col min="3091" max="3091" width="15.453125" style="30" customWidth="1"/>
    <col min="3092" max="3092" width="61.26953125" style="30" customWidth="1"/>
    <col min="3093" max="3093" width="17.81640625" style="30" customWidth="1"/>
    <col min="3094" max="3094" width="21.1796875" style="30" customWidth="1"/>
    <col min="3095" max="3095" width="36.26953125" style="30" customWidth="1"/>
    <col min="3096" max="3096" width="13.81640625" style="30" customWidth="1"/>
    <col min="3097" max="3097" width="17.26953125" style="30" customWidth="1"/>
    <col min="3098" max="3098" width="36.81640625" style="30" customWidth="1"/>
    <col min="3099" max="3099" width="41.81640625" style="30" customWidth="1"/>
    <col min="3100" max="3330" width="11.453125" style="30"/>
    <col min="3331" max="3331" width="30.26953125" style="30" customWidth="1"/>
    <col min="3332" max="3332" width="35.7265625" style="30" customWidth="1"/>
    <col min="3333" max="3333" width="30.7265625" style="30" customWidth="1"/>
    <col min="3334" max="3334" width="13.54296875" style="30" customWidth="1"/>
    <col min="3335" max="3335" width="10" style="30" customWidth="1"/>
    <col min="3336" max="3336" width="10.81640625" style="30" customWidth="1"/>
    <col min="3337" max="3337" width="12.1796875" style="30" customWidth="1"/>
    <col min="3338" max="3338" width="14.26953125" style="30" customWidth="1"/>
    <col min="3339" max="3339" width="8.7265625" style="30" customWidth="1"/>
    <col min="3340" max="3340" width="9.7265625" style="30" customWidth="1"/>
    <col min="3341" max="3341" width="11.26953125" style="30" customWidth="1"/>
    <col min="3342" max="3342" width="11.453125" style="30"/>
    <col min="3343" max="3343" width="17" style="30" customWidth="1"/>
    <col min="3344" max="3344" width="11.26953125" style="30" customWidth="1"/>
    <col min="3345" max="3345" width="16.81640625" style="30" customWidth="1"/>
    <col min="3346" max="3346" width="8.81640625" style="30" customWidth="1"/>
    <col min="3347" max="3347" width="15.453125" style="30" customWidth="1"/>
    <col min="3348" max="3348" width="61.26953125" style="30" customWidth="1"/>
    <col min="3349" max="3349" width="17.81640625" style="30" customWidth="1"/>
    <col min="3350" max="3350" width="21.1796875" style="30" customWidth="1"/>
    <col min="3351" max="3351" width="36.26953125" style="30" customWidth="1"/>
    <col min="3352" max="3352" width="13.81640625" style="30" customWidth="1"/>
    <col min="3353" max="3353" width="17.26953125" style="30" customWidth="1"/>
    <col min="3354" max="3354" width="36.81640625" style="30" customWidth="1"/>
    <col min="3355" max="3355" width="41.81640625" style="30" customWidth="1"/>
    <col min="3356" max="3586" width="11.453125" style="30"/>
    <col min="3587" max="3587" width="30.26953125" style="30" customWidth="1"/>
    <col min="3588" max="3588" width="35.7265625" style="30" customWidth="1"/>
    <col min="3589" max="3589" width="30.7265625" style="30" customWidth="1"/>
    <col min="3590" max="3590" width="13.54296875" style="30" customWidth="1"/>
    <col min="3591" max="3591" width="10" style="30" customWidth="1"/>
    <col min="3592" max="3592" width="10.81640625" style="30" customWidth="1"/>
    <col min="3593" max="3593" width="12.1796875" style="30" customWidth="1"/>
    <col min="3594" max="3594" width="14.26953125" style="30" customWidth="1"/>
    <col min="3595" max="3595" width="8.7265625" style="30" customWidth="1"/>
    <col min="3596" max="3596" width="9.7265625" style="30" customWidth="1"/>
    <col min="3597" max="3597" width="11.26953125" style="30" customWidth="1"/>
    <col min="3598" max="3598" width="11.453125" style="30"/>
    <col min="3599" max="3599" width="17" style="30" customWidth="1"/>
    <col min="3600" max="3600" width="11.26953125" style="30" customWidth="1"/>
    <col min="3601" max="3601" width="16.81640625" style="30" customWidth="1"/>
    <col min="3602" max="3602" width="8.81640625" style="30" customWidth="1"/>
    <col min="3603" max="3603" width="15.453125" style="30" customWidth="1"/>
    <col min="3604" max="3604" width="61.26953125" style="30" customWidth="1"/>
    <col min="3605" max="3605" width="17.81640625" style="30" customWidth="1"/>
    <col min="3606" max="3606" width="21.1796875" style="30" customWidth="1"/>
    <col min="3607" max="3607" width="36.26953125" style="30" customWidth="1"/>
    <col min="3608" max="3608" width="13.81640625" style="30" customWidth="1"/>
    <col min="3609" max="3609" width="17.26953125" style="30" customWidth="1"/>
    <col min="3610" max="3610" width="36.81640625" style="30" customWidth="1"/>
    <col min="3611" max="3611" width="41.81640625" style="30" customWidth="1"/>
    <col min="3612" max="3842" width="11.453125" style="30"/>
    <col min="3843" max="3843" width="30.26953125" style="30" customWidth="1"/>
    <col min="3844" max="3844" width="35.7265625" style="30" customWidth="1"/>
    <col min="3845" max="3845" width="30.7265625" style="30" customWidth="1"/>
    <col min="3846" max="3846" width="13.54296875" style="30" customWidth="1"/>
    <col min="3847" max="3847" width="10" style="30" customWidth="1"/>
    <col min="3848" max="3848" width="10.81640625" style="30" customWidth="1"/>
    <col min="3849" max="3849" width="12.1796875" style="30" customWidth="1"/>
    <col min="3850" max="3850" width="14.26953125" style="30" customWidth="1"/>
    <col min="3851" max="3851" width="8.7265625" style="30" customWidth="1"/>
    <col min="3852" max="3852" width="9.7265625" style="30" customWidth="1"/>
    <col min="3853" max="3853" width="11.26953125" style="30" customWidth="1"/>
    <col min="3854" max="3854" width="11.453125" style="30"/>
    <col min="3855" max="3855" width="17" style="30" customWidth="1"/>
    <col min="3856" max="3856" width="11.26953125" style="30" customWidth="1"/>
    <col min="3857" max="3857" width="16.81640625" style="30" customWidth="1"/>
    <col min="3858" max="3858" width="8.81640625" style="30" customWidth="1"/>
    <col min="3859" max="3859" width="15.453125" style="30" customWidth="1"/>
    <col min="3860" max="3860" width="61.26953125" style="30" customWidth="1"/>
    <col min="3861" max="3861" width="17.81640625" style="30" customWidth="1"/>
    <col min="3862" max="3862" width="21.1796875" style="30" customWidth="1"/>
    <col min="3863" max="3863" width="36.26953125" style="30" customWidth="1"/>
    <col min="3864" max="3864" width="13.81640625" style="30" customWidth="1"/>
    <col min="3865" max="3865" width="17.26953125" style="30" customWidth="1"/>
    <col min="3866" max="3866" width="36.81640625" style="30" customWidth="1"/>
    <col min="3867" max="3867" width="41.81640625" style="30" customWidth="1"/>
    <col min="3868" max="4098" width="11.453125" style="30"/>
    <col min="4099" max="4099" width="30.26953125" style="30" customWidth="1"/>
    <col min="4100" max="4100" width="35.7265625" style="30" customWidth="1"/>
    <col min="4101" max="4101" width="30.7265625" style="30" customWidth="1"/>
    <col min="4102" max="4102" width="13.54296875" style="30" customWidth="1"/>
    <col min="4103" max="4103" width="10" style="30" customWidth="1"/>
    <col min="4104" max="4104" width="10.81640625" style="30" customWidth="1"/>
    <col min="4105" max="4105" width="12.1796875" style="30" customWidth="1"/>
    <col min="4106" max="4106" width="14.26953125" style="30" customWidth="1"/>
    <col min="4107" max="4107" width="8.7265625" style="30" customWidth="1"/>
    <col min="4108" max="4108" width="9.7265625" style="30" customWidth="1"/>
    <col min="4109" max="4109" width="11.26953125" style="30" customWidth="1"/>
    <col min="4110" max="4110" width="11.453125" style="30"/>
    <col min="4111" max="4111" width="17" style="30" customWidth="1"/>
    <col min="4112" max="4112" width="11.26953125" style="30" customWidth="1"/>
    <col min="4113" max="4113" width="16.81640625" style="30" customWidth="1"/>
    <col min="4114" max="4114" width="8.81640625" style="30" customWidth="1"/>
    <col min="4115" max="4115" width="15.453125" style="30" customWidth="1"/>
    <col min="4116" max="4116" width="61.26953125" style="30" customWidth="1"/>
    <col min="4117" max="4117" width="17.81640625" style="30" customWidth="1"/>
    <col min="4118" max="4118" width="21.1796875" style="30" customWidth="1"/>
    <col min="4119" max="4119" width="36.26953125" style="30" customWidth="1"/>
    <col min="4120" max="4120" width="13.81640625" style="30" customWidth="1"/>
    <col min="4121" max="4121" width="17.26953125" style="30" customWidth="1"/>
    <col min="4122" max="4122" width="36.81640625" style="30" customWidth="1"/>
    <col min="4123" max="4123" width="41.81640625" style="30" customWidth="1"/>
    <col min="4124" max="4354" width="11.453125" style="30"/>
    <col min="4355" max="4355" width="30.26953125" style="30" customWidth="1"/>
    <col min="4356" max="4356" width="35.7265625" style="30" customWidth="1"/>
    <col min="4357" max="4357" width="30.7265625" style="30" customWidth="1"/>
    <col min="4358" max="4358" width="13.54296875" style="30" customWidth="1"/>
    <col min="4359" max="4359" width="10" style="30" customWidth="1"/>
    <col min="4360" max="4360" width="10.81640625" style="30" customWidth="1"/>
    <col min="4361" max="4361" width="12.1796875" style="30" customWidth="1"/>
    <col min="4362" max="4362" width="14.26953125" style="30" customWidth="1"/>
    <col min="4363" max="4363" width="8.7265625" style="30" customWidth="1"/>
    <col min="4364" max="4364" width="9.7265625" style="30" customWidth="1"/>
    <col min="4365" max="4365" width="11.26953125" style="30" customWidth="1"/>
    <col min="4366" max="4366" width="11.453125" style="30"/>
    <col min="4367" max="4367" width="17" style="30" customWidth="1"/>
    <col min="4368" max="4368" width="11.26953125" style="30" customWidth="1"/>
    <col min="4369" max="4369" width="16.81640625" style="30" customWidth="1"/>
    <col min="4370" max="4370" width="8.81640625" style="30" customWidth="1"/>
    <col min="4371" max="4371" width="15.453125" style="30" customWidth="1"/>
    <col min="4372" max="4372" width="61.26953125" style="30" customWidth="1"/>
    <col min="4373" max="4373" width="17.81640625" style="30" customWidth="1"/>
    <col min="4374" max="4374" width="21.1796875" style="30" customWidth="1"/>
    <col min="4375" max="4375" width="36.26953125" style="30" customWidth="1"/>
    <col min="4376" max="4376" width="13.81640625" style="30" customWidth="1"/>
    <col min="4377" max="4377" width="17.26953125" style="30" customWidth="1"/>
    <col min="4378" max="4378" width="36.81640625" style="30" customWidth="1"/>
    <col min="4379" max="4379" width="41.81640625" style="30" customWidth="1"/>
    <col min="4380" max="4610" width="11.453125" style="30"/>
    <col min="4611" max="4611" width="30.26953125" style="30" customWidth="1"/>
    <col min="4612" max="4612" width="35.7265625" style="30" customWidth="1"/>
    <col min="4613" max="4613" width="30.7265625" style="30" customWidth="1"/>
    <col min="4614" max="4614" width="13.54296875" style="30" customWidth="1"/>
    <col min="4615" max="4615" width="10" style="30" customWidth="1"/>
    <col min="4616" max="4616" width="10.81640625" style="30" customWidth="1"/>
    <col min="4617" max="4617" width="12.1796875" style="30" customWidth="1"/>
    <col min="4618" max="4618" width="14.26953125" style="30" customWidth="1"/>
    <col min="4619" max="4619" width="8.7265625" style="30" customWidth="1"/>
    <col min="4620" max="4620" width="9.7265625" style="30" customWidth="1"/>
    <col min="4621" max="4621" width="11.26953125" style="30" customWidth="1"/>
    <col min="4622" max="4622" width="11.453125" style="30"/>
    <col min="4623" max="4623" width="17" style="30" customWidth="1"/>
    <col min="4624" max="4624" width="11.26953125" style="30" customWidth="1"/>
    <col min="4625" max="4625" width="16.81640625" style="30" customWidth="1"/>
    <col min="4626" max="4626" width="8.81640625" style="30" customWidth="1"/>
    <col min="4627" max="4627" width="15.453125" style="30" customWidth="1"/>
    <col min="4628" max="4628" width="61.26953125" style="30" customWidth="1"/>
    <col min="4629" max="4629" width="17.81640625" style="30" customWidth="1"/>
    <col min="4630" max="4630" width="21.1796875" style="30" customWidth="1"/>
    <col min="4631" max="4631" width="36.26953125" style="30" customWidth="1"/>
    <col min="4632" max="4632" width="13.81640625" style="30" customWidth="1"/>
    <col min="4633" max="4633" width="17.26953125" style="30" customWidth="1"/>
    <col min="4634" max="4634" width="36.81640625" style="30" customWidth="1"/>
    <col min="4635" max="4635" width="41.81640625" style="30" customWidth="1"/>
    <col min="4636" max="4866" width="11.453125" style="30"/>
    <col min="4867" max="4867" width="30.26953125" style="30" customWidth="1"/>
    <col min="4868" max="4868" width="35.7265625" style="30" customWidth="1"/>
    <col min="4869" max="4869" width="30.7265625" style="30" customWidth="1"/>
    <col min="4870" max="4870" width="13.54296875" style="30" customWidth="1"/>
    <col min="4871" max="4871" width="10" style="30" customWidth="1"/>
    <col min="4872" max="4872" width="10.81640625" style="30" customWidth="1"/>
    <col min="4873" max="4873" width="12.1796875" style="30" customWidth="1"/>
    <col min="4874" max="4874" width="14.26953125" style="30" customWidth="1"/>
    <col min="4875" max="4875" width="8.7265625" style="30" customWidth="1"/>
    <col min="4876" max="4876" width="9.7265625" style="30" customWidth="1"/>
    <col min="4877" max="4877" width="11.26953125" style="30" customWidth="1"/>
    <col min="4878" max="4878" width="11.453125" style="30"/>
    <col min="4879" max="4879" width="17" style="30" customWidth="1"/>
    <col min="4880" max="4880" width="11.26953125" style="30" customWidth="1"/>
    <col min="4881" max="4881" width="16.81640625" style="30" customWidth="1"/>
    <col min="4882" max="4882" width="8.81640625" style="30" customWidth="1"/>
    <col min="4883" max="4883" width="15.453125" style="30" customWidth="1"/>
    <col min="4884" max="4884" width="61.26953125" style="30" customWidth="1"/>
    <col min="4885" max="4885" width="17.81640625" style="30" customWidth="1"/>
    <col min="4886" max="4886" width="21.1796875" style="30" customWidth="1"/>
    <col min="4887" max="4887" width="36.26953125" style="30" customWidth="1"/>
    <col min="4888" max="4888" width="13.81640625" style="30" customWidth="1"/>
    <col min="4889" max="4889" width="17.26953125" style="30" customWidth="1"/>
    <col min="4890" max="4890" width="36.81640625" style="30" customWidth="1"/>
    <col min="4891" max="4891" width="41.81640625" style="30" customWidth="1"/>
    <col min="4892" max="5122" width="11.453125" style="30"/>
    <col min="5123" max="5123" width="30.26953125" style="30" customWidth="1"/>
    <col min="5124" max="5124" width="35.7265625" style="30" customWidth="1"/>
    <col min="5125" max="5125" width="30.7265625" style="30" customWidth="1"/>
    <col min="5126" max="5126" width="13.54296875" style="30" customWidth="1"/>
    <col min="5127" max="5127" width="10" style="30" customWidth="1"/>
    <col min="5128" max="5128" width="10.81640625" style="30" customWidth="1"/>
    <col min="5129" max="5129" width="12.1796875" style="30" customWidth="1"/>
    <col min="5130" max="5130" width="14.26953125" style="30" customWidth="1"/>
    <col min="5131" max="5131" width="8.7265625" style="30" customWidth="1"/>
    <col min="5132" max="5132" width="9.7265625" style="30" customWidth="1"/>
    <col min="5133" max="5133" width="11.26953125" style="30" customWidth="1"/>
    <col min="5134" max="5134" width="11.453125" style="30"/>
    <col min="5135" max="5135" width="17" style="30" customWidth="1"/>
    <col min="5136" max="5136" width="11.26953125" style="30" customWidth="1"/>
    <col min="5137" max="5137" width="16.81640625" style="30" customWidth="1"/>
    <col min="5138" max="5138" width="8.81640625" style="30" customWidth="1"/>
    <col min="5139" max="5139" width="15.453125" style="30" customWidth="1"/>
    <col min="5140" max="5140" width="61.26953125" style="30" customWidth="1"/>
    <col min="5141" max="5141" width="17.81640625" style="30" customWidth="1"/>
    <col min="5142" max="5142" width="21.1796875" style="30" customWidth="1"/>
    <col min="5143" max="5143" width="36.26953125" style="30" customWidth="1"/>
    <col min="5144" max="5144" width="13.81640625" style="30" customWidth="1"/>
    <col min="5145" max="5145" width="17.26953125" style="30" customWidth="1"/>
    <col min="5146" max="5146" width="36.81640625" style="30" customWidth="1"/>
    <col min="5147" max="5147" width="41.81640625" style="30" customWidth="1"/>
    <col min="5148" max="5378" width="11.453125" style="30"/>
    <col min="5379" max="5379" width="30.26953125" style="30" customWidth="1"/>
    <col min="5380" max="5380" width="35.7265625" style="30" customWidth="1"/>
    <col min="5381" max="5381" width="30.7265625" style="30" customWidth="1"/>
    <col min="5382" max="5382" width="13.54296875" style="30" customWidth="1"/>
    <col min="5383" max="5383" width="10" style="30" customWidth="1"/>
    <col min="5384" max="5384" width="10.81640625" style="30" customWidth="1"/>
    <col min="5385" max="5385" width="12.1796875" style="30" customWidth="1"/>
    <col min="5386" max="5386" width="14.26953125" style="30" customWidth="1"/>
    <col min="5387" max="5387" width="8.7265625" style="30" customWidth="1"/>
    <col min="5388" max="5388" width="9.7265625" style="30" customWidth="1"/>
    <col min="5389" max="5389" width="11.26953125" style="30" customWidth="1"/>
    <col min="5390" max="5390" width="11.453125" style="30"/>
    <col min="5391" max="5391" width="17" style="30" customWidth="1"/>
    <col min="5392" max="5392" width="11.26953125" style="30" customWidth="1"/>
    <col min="5393" max="5393" width="16.81640625" style="30" customWidth="1"/>
    <col min="5394" max="5394" width="8.81640625" style="30" customWidth="1"/>
    <col min="5395" max="5395" width="15.453125" style="30" customWidth="1"/>
    <col min="5396" max="5396" width="61.26953125" style="30" customWidth="1"/>
    <col min="5397" max="5397" width="17.81640625" style="30" customWidth="1"/>
    <col min="5398" max="5398" width="21.1796875" style="30" customWidth="1"/>
    <col min="5399" max="5399" width="36.26953125" style="30" customWidth="1"/>
    <col min="5400" max="5400" width="13.81640625" style="30" customWidth="1"/>
    <col min="5401" max="5401" width="17.26953125" style="30" customWidth="1"/>
    <col min="5402" max="5402" width="36.81640625" style="30" customWidth="1"/>
    <col min="5403" max="5403" width="41.81640625" style="30" customWidth="1"/>
    <col min="5404" max="5634" width="11.453125" style="30"/>
    <col min="5635" max="5635" width="30.26953125" style="30" customWidth="1"/>
    <col min="5636" max="5636" width="35.7265625" style="30" customWidth="1"/>
    <col min="5637" max="5637" width="30.7265625" style="30" customWidth="1"/>
    <col min="5638" max="5638" width="13.54296875" style="30" customWidth="1"/>
    <col min="5639" max="5639" width="10" style="30" customWidth="1"/>
    <col min="5640" max="5640" width="10.81640625" style="30" customWidth="1"/>
    <col min="5641" max="5641" width="12.1796875" style="30" customWidth="1"/>
    <col min="5642" max="5642" width="14.26953125" style="30" customWidth="1"/>
    <col min="5643" max="5643" width="8.7265625" style="30" customWidth="1"/>
    <col min="5644" max="5644" width="9.7265625" style="30" customWidth="1"/>
    <col min="5645" max="5645" width="11.26953125" style="30" customWidth="1"/>
    <col min="5646" max="5646" width="11.453125" style="30"/>
    <col min="5647" max="5647" width="17" style="30" customWidth="1"/>
    <col min="5648" max="5648" width="11.26953125" style="30" customWidth="1"/>
    <col min="5649" max="5649" width="16.81640625" style="30" customWidth="1"/>
    <col min="5650" max="5650" width="8.81640625" style="30" customWidth="1"/>
    <col min="5651" max="5651" width="15.453125" style="30" customWidth="1"/>
    <col min="5652" max="5652" width="61.26953125" style="30" customWidth="1"/>
    <col min="5653" max="5653" width="17.81640625" style="30" customWidth="1"/>
    <col min="5654" max="5654" width="21.1796875" style="30" customWidth="1"/>
    <col min="5655" max="5655" width="36.26953125" style="30" customWidth="1"/>
    <col min="5656" max="5656" width="13.81640625" style="30" customWidth="1"/>
    <col min="5657" max="5657" width="17.26953125" style="30" customWidth="1"/>
    <col min="5658" max="5658" width="36.81640625" style="30" customWidth="1"/>
    <col min="5659" max="5659" width="41.81640625" style="30" customWidth="1"/>
    <col min="5660" max="5890" width="11.453125" style="30"/>
    <col min="5891" max="5891" width="30.26953125" style="30" customWidth="1"/>
    <col min="5892" max="5892" width="35.7265625" style="30" customWidth="1"/>
    <col min="5893" max="5893" width="30.7265625" style="30" customWidth="1"/>
    <col min="5894" max="5894" width="13.54296875" style="30" customWidth="1"/>
    <col min="5895" max="5895" width="10" style="30" customWidth="1"/>
    <col min="5896" max="5896" width="10.81640625" style="30" customWidth="1"/>
    <col min="5897" max="5897" width="12.1796875" style="30" customWidth="1"/>
    <col min="5898" max="5898" width="14.26953125" style="30" customWidth="1"/>
    <col min="5899" max="5899" width="8.7265625" style="30" customWidth="1"/>
    <col min="5900" max="5900" width="9.7265625" style="30" customWidth="1"/>
    <col min="5901" max="5901" width="11.26953125" style="30" customWidth="1"/>
    <col min="5902" max="5902" width="11.453125" style="30"/>
    <col min="5903" max="5903" width="17" style="30" customWidth="1"/>
    <col min="5904" max="5904" width="11.26953125" style="30" customWidth="1"/>
    <col min="5905" max="5905" width="16.81640625" style="30" customWidth="1"/>
    <col min="5906" max="5906" width="8.81640625" style="30" customWidth="1"/>
    <col min="5907" max="5907" width="15.453125" style="30" customWidth="1"/>
    <col min="5908" max="5908" width="61.26953125" style="30" customWidth="1"/>
    <col min="5909" max="5909" width="17.81640625" style="30" customWidth="1"/>
    <col min="5910" max="5910" width="21.1796875" style="30" customWidth="1"/>
    <col min="5911" max="5911" width="36.26953125" style="30" customWidth="1"/>
    <col min="5912" max="5912" width="13.81640625" style="30" customWidth="1"/>
    <col min="5913" max="5913" width="17.26953125" style="30" customWidth="1"/>
    <col min="5914" max="5914" width="36.81640625" style="30" customWidth="1"/>
    <col min="5915" max="5915" width="41.81640625" style="30" customWidth="1"/>
    <col min="5916" max="6146" width="11.453125" style="30"/>
    <col min="6147" max="6147" width="30.26953125" style="30" customWidth="1"/>
    <col min="6148" max="6148" width="35.7265625" style="30" customWidth="1"/>
    <col min="6149" max="6149" width="30.7265625" style="30" customWidth="1"/>
    <col min="6150" max="6150" width="13.54296875" style="30" customWidth="1"/>
    <col min="6151" max="6151" width="10" style="30" customWidth="1"/>
    <col min="6152" max="6152" width="10.81640625" style="30" customWidth="1"/>
    <col min="6153" max="6153" width="12.1796875" style="30" customWidth="1"/>
    <col min="6154" max="6154" width="14.26953125" style="30" customWidth="1"/>
    <col min="6155" max="6155" width="8.7265625" style="30" customWidth="1"/>
    <col min="6156" max="6156" width="9.7265625" style="30" customWidth="1"/>
    <col min="6157" max="6157" width="11.26953125" style="30" customWidth="1"/>
    <col min="6158" max="6158" width="11.453125" style="30"/>
    <col min="6159" max="6159" width="17" style="30" customWidth="1"/>
    <col min="6160" max="6160" width="11.26953125" style="30" customWidth="1"/>
    <col min="6161" max="6161" width="16.81640625" style="30" customWidth="1"/>
    <col min="6162" max="6162" width="8.81640625" style="30" customWidth="1"/>
    <col min="6163" max="6163" width="15.453125" style="30" customWidth="1"/>
    <col min="6164" max="6164" width="61.26953125" style="30" customWidth="1"/>
    <col min="6165" max="6165" width="17.81640625" style="30" customWidth="1"/>
    <col min="6166" max="6166" width="21.1796875" style="30" customWidth="1"/>
    <col min="6167" max="6167" width="36.26953125" style="30" customWidth="1"/>
    <col min="6168" max="6168" width="13.81640625" style="30" customWidth="1"/>
    <col min="6169" max="6169" width="17.26953125" style="30" customWidth="1"/>
    <col min="6170" max="6170" width="36.81640625" style="30" customWidth="1"/>
    <col min="6171" max="6171" width="41.81640625" style="30" customWidth="1"/>
    <col min="6172" max="6402" width="11.453125" style="30"/>
    <col min="6403" max="6403" width="30.26953125" style="30" customWidth="1"/>
    <col min="6404" max="6404" width="35.7265625" style="30" customWidth="1"/>
    <col min="6405" max="6405" width="30.7265625" style="30" customWidth="1"/>
    <col min="6406" max="6406" width="13.54296875" style="30" customWidth="1"/>
    <col min="6407" max="6407" width="10" style="30" customWidth="1"/>
    <col min="6408" max="6408" width="10.81640625" style="30" customWidth="1"/>
    <col min="6409" max="6409" width="12.1796875" style="30" customWidth="1"/>
    <col min="6410" max="6410" width="14.26953125" style="30" customWidth="1"/>
    <col min="6411" max="6411" width="8.7265625" style="30" customWidth="1"/>
    <col min="6412" max="6412" width="9.7265625" style="30" customWidth="1"/>
    <col min="6413" max="6413" width="11.26953125" style="30" customWidth="1"/>
    <col min="6414" max="6414" width="11.453125" style="30"/>
    <col min="6415" max="6415" width="17" style="30" customWidth="1"/>
    <col min="6416" max="6416" width="11.26953125" style="30" customWidth="1"/>
    <col min="6417" max="6417" width="16.81640625" style="30" customWidth="1"/>
    <col min="6418" max="6418" width="8.81640625" style="30" customWidth="1"/>
    <col min="6419" max="6419" width="15.453125" style="30" customWidth="1"/>
    <col min="6420" max="6420" width="61.26953125" style="30" customWidth="1"/>
    <col min="6421" max="6421" width="17.81640625" style="30" customWidth="1"/>
    <col min="6422" max="6422" width="21.1796875" style="30" customWidth="1"/>
    <col min="6423" max="6423" width="36.26953125" style="30" customWidth="1"/>
    <col min="6424" max="6424" width="13.81640625" style="30" customWidth="1"/>
    <col min="6425" max="6425" width="17.26953125" style="30" customWidth="1"/>
    <col min="6426" max="6426" width="36.81640625" style="30" customWidth="1"/>
    <col min="6427" max="6427" width="41.81640625" style="30" customWidth="1"/>
    <col min="6428" max="6658" width="11.453125" style="30"/>
    <col min="6659" max="6659" width="30.26953125" style="30" customWidth="1"/>
    <col min="6660" max="6660" width="35.7265625" style="30" customWidth="1"/>
    <col min="6661" max="6661" width="30.7265625" style="30" customWidth="1"/>
    <col min="6662" max="6662" width="13.54296875" style="30" customWidth="1"/>
    <col min="6663" max="6663" width="10" style="30" customWidth="1"/>
    <col min="6664" max="6664" width="10.81640625" style="30" customWidth="1"/>
    <col min="6665" max="6665" width="12.1796875" style="30" customWidth="1"/>
    <col min="6666" max="6666" width="14.26953125" style="30" customWidth="1"/>
    <col min="6667" max="6667" width="8.7265625" style="30" customWidth="1"/>
    <col min="6668" max="6668" width="9.7265625" style="30" customWidth="1"/>
    <col min="6669" max="6669" width="11.26953125" style="30" customWidth="1"/>
    <col min="6670" max="6670" width="11.453125" style="30"/>
    <col min="6671" max="6671" width="17" style="30" customWidth="1"/>
    <col min="6672" max="6672" width="11.26953125" style="30" customWidth="1"/>
    <col min="6673" max="6673" width="16.81640625" style="30" customWidth="1"/>
    <col min="6674" max="6674" width="8.81640625" style="30" customWidth="1"/>
    <col min="6675" max="6675" width="15.453125" style="30" customWidth="1"/>
    <col min="6676" max="6676" width="61.26953125" style="30" customWidth="1"/>
    <col min="6677" max="6677" width="17.81640625" style="30" customWidth="1"/>
    <col min="6678" max="6678" width="21.1796875" style="30" customWidth="1"/>
    <col min="6679" max="6679" width="36.26953125" style="30" customWidth="1"/>
    <col min="6680" max="6680" width="13.81640625" style="30" customWidth="1"/>
    <col min="6681" max="6681" width="17.26953125" style="30" customWidth="1"/>
    <col min="6682" max="6682" width="36.81640625" style="30" customWidth="1"/>
    <col min="6683" max="6683" width="41.81640625" style="30" customWidth="1"/>
    <col min="6684" max="6914" width="11.453125" style="30"/>
    <col min="6915" max="6915" width="30.26953125" style="30" customWidth="1"/>
    <col min="6916" max="6916" width="35.7265625" style="30" customWidth="1"/>
    <col min="6917" max="6917" width="30.7265625" style="30" customWidth="1"/>
    <col min="6918" max="6918" width="13.54296875" style="30" customWidth="1"/>
    <col min="6919" max="6919" width="10" style="30" customWidth="1"/>
    <col min="6920" max="6920" width="10.81640625" style="30" customWidth="1"/>
    <col min="6921" max="6921" width="12.1796875" style="30" customWidth="1"/>
    <col min="6922" max="6922" width="14.26953125" style="30" customWidth="1"/>
    <col min="6923" max="6923" width="8.7265625" style="30" customWidth="1"/>
    <col min="6924" max="6924" width="9.7265625" style="30" customWidth="1"/>
    <col min="6925" max="6925" width="11.26953125" style="30" customWidth="1"/>
    <col min="6926" max="6926" width="11.453125" style="30"/>
    <col min="6927" max="6927" width="17" style="30" customWidth="1"/>
    <col min="6928" max="6928" width="11.26953125" style="30" customWidth="1"/>
    <col min="6929" max="6929" width="16.81640625" style="30" customWidth="1"/>
    <col min="6930" max="6930" width="8.81640625" style="30" customWidth="1"/>
    <col min="6931" max="6931" width="15.453125" style="30" customWidth="1"/>
    <col min="6932" max="6932" width="61.26953125" style="30" customWidth="1"/>
    <col min="6933" max="6933" width="17.81640625" style="30" customWidth="1"/>
    <col min="6934" max="6934" width="21.1796875" style="30" customWidth="1"/>
    <col min="6935" max="6935" width="36.26953125" style="30" customWidth="1"/>
    <col min="6936" max="6936" width="13.81640625" style="30" customWidth="1"/>
    <col min="6937" max="6937" width="17.26953125" style="30" customWidth="1"/>
    <col min="6938" max="6938" width="36.81640625" style="30" customWidth="1"/>
    <col min="6939" max="6939" width="41.81640625" style="30" customWidth="1"/>
    <col min="6940" max="7170" width="11.453125" style="30"/>
    <col min="7171" max="7171" width="30.26953125" style="30" customWidth="1"/>
    <col min="7172" max="7172" width="35.7265625" style="30" customWidth="1"/>
    <col min="7173" max="7173" width="30.7265625" style="30" customWidth="1"/>
    <col min="7174" max="7174" width="13.54296875" style="30" customWidth="1"/>
    <col min="7175" max="7175" width="10" style="30" customWidth="1"/>
    <col min="7176" max="7176" width="10.81640625" style="30" customWidth="1"/>
    <col min="7177" max="7177" width="12.1796875" style="30" customWidth="1"/>
    <col min="7178" max="7178" width="14.26953125" style="30" customWidth="1"/>
    <col min="7179" max="7179" width="8.7265625" style="30" customWidth="1"/>
    <col min="7180" max="7180" width="9.7265625" style="30" customWidth="1"/>
    <col min="7181" max="7181" width="11.26953125" style="30" customWidth="1"/>
    <col min="7182" max="7182" width="11.453125" style="30"/>
    <col min="7183" max="7183" width="17" style="30" customWidth="1"/>
    <col min="7184" max="7184" width="11.26953125" style="30" customWidth="1"/>
    <col min="7185" max="7185" width="16.81640625" style="30" customWidth="1"/>
    <col min="7186" max="7186" width="8.81640625" style="30" customWidth="1"/>
    <col min="7187" max="7187" width="15.453125" style="30" customWidth="1"/>
    <col min="7188" max="7188" width="61.26953125" style="30" customWidth="1"/>
    <col min="7189" max="7189" width="17.81640625" style="30" customWidth="1"/>
    <col min="7190" max="7190" width="21.1796875" style="30" customWidth="1"/>
    <col min="7191" max="7191" width="36.26953125" style="30" customWidth="1"/>
    <col min="7192" max="7192" width="13.81640625" style="30" customWidth="1"/>
    <col min="7193" max="7193" width="17.26953125" style="30" customWidth="1"/>
    <col min="7194" max="7194" width="36.81640625" style="30" customWidth="1"/>
    <col min="7195" max="7195" width="41.81640625" style="30" customWidth="1"/>
    <col min="7196" max="7426" width="11.453125" style="30"/>
    <col min="7427" max="7427" width="30.26953125" style="30" customWidth="1"/>
    <col min="7428" max="7428" width="35.7265625" style="30" customWidth="1"/>
    <col min="7429" max="7429" width="30.7265625" style="30" customWidth="1"/>
    <col min="7430" max="7430" width="13.54296875" style="30" customWidth="1"/>
    <col min="7431" max="7431" width="10" style="30" customWidth="1"/>
    <col min="7432" max="7432" width="10.81640625" style="30" customWidth="1"/>
    <col min="7433" max="7433" width="12.1796875" style="30" customWidth="1"/>
    <col min="7434" max="7434" width="14.26953125" style="30" customWidth="1"/>
    <col min="7435" max="7435" width="8.7265625" style="30" customWidth="1"/>
    <col min="7436" max="7436" width="9.7265625" style="30" customWidth="1"/>
    <col min="7437" max="7437" width="11.26953125" style="30" customWidth="1"/>
    <col min="7438" max="7438" width="11.453125" style="30"/>
    <col min="7439" max="7439" width="17" style="30" customWidth="1"/>
    <col min="7440" max="7440" width="11.26953125" style="30" customWidth="1"/>
    <col min="7441" max="7441" width="16.81640625" style="30" customWidth="1"/>
    <col min="7442" max="7442" width="8.81640625" style="30" customWidth="1"/>
    <col min="7443" max="7443" width="15.453125" style="30" customWidth="1"/>
    <col min="7444" max="7444" width="61.26953125" style="30" customWidth="1"/>
    <col min="7445" max="7445" width="17.81640625" style="30" customWidth="1"/>
    <col min="7446" max="7446" width="21.1796875" style="30" customWidth="1"/>
    <col min="7447" max="7447" width="36.26953125" style="30" customWidth="1"/>
    <col min="7448" max="7448" width="13.81640625" style="30" customWidth="1"/>
    <col min="7449" max="7449" width="17.26953125" style="30" customWidth="1"/>
    <col min="7450" max="7450" width="36.81640625" style="30" customWidth="1"/>
    <col min="7451" max="7451" width="41.81640625" style="30" customWidth="1"/>
    <col min="7452" max="7682" width="11.453125" style="30"/>
    <col min="7683" max="7683" width="30.26953125" style="30" customWidth="1"/>
    <col min="7684" max="7684" width="35.7265625" style="30" customWidth="1"/>
    <col min="7685" max="7685" width="30.7265625" style="30" customWidth="1"/>
    <col min="7686" max="7686" width="13.54296875" style="30" customWidth="1"/>
    <col min="7687" max="7687" width="10" style="30" customWidth="1"/>
    <col min="7688" max="7688" width="10.81640625" style="30" customWidth="1"/>
    <col min="7689" max="7689" width="12.1796875" style="30" customWidth="1"/>
    <col min="7690" max="7690" width="14.26953125" style="30" customWidth="1"/>
    <col min="7691" max="7691" width="8.7265625" style="30" customWidth="1"/>
    <col min="7692" max="7692" width="9.7265625" style="30" customWidth="1"/>
    <col min="7693" max="7693" width="11.26953125" style="30" customWidth="1"/>
    <col min="7694" max="7694" width="11.453125" style="30"/>
    <col min="7695" max="7695" width="17" style="30" customWidth="1"/>
    <col min="7696" max="7696" width="11.26953125" style="30" customWidth="1"/>
    <col min="7697" max="7697" width="16.81640625" style="30" customWidth="1"/>
    <col min="7698" max="7698" width="8.81640625" style="30" customWidth="1"/>
    <col min="7699" max="7699" width="15.453125" style="30" customWidth="1"/>
    <col min="7700" max="7700" width="61.26953125" style="30" customWidth="1"/>
    <col min="7701" max="7701" width="17.81640625" style="30" customWidth="1"/>
    <col min="7702" max="7702" width="21.1796875" style="30" customWidth="1"/>
    <col min="7703" max="7703" width="36.26953125" style="30" customWidth="1"/>
    <col min="7704" max="7704" width="13.81640625" style="30" customWidth="1"/>
    <col min="7705" max="7705" width="17.26953125" style="30" customWidth="1"/>
    <col min="7706" max="7706" width="36.81640625" style="30" customWidth="1"/>
    <col min="7707" max="7707" width="41.81640625" style="30" customWidth="1"/>
    <col min="7708" max="7938" width="11.453125" style="30"/>
    <col min="7939" max="7939" width="30.26953125" style="30" customWidth="1"/>
    <col min="7940" max="7940" width="35.7265625" style="30" customWidth="1"/>
    <col min="7941" max="7941" width="30.7265625" style="30" customWidth="1"/>
    <col min="7942" max="7942" width="13.54296875" style="30" customWidth="1"/>
    <col min="7943" max="7943" width="10" style="30" customWidth="1"/>
    <col min="7944" max="7944" width="10.81640625" style="30" customWidth="1"/>
    <col min="7945" max="7945" width="12.1796875" style="30" customWidth="1"/>
    <col min="7946" max="7946" width="14.26953125" style="30" customWidth="1"/>
    <col min="7947" max="7947" width="8.7265625" style="30" customWidth="1"/>
    <col min="7948" max="7948" width="9.7265625" style="30" customWidth="1"/>
    <col min="7949" max="7949" width="11.26953125" style="30" customWidth="1"/>
    <col min="7950" max="7950" width="11.453125" style="30"/>
    <col min="7951" max="7951" width="17" style="30" customWidth="1"/>
    <col min="7952" max="7952" width="11.26953125" style="30" customWidth="1"/>
    <col min="7953" max="7953" width="16.81640625" style="30" customWidth="1"/>
    <col min="7954" max="7954" width="8.81640625" style="30" customWidth="1"/>
    <col min="7955" max="7955" width="15.453125" style="30" customWidth="1"/>
    <col min="7956" max="7956" width="61.26953125" style="30" customWidth="1"/>
    <col min="7957" max="7957" width="17.81640625" style="30" customWidth="1"/>
    <col min="7958" max="7958" width="21.1796875" style="30" customWidth="1"/>
    <col min="7959" max="7959" width="36.26953125" style="30" customWidth="1"/>
    <col min="7960" max="7960" width="13.81640625" style="30" customWidth="1"/>
    <col min="7961" max="7961" width="17.26953125" style="30" customWidth="1"/>
    <col min="7962" max="7962" width="36.81640625" style="30" customWidth="1"/>
    <col min="7963" max="7963" width="41.81640625" style="30" customWidth="1"/>
    <col min="7964" max="8194" width="11.453125" style="30"/>
    <col min="8195" max="8195" width="30.26953125" style="30" customWidth="1"/>
    <col min="8196" max="8196" width="35.7265625" style="30" customWidth="1"/>
    <col min="8197" max="8197" width="30.7265625" style="30" customWidth="1"/>
    <col min="8198" max="8198" width="13.54296875" style="30" customWidth="1"/>
    <col min="8199" max="8199" width="10" style="30" customWidth="1"/>
    <col min="8200" max="8200" width="10.81640625" style="30" customWidth="1"/>
    <col min="8201" max="8201" width="12.1796875" style="30" customWidth="1"/>
    <col min="8202" max="8202" width="14.26953125" style="30" customWidth="1"/>
    <col min="8203" max="8203" width="8.7265625" style="30" customWidth="1"/>
    <col min="8204" max="8204" width="9.7265625" style="30" customWidth="1"/>
    <col min="8205" max="8205" width="11.26953125" style="30" customWidth="1"/>
    <col min="8206" max="8206" width="11.453125" style="30"/>
    <col min="8207" max="8207" width="17" style="30" customWidth="1"/>
    <col min="8208" max="8208" width="11.26953125" style="30" customWidth="1"/>
    <col min="8209" max="8209" width="16.81640625" style="30" customWidth="1"/>
    <col min="8210" max="8210" width="8.81640625" style="30" customWidth="1"/>
    <col min="8211" max="8211" width="15.453125" style="30" customWidth="1"/>
    <col min="8212" max="8212" width="61.26953125" style="30" customWidth="1"/>
    <col min="8213" max="8213" width="17.81640625" style="30" customWidth="1"/>
    <col min="8214" max="8214" width="21.1796875" style="30" customWidth="1"/>
    <col min="8215" max="8215" width="36.26953125" style="30" customWidth="1"/>
    <col min="8216" max="8216" width="13.81640625" style="30" customWidth="1"/>
    <col min="8217" max="8217" width="17.26953125" style="30" customWidth="1"/>
    <col min="8218" max="8218" width="36.81640625" style="30" customWidth="1"/>
    <col min="8219" max="8219" width="41.81640625" style="30" customWidth="1"/>
    <col min="8220" max="8450" width="11.453125" style="30"/>
    <col min="8451" max="8451" width="30.26953125" style="30" customWidth="1"/>
    <col min="8452" max="8452" width="35.7265625" style="30" customWidth="1"/>
    <col min="8453" max="8453" width="30.7265625" style="30" customWidth="1"/>
    <col min="8454" max="8454" width="13.54296875" style="30" customWidth="1"/>
    <col min="8455" max="8455" width="10" style="30" customWidth="1"/>
    <col min="8456" max="8456" width="10.81640625" style="30" customWidth="1"/>
    <col min="8457" max="8457" width="12.1796875" style="30" customWidth="1"/>
    <col min="8458" max="8458" width="14.26953125" style="30" customWidth="1"/>
    <col min="8459" max="8459" width="8.7265625" style="30" customWidth="1"/>
    <col min="8460" max="8460" width="9.7265625" style="30" customWidth="1"/>
    <col min="8461" max="8461" width="11.26953125" style="30" customWidth="1"/>
    <col min="8462" max="8462" width="11.453125" style="30"/>
    <col min="8463" max="8463" width="17" style="30" customWidth="1"/>
    <col min="8464" max="8464" width="11.26953125" style="30" customWidth="1"/>
    <col min="8465" max="8465" width="16.81640625" style="30" customWidth="1"/>
    <col min="8466" max="8466" width="8.81640625" style="30" customWidth="1"/>
    <col min="8467" max="8467" width="15.453125" style="30" customWidth="1"/>
    <col min="8468" max="8468" width="61.26953125" style="30" customWidth="1"/>
    <col min="8469" max="8469" width="17.81640625" style="30" customWidth="1"/>
    <col min="8470" max="8470" width="21.1796875" style="30" customWidth="1"/>
    <col min="8471" max="8471" width="36.26953125" style="30" customWidth="1"/>
    <col min="8472" max="8472" width="13.81640625" style="30" customWidth="1"/>
    <col min="8473" max="8473" width="17.26953125" style="30" customWidth="1"/>
    <col min="8474" max="8474" width="36.81640625" style="30" customWidth="1"/>
    <col min="8475" max="8475" width="41.81640625" style="30" customWidth="1"/>
    <col min="8476" max="8706" width="11.453125" style="30"/>
    <col min="8707" max="8707" width="30.26953125" style="30" customWidth="1"/>
    <col min="8708" max="8708" width="35.7265625" style="30" customWidth="1"/>
    <col min="8709" max="8709" width="30.7265625" style="30" customWidth="1"/>
    <col min="8710" max="8710" width="13.54296875" style="30" customWidth="1"/>
    <col min="8711" max="8711" width="10" style="30" customWidth="1"/>
    <col min="8712" max="8712" width="10.81640625" style="30" customWidth="1"/>
    <col min="8713" max="8713" width="12.1796875" style="30" customWidth="1"/>
    <col min="8714" max="8714" width="14.26953125" style="30" customWidth="1"/>
    <col min="8715" max="8715" width="8.7265625" style="30" customWidth="1"/>
    <col min="8716" max="8716" width="9.7265625" style="30" customWidth="1"/>
    <col min="8717" max="8717" width="11.26953125" style="30" customWidth="1"/>
    <col min="8718" max="8718" width="11.453125" style="30"/>
    <col min="8719" max="8719" width="17" style="30" customWidth="1"/>
    <col min="8720" max="8720" width="11.26953125" style="30" customWidth="1"/>
    <col min="8721" max="8721" width="16.81640625" style="30" customWidth="1"/>
    <col min="8722" max="8722" width="8.81640625" style="30" customWidth="1"/>
    <col min="8723" max="8723" width="15.453125" style="30" customWidth="1"/>
    <col min="8724" max="8724" width="61.26953125" style="30" customWidth="1"/>
    <col min="8725" max="8725" width="17.81640625" style="30" customWidth="1"/>
    <col min="8726" max="8726" width="21.1796875" style="30" customWidth="1"/>
    <col min="8727" max="8727" width="36.26953125" style="30" customWidth="1"/>
    <col min="8728" max="8728" width="13.81640625" style="30" customWidth="1"/>
    <col min="8729" max="8729" width="17.26953125" style="30" customWidth="1"/>
    <col min="8730" max="8730" width="36.81640625" style="30" customWidth="1"/>
    <col min="8731" max="8731" width="41.81640625" style="30" customWidth="1"/>
    <col min="8732" max="8962" width="11.453125" style="30"/>
    <col min="8963" max="8963" width="30.26953125" style="30" customWidth="1"/>
    <col min="8964" max="8964" width="35.7265625" style="30" customWidth="1"/>
    <col min="8965" max="8965" width="30.7265625" style="30" customWidth="1"/>
    <col min="8966" max="8966" width="13.54296875" style="30" customWidth="1"/>
    <col min="8967" max="8967" width="10" style="30" customWidth="1"/>
    <col min="8968" max="8968" width="10.81640625" style="30" customWidth="1"/>
    <col min="8969" max="8969" width="12.1796875" style="30" customWidth="1"/>
    <col min="8970" max="8970" width="14.26953125" style="30" customWidth="1"/>
    <col min="8971" max="8971" width="8.7265625" style="30" customWidth="1"/>
    <col min="8972" max="8972" width="9.7265625" style="30" customWidth="1"/>
    <col min="8973" max="8973" width="11.26953125" style="30" customWidth="1"/>
    <col min="8974" max="8974" width="11.453125" style="30"/>
    <col min="8975" max="8975" width="17" style="30" customWidth="1"/>
    <col min="8976" max="8976" width="11.26953125" style="30" customWidth="1"/>
    <col min="8977" max="8977" width="16.81640625" style="30" customWidth="1"/>
    <col min="8978" max="8978" width="8.81640625" style="30" customWidth="1"/>
    <col min="8979" max="8979" width="15.453125" style="30" customWidth="1"/>
    <col min="8980" max="8980" width="61.26953125" style="30" customWidth="1"/>
    <col min="8981" max="8981" width="17.81640625" style="30" customWidth="1"/>
    <col min="8982" max="8982" width="21.1796875" style="30" customWidth="1"/>
    <col min="8983" max="8983" width="36.26953125" style="30" customWidth="1"/>
    <col min="8984" max="8984" width="13.81640625" style="30" customWidth="1"/>
    <col min="8985" max="8985" width="17.26953125" style="30" customWidth="1"/>
    <col min="8986" max="8986" width="36.81640625" style="30" customWidth="1"/>
    <col min="8987" max="8987" width="41.81640625" style="30" customWidth="1"/>
    <col min="8988" max="9218" width="11.453125" style="30"/>
    <col min="9219" max="9219" width="30.26953125" style="30" customWidth="1"/>
    <col min="9220" max="9220" width="35.7265625" style="30" customWidth="1"/>
    <col min="9221" max="9221" width="30.7265625" style="30" customWidth="1"/>
    <col min="9222" max="9222" width="13.54296875" style="30" customWidth="1"/>
    <col min="9223" max="9223" width="10" style="30" customWidth="1"/>
    <col min="9224" max="9224" width="10.81640625" style="30" customWidth="1"/>
    <col min="9225" max="9225" width="12.1796875" style="30" customWidth="1"/>
    <col min="9226" max="9226" width="14.26953125" style="30" customWidth="1"/>
    <col min="9227" max="9227" width="8.7265625" style="30" customWidth="1"/>
    <col min="9228" max="9228" width="9.7265625" style="30" customWidth="1"/>
    <col min="9229" max="9229" width="11.26953125" style="30" customWidth="1"/>
    <col min="9230" max="9230" width="11.453125" style="30"/>
    <col min="9231" max="9231" width="17" style="30" customWidth="1"/>
    <col min="9232" max="9232" width="11.26953125" style="30" customWidth="1"/>
    <col min="9233" max="9233" width="16.81640625" style="30" customWidth="1"/>
    <col min="9234" max="9234" width="8.81640625" style="30" customWidth="1"/>
    <col min="9235" max="9235" width="15.453125" style="30" customWidth="1"/>
    <col min="9236" max="9236" width="61.26953125" style="30" customWidth="1"/>
    <col min="9237" max="9237" width="17.81640625" style="30" customWidth="1"/>
    <col min="9238" max="9238" width="21.1796875" style="30" customWidth="1"/>
    <col min="9239" max="9239" width="36.26953125" style="30" customWidth="1"/>
    <col min="9240" max="9240" width="13.81640625" style="30" customWidth="1"/>
    <col min="9241" max="9241" width="17.26953125" style="30" customWidth="1"/>
    <col min="9242" max="9242" width="36.81640625" style="30" customWidth="1"/>
    <col min="9243" max="9243" width="41.81640625" style="30" customWidth="1"/>
    <col min="9244" max="9474" width="11.453125" style="30"/>
    <col min="9475" max="9475" width="30.26953125" style="30" customWidth="1"/>
    <col min="9476" max="9476" width="35.7265625" style="30" customWidth="1"/>
    <col min="9477" max="9477" width="30.7265625" style="30" customWidth="1"/>
    <col min="9478" max="9478" width="13.54296875" style="30" customWidth="1"/>
    <col min="9479" max="9479" width="10" style="30" customWidth="1"/>
    <col min="9480" max="9480" width="10.81640625" style="30" customWidth="1"/>
    <col min="9481" max="9481" width="12.1796875" style="30" customWidth="1"/>
    <col min="9482" max="9482" width="14.26953125" style="30" customWidth="1"/>
    <col min="9483" max="9483" width="8.7265625" style="30" customWidth="1"/>
    <col min="9484" max="9484" width="9.7265625" style="30" customWidth="1"/>
    <col min="9485" max="9485" width="11.26953125" style="30" customWidth="1"/>
    <col min="9486" max="9486" width="11.453125" style="30"/>
    <col min="9487" max="9487" width="17" style="30" customWidth="1"/>
    <col min="9488" max="9488" width="11.26953125" style="30" customWidth="1"/>
    <col min="9489" max="9489" width="16.81640625" style="30" customWidth="1"/>
    <col min="9490" max="9490" width="8.81640625" style="30" customWidth="1"/>
    <col min="9491" max="9491" width="15.453125" style="30" customWidth="1"/>
    <col min="9492" max="9492" width="61.26953125" style="30" customWidth="1"/>
    <col min="9493" max="9493" width="17.81640625" style="30" customWidth="1"/>
    <col min="9494" max="9494" width="21.1796875" style="30" customWidth="1"/>
    <col min="9495" max="9495" width="36.26953125" style="30" customWidth="1"/>
    <col min="9496" max="9496" width="13.81640625" style="30" customWidth="1"/>
    <col min="9497" max="9497" width="17.26953125" style="30" customWidth="1"/>
    <col min="9498" max="9498" width="36.81640625" style="30" customWidth="1"/>
    <col min="9499" max="9499" width="41.81640625" style="30" customWidth="1"/>
    <col min="9500" max="9730" width="11.453125" style="30"/>
    <col min="9731" max="9731" width="30.26953125" style="30" customWidth="1"/>
    <col min="9732" max="9732" width="35.7265625" style="30" customWidth="1"/>
    <col min="9733" max="9733" width="30.7265625" style="30" customWidth="1"/>
    <col min="9734" max="9734" width="13.54296875" style="30" customWidth="1"/>
    <col min="9735" max="9735" width="10" style="30" customWidth="1"/>
    <col min="9736" max="9736" width="10.81640625" style="30" customWidth="1"/>
    <col min="9737" max="9737" width="12.1796875" style="30" customWidth="1"/>
    <col min="9738" max="9738" width="14.26953125" style="30" customWidth="1"/>
    <col min="9739" max="9739" width="8.7265625" style="30" customWidth="1"/>
    <col min="9740" max="9740" width="9.7265625" style="30" customWidth="1"/>
    <col min="9741" max="9741" width="11.26953125" style="30" customWidth="1"/>
    <col min="9742" max="9742" width="11.453125" style="30"/>
    <col min="9743" max="9743" width="17" style="30" customWidth="1"/>
    <col min="9744" max="9744" width="11.26953125" style="30" customWidth="1"/>
    <col min="9745" max="9745" width="16.81640625" style="30" customWidth="1"/>
    <col min="9746" max="9746" width="8.81640625" style="30" customWidth="1"/>
    <col min="9747" max="9747" width="15.453125" style="30" customWidth="1"/>
    <col min="9748" max="9748" width="61.26953125" style="30" customWidth="1"/>
    <col min="9749" max="9749" width="17.81640625" style="30" customWidth="1"/>
    <col min="9750" max="9750" width="21.1796875" style="30" customWidth="1"/>
    <col min="9751" max="9751" width="36.26953125" style="30" customWidth="1"/>
    <col min="9752" max="9752" width="13.81640625" style="30" customWidth="1"/>
    <col min="9753" max="9753" width="17.26953125" style="30" customWidth="1"/>
    <col min="9754" max="9754" width="36.81640625" style="30" customWidth="1"/>
    <col min="9755" max="9755" width="41.81640625" style="30" customWidth="1"/>
    <col min="9756" max="9986" width="11.453125" style="30"/>
    <col min="9987" max="9987" width="30.26953125" style="30" customWidth="1"/>
    <col min="9988" max="9988" width="35.7265625" style="30" customWidth="1"/>
    <col min="9989" max="9989" width="30.7265625" style="30" customWidth="1"/>
    <col min="9990" max="9990" width="13.54296875" style="30" customWidth="1"/>
    <col min="9991" max="9991" width="10" style="30" customWidth="1"/>
    <col min="9992" max="9992" width="10.81640625" style="30" customWidth="1"/>
    <col min="9993" max="9993" width="12.1796875" style="30" customWidth="1"/>
    <col min="9994" max="9994" width="14.26953125" style="30" customWidth="1"/>
    <col min="9995" max="9995" width="8.7265625" style="30" customWidth="1"/>
    <col min="9996" max="9996" width="9.7265625" style="30" customWidth="1"/>
    <col min="9997" max="9997" width="11.26953125" style="30" customWidth="1"/>
    <col min="9998" max="9998" width="11.453125" style="30"/>
    <col min="9999" max="9999" width="17" style="30" customWidth="1"/>
    <col min="10000" max="10000" width="11.26953125" style="30" customWidth="1"/>
    <col min="10001" max="10001" width="16.81640625" style="30" customWidth="1"/>
    <col min="10002" max="10002" width="8.81640625" style="30" customWidth="1"/>
    <col min="10003" max="10003" width="15.453125" style="30" customWidth="1"/>
    <col min="10004" max="10004" width="61.26953125" style="30" customWidth="1"/>
    <col min="10005" max="10005" width="17.81640625" style="30" customWidth="1"/>
    <col min="10006" max="10006" width="21.1796875" style="30" customWidth="1"/>
    <col min="10007" max="10007" width="36.26953125" style="30" customWidth="1"/>
    <col min="10008" max="10008" width="13.81640625" style="30" customWidth="1"/>
    <col min="10009" max="10009" width="17.26953125" style="30" customWidth="1"/>
    <col min="10010" max="10010" width="36.81640625" style="30" customWidth="1"/>
    <col min="10011" max="10011" width="41.81640625" style="30" customWidth="1"/>
    <col min="10012" max="10242" width="11.453125" style="30"/>
    <col min="10243" max="10243" width="30.26953125" style="30" customWidth="1"/>
    <col min="10244" max="10244" width="35.7265625" style="30" customWidth="1"/>
    <col min="10245" max="10245" width="30.7265625" style="30" customWidth="1"/>
    <col min="10246" max="10246" width="13.54296875" style="30" customWidth="1"/>
    <col min="10247" max="10247" width="10" style="30" customWidth="1"/>
    <col min="10248" max="10248" width="10.81640625" style="30" customWidth="1"/>
    <col min="10249" max="10249" width="12.1796875" style="30" customWidth="1"/>
    <col min="10250" max="10250" width="14.26953125" style="30" customWidth="1"/>
    <col min="10251" max="10251" width="8.7265625" style="30" customWidth="1"/>
    <col min="10252" max="10252" width="9.7265625" style="30" customWidth="1"/>
    <col min="10253" max="10253" width="11.26953125" style="30" customWidth="1"/>
    <col min="10254" max="10254" width="11.453125" style="30"/>
    <col min="10255" max="10255" width="17" style="30" customWidth="1"/>
    <col min="10256" max="10256" width="11.26953125" style="30" customWidth="1"/>
    <col min="10257" max="10257" width="16.81640625" style="30" customWidth="1"/>
    <col min="10258" max="10258" width="8.81640625" style="30" customWidth="1"/>
    <col min="10259" max="10259" width="15.453125" style="30" customWidth="1"/>
    <col min="10260" max="10260" width="61.26953125" style="30" customWidth="1"/>
    <col min="10261" max="10261" width="17.81640625" style="30" customWidth="1"/>
    <col min="10262" max="10262" width="21.1796875" style="30" customWidth="1"/>
    <col min="10263" max="10263" width="36.26953125" style="30" customWidth="1"/>
    <col min="10264" max="10264" width="13.81640625" style="30" customWidth="1"/>
    <col min="10265" max="10265" width="17.26953125" style="30" customWidth="1"/>
    <col min="10266" max="10266" width="36.81640625" style="30" customWidth="1"/>
    <col min="10267" max="10267" width="41.81640625" style="30" customWidth="1"/>
    <col min="10268" max="10498" width="11.453125" style="30"/>
    <col min="10499" max="10499" width="30.26953125" style="30" customWidth="1"/>
    <col min="10500" max="10500" width="35.7265625" style="30" customWidth="1"/>
    <col min="10501" max="10501" width="30.7265625" style="30" customWidth="1"/>
    <col min="10502" max="10502" width="13.54296875" style="30" customWidth="1"/>
    <col min="10503" max="10503" width="10" style="30" customWidth="1"/>
    <col min="10504" max="10504" width="10.81640625" style="30" customWidth="1"/>
    <col min="10505" max="10505" width="12.1796875" style="30" customWidth="1"/>
    <col min="10506" max="10506" width="14.26953125" style="30" customWidth="1"/>
    <col min="10507" max="10507" width="8.7265625" style="30" customWidth="1"/>
    <col min="10508" max="10508" width="9.7265625" style="30" customWidth="1"/>
    <col min="10509" max="10509" width="11.26953125" style="30" customWidth="1"/>
    <col min="10510" max="10510" width="11.453125" style="30"/>
    <col min="10511" max="10511" width="17" style="30" customWidth="1"/>
    <col min="10512" max="10512" width="11.26953125" style="30" customWidth="1"/>
    <col min="10513" max="10513" width="16.81640625" style="30" customWidth="1"/>
    <col min="10514" max="10514" width="8.81640625" style="30" customWidth="1"/>
    <col min="10515" max="10515" width="15.453125" style="30" customWidth="1"/>
    <col min="10516" max="10516" width="61.26953125" style="30" customWidth="1"/>
    <col min="10517" max="10517" width="17.81640625" style="30" customWidth="1"/>
    <col min="10518" max="10518" width="21.1796875" style="30" customWidth="1"/>
    <col min="10519" max="10519" width="36.26953125" style="30" customWidth="1"/>
    <col min="10520" max="10520" width="13.81640625" style="30" customWidth="1"/>
    <col min="10521" max="10521" width="17.26953125" style="30" customWidth="1"/>
    <col min="10522" max="10522" width="36.81640625" style="30" customWidth="1"/>
    <col min="10523" max="10523" width="41.81640625" style="30" customWidth="1"/>
    <col min="10524" max="10754" width="11.453125" style="30"/>
    <col min="10755" max="10755" width="30.26953125" style="30" customWidth="1"/>
    <col min="10756" max="10756" width="35.7265625" style="30" customWidth="1"/>
    <col min="10757" max="10757" width="30.7265625" style="30" customWidth="1"/>
    <col min="10758" max="10758" width="13.54296875" style="30" customWidth="1"/>
    <col min="10759" max="10759" width="10" style="30" customWidth="1"/>
    <col min="10760" max="10760" width="10.81640625" style="30" customWidth="1"/>
    <col min="10761" max="10761" width="12.1796875" style="30" customWidth="1"/>
    <col min="10762" max="10762" width="14.26953125" style="30" customWidth="1"/>
    <col min="10763" max="10763" width="8.7265625" style="30" customWidth="1"/>
    <col min="10764" max="10764" width="9.7265625" style="30" customWidth="1"/>
    <col min="10765" max="10765" width="11.26953125" style="30" customWidth="1"/>
    <col min="10766" max="10766" width="11.453125" style="30"/>
    <col min="10767" max="10767" width="17" style="30" customWidth="1"/>
    <col min="10768" max="10768" width="11.26953125" style="30" customWidth="1"/>
    <col min="10769" max="10769" width="16.81640625" style="30" customWidth="1"/>
    <col min="10770" max="10770" width="8.81640625" style="30" customWidth="1"/>
    <col min="10771" max="10771" width="15.453125" style="30" customWidth="1"/>
    <col min="10772" max="10772" width="61.26953125" style="30" customWidth="1"/>
    <col min="10773" max="10773" width="17.81640625" style="30" customWidth="1"/>
    <col min="10774" max="10774" width="21.1796875" style="30" customWidth="1"/>
    <col min="10775" max="10775" width="36.26953125" style="30" customWidth="1"/>
    <col min="10776" max="10776" width="13.81640625" style="30" customWidth="1"/>
    <col min="10777" max="10777" width="17.26953125" style="30" customWidth="1"/>
    <col min="10778" max="10778" width="36.81640625" style="30" customWidth="1"/>
    <col min="10779" max="10779" width="41.81640625" style="30" customWidth="1"/>
    <col min="10780" max="11010" width="11.453125" style="30"/>
    <col min="11011" max="11011" width="30.26953125" style="30" customWidth="1"/>
    <col min="11012" max="11012" width="35.7265625" style="30" customWidth="1"/>
    <col min="11013" max="11013" width="30.7265625" style="30" customWidth="1"/>
    <col min="11014" max="11014" width="13.54296875" style="30" customWidth="1"/>
    <col min="11015" max="11015" width="10" style="30" customWidth="1"/>
    <col min="11016" max="11016" width="10.81640625" style="30" customWidth="1"/>
    <col min="11017" max="11017" width="12.1796875" style="30" customWidth="1"/>
    <col min="11018" max="11018" width="14.26953125" style="30" customWidth="1"/>
    <col min="11019" max="11019" width="8.7265625" style="30" customWidth="1"/>
    <col min="11020" max="11020" width="9.7265625" style="30" customWidth="1"/>
    <col min="11021" max="11021" width="11.26953125" style="30" customWidth="1"/>
    <col min="11022" max="11022" width="11.453125" style="30"/>
    <col min="11023" max="11023" width="17" style="30" customWidth="1"/>
    <col min="11024" max="11024" width="11.26953125" style="30" customWidth="1"/>
    <col min="11025" max="11025" width="16.81640625" style="30" customWidth="1"/>
    <col min="11026" max="11026" width="8.81640625" style="30" customWidth="1"/>
    <col min="11027" max="11027" width="15.453125" style="30" customWidth="1"/>
    <col min="11028" max="11028" width="61.26953125" style="30" customWidth="1"/>
    <col min="11029" max="11029" width="17.81640625" style="30" customWidth="1"/>
    <col min="11030" max="11030" width="21.1796875" style="30" customWidth="1"/>
    <col min="11031" max="11031" width="36.26953125" style="30" customWidth="1"/>
    <col min="11032" max="11032" width="13.81640625" style="30" customWidth="1"/>
    <col min="11033" max="11033" width="17.26953125" style="30" customWidth="1"/>
    <col min="11034" max="11034" width="36.81640625" style="30" customWidth="1"/>
    <col min="11035" max="11035" width="41.81640625" style="30" customWidth="1"/>
    <col min="11036" max="11266" width="11.453125" style="30"/>
    <col min="11267" max="11267" width="30.26953125" style="30" customWidth="1"/>
    <col min="11268" max="11268" width="35.7265625" style="30" customWidth="1"/>
    <col min="11269" max="11269" width="30.7265625" style="30" customWidth="1"/>
    <col min="11270" max="11270" width="13.54296875" style="30" customWidth="1"/>
    <col min="11271" max="11271" width="10" style="30" customWidth="1"/>
    <col min="11272" max="11272" width="10.81640625" style="30" customWidth="1"/>
    <col min="11273" max="11273" width="12.1796875" style="30" customWidth="1"/>
    <col min="11274" max="11274" width="14.26953125" style="30" customWidth="1"/>
    <col min="11275" max="11275" width="8.7265625" style="30" customWidth="1"/>
    <col min="11276" max="11276" width="9.7265625" style="30" customWidth="1"/>
    <col min="11277" max="11277" width="11.26953125" style="30" customWidth="1"/>
    <col min="11278" max="11278" width="11.453125" style="30"/>
    <col min="11279" max="11279" width="17" style="30" customWidth="1"/>
    <col min="11280" max="11280" width="11.26953125" style="30" customWidth="1"/>
    <col min="11281" max="11281" width="16.81640625" style="30" customWidth="1"/>
    <col min="11282" max="11282" width="8.81640625" style="30" customWidth="1"/>
    <col min="11283" max="11283" width="15.453125" style="30" customWidth="1"/>
    <col min="11284" max="11284" width="61.26953125" style="30" customWidth="1"/>
    <col min="11285" max="11285" width="17.81640625" style="30" customWidth="1"/>
    <col min="11286" max="11286" width="21.1796875" style="30" customWidth="1"/>
    <col min="11287" max="11287" width="36.26953125" style="30" customWidth="1"/>
    <col min="11288" max="11288" width="13.81640625" style="30" customWidth="1"/>
    <col min="11289" max="11289" width="17.26953125" style="30" customWidth="1"/>
    <col min="11290" max="11290" width="36.81640625" style="30" customWidth="1"/>
    <col min="11291" max="11291" width="41.81640625" style="30" customWidth="1"/>
    <col min="11292" max="11522" width="11.453125" style="30"/>
    <col min="11523" max="11523" width="30.26953125" style="30" customWidth="1"/>
    <col min="11524" max="11524" width="35.7265625" style="30" customWidth="1"/>
    <col min="11525" max="11525" width="30.7265625" style="30" customWidth="1"/>
    <col min="11526" max="11526" width="13.54296875" style="30" customWidth="1"/>
    <col min="11527" max="11527" width="10" style="30" customWidth="1"/>
    <col min="11528" max="11528" width="10.81640625" style="30" customWidth="1"/>
    <col min="11529" max="11529" width="12.1796875" style="30" customWidth="1"/>
    <col min="11530" max="11530" width="14.26953125" style="30" customWidth="1"/>
    <col min="11531" max="11531" width="8.7265625" style="30" customWidth="1"/>
    <col min="11532" max="11532" width="9.7265625" style="30" customWidth="1"/>
    <col min="11533" max="11533" width="11.26953125" style="30" customWidth="1"/>
    <col min="11534" max="11534" width="11.453125" style="30"/>
    <col min="11535" max="11535" width="17" style="30" customWidth="1"/>
    <col min="11536" max="11536" width="11.26953125" style="30" customWidth="1"/>
    <col min="11537" max="11537" width="16.81640625" style="30" customWidth="1"/>
    <col min="11538" max="11538" width="8.81640625" style="30" customWidth="1"/>
    <col min="11539" max="11539" width="15.453125" style="30" customWidth="1"/>
    <col min="11540" max="11540" width="61.26953125" style="30" customWidth="1"/>
    <col min="11541" max="11541" width="17.81640625" style="30" customWidth="1"/>
    <col min="11542" max="11542" width="21.1796875" style="30" customWidth="1"/>
    <col min="11543" max="11543" width="36.26953125" style="30" customWidth="1"/>
    <col min="11544" max="11544" width="13.81640625" style="30" customWidth="1"/>
    <col min="11545" max="11545" width="17.26953125" style="30" customWidth="1"/>
    <col min="11546" max="11546" width="36.81640625" style="30" customWidth="1"/>
    <col min="11547" max="11547" width="41.81640625" style="30" customWidth="1"/>
    <col min="11548" max="11778" width="11.453125" style="30"/>
    <col min="11779" max="11779" width="30.26953125" style="30" customWidth="1"/>
    <col min="11780" max="11780" width="35.7265625" style="30" customWidth="1"/>
    <col min="11781" max="11781" width="30.7265625" style="30" customWidth="1"/>
    <col min="11782" max="11782" width="13.54296875" style="30" customWidth="1"/>
    <col min="11783" max="11783" width="10" style="30" customWidth="1"/>
    <col min="11784" max="11784" width="10.81640625" style="30" customWidth="1"/>
    <col min="11785" max="11785" width="12.1796875" style="30" customWidth="1"/>
    <col min="11786" max="11786" width="14.26953125" style="30" customWidth="1"/>
    <col min="11787" max="11787" width="8.7265625" style="30" customWidth="1"/>
    <col min="11788" max="11788" width="9.7265625" style="30" customWidth="1"/>
    <col min="11789" max="11789" width="11.26953125" style="30" customWidth="1"/>
    <col min="11790" max="11790" width="11.453125" style="30"/>
    <col min="11791" max="11791" width="17" style="30" customWidth="1"/>
    <col min="11792" max="11792" width="11.26953125" style="30" customWidth="1"/>
    <col min="11793" max="11793" width="16.81640625" style="30" customWidth="1"/>
    <col min="11794" max="11794" width="8.81640625" style="30" customWidth="1"/>
    <col min="11795" max="11795" width="15.453125" style="30" customWidth="1"/>
    <col min="11796" max="11796" width="61.26953125" style="30" customWidth="1"/>
    <col min="11797" max="11797" width="17.81640625" style="30" customWidth="1"/>
    <col min="11798" max="11798" width="21.1796875" style="30" customWidth="1"/>
    <col min="11799" max="11799" width="36.26953125" style="30" customWidth="1"/>
    <col min="11800" max="11800" width="13.81640625" style="30" customWidth="1"/>
    <col min="11801" max="11801" width="17.26953125" style="30" customWidth="1"/>
    <col min="11802" max="11802" width="36.81640625" style="30" customWidth="1"/>
    <col min="11803" max="11803" width="41.81640625" style="30" customWidth="1"/>
    <col min="11804" max="12034" width="11.453125" style="30"/>
    <col min="12035" max="12035" width="30.26953125" style="30" customWidth="1"/>
    <col min="12036" max="12036" width="35.7265625" style="30" customWidth="1"/>
    <col min="12037" max="12037" width="30.7265625" style="30" customWidth="1"/>
    <col min="12038" max="12038" width="13.54296875" style="30" customWidth="1"/>
    <col min="12039" max="12039" width="10" style="30" customWidth="1"/>
    <col min="12040" max="12040" width="10.81640625" style="30" customWidth="1"/>
    <col min="12041" max="12041" width="12.1796875" style="30" customWidth="1"/>
    <col min="12042" max="12042" width="14.26953125" style="30" customWidth="1"/>
    <col min="12043" max="12043" width="8.7265625" style="30" customWidth="1"/>
    <col min="12044" max="12044" width="9.7265625" style="30" customWidth="1"/>
    <col min="12045" max="12045" width="11.26953125" style="30" customWidth="1"/>
    <col min="12046" max="12046" width="11.453125" style="30"/>
    <col min="12047" max="12047" width="17" style="30" customWidth="1"/>
    <col min="12048" max="12048" width="11.26953125" style="30" customWidth="1"/>
    <col min="12049" max="12049" width="16.81640625" style="30" customWidth="1"/>
    <col min="12050" max="12050" width="8.81640625" style="30" customWidth="1"/>
    <col min="12051" max="12051" width="15.453125" style="30" customWidth="1"/>
    <col min="12052" max="12052" width="61.26953125" style="30" customWidth="1"/>
    <col min="12053" max="12053" width="17.81640625" style="30" customWidth="1"/>
    <col min="12054" max="12054" width="21.1796875" style="30" customWidth="1"/>
    <col min="12055" max="12055" width="36.26953125" style="30" customWidth="1"/>
    <col min="12056" max="12056" width="13.81640625" style="30" customWidth="1"/>
    <col min="12057" max="12057" width="17.26953125" style="30" customWidth="1"/>
    <col min="12058" max="12058" width="36.81640625" style="30" customWidth="1"/>
    <col min="12059" max="12059" width="41.81640625" style="30" customWidth="1"/>
    <col min="12060" max="12290" width="11.453125" style="30"/>
    <col min="12291" max="12291" width="30.26953125" style="30" customWidth="1"/>
    <col min="12292" max="12292" width="35.7265625" style="30" customWidth="1"/>
    <col min="12293" max="12293" width="30.7265625" style="30" customWidth="1"/>
    <col min="12294" max="12294" width="13.54296875" style="30" customWidth="1"/>
    <col min="12295" max="12295" width="10" style="30" customWidth="1"/>
    <col min="12296" max="12296" width="10.81640625" style="30" customWidth="1"/>
    <col min="12297" max="12297" width="12.1796875" style="30" customWidth="1"/>
    <col min="12298" max="12298" width="14.26953125" style="30" customWidth="1"/>
    <col min="12299" max="12299" width="8.7265625" style="30" customWidth="1"/>
    <col min="12300" max="12300" width="9.7265625" style="30" customWidth="1"/>
    <col min="12301" max="12301" width="11.26953125" style="30" customWidth="1"/>
    <col min="12302" max="12302" width="11.453125" style="30"/>
    <col min="12303" max="12303" width="17" style="30" customWidth="1"/>
    <col min="12304" max="12304" width="11.26953125" style="30" customWidth="1"/>
    <col min="12305" max="12305" width="16.81640625" style="30" customWidth="1"/>
    <col min="12306" max="12306" width="8.81640625" style="30" customWidth="1"/>
    <col min="12307" max="12307" width="15.453125" style="30" customWidth="1"/>
    <col min="12308" max="12308" width="61.26953125" style="30" customWidth="1"/>
    <col min="12309" max="12309" width="17.81640625" style="30" customWidth="1"/>
    <col min="12310" max="12310" width="21.1796875" style="30" customWidth="1"/>
    <col min="12311" max="12311" width="36.26953125" style="30" customWidth="1"/>
    <col min="12312" max="12312" width="13.81640625" style="30" customWidth="1"/>
    <col min="12313" max="12313" width="17.26953125" style="30" customWidth="1"/>
    <col min="12314" max="12314" width="36.81640625" style="30" customWidth="1"/>
    <col min="12315" max="12315" width="41.81640625" style="30" customWidth="1"/>
    <col min="12316" max="12546" width="11.453125" style="30"/>
    <col min="12547" max="12547" width="30.26953125" style="30" customWidth="1"/>
    <col min="12548" max="12548" width="35.7265625" style="30" customWidth="1"/>
    <col min="12549" max="12549" width="30.7265625" style="30" customWidth="1"/>
    <col min="12550" max="12550" width="13.54296875" style="30" customWidth="1"/>
    <col min="12551" max="12551" width="10" style="30" customWidth="1"/>
    <col min="12552" max="12552" width="10.81640625" style="30" customWidth="1"/>
    <col min="12553" max="12553" width="12.1796875" style="30" customWidth="1"/>
    <col min="12554" max="12554" width="14.26953125" style="30" customWidth="1"/>
    <col min="12555" max="12555" width="8.7265625" style="30" customWidth="1"/>
    <col min="12556" max="12556" width="9.7265625" style="30" customWidth="1"/>
    <col min="12557" max="12557" width="11.26953125" style="30" customWidth="1"/>
    <col min="12558" max="12558" width="11.453125" style="30"/>
    <col min="12559" max="12559" width="17" style="30" customWidth="1"/>
    <col min="12560" max="12560" width="11.26953125" style="30" customWidth="1"/>
    <col min="12561" max="12561" width="16.81640625" style="30" customWidth="1"/>
    <col min="12562" max="12562" width="8.81640625" style="30" customWidth="1"/>
    <col min="12563" max="12563" width="15.453125" style="30" customWidth="1"/>
    <col min="12564" max="12564" width="61.26953125" style="30" customWidth="1"/>
    <col min="12565" max="12565" width="17.81640625" style="30" customWidth="1"/>
    <col min="12566" max="12566" width="21.1796875" style="30" customWidth="1"/>
    <col min="12567" max="12567" width="36.26953125" style="30" customWidth="1"/>
    <col min="12568" max="12568" width="13.81640625" style="30" customWidth="1"/>
    <col min="12569" max="12569" width="17.26953125" style="30" customWidth="1"/>
    <col min="12570" max="12570" width="36.81640625" style="30" customWidth="1"/>
    <col min="12571" max="12571" width="41.81640625" style="30" customWidth="1"/>
    <col min="12572" max="12802" width="11.453125" style="30"/>
    <col min="12803" max="12803" width="30.26953125" style="30" customWidth="1"/>
    <col min="12804" max="12804" width="35.7265625" style="30" customWidth="1"/>
    <col min="12805" max="12805" width="30.7265625" style="30" customWidth="1"/>
    <col min="12806" max="12806" width="13.54296875" style="30" customWidth="1"/>
    <col min="12807" max="12807" width="10" style="30" customWidth="1"/>
    <col min="12808" max="12808" width="10.81640625" style="30" customWidth="1"/>
    <col min="12809" max="12809" width="12.1796875" style="30" customWidth="1"/>
    <col min="12810" max="12810" width="14.26953125" style="30" customWidth="1"/>
    <col min="12811" max="12811" width="8.7265625" style="30" customWidth="1"/>
    <col min="12812" max="12812" width="9.7265625" style="30" customWidth="1"/>
    <col min="12813" max="12813" width="11.26953125" style="30" customWidth="1"/>
    <col min="12814" max="12814" width="11.453125" style="30"/>
    <col min="12815" max="12815" width="17" style="30" customWidth="1"/>
    <col min="12816" max="12816" width="11.26953125" style="30" customWidth="1"/>
    <col min="12817" max="12817" width="16.81640625" style="30" customWidth="1"/>
    <col min="12818" max="12818" width="8.81640625" style="30" customWidth="1"/>
    <col min="12819" max="12819" width="15.453125" style="30" customWidth="1"/>
    <col min="12820" max="12820" width="61.26953125" style="30" customWidth="1"/>
    <col min="12821" max="12821" width="17.81640625" style="30" customWidth="1"/>
    <col min="12822" max="12822" width="21.1796875" style="30" customWidth="1"/>
    <col min="12823" max="12823" width="36.26953125" style="30" customWidth="1"/>
    <col min="12824" max="12824" width="13.81640625" style="30" customWidth="1"/>
    <col min="12825" max="12825" width="17.26953125" style="30" customWidth="1"/>
    <col min="12826" max="12826" width="36.81640625" style="30" customWidth="1"/>
    <col min="12827" max="12827" width="41.81640625" style="30" customWidth="1"/>
    <col min="12828" max="13058" width="11.453125" style="30"/>
    <col min="13059" max="13059" width="30.26953125" style="30" customWidth="1"/>
    <col min="13060" max="13060" width="35.7265625" style="30" customWidth="1"/>
    <col min="13061" max="13061" width="30.7265625" style="30" customWidth="1"/>
    <col min="13062" max="13062" width="13.54296875" style="30" customWidth="1"/>
    <col min="13063" max="13063" width="10" style="30" customWidth="1"/>
    <col min="13064" max="13064" width="10.81640625" style="30" customWidth="1"/>
    <col min="13065" max="13065" width="12.1796875" style="30" customWidth="1"/>
    <col min="13066" max="13066" width="14.26953125" style="30" customWidth="1"/>
    <col min="13067" max="13067" width="8.7265625" style="30" customWidth="1"/>
    <col min="13068" max="13068" width="9.7265625" style="30" customWidth="1"/>
    <col min="13069" max="13069" width="11.26953125" style="30" customWidth="1"/>
    <col min="13070" max="13070" width="11.453125" style="30"/>
    <col min="13071" max="13071" width="17" style="30" customWidth="1"/>
    <col min="13072" max="13072" width="11.26953125" style="30" customWidth="1"/>
    <col min="13073" max="13073" width="16.81640625" style="30" customWidth="1"/>
    <col min="13074" max="13074" width="8.81640625" style="30" customWidth="1"/>
    <col min="13075" max="13075" width="15.453125" style="30" customWidth="1"/>
    <col min="13076" max="13076" width="61.26953125" style="30" customWidth="1"/>
    <col min="13077" max="13077" width="17.81640625" style="30" customWidth="1"/>
    <col min="13078" max="13078" width="21.1796875" style="30" customWidth="1"/>
    <col min="13079" max="13079" width="36.26953125" style="30" customWidth="1"/>
    <col min="13080" max="13080" width="13.81640625" style="30" customWidth="1"/>
    <col min="13081" max="13081" width="17.26953125" style="30" customWidth="1"/>
    <col min="13082" max="13082" width="36.81640625" style="30" customWidth="1"/>
    <col min="13083" max="13083" width="41.81640625" style="30" customWidth="1"/>
    <col min="13084" max="13314" width="11.453125" style="30"/>
    <col min="13315" max="13315" width="30.26953125" style="30" customWidth="1"/>
    <col min="13316" max="13316" width="35.7265625" style="30" customWidth="1"/>
    <col min="13317" max="13317" width="30.7265625" style="30" customWidth="1"/>
    <col min="13318" max="13318" width="13.54296875" style="30" customWidth="1"/>
    <col min="13319" max="13319" width="10" style="30" customWidth="1"/>
    <col min="13320" max="13320" width="10.81640625" style="30" customWidth="1"/>
    <col min="13321" max="13321" width="12.1796875" style="30" customWidth="1"/>
    <col min="13322" max="13322" width="14.26953125" style="30" customWidth="1"/>
    <col min="13323" max="13323" width="8.7265625" style="30" customWidth="1"/>
    <col min="13324" max="13324" width="9.7265625" style="30" customWidth="1"/>
    <col min="13325" max="13325" width="11.26953125" style="30" customWidth="1"/>
    <col min="13326" max="13326" width="11.453125" style="30"/>
    <col min="13327" max="13327" width="17" style="30" customWidth="1"/>
    <col min="13328" max="13328" width="11.26953125" style="30" customWidth="1"/>
    <col min="13329" max="13329" width="16.81640625" style="30" customWidth="1"/>
    <col min="13330" max="13330" width="8.81640625" style="30" customWidth="1"/>
    <col min="13331" max="13331" width="15.453125" style="30" customWidth="1"/>
    <col min="13332" max="13332" width="61.26953125" style="30" customWidth="1"/>
    <col min="13333" max="13333" width="17.81640625" style="30" customWidth="1"/>
    <col min="13334" max="13334" width="21.1796875" style="30" customWidth="1"/>
    <col min="13335" max="13335" width="36.26953125" style="30" customWidth="1"/>
    <col min="13336" max="13336" width="13.81640625" style="30" customWidth="1"/>
    <col min="13337" max="13337" width="17.26953125" style="30" customWidth="1"/>
    <col min="13338" max="13338" width="36.81640625" style="30" customWidth="1"/>
    <col min="13339" max="13339" width="41.81640625" style="30" customWidth="1"/>
    <col min="13340" max="13570" width="11.453125" style="30"/>
    <col min="13571" max="13571" width="30.26953125" style="30" customWidth="1"/>
    <col min="13572" max="13572" width="35.7265625" style="30" customWidth="1"/>
    <col min="13573" max="13573" width="30.7265625" style="30" customWidth="1"/>
    <col min="13574" max="13574" width="13.54296875" style="30" customWidth="1"/>
    <col min="13575" max="13575" width="10" style="30" customWidth="1"/>
    <col min="13576" max="13576" width="10.81640625" style="30" customWidth="1"/>
    <col min="13577" max="13577" width="12.1796875" style="30" customWidth="1"/>
    <col min="13578" max="13578" width="14.26953125" style="30" customWidth="1"/>
    <col min="13579" max="13579" width="8.7265625" style="30" customWidth="1"/>
    <col min="13580" max="13580" width="9.7265625" style="30" customWidth="1"/>
    <col min="13581" max="13581" width="11.26953125" style="30" customWidth="1"/>
    <col min="13582" max="13582" width="11.453125" style="30"/>
    <col min="13583" max="13583" width="17" style="30" customWidth="1"/>
    <col min="13584" max="13584" width="11.26953125" style="30" customWidth="1"/>
    <col min="13585" max="13585" width="16.81640625" style="30" customWidth="1"/>
    <col min="13586" max="13586" width="8.81640625" style="30" customWidth="1"/>
    <col min="13587" max="13587" width="15.453125" style="30" customWidth="1"/>
    <col min="13588" max="13588" width="61.26953125" style="30" customWidth="1"/>
    <col min="13589" max="13589" width="17.81640625" style="30" customWidth="1"/>
    <col min="13590" max="13590" width="21.1796875" style="30" customWidth="1"/>
    <col min="13591" max="13591" width="36.26953125" style="30" customWidth="1"/>
    <col min="13592" max="13592" width="13.81640625" style="30" customWidth="1"/>
    <col min="13593" max="13593" width="17.26953125" style="30" customWidth="1"/>
    <col min="13594" max="13594" width="36.81640625" style="30" customWidth="1"/>
    <col min="13595" max="13595" width="41.81640625" style="30" customWidth="1"/>
    <col min="13596" max="13826" width="11.453125" style="30"/>
    <col min="13827" max="13827" width="30.26953125" style="30" customWidth="1"/>
    <col min="13828" max="13828" width="35.7265625" style="30" customWidth="1"/>
    <col min="13829" max="13829" width="30.7265625" style="30" customWidth="1"/>
    <col min="13830" max="13830" width="13.54296875" style="30" customWidth="1"/>
    <col min="13831" max="13831" width="10" style="30" customWidth="1"/>
    <col min="13832" max="13832" width="10.81640625" style="30" customWidth="1"/>
    <col min="13833" max="13833" width="12.1796875" style="30" customWidth="1"/>
    <col min="13834" max="13834" width="14.26953125" style="30" customWidth="1"/>
    <col min="13835" max="13835" width="8.7265625" style="30" customWidth="1"/>
    <col min="13836" max="13836" width="9.7265625" style="30" customWidth="1"/>
    <col min="13837" max="13837" width="11.26953125" style="30" customWidth="1"/>
    <col min="13838" max="13838" width="11.453125" style="30"/>
    <col min="13839" max="13839" width="17" style="30" customWidth="1"/>
    <col min="13840" max="13840" width="11.26953125" style="30" customWidth="1"/>
    <col min="13841" max="13841" width="16.81640625" style="30" customWidth="1"/>
    <col min="13842" max="13842" width="8.81640625" style="30" customWidth="1"/>
    <col min="13843" max="13843" width="15.453125" style="30" customWidth="1"/>
    <col min="13844" max="13844" width="61.26953125" style="30" customWidth="1"/>
    <col min="13845" max="13845" width="17.81640625" style="30" customWidth="1"/>
    <col min="13846" max="13846" width="21.1796875" style="30" customWidth="1"/>
    <col min="13847" max="13847" width="36.26953125" style="30" customWidth="1"/>
    <col min="13848" max="13848" width="13.81640625" style="30" customWidth="1"/>
    <col min="13849" max="13849" width="17.26953125" style="30" customWidth="1"/>
    <col min="13850" max="13850" width="36.81640625" style="30" customWidth="1"/>
    <col min="13851" max="13851" width="41.81640625" style="30" customWidth="1"/>
    <col min="13852" max="14082" width="11.453125" style="30"/>
    <col min="14083" max="14083" width="30.26953125" style="30" customWidth="1"/>
    <col min="14084" max="14084" width="35.7265625" style="30" customWidth="1"/>
    <col min="14085" max="14085" width="30.7265625" style="30" customWidth="1"/>
    <col min="14086" max="14086" width="13.54296875" style="30" customWidth="1"/>
    <col min="14087" max="14087" width="10" style="30" customWidth="1"/>
    <col min="14088" max="14088" width="10.81640625" style="30" customWidth="1"/>
    <col min="14089" max="14089" width="12.1796875" style="30" customWidth="1"/>
    <col min="14090" max="14090" width="14.26953125" style="30" customWidth="1"/>
    <col min="14091" max="14091" width="8.7265625" style="30" customWidth="1"/>
    <col min="14092" max="14092" width="9.7265625" style="30" customWidth="1"/>
    <col min="14093" max="14093" width="11.26953125" style="30" customWidth="1"/>
    <col min="14094" max="14094" width="11.453125" style="30"/>
    <col min="14095" max="14095" width="17" style="30" customWidth="1"/>
    <col min="14096" max="14096" width="11.26953125" style="30" customWidth="1"/>
    <col min="14097" max="14097" width="16.81640625" style="30" customWidth="1"/>
    <col min="14098" max="14098" width="8.81640625" style="30" customWidth="1"/>
    <col min="14099" max="14099" width="15.453125" style="30" customWidth="1"/>
    <col min="14100" max="14100" width="61.26953125" style="30" customWidth="1"/>
    <col min="14101" max="14101" width="17.81640625" style="30" customWidth="1"/>
    <col min="14102" max="14102" width="21.1796875" style="30" customWidth="1"/>
    <col min="14103" max="14103" width="36.26953125" style="30" customWidth="1"/>
    <col min="14104" max="14104" width="13.81640625" style="30" customWidth="1"/>
    <col min="14105" max="14105" width="17.26953125" style="30" customWidth="1"/>
    <col min="14106" max="14106" width="36.81640625" style="30" customWidth="1"/>
    <col min="14107" max="14107" width="41.81640625" style="30" customWidth="1"/>
    <col min="14108" max="14338" width="11.453125" style="30"/>
    <col min="14339" max="14339" width="30.26953125" style="30" customWidth="1"/>
    <col min="14340" max="14340" width="35.7265625" style="30" customWidth="1"/>
    <col min="14341" max="14341" width="30.7265625" style="30" customWidth="1"/>
    <col min="14342" max="14342" width="13.54296875" style="30" customWidth="1"/>
    <col min="14343" max="14343" width="10" style="30" customWidth="1"/>
    <col min="14344" max="14344" width="10.81640625" style="30" customWidth="1"/>
    <col min="14345" max="14345" width="12.1796875" style="30" customWidth="1"/>
    <col min="14346" max="14346" width="14.26953125" style="30" customWidth="1"/>
    <col min="14347" max="14347" width="8.7265625" style="30" customWidth="1"/>
    <col min="14348" max="14348" width="9.7265625" style="30" customWidth="1"/>
    <col min="14349" max="14349" width="11.26953125" style="30" customWidth="1"/>
    <col min="14350" max="14350" width="11.453125" style="30"/>
    <col min="14351" max="14351" width="17" style="30" customWidth="1"/>
    <col min="14352" max="14352" width="11.26953125" style="30" customWidth="1"/>
    <col min="14353" max="14353" width="16.81640625" style="30" customWidth="1"/>
    <col min="14354" max="14354" width="8.81640625" style="30" customWidth="1"/>
    <col min="14355" max="14355" width="15.453125" style="30" customWidth="1"/>
    <col min="14356" max="14356" width="61.26953125" style="30" customWidth="1"/>
    <col min="14357" max="14357" width="17.81640625" style="30" customWidth="1"/>
    <col min="14358" max="14358" width="21.1796875" style="30" customWidth="1"/>
    <col min="14359" max="14359" width="36.26953125" style="30" customWidth="1"/>
    <col min="14360" max="14360" width="13.81640625" style="30" customWidth="1"/>
    <col min="14361" max="14361" width="17.26953125" style="30" customWidth="1"/>
    <col min="14362" max="14362" width="36.81640625" style="30" customWidth="1"/>
    <col min="14363" max="14363" width="41.81640625" style="30" customWidth="1"/>
    <col min="14364" max="14594" width="11.453125" style="30"/>
    <col min="14595" max="14595" width="30.26953125" style="30" customWidth="1"/>
    <col min="14596" max="14596" width="35.7265625" style="30" customWidth="1"/>
    <col min="14597" max="14597" width="30.7265625" style="30" customWidth="1"/>
    <col min="14598" max="14598" width="13.54296875" style="30" customWidth="1"/>
    <col min="14599" max="14599" width="10" style="30" customWidth="1"/>
    <col min="14600" max="14600" width="10.81640625" style="30" customWidth="1"/>
    <col min="14601" max="14601" width="12.1796875" style="30" customWidth="1"/>
    <col min="14602" max="14602" width="14.26953125" style="30" customWidth="1"/>
    <col min="14603" max="14603" width="8.7265625" style="30" customWidth="1"/>
    <col min="14604" max="14604" width="9.7265625" style="30" customWidth="1"/>
    <col min="14605" max="14605" width="11.26953125" style="30" customWidth="1"/>
    <col min="14606" max="14606" width="11.453125" style="30"/>
    <col min="14607" max="14607" width="17" style="30" customWidth="1"/>
    <col min="14608" max="14608" width="11.26953125" style="30" customWidth="1"/>
    <col min="14609" max="14609" width="16.81640625" style="30" customWidth="1"/>
    <col min="14610" max="14610" width="8.81640625" style="30" customWidth="1"/>
    <col min="14611" max="14611" width="15.453125" style="30" customWidth="1"/>
    <col min="14612" max="14612" width="61.26953125" style="30" customWidth="1"/>
    <col min="14613" max="14613" width="17.81640625" style="30" customWidth="1"/>
    <col min="14614" max="14614" width="21.1796875" style="30" customWidth="1"/>
    <col min="14615" max="14615" width="36.26953125" style="30" customWidth="1"/>
    <col min="14616" max="14616" width="13.81640625" style="30" customWidth="1"/>
    <col min="14617" max="14617" width="17.26953125" style="30" customWidth="1"/>
    <col min="14618" max="14618" width="36.81640625" style="30" customWidth="1"/>
    <col min="14619" max="14619" width="41.81640625" style="30" customWidth="1"/>
    <col min="14620" max="14850" width="11.453125" style="30"/>
    <col min="14851" max="14851" width="30.26953125" style="30" customWidth="1"/>
    <col min="14852" max="14852" width="35.7265625" style="30" customWidth="1"/>
    <col min="14853" max="14853" width="30.7265625" style="30" customWidth="1"/>
    <col min="14854" max="14854" width="13.54296875" style="30" customWidth="1"/>
    <col min="14855" max="14855" width="10" style="30" customWidth="1"/>
    <col min="14856" max="14856" width="10.81640625" style="30" customWidth="1"/>
    <col min="14857" max="14857" width="12.1796875" style="30" customWidth="1"/>
    <col min="14858" max="14858" width="14.26953125" style="30" customWidth="1"/>
    <col min="14859" max="14859" width="8.7265625" style="30" customWidth="1"/>
    <col min="14860" max="14860" width="9.7265625" style="30" customWidth="1"/>
    <col min="14861" max="14861" width="11.26953125" style="30" customWidth="1"/>
    <col min="14862" max="14862" width="11.453125" style="30"/>
    <col min="14863" max="14863" width="17" style="30" customWidth="1"/>
    <col min="14864" max="14864" width="11.26953125" style="30" customWidth="1"/>
    <col min="14865" max="14865" width="16.81640625" style="30" customWidth="1"/>
    <col min="14866" max="14866" width="8.81640625" style="30" customWidth="1"/>
    <col min="14867" max="14867" width="15.453125" style="30" customWidth="1"/>
    <col min="14868" max="14868" width="61.26953125" style="30" customWidth="1"/>
    <col min="14869" max="14869" width="17.81640625" style="30" customWidth="1"/>
    <col min="14870" max="14870" width="21.1796875" style="30" customWidth="1"/>
    <col min="14871" max="14871" width="36.26953125" style="30" customWidth="1"/>
    <col min="14872" max="14872" width="13.81640625" style="30" customWidth="1"/>
    <col min="14873" max="14873" width="17.26953125" style="30" customWidth="1"/>
    <col min="14874" max="14874" width="36.81640625" style="30" customWidth="1"/>
    <col min="14875" max="14875" width="41.81640625" style="30" customWidth="1"/>
    <col min="14876" max="15106" width="11.453125" style="30"/>
    <col min="15107" max="15107" width="30.26953125" style="30" customWidth="1"/>
    <col min="15108" max="15108" width="35.7265625" style="30" customWidth="1"/>
    <col min="15109" max="15109" width="30.7265625" style="30" customWidth="1"/>
    <col min="15110" max="15110" width="13.54296875" style="30" customWidth="1"/>
    <col min="15111" max="15111" width="10" style="30" customWidth="1"/>
    <col min="15112" max="15112" width="10.81640625" style="30" customWidth="1"/>
    <col min="15113" max="15113" width="12.1796875" style="30" customWidth="1"/>
    <col min="15114" max="15114" width="14.26953125" style="30" customWidth="1"/>
    <col min="15115" max="15115" width="8.7265625" style="30" customWidth="1"/>
    <col min="15116" max="15116" width="9.7265625" style="30" customWidth="1"/>
    <col min="15117" max="15117" width="11.26953125" style="30" customWidth="1"/>
    <col min="15118" max="15118" width="11.453125" style="30"/>
    <col min="15119" max="15119" width="17" style="30" customWidth="1"/>
    <col min="15120" max="15120" width="11.26953125" style="30" customWidth="1"/>
    <col min="15121" max="15121" width="16.81640625" style="30" customWidth="1"/>
    <col min="15122" max="15122" width="8.81640625" style="30" customWidth="1"/>
    <col min="15123" max="15123" width="15.453125" style="30" customWidth="1"/>
    <col min="15124" max="15124" width="61.26953125" style="30" customWidth="1"/>
    <col min="15125" max="15125" width="17.81640625" style="30" customWidth="1"/>
    <col min="15126" max="15126" width="21.1796875" style="30" customWidth="1"/>
    <col min="15127" max="15127" width="36.26953125" style="30" customWidth="1"/>
    <col min="15128" max="15128" width="13.81640625" style="30" customWidth="1"/>
    <col min="15129" max="15129" width="17.26953125" style="30" customWidth="1"/>
    <col min="15130" max="15130" width="36.81640625" style="30" customWidth="1"/>
    <col min="15131" max="15131" width="41.81640625" style="30" customWidth="1"/>
    <col min="15132" max="15362" width="11.453125" style="30"/>
    <col min="15363" max="15363" width="30.26953125" style="30" customWidth="1"/>
    <col min="15364" max="15364" width="35.7265625" style="30" customWidth="1"/>
    <col min="15365" max="15365" width="30.7265625" style="30" customWidth="1"/>
    <col min="15366" max="15366" width="13.54296875" style="30" customWidth="1"/>
    <col min="15367" max="15367" width="10" style="30" customWidth="1"/>
    <col min="15368" max="15368" width="10.81640625" style="30" customWidth="1"/>
    <col min="15369" max="15369" width="12.1796875" style="30" customWidth="1"/>
    <col min="15370" max="15370" width="14.26953125" style="30" customWidth="1"/>
    <col min="15371" max="15371" width="8.7265625" style="30" customWidth="1"/>
    <col min="15372" max="15372" width="9.7265625" style="30" customWidth="1"/>
    <col min="15373" max="15373" width="11.26953125" style="30" customWidth="1"/>
    <col min="15374" max="15374" width="11.453125" style="30"/>
    <col min="15375" max="15375" width="17" style="30" customWidth="1"/>
    <col min="15376" max="15376" width="11.26953125" style="30" customWidth="1"/>
    <col min="15377" max="15377" width="16.81640625" style="30" customWidth="1"/>
    <col min="15378" max="15378" width="8.81640625" style="30" customWidth="1"/>
    <col min="15379" max="15379" width="15.453125" style="30" customWidth="1"/>
    <col min="15380" max="15380" width="61.26953125" style="30" customWidth="1"/>
    <col min="15381" max="15381" width="17.81640625" style="30" customWidth="1"/>
    <col min="15382" max="15382" width="21.1796875" style="30" customWidth="1"/>
    <col min="15383" max="15383" width="36.26953125" style="30" customWidth="1"/>
    <col min="15384" max="15384" width="13.81640625" style="30" customWidth="1"/>
    <col min="15385" max="15385" width="17.26953125" style="30" customWidth="1"/>
    <col min="15386" max="15386" width="36.81640625" style="30" customWidth="1"/>
    <col min="15387" max="15387" width="41.81640625" style="30" customWidth="1"/>
    <col min="15388" max="15618" width="11.453125" style="30"/>
    <col min="15619" max="15619" width="30.26953125" style="30" customWidth="1"/>
    <col min="15620" max="15620" width="35.7265625" style="30" customWidth="1"/>
    <col min="15621" max="15621" width="30.7265625" style="30" customWidth="1"/>
    <col min="15622" max="15622" width="13.54296875" style="30" customWidth="1"/>
    <col min="15623" max="15623" width="10" style="30" customWidth="1"/>
    <col min="15624" max="15624" width="10.81640625" style="30" customWidth="1"/>
    <col min="15625" max="15625" width="12.1796875" style="30" customWidth="1"/>
    <col min="15626" max="15626" width="14.26953125" style="30" customWidth="1"/>
    <col min="15627" max="15627" width="8.7265625" style="30" customWidth="1"/>
    <col min="15628" max="15628" width="9.7265625" style="30" customWidth="1"/>
    <col min="15629" max="15629" width="11.26953125" style="30" customWidth="1"/>
    <col min="15630" max="15630" width="11.453125" style="30"/>
    <col min="15631" max="15631" width="17" style="30" customWidth="1"/>
    <col min="15632" max="15632" width="11.26953125" style="30" customWidth="1"/>
    <col min="15633" max="15633" width="16.81640625" style="30" customWidth="1"/>
    <col min="15634" max="15634" width="8.81640625" style="30" customWidth="1"/>
    <col min="15635" max="15635" width="15.453125" style="30" customWidth="1"/>
    <col min="15636" max="15636" width="61.26953125" style="30" customWidth="1"/>
    <col min="15637" max="15637" width="17.81640625" style="30" customWidth="1"/>
    <col min="15638" max="15638" width="21.1796875" style="30" customWidth="1"/>
    <col min="15639" max="15639" width="36.26953125" style="30" customWidth="1"/>
    <col min="15640" max="15640" width="13.81640625" style="30" customWidth="1"/>
    <col min="15641" max="15641" width="17.26953125" style="30" customWidth="1"/>
    <col min="15642" max="15642" width="36.81640625" style="30" customWidth="1"/>
    <col min="15643" max="15643" width="41.81640625" style="30" customWidth="1"/>
    <col min="15644" max="15874" width="11.453125" style="30"/>
    <col min="15875" max="15875" width="30.26953125" style="30" customWidth="1"/>
    <col min="15876" max="15876" width="35.7265625" style="30" customWidth="1"/>
    <col min="15877" max="15877" width="30.7265625" style="30" customWidth="1"/>
    <col min="15878" max="15878" width="13.54296875" style="30" customWidth="1"/>
    <col min="15879" max="15879" width="10" style="30" customWidth="1"/>
    <col min="15880" max="15880" width="10.81640625" style="30" customWidth="1"/>
    <col min="15881" max="15881" width="12.1796875" style="30" customWidth="1"/>
    <col min="15882" max="15882" width="14.26953125" style="30" customWidth="1"/>
    <col min="15883" max="15883" width="8.7265625" style="30" customWidth="1"/>
    <col min="15884" max="15884" width="9.7265625" style="30" customWidth="1"/>
    <col min="15885" max="15885" width="11.26953125" style="30" customWidth="1"/>
    <col min="15886" max="15886" width="11.453125" style="30"/>
    <col min="15887" max="15887" width="17" style="30" customWidth="1"/>
    <col min="15888" max="15888" width="11.26953125" style="30" customWidth="1"/>
    <col min="15889" max="15889" width="16.81640625" style="30" customWidth="1"/>
    <col min="15890" max="15890" width="8.81640625" style="30" customWidth="1"/>
    <col min="15891" max="15891" width="15.453125" style="30" customWidth="1"/>
    <col min="15892" max="15892" width="61.26953125" style="30" customWidth="1"/>
    <col min="15893" max="15893" width="17.81640625" style="30" customWidth="1"/>
    <col min="15894" max="15894" width="21.1796875" style="30" customWidth="1"/>
    <col min="15895" max="15895" width="36.26953125" style="30" customWidth="1"/>
    <col min="15896" max="15896" width="13.81640625" style="30" customWidth="1"/>
    <col min="15897" max="15897" width="17.26953125" style="30" customWidth="1"/>
    <col min="15898" max="15898" width="36.81640625" style="30" customWidth="1"/>
    <col min="15899" max="15899" width="41.81640625" style="30" customWidth="1"/>
    <col min="15900" max="16130" width="11.453125" style="30"/>
    <col min="16131" max="16131" width="30.26953125" style="30" customWidth="1"/>
    <col min="16132" max="16132" width="35.7265625" style="30" customWidth="1"/>
    <col min="16133" max="16133" width="30.7265625" style="30" customWidth="1"/>
    <col min="16134" max="16134" width="13.54296875" style="30" customWidth="1"/>
    <col min="16135" max="16135" width="10" style="30" customWidth="1"/>
    <col min="16136" max="16136" width="10.81640625" style="30" customWidth="1"/>
    <col min="16137" max="16137" width="12.1796875" style="30" customWidth="1"/>
    <col min="16138" max="16138" width="14.26953125" style="30" customWidth="1"/>
    <col min="16139" max="16139" width="8.7265625" style="30" customWidth="1"/>
    <col min="16140" max="16140" width="9.7265625" style="30" customWidth="1"/>
    <col min="16141" max="16141" width="11.26953125" style="30" customWidth="1"/>
    <col min="16142" max="16142" width="11.453125" style="30"/>
    <col min="16143" max="16143" width="17" style="30" customWidth="1"/>
    <col min="16144" max="16144" width="11.26953125" style="30" customWidth="1"/>
    <col min="16145" max="16145" width="16.81640625" style="30" customWidth="1"/>
    <col min="16146" max="16146" width="8.81640625" style="30" customWidth="1"/>
    <col min="16147" max="16147" width="15.453125" style="30" customWidth="1"/>
    <col min="16148" max="16148" width="61.26953125" style="30" customWidth="1"/>
    <col min="16149" max="16149" width="17.81640625" style="30" customWidth="1"/>
    <col min="16150" max="16150" width="21.1796875" style="30" customWidth="1"/>
    <col min="16151" max="16151" width="36.26953125" style="30" customWidth="1"/>
    <col min="16152" max="16152" width="13.81640625" style="30" customWidth="1"/>
    <col min="16153" max="16153" width="17.26953125" style="30" customWidth="1"/>
    <col min="16154" max="16154" width="36.81640625" style="30" customWidth="1"/>
    <col min="16155" max="16155" width="41.81640625" style="30" customWidth="1"/>
    <col min="16156" max="16384" width="11.453125" style="30"/>
  </cols>
  <sheetData>
    <row r="1" spans="1:27" x14ac:dyDescent="0.25">
      <c r="A1" s="28"/>
      <c r="B1" s="29"/>
      <c r="C1" s="3068" t="s">
        <v>1677</v>
      </c>
      <c r="D1" s="3068"/>
      <c r="E1" s="3068"/>
      <c r="F1" s="3068"/>
      <c r="G1" s="3068"/>
      <c r="H1" s="3068"/>
      <c r="I1" s="3068"/>
      <c r="J1" s="29"/>
      <c r="K1" s="29"/>
      <c r="L1" s="29"/>
      <c r="M1" s="29"/>
      <c r="N1" s="29"/>
      <c r="O1" s="1916"/>
    </row>
    <row r="2" spans="1:27" x14ac:dyDescent="0.3">
      <c r="A2" s="2590" t="s">
        <v>23</v>
      </c>
      <c r="B2" s="2591" t="s">
        <v>97</v>
      </c>
      <c r="D2" s="28"/>
      <c r="E2" s="28"/>
      <c r="F2" s="312"/>
      <c r="G2" s="28"/>
      <c r="H2" s="29"/>
      <c r="I2" s="29"/>
      <c r="J2" s="29"/>
      <c r="K2" s="29"/>
      <c r="L2" s="29"/>
      <c r="M2" s="29"/>
      <c r="N2" s="29"/>
      <c r="O2" s="1916"/>
    </row>
    <row r="3" spans="1:27" x14ac:dyDescent="0.25">
      <c r="A3" s="2590" t="s">
        <v>24</v>
      </c>
      <c r="B3" s="2592" t="s">
        <v>98</v>
      </c>
      <c r="D3" s="28"/>
      <c r="E3" s="28"/>
      <c r="F3" s="312"/>
      <c r="G3" s="28"/>
      <c r="H3" s="29"/>
      <c r="I3" s="29"/>
      <c r="J3" s="29"/>
      <c r="K3" s="29"/>
      <c r="L3" s="29"/>
      <c r="M3" s="29"/>
      <c r="N3" s="29"/>
      <c r="O3" s="1916"/>
      <c r="X3" s="2355"/>
      <c r="Z3" s="310">
        <f>222554*100/B7</f>
        <v>14.876603225972847</v>
      </c>
    </row>
    <row r="4" spans="1:27" x14ac:dyDescent="0.25">
      <c r="A4" s="2590" t="s">
        <v>21</v>
      </c>
      <c r="B4" s="275" t="s">
        <v>1538</v>
      </c>
      <c r="D4" s="1835"/>
      <c r="E4" s="1835"/>
      <c r="F4" s="1836"/>
      <c r="G4" s="1835"/>
      <c r="H4" s="1835"/>
      <c r="I4" s="1835"/>
      <c r="J4" s="1835"/>
      <c r="K4" s="1835"/>
      <c r="L4" s="1835"/>
      <c r="M4" s="1835"/>
      <c r="N4" s="1835"/>
      <c r="O4" s="1835"/>
    </row>
    <row r="5" spans="1:27" x14ac:dyDescent="0.25">
      <c r="A5" s="2590" t="s">
        <v>22</v>
      </c>
      <c r="B5" s="2593">
        <f>O89</f>
        <v>1398130.94</v>
      </c>
      <c r="D5" s="1835"/>
      <c r="E5" s="1835"/>
      <c r="F5" s="1836"/>
      <c r="G5" s="1835"/>
      <c r="H5" s="1835"/>
      <c r="I5" s="1835"/>
      <c r="J5" s="1835"/>
      <c r="K5" s="1835"/>
      <c r="L5" s="1835"/>
      <c r="M5" s="1835"/>
      <c r="N5" s="1835"/>
      <c r="O5" s="1835"/>
    </row>
    <row r="6" spans="1:27" ht="26" x14ac:dyDescent="0.25">
      <c r="A6" s="2590" t="s">
        <v>37</v>
      </c>
      <c r="B6" s="2594">
        <f>B5*0.07</f>
        <v>97869.165800000002</v>
      </c>
      <c r="D6" s="1835"/>
      <c r="E6" s="1835"/>
      <c r="F6" s="1836"/>
      <c r="G6" s="1835"/>
      <c r="H6" s="1835"/>
      <c r="I6" s="1835"/>
      <c r="J6" s="1835"/>
      <c r="K6" s="1835"/>
      <c r="L6" s="1835"/>
      <c r="M6" s="1835"/>
      <c r="N6" s="1835"/>
      <c r="O6" s="1835"/>
    </row>
    <row r="7" spans="1:27" x14ac:dyDescent="0.25">
      <c r="A7" s="2590" t="s">
        <v>38</v>
      </c>
      <c r="B7" s="423">
        <f>B5+B6</f>
        <v>1496000.1058</v>
      </c>
      <c r="D7" s="1835"/>
      <c r="E7" s="1835"/>
      <c r="F7" s="1836"/>
      <c r="G7" s="1835"/>
      <c r="H7" s="1835"/>
      <c r="I7" s="1835"/>
      <c r="J7" s="1835"/>
      <c r="K7" s="1835"/>
      <c r="L7" s="1835"/>
      <c r="M7" s="1835"/>
      <c r="N7" s="1835"/>
      <c r="O7" s="1835"/>
    </row>
    <row r="8" spans="1:27" ht="25.9" customHeight="1" x14ac:dyDescent="0.25">
      <c r="A8" s="28"/>
      <c r="B8" s="29"/>
      <c r="C8" s="29"/>
      <c r="D8" s="28"/>
      <c r="E8" s="28"/>
      <c r="F8" s="312"/>
      <c r="G8" s="28"/>
      <c r="H8" s="29"/>
      <c r="I8" s="29"/>
      <c r="J8" s="29"/>
      <c r="K8" s="29"/>
      <c r="L8" s="29"/>
      <c r="M8" s="29"/>
      <c r="N8" s="29"/>
      <c r="O8" s="1916"/>
      <c r="P8" s="28"/>
      <c r="Q8" s="28"/>
      <c r="R8" s="355"/>
      <c r="S8" s="2499"/>
      <c r="T8" s="2499"/>
      <c r="U8" s="2499"/>
      <c r="V8" s="3069">
        <v>43800</v>
      </c>
      <c r="W8" s="3070"/>
      <c r="X8" s="3070"/>
      <c r="Y8" s="3070"/>
      <c r="Z8" s="3070"/>
      <c r="AA8" s="3071"/>
    </row>
    <row r="9" spans="1:27" s="36" customFormat="1" ht="52" x14ac:dyDescent="0.25">
      <c r="A9" s="1881" t="s">
        <v>9</v>
      </c>
      <c r="B9" s="1881" t="s">
        <v>10</v>
      </c>
      <c r="C9" s="1881" t="s">
        <v>45</v>
      </c>
      <c r="D9" s="1881" t="s">
        <v>35</v>
      </c>
      <c r="E9" s="1881" t="s">
        <v>6</v>
      </c>
      <c r="F9" s="1882" t="s">
        <v>7</v>
      </c>
      <c r="G9" s="1881" t="s">
        <v>8</v>
      </c>
      <c r="H9" s="1883" t="s">
        <v>11</v>
      </c>
      <c r="I9" s="1883" t="s">
        <v>25</v>
      </c>
      <c r="J9" s="1881" t="s">
        <v>6</v>
      </c>
      <c r="K9" s="1881" t="s">
        <v>7</v>
      </c>
      <c r="L9" s="1881" t="s">
        <v>8</v>
      </c>
      <c r="M9" s="1883" t="s">
        <v>12</v>
      </c>
      <c r="N9" s="1883" t="s">
        <v>25</v>
      </c>
      <c r="O9" s="2229" t="s">
        <v>13</v>
      </c>
      <c r="P9" s="1883" t="s">
        <v>64</v>
      </c>
      <c r="Q9" s="1883" t="s">
        <v>84</v>
      </c>
      <c r="R9" s="1883" t="s">
        <v>42</v>
      </c>
      <c r="S9" s="2500" t="s">
        <v>1616</v>
      </c>
      <c r="T9" s="2228" t="s">
        <v>84</v>
      </c>
      <c r="U9" s="2228" t="s">
        <v>1571</v>
      </c>
      <c r="V9" s="2667" t="s">
        <v>1378</v>
      </c>
      <c r="W9" s="1885" t="s">
        <v>1099</v>
      </c>
      <c r="X9" s="1886" t="s">
        <v>81</v>
      </c>
      <c r="Y9" s="1885" t="s">
        <v>1379</v>
      </c>
      <c r="Z9" s="1884" t="s">
        <v>1101</v>
      </c>
      <c r="AA9" s="1887" t="s">
        <v>83</v>
      </c>
    </row>
    <row r="10" spans="1:27" s="36" customFormat="1" x14ac:dyDescent="0.25">
      <c r="A10" s="3072" t="s">
        <v>52</v>
      </c>
      <c r="B10" s="3073"/>
      <c r="C10" s="3073"/>
      <c r="D10" s="3073"/>
      <c r="E10" s="3073"/>
      <c r="F10" s="3073"/>
      <c r="G10" s="3073"/>
      <c r="H10" s="3073"/>
      <c r="I10" s="3073"/>
      <c r="J10" s="3073"/>
      <c r="K10" s="3073"/>
      <c r="L10" s="3073"/>
      <c r="M10" s="3073"/>
      <c r="N10" s="3073"/>
      <c r="O10" s="3073"/>
      <c r="P10" s="3073"/>
      <c r="Q10" s="3073"/>
      <c r="R10" s="3073"/>
      <c r="S10" s="3073"/>
      <c r="T10" s="3073"/>
      <c r="U10" s="3073"/>
      <c r="V10" s="3073"/>
      <c r="W10" s="3073"/>
      <c r="X10" s="3073"/>
      <c r="Y10" s="3073"/>
      <c r="Z10" s="3073"/>
      <c r="AA10" s="3074"/>
    </row>
    <row r="11" spans="1:27" s="36" customFormat="1" x14ac:dyDescent="0.25">
      <c r="A11" s="3075" t="s">
        <v>44</v>
      </c>
      <c r="B11" s="3076"/>
      <c r="C11" s="3076"/>
      <c r="D11" s="3076"/>
      <c r="E11" s="3076"/>
      <c r="F11" s="3076"/>
      <c r="G11" s="3076"/>
      <c r="H11" s="3076"/>
      <c r="I11" s="3076"/>
      <c r="J11" s="3076"/>
      <c r="K11" s="3076"/>
      <c r="L11" s="3076"/>
      <c r="M11" s="3076"/>
      <c r="N11" s="3076"/>
      <c r="O11" s="3076"/>
      <c r="P11" s="3076"/>
      <c r="Q11" s="3076"/>
      <c r="R11" s="3076"/>
      <c r="S11" s="3076"/>
      <c r="T11" s="3076"/>
      <c r="U11" s="3076"/>
      <c r="V11" s="3076"/>
      <c r="W11" s="3076"/>
      <c r="X11" s="3076"/>
      <c r="Y11" s="3076"/>
      <c r="Z11" s="3076"/>
      <c r="AA11" s="3077"/>
    </row>
    <row r="12" spans="1:27" s="328" customFormat="1" ht="120.75" customHeight="1" x14ac:dyDescent="0.25">
      <c r="A12" s="3078" t="s">
        <v>86</v>
      </c>
      <c r="B12" s="1027" t="s">
        <v>87</v>
      </c>
      <c r="C12" s="1027" t="s">
        <v>118</v>
      </c>
      <c r="D12" s="1027" t="s">
        <v>100</v>
      </c>
      <c r="E12" s="1027">
        <v>1</v>
      </c>
      <c r="F12" s="1050">
        <v>10000</v>
      </c>
      <c r="G12" s="1027">
        <v>1</v>
      </c>
      <c r="H12" s="1051">
        <f>E12*F12*G12</f>
        <v>10000</v>
      </c>
      <c r="I12" s="1691">
        <v>0.3</v>
      </c>
      <c r="J12" s="1051"/>
      <c r="K12" s="1051"/>
      <c r="L12" s="1051"/>
      <c r="M12" s="1051">
        <f>J12*K12*L12</f>
        <v>0</v>
      </c>
      <c r="N12" s="1692">
        <v>0</v>
      </c>
      <c r="O12" s="2230">
        <f t="shared" ref="O12:O21" si="0">H12+M12</f>
        <v>10000</v>
      </c>
      <c r="P12" s="1693">
        <v>0.3</v>
      </c>
      <c r="Q12" s="1694">
        <f>O12*P12</f>
        <v>3000</v>
      </c>
      <c r="R12" s="1044" t="s">
        <v>101</v>
      </c>
      <c r="S12" s="2501">
        <v>0.3</v>
      </c>
      <c r="T12" s="2502">
        <f>O12*S12</f>
        <v>3000</v>
      </c>
      <c r="U12" s="2503" t="s">
        <v>101</v>
      </c>
      <c r="V12" s="2668">
        <v>10000</v>
      </c>
      <c r="W12" s="32">
        <v>0.3</v>
      </c>
      <c r="X12" s="1044" t="s">
        <v>185</v>
      </c>
      <c r="Y12" s="1695">
        <f>Z12/O12</f>
        <v>0.3</v>
      </c>
      <c r="Z12" s="329">
        <f>I12*V12</f>
        <v>3000</v>
      </c>
      <c r="AA12" s="1044" t="s">
        <v>1104</v>
      </c>
    </row>
    <row r="13" spans="1:27" s="328" customFormat="1" ht="100" x14ac:dyDescent="0.25">
      <c r="A13" s="3079"/>
      <c r="B13" s="1027" t="s">
        <v>88</v>
      </c>
      <c r="C13" s="1027" t="s">
        <v>15</v>
      </c>
      <c r="D13" s="1027" t="s">
        <v>100</v>
      </c>
      <c r="E13" s="1027">
        <v>1</v>
      </c>
      <c r="F13" s="1050">
        <v>7000</v>
      </c>
      <c r="G13" s="1027">
        <v>2</v>
      </c>
      <c r="H13" s="1051">
        <f t="shared" ref="H13:H21" si="1">E13*F13*G13</f>
        <v>14000</v>
      </c>
      <c r="I13" s="1693">
        <v>0.3</v>
      </c>
      <c r="J13" s="1051"/>
      <c r="K13" s="1051"/>
      <c r="L13" s="1051"/>
      <c r="M13" s="1051">
        <f>J13*K13*L13</f>
        <v>0</v>
      </c>
      <c r="N13" s="1692">
        <v>0</v>
      </c>
      <c r="O13" s="2230">
        <f t="shared" si="0"/>
        <v>14000</v>
      </c>
      <c r="P13" s="1693">
        <v>0.3</v>
      </c>
      <c r="Q13" s="1694">
        <f>O13*P13</f>
        <v>4200</v>
      </c>
      <c r="R13" s="1696"/>
      <c r="S13" s="2501">
        <v>0.3</v>
      </c>
      <c r="T13" s="2502">
        <f>O13*S13</f>
        <v>4200</v>
      </c>
      <c r="U13" s="2502"/>
      <c r="V13" s="2668">
        <v>14000</v>
      </c>
      <c r="W13" s="32">
        <f t="shared" ref="W13:W25" si="2">V13/O13</f>
        <v>1</v>
      </c>
      <c r="X13" s="1044" t="s">
        <v>186</v>
      </c>
      <c r="Y13" s="1695">
        <f>Z13/O13</f>
        <v>0.3</v>
      </c>
      <c r="Z13" s="329">
        <f>I13*V13</f>
        <v>4200</v>
      </c>
      <c r="AA13" s="1044" t="s">
        <v>1105</v>
      </c>
    </row>
    <row r="14" spans="1:27" s="1909" customFormat="1" ht="187.5" x14ac:dyDescent="0.25">
      <c r="A14" s="3079"/>
      <c r="B14" s="1027" t="s">
        <v>89</v>
      </c>
      <c r="C14" s="1027" t="s">
        <v>48</v>
      </c>
      <c r="D14" s="1027" t="s">
        <v>100</v>
      </c>
      <c r="E14" s="1027">
        <v>5</v>
      </c>
      <c r="F14" s="1050">
        <v>15970</v>
      </c>
      <c r="G14" s="1027">
        <v>1</v>
      </c>
      <c r="H14" s="1051">
        <f>E14*F14*G14</f>
        <v>79850</v>
      </c>
      <c r="I14" s="1693">
        <v>0.4</v>
      </c>
      <c r="J14" s="1051">
        <v>5</v>
      </c>
      <c r="K14" s="1051">
        <v>15970</v>
      </c>
      <c r="L14" s="1051">
        <v>1</v>
      </c>
      <c r="M14" s="1051">
        <f>J14*K14*L14</f>
        <v>79850</v>
      </c>
      <c r="N14" s="1692">
        <v>0</v>
      </c>
      <c r="O14" s="2230">
        <f t="shared" si="0"/>
        <v>159700</v>
      </c>
      <c r="P14" s="1693">
        <v>0.4</v>
      </c>
      <c r="Q14" s="1694">
        <f>O14*P14</f>
        <v>63880</v>
      </c>
      <c r="R14" s="1697" t="s">
        <v>102</v>
      </c>
      <c r="S14" s="2501">
        <v>0.21</v>
      </c>
      <c r="T14" s="2502">
        <f>O14*S14</f>
        <v>33537</v>
      </c>
      <c r="U14" s="2503" t="s">
        <v>102</v>
      </c>
      <c r="V14" s="2668">
        <v>164700</v>
      </c>
      <c r="W14" s="32">
        <f t="shared" si="2"/>
        <v>1.0313087038196618</v>
      </c>
      <c r="X14" s="1044" t="s">
        <v>1518</v>
      </c>
      <c r="Y14" s="1695">
        <f t="shared" ref="Y14:Y23" si="3">Z14/O14</f>
        <v>0.41252348152786472</v>
      </c>
      <c r="Z14" s="329">
        <f>I14*V14</f>
        <v>65880</v>
      </c>
      <c r="AA14" s="1044" t="s">
        <v>557</v>
      </c>
    </row>
    <row r="15" spans="1:27" s="31" customFormat="1" ht="237.5" x14ac:dyDescent="0.25">
      <c r="A15" s="3079"/>
      <c r="B15" s="1027" t="s">
        <v>90</v>
      </c>
      <c r="C15" s="1027" t="s">
        <v>15</v>
      </c>
      <c r="D15" s="1027" t="s">
        <v>100</v>
      </c>
      <c r="E15" s="1027">
        <v>1</v>
      </c>
      <c r="F15" s="1050">
        <v>25000</v>
      </c>
      <c r="G15" s="1027">
        <v>1</v>
      </c>
      <c r="H15" s="1051">
        <f t="shared" si="1"/>
        <v>25000</v>
      </c>
      <c r="I15" s="1693">
        <v>0.5</v>
      </c>
      <c r="J15" s="1051">
        <v>1</v>
      </c>
      <c r="K15" s="1051">
        <v>25000</v>
      </c>
      <c r="L15" s="1051">
        <v>1</v>
      </c>
      <c r="M15" s="1051">
        <f>J15*K15*L15</f>
        <v>25000</v>
      </c>
      <c r="N15" s="1692">
        <v>0</v>
      </c>
      <c r="O15" s="2230">
        <f t="shared" si="0"/>
        <v>50000</v>
      </c>
      <c r="P15" s="1693">
        <v>0.5</v>
      </c>
      <c r="Q15" s="1694">
        <f t="shared" ref="Q15:Q21" si="4">O15*P15</f>
        <v>25000</v>
      </c>
      <c r="R15" s="1044" t="s">
        <v>549</v>
      </c>
      <c r="S15" s="2501">
        <v>0.5</v>
      </c>
      <c r="T15" s="2502">
        <f t="shared" ref="T15:T56" si="5">O15*S15</f>
        <v>25000</v>
      </c>
      <c r="U15" s="427" t="s">
        <v>1541</v>
      </c>
      <c r="V15" s="2668">
        <v>48593.91</v>
      </c>
      <c r="W15" s="32">
        <f t="shared" si="2"/>
        <v>0.97187820000000003</v>
      </c>
      <c r="X15" s="1044" t="s">
        <v>1547</v>
      </c>
      <c r="Y15" s="1695">
        <f t="shared" si="3"/>
        <v>0.48593910000000001</v>
      </c>
      <c r="Z15" s="329">
        <f t="shared" ref="Z15:Z21" si="6">I15*V15</f>
        <v>24296.955000000002</v>
      </c>
      <c r="AA15" s="1044" t="s">
        <v>1548</v>
      </c>
    </row>
    <row r="16" spans="1:27" s="328" customFormat="1" ht="95.25" customHeight="1" x14ac:dyDescent="0.25">
      <c r="A16" s="3079"/>
      <c r="B16" s="1027" t="s">
        <v>91</v>
      </c>
      <c r="C16" s="1027" t="s">
        <v>15</v>
      </c>
      <c r="D16" s="1027" t="s">
        <v>100</v>
      </c>
      <c r="E16" s="1027">
        <v>1</v>
      </c>
      <c r="F16" s="1050">
        <v>5000</v>
      </c>
      <c r="G16" s="1027">
        <v>2</v>
      </c>
      <c r="H16" s="1051">
        <f t="shared" si="1"/>
        <v>10000</v>
      </c>
      <c r="I16" s="1693">
        <v>0.4</v>
      </c>
      <c r="J16" s="1051">
        <v>1</v>
      </c>
      <c r="K16" s="1051">
        <v>5000</v>
      </c>
      <c r="L16" s="1051">
        <v>2</v>
      </c>
      <c r="M16" s="1051">
        <f t="shared" ref="M16:M21" si="7">J16*K16*L16</f>
        <v>10000</v>
      </c>
      <c r="N16" s="1698">
        <v>0.4</v>
      </c>
      <c r="O16" s="2230">
        <f t="shared" si="0"/>
        <v>20000</v>
      </c>
      <c r="P16" s="1693">
        <v>0.21</v>
      </c>
      <c r="Q16" s="1694">
        <f t="shared" si="4"/>
        <v>4200</v>
      </c>
      <c r="R16" s="1699" t="s">
        <v>103</v>
      </c>
      <c r="S16" s="2501">
        <v>0.4</v>
      </c>
      <c r="T16" s="2502">
        <f t="shared" si="5"/>
        <v>8000</v>
      </c>
      <c r="U16" s="2504" t="s">
        <v>103</v>
      </c>
      <c r="V16" s="2668">
        <v>10089</v>
      </c>
      <c r="W16" s="32">
        <f t="shared" si="2"/>
        <v>0.50444999999999995</v>
      </c>
      <c r="X16" s="1044" t="s">
        <v>551</v>
      </c>
      <c r="Y16" s="1695">
        <f t="shared" si="3"/>
        <v>0.20178000000000001</v>
      </c>
      <c r="Z16" s="329">
        <f>I16*V16</f>
        <v>4035.6000000000004</v>
      </c>
      <c r="AA16" s="1044" t="s">
        <v>558</v>
      </c>
    </row>
    <row r="17" spans="1:27" s="328" customFormat="1" ht="138.75" customHeight="1" x14ac:dyDescent="0.25">
      <c r="A17" s="3079"/>
      <c r="B17" s="1027" t="s">
        <v>92</v>
      </c>
      <c r="C17" s="1027" t="s">
        <v>48</v>
      </c>
      <c r="D17" s="1027" t="s">
        <v>100</v>
      </c>
      <c r="E17" s="1027">
        <v>1</v>
      </c>
      <c r="F17" s="1050">
        <v>3000</v>
      </c>
      <c r="G17" s="1027">
        <v>2</v>
      </c>
      <c r="H17" s="1051">
        <f t="shared" si="1"/>
        <v>6000</v>
      </c>
      <c r="I17" s="1693">
        <v>0.3</v>
      </c>
      <c r="J17" s="1051">
        <v>1</v>
      </c>
      <c r="K17" s="1051">
        <v>3500</v>
      </c>
      <c r="L17" s="1051">
        <v>2</v>
      </c>
      <c r="M17" s="1051">
        <f t="shared" si="7"/>
        <v>7000</v>
      </c>
      <c r="N17" s="1698">
        <v>0.4</v>
      </c>
      <c r="O17" s="2230">
        <f t="shared" si="0"/>
        <v>13000</v>
      </c>
      <c r="P17" s="32">
        <v>0.3</v>
      </c>
      <c r="Q17" s="1694">
        <f>O17*P17</f>
        <v>3900</v>
      </c>
      <c r="R17" s="1697" t="s">
        <v>104</v>
      </c>
      <c r="S17" s="32">
        <v>0.3</v>
      </c>
      <c r="T17" s="1694">
        <f t="shared" si="5"/>
        <v>3900</v>
      </c>
      <c r="U17" s="2530" t="s">
        <v>104</v>
      </c>
      <c r="V17" s="2668">
        <v>13937.58</v>
      </c>
      <c r="W17" s="32">
        <f t="shared" si="2"/>
        <v>1.0721215384615383</v>
      </c>
      <c r="X17" s="1044" t="s">
        <v>1549</v>
      </c>
      <c r="Y17" s="1695">
        <f t="shared" si="3"/>
        <v>0.32163646153846148</v>
      </c>
      <c r="Z17" s="329">
        <f t="shared" si="6"/>
        <v>4181.2739999999994</v>
      </c>
      <c r="AA17" s="1044" t="s">
        <v>1549</v>
      </c>
    </row>
    <row r="18" spans="1:27" s="31" customFormat="1" ht="62.5" x14ac:dyDescent="0.25">
      <c r="A18" s="3079"/>
      <c r="B18" s="1027" t="s">
        <v>93</v>
      </c>
      <c r="C18" s="1027" t="s">
        <v>15</v>
      </c>
      <c r="D18" s="1027" t="s">
        <v>100</v>
      </c>
      <c r="E18" s="1027">
        <v>1</v>
      </c>
      <c r="F18" s="1700">
        <v>6000</v>
      </c>
      <c r="G18" s="1027">
        <v>2</v>
      </c>
      <c r="H18" s="1051">
        <f t="shared" si="1"/>
        <v>12000</v>
      </c>
      <c r="I18" s="1693">
        <v>0.5</v>
      </c>
      <c r="J18" s="1051">
        <v>1</v>
      </c>
      <c r="K18" s="1051">
        <v>6000</v>
      </c>
      <c r="L18" s="1051">
        <v>2</v>
      </c>
      <c r="M18" s="1051">
        <f t="shared" si="7"/>
        <v>12000</v>
      </c>
      <c r="N18" s="1698">
        <v>0.5</v>
      </c>
      <c r="O18" s="2230">
        <f t="shared" si="0"/>
        <v>24000</v>
      </c>
      <c r="P18" s="32">
        <v>0.5</v>
      </c>
      <c r="Q18" s="1694">
        <f t="shared" si="4"/>
        <v>12000</v>
      </c>
      <c r="R18" s="1888"/>
      <c r="S18" s="2505">
        <v>0.4</v>
      </c>
      <c r="T18" s="2502">
        <f t="shared" si="5"/>
        <v>9600</v>
      </c>
      <c r="U18" s="2502"/>
      <c r="V18" s="2668">
        <v>12995.72</v>
      </c>
      <c r="W18" s="32">
        <f t="shared" si="2"/>
        <v>0.54148833333333335</v>
      </c>
      <c r="X18" s="1044" t="s">
        <v>1550</v>
      </c>
      <c r="Y18" s="1695">
        <f t="shared" si="3"/>
        <v>0.27074416666666667</v>
      </c>
      <c r="Z18" s="329">
        <f t="shared" si="6"/>
        <v>6497.86</v>
      </c>
      <c r="AA18" s="1044" t="s">
        <v>1551</v>
      </c>
    </row>
    <row r="19" spans="1:27" s="31" customFormat="1" ht="162.5" x14ac:dyDescent="0.25">
      <c r="A19" s="3079"/>
      <c r="B19" s="1027" t="s">
        <v>94</v>
      </c>
      <c r="C19" s="1027" t="s">
        <v>15</v>
      </c>
      <c r="D19" s="1027" t="s">
        <v>100</v>
      </c>
      <c r="E19" s="1027">
        <v>1</v>
      </c>
      <c r="F19" s="1050">
        <v>3000</v>
      </c>
      <c r="G19" s="1027">
        <v>1</v>
      </c>
      <c r="H19" s="1051">
        <f t="shared" si="1"/>
        <v>3000</v>
      </c>
      <c r="I19" s="1693">
        <v>0.5</v>
      </c>
      <c r="J19" s="1051">
        <v>1</v>
      </c>
      <c r="K19" s="1051">
        <v>10000</v>
      </c>
      <c r="L19" s="1051">
        <v>1</v>
      </c>
      <c r="M19" s="1051">
        <f t="shared" si="7"/>
        <v>10000</v>
      </c>
      <c r="N19" s="1698">
        <v>0.5</v>
      </c>
      <c r="O19" s="2230">
        <f t="shared" si="0"/>
        <v>13000</v>
      </c>
      <c r="P19" s="32">
        <v>0.5</v>
      </c>
      <c r="Q19" s="1694">
        <f t="shared" si="4"/>
        <v>6500</v>
      </c>
      <c r="R19" s="1888"/>
      <c r="S19" s="2505">
        <v>0.5</v>
      </c>
      <c r="T19" s="2502">
        <f t="shared" si="5"/>
        <v>6500</v>
      </c>
      <c r="U19" s="2502"/>
      <c r="V19" s="2668">
        <v>13126.97</v>
      </c>
      <c r="W19" s="32">
        <f t="shared" si="2"/>
        <v>1.0097669230769231</v>
      </c>
      <c r="X19" s="1044" t="s">
        <v>1552</v>
      </c>
      <c r="Y19" s="1695">
        <f t="shared" si="3"/>
        <v>0.50488346153846153</v>
      </c>
      <c r="Z19" s="329">
        <f t="shared" si="6"/>
        <v>6563.4849999999997</v>
      </c>
      <c r="AA19" s="1044" t="s">
        <v>1553</v>
      </c>
    </row>
    <row r="20" spans="1:27" s="1909" customFormat="1" ht="123.75" customHeight="1" x14ac:dyDescent="0.25">
      <c r="A20" s="3079"/>
      <c r="B20" s="1027" t="s">
        <v>95</v>
      </c>
      <c r="C20" s="1027" t="s">
        <v>48</v>
      </c>
      <c r="D20" s="1027" t="s">
        <v>100</v>
      </c>
      <c r="E20" s="1027">
        <v>1</v>
      </c>
      <c r="F20" s="1050">
        <v>17600</v>
      </c>
      <c r="G20" s="1027">
        <v>1</v>
      </c>
      <c r="H20" s="1051">
        <f t="shared" si="1"/>
        <v>17600</v>
      </c>
      <c r="I20" s="1693">
        <v>0.4</v>
      </c>
      <c r="J20" s="1051">
        <v>0</v>
      </c>
      <c r="K20" s="1051">
        <v>0</v>
      </c>
      <c r="L20" s="1051">
        <v>0</v>
      </c>
      <c r="M20" s="1051">
        <f t="shared" si="7"/>
        <v>0</v>
      </c>
      <c r="N20" s="1698">
        <v>0</v>
      </c>
      <c r="O20" s="2230">
        <f t="shared" si="0"/>
        <v>17600</v>
      </c>
      <c r="P20" s="32">
        <v>0.4</v>
      </c>
      <c r="Q20" s="1694">
        <f t="shared" si="4"/>
        <v>7040</v>
      </c>
      <c r="R20" s="1697" t="s">
        <v>105</v>
      </c>
      <c r="S20" s="2505">
        <v>0.4</v>
      </c>
      <c r="T20" s="2502">
        <f t="shared" si="5"/>
        <v>7040</v>
      </c>
      <c r="U20" s="2503" t="s">
        <v>105</v>
      </c>
      <c r="V20" s="2668">
        <v>17600</v>
      </c>
      <c r="W20" s="32">
        <f t="shared" si="2"/>
        <v>1</v>
      </c>
      <c r="X20" s="1044" t="s">
        <v>1554</v>
      </c>
      <c r="Y20" s="1695">
        <f t="shared" si="3"/>
        <v>0.4</v>
      </c>
      <c r="Z20" s="329">
        <f t="shared" si="6"/>
        <v>7040</v>
      </c>
      <c r="AA20" s="1044" t="s">
        <v>1555</v>
      </c>
    </row>
    <row r="21" spans="1:27" s="1910" customFormat="1" ht="175" x14ac:dyDescent="0.25">
      <c r="A21" s="3080"/>
      <c r="B21" s="1027" t="s">
        <v>96</v>
      </c>
      <c r="C21" s="1027" t="s">
        <v>48</v>
      </c>
      <c r="D21" s="1027" t="s">
        <v>100</v>
      </c>
      <c r="E21" s="1027">
        <v>1</v>
      </c>
      <c r="F21" s="1700">
        <v>10000</v>
      </c>
      <c r="G21" s="1027">
        <v>5</v>
      </c>
      <c r="H21" s="1051">
        <f t="shared" si="1"/>
        <v>50000</v>
      </c>
      <c r="I21" s="1693">
        <v>0.4</v>
      </c>
      <c r="J21" s="33">
        <v>0</v>
      </c>
      <c r="K21" s="33">
        <v>0</v>
      </c>
      <c r="L21" s="33">
        <v>0</v>
      </c>
      <c r="M21" s="1051">
        <f t="shared" si="7"/>
        <v>0</v>
      </c>
      <c r="N21" s="2506">
        <v>0</v>
      </c>
      <c r="O21" s="2230">
        <f t="shared" si="0"/>
        <v>50000</v>
      </c>
      <c r="P21" s="32">
        <v>0.4</v>
      </c>
      <c r="Q21" s="1694">
        <f t="shared" si="4"/>
        <v>20000</v>
      </c>
      <c r="R21" s="1044" t="s">
        <v>181</v>
      </c>
      <c r="S21" s="2505">
        <v>0.4</v>
      </c>
      <c r="T21" s="2502">
        <f t="shared" si="5"/>
        <v>20000</v>
      </c>
      <c r="U21" s="2503" t="s">
        <v>1542</v>
      </c>
      <c r="V21" s="2668">
        <v>55000</v>
      </c>
      <c r="W21" s="32">
        <f t="shared" si="2"/>
        <v>1.1000000000000001</v>
      </c>
      <c r="X21" s="1044" t="s">
        <v>552</v>
      </c>
      <c r="Y21" s="1695">
        <f t="shared" si="3"/>
        <v>0.44</v>
      </c>
      <c r="Z21" s="329">
        <f t="shared" si="6"/>
        <v>22000</v>
      </c>
      <c r="AA21" s="1044" t="s">
        <v>712</v>
      </c>
    </row>
    <row r="22" spans="1:27" s="36" customFormat="1" x14ac:dyDescent="0.25">
      <c r="A22" s="3081" t="s">
        <v>108</v>
      </c>
      <c r="B22" s="3082"/>
      <c r="C22" s="313"/>
      <c r="D22" s="314" t="s">
        <v>0</v>
      </c>
      <c r="E22" s="315"/>
      <c r="F22" s="316"/>
      <c r="G22" s="314"/>
      <c r="H22" s="34">
        <f>SUM(H12:H21)</f>
        <v>227450</v>
      </c>
      <c r="I22" s="34"/>
      <c r="J22" s="370"/>
      <c r="K22" s="370"/>
      <c r="L22" s="370"/>
      <c r="M22" s="366">
        <f>SUM(M12:M21)</f>
        <v>143850</v>
      </c>
      <c r="N22" s="371">
        <v>0</v>
      </c>
      <c r="O22" s="366">
        <f>SUM(O12:O21)</f>
        <v>371300</v>
      </c>
      <c r="P22" s="319"/>
      <c r="Q22" s="34">
        <f>SUM(Q12:Q21)</f>
        <v>149720</v>
      </c>
      <c r="R22" s="317"/>
      <c r="S22" s="2507"/>
      <c r="T22" s="317">
        <f>SUM(T12:T21)</f>
        <v>120777</v>
      </c>
      <c r="U22" s="317"/>
      <c r="V22" s="2669">
        <f>SUM(V12:V21)</f>
        <v>360043.17999999993</v>
      </c>
      <c r="W22" s="319">
        <f t="shared" si="2"/>
        <v>0.96968268246700762</v>
      </c>
      <c r="X22" s="15"/>
      <c r="Y22" s="319"/>
      <c r="Z22" s="318">
        <f>SUM(Z12:Z21)</f>
        <v>147695.174</v>
      </c>
      <c r="AA22" s="375"/>
    </row>
    <row r="23" spans="1:27" s="328" customFormat="1" ht="102" x14ac:dyDescent="0.25">
      <c r="A23" s="1889" t="s">
        <v>106</v>
      </c>
      <c r="B23" s="1027" t="s">
        <v>107</v>
      </c>
      <c r="C23" s="1027" t="s">
        <v>15</v>
      </c>
      <c r="D23" s="320" t="s">
        <v>100</v>
      </c>
      <c r="E23" s="1027">
        <v>1</v>
      </c>
      <c r="F23" s="1701">
        <v>7000</v>
      </c>
      <c r="G23" s="320">
        <v>1</v>
      </c>
      <c r="H23" s="1051">
        <f>E23*F23*G23</f>
        <v>7000</v>
      </c>
      <c r="I23" s="1693">
        <v>0.4</v>
      </c>
      <c r="J23" s="33">
        <v>1</v>
      </c>
      <c r="K23" s="33">
        <v>7500</v>
      </c>
      <c r="L23" s="33">
        <v>1</v>
      </c>
      <c r="M23" s="33">
        <f>J23*K23*L23</f>
        <v>7500</v>
      </c>
      <c r="N23" s="33">
        <v>0</v>
      </c>
      <c r="O23" s="2230">
        <f>H23+M23</f>
        <v>14500</v>
      </c>
      <c r="P23" s="32">
        <v>0.21</v>
      </c>
      <c r="Q23" s="1694">
        <f>O23*P23</f>
        <v>3045</v>
      </c>
      <c r="R23" s="1890"/>
      <c r="S23" s="2505">
        <v>0.4</v>
      </c>
      <c r="T23" s="2502">
        <f t="shared" si="5"/>
        <v>5800</v>
      </c>
      <c r="U23" s="2502"/>
      <c r="V23" s="2670">
        <v>14044.17</v>
      </c>
      <c r="W23" s="32">
        <f t="shared" si="2"/>
        <v>0.96856344827586205</v>
      </c>
      <c r="X23" s="1044" t="s">
        <v>1556</v>
      </c>
      <c r="Y23" s="1695">
        <f t="shared" si="3"/>
        <v>0.252</v>
      </c>
      <c r="Z23" s="1703">
        <v>3654</v>
      </c>
      <c r="AA23" s="1044" t="s">
        <v>1557</v>
      </c>
    </row>
    <row r="24" spans="1:27" s="36" customFormat="1" x14ac:dyDescent="0.25">
      <c r="A24" s="3081" t="s">
        <v>109</v>
      </c>
      <c r="B24" s="3082"/>
      <c r="C24" s="313"/>
      <c r="D24" s="314" t="s">
        <v>0</v>
      </c>
      <c r="E24" s="314"/>
      <c r="F24" s="316"/>
      <c r="G24" s="314"/>
      <c r="H24" s="34">
        <f>SUM(H23:H23)</f>
        <v>7000</v>
      </c>
      <c r="I24" s="34"/>
      <c r="J24" s="365"/>
      <c r="K24" s="365"/>
      <c r="L24" s="365"/>
      <c r="M24" s="34">
        <f>SUM(M23:M23)</f>
        <v>7500</v>
      </c>
      <c r="N24" s="372"/>
      <c r="O24" s="366">
        <f>SUM(O23:O23)</f>
        <v>14500</v>
      </c>
      <c r="P24" s="367"/>
      <c r="Q24" s="34">
        <f>SUM(Q23:Q23)</f>
        <v>3045</v>
      </c>
      <c r="R24" s="317"/>
      <c r="S24" s="2507"/>
      <c r="T24" s="317">
        <f>SUM(T23)</f>
        <v>5800</v>
      </c>
      <c r="U24" s="317"/>
      <c r="V24" s="2669">
        <f>SUM(V23)</f>
        <v>14044.17</v>
      </c>
      <c r="W24" s="319">
        <f t="shared" si="2"/>
        <v>0.96856344827586205</v>
      </c>
      <c r="X24" s="15"/>
      <c r="Y24" s="367"/>
      <c r="Z24" s="368">
        <f>SUM(Z23)</f>
        <v>3654</v>
      </c>
      <c r="AA24" s="369"/>
    </row>
    <row r="25" spans="1:27" s="328" customFormat="1" x14ac:dyDescent="0.25">
      <c r="A25" s="3083" t="s">
        <v>43</v>
      </c>
      <c r="B25" s="3084"/>
      <c r="C25" s="2418"/>
      <c r="D25" s="321"/>
      <c r="E25" s="321"/>
      <c r="F25" s="322"/>
      <c r="G25" s="321"/>
      <c r="H25" s="323">
        <f>H22+H24</f>
        <v>234450</v>
      </c>
      <c r="I25" s="324"/>
      <c r="J25" s="376"/>
      <c r="K25" s="376"/>
      <c r="L25" s="376"/>
      <c r="M25" s="376">
        <f>M22+M24</f>
        <v>151350</v>
      </c>
      <c r="N25" s="377"/>
      <c r="O25" s="2231">
        <f>O22+O24</f>
        <v>385800</v>
      </c>
      <c r="P25" s="376"/>
      <c r="Q25" s="379">
        <f>Q22+Q24</f>
        <v>152765</v>
      </c>
      <c r="R25" s="325"/>
      <c r="S25" s="2508"/>
      <c r="T25" s="325">
        <f>T24+T22</f>
        <v>126577</v>
      </c>
      <c r="U25" s="325"/>
      <c r="V25" s="2671">
        <f>V22+V24</f>
        <v>374087.34999999992</v>
      </c>
      <c r="W25" s="326">
        <f t="shared" si="2"/>
        <v>0.96964061689994796</v>
      </c>
      <c r="X25" s="327"/>
      <c r="Y25" s="373">
        <f>Z25/O25</f>
        <v>0.39229956972524627</v>
      </c>
      <c r="Z25" s="374">
        <f>Z24+Z22</f>
        <v>151349.174</v>
      </c>
      <c r="AA25" s="378"/>
    </row>
    <row r="26" spans="1:27" s="328" customFormat="1" x14ac:dyDescent="0.25">
      <c r="A26" s="3085" t="s">
        <v>182</v>
      </c>
      <c r="B26" s="3086"/>
      <c r="C26" s="3086"/>
      <c r="D26" s="3086"/>
      <c r="E26" s="3086"/>
      <c r="F26" s="3086"/>
      <c r="G26" s="3086"/>
      <c r="H26" s="3086"/>
      <c r="I26" s="3086"/>
      <c r="J26" s="3086"/>
      <c r="K26" s="3086"/>
      <c r="L26" s="3086"/>
      <c r="M26" s="3086"/>
      <c r="N26" s="3086"/>
      <c r="O26" s="3086"/>
      <c r="P26" s="3086"/>
      <c r="Q26" s="3086"/>
      <c r="R26" s="3086"/>
      <c r="S26" s="3086"/>
      <c r="T26" s="3086"/>
      <c r="U26" s="3086"/>
      <c r="V26" s="3086"/>
      <c r="W26" s="3086"/>
      <c r="X26" s="3086"/>
      <c r="Y26" s="3086"/>
      <c r="Z26" s="3086"/>
      <c r="AA26" s="3086"/>
    </row>
    <row r="27" spans="1:27" s="328" customFormat="1" ht="120.75" customHeight="1" x14ac:dyDescent="0.25">
      <c r="A27" s="3078" t="s">
        <v>126</v>
      </c>
      <c r="B27" s="1027" t="s">
        <v>110</v>
      </c>
      <c r="C27" s="1027" t="s">
        <v>118</v>
      </c>
      <c r="D27" s="320" t="s">
        <v>100</v>
      </c>
      <c r="E27" s="1704">
        <v>1</v>
      </c>
      <c r="F27" s="1701">
        <v>10000</v>
      </c>
      <c r="G27" s="1704">
        <v>1</v>
      </c>
      <c r="H27" s="1705">
        <f>+E27*F27*G27</f>
        <v>10000</v>
      </c>
      <c r="I27" s="1693">
        <v>0.2</v>
      </c>
      <c r="J27" s="33">
        <v>0</v>
      </c>
      <c r="K27" s="33">
        <v>0</v>
      </c>
      <c r="L27" s="33">
        <v>0</v>
      </c>
      <c r="M27" s="1051">
        <f>+J27*K27*L27</f>
        <v>0</v>
      </c>
      <c r="N27" s="33">
        <v>0</v>
      </c>
      <c r="O27" s="2232">
        <f t="shared" ref="O27:O34" si="8">+H27+M27</f>
        <v>10000</v>
      </c>
      <c r="P27" s="1693">
        <v>0.2</v>
      </c>
      <c r="Q27" s="1694">
        <f>P27*O27</f>
        <v>2000</v>
      </c>
      <c r="R27" s="1697" t="s">
        <v>119</v>
      </c>
      <c r="S27" s="2501">
        <v>0.2</v>
      </c>
      <c r="T27" s="2502">
        <f t="shared" si="5"/>
        <v>2000</v>
      </c>
      <c r="U27" s="2503" t="s">
        <v>119</v>
      </c>
      <c r="V27" s="2672">
        <v>11055.57</v>
      </c>
      <c r="W27" s="32">
        <f>V27/O27</f>
        <v>1.1055569999999999</v>
      </c>
      <c r="X27" s="1044" t="s">
        <v>187</v>
      </c>
      <c r="Y27" s="2509">
        <f>Z27/O27</f>
        <v>0.22111140000000001</v>
      </c>
      <c r="Z27" s="1703">
        <f>I27*V27</f>
        <v>2211.114</v>
      </c>
      <c r="AA27" s="1044" t="s">
        <v>1106</v>
      </c>
    </row>
    <row r="28" spans="1:27" s="328" customFormat="1" ht="105" customHeight="1" x14ac:dyDescent="0.25">
      <c r="A28" s="3079"/>
      <c r="B28" s="1027" t="s">
        <v>111</v>
      </c>
      <c r="C28" s="1027" t="s">
        <v>15</v>
      </c>
      <c r="D28" s="320" t="s">
        <v>100</v>
      </c>
      <c r="E28" s="1704">
        <v>1</v>
      </c>
      <c r="F28" s="1701">
        <v>30000</v>
      </c>
      <c r="G28" s="1704">
        <v>1</v>
      </c>
      <c r="H28" s="1705">
        <f t="shared" ref="H28:H34" si="9">+E28*F28*G28</f>
        <v>30000</v>
      </c>
      <c r="I28" s="1693">
        <v>0.3</v>
      </c>
      <c r="J28" s="33">
        <v>0</v>
      </c>
      <c r="K28" s="1706">
        <v>0</v>
      </c>
      <c r="L28" s="1706">
        <v>0</v>
      </c>
      <c r="M28" s="1051">
        <f>+J28*K28*L28</f>
        <v>0</v>
      </c>
      <c r="N28" s="1707">
        <v>0</v>
      </c>
      <c r="O28" s="2230">
        <f t="shared" si="8"/>
        <v>30000</v>
      </c>
      <c r="P28" s="32">
        <v>0.3</v>
      </c>
      <c r="Q28" s="1694">
        <f>P28*O28</f>
        <v>9000</v>
      </c>
      <c r="R28" s="1888"/>
      <c r="S28" s="2505">
        <v>0.3</v>
      </c>
      <c r="T28" s="2502">
        <f t="shared" si="5"/>
        <v>9000</v>
      </c>
      <c r="U28" s="2502"/>
      <c r="V28" s="2672">
        <v>30556.58</v>
      </c>
      <c r="W28" s="32">
        <f t="shared" ref="W28:W43" si="10">V28/O28</f>
        <v>1.0185526666666667</v>
      </c>
      <c r="X28" s="1044" t="s">
        <v>1558</v>
      </c>
      <c r="Y28" s="2509">
        <f t="shared" ref="Y28:Y34" si="11">Z28/O28</f>
        <v>0</v>
      </c>
      <c r="Z28" s="329">
        <v>0</v>
      </c>
      <c r="AA28" s="1044"/>
    </row>
    <row r="29" spans="1:27" s="328" customFormat="1" ht="87.5" x14ac:dyDescent="0.25">
      <c r="A29" s="3079"/>
      <c r="B29" s="1027" t="s">
        <v>112</v>
      </c>
      <c r="C29" s="1027" t="s">
        <v>15</v>
      </c>
      <c r="D29" s="320" t="s">
        <v>100</v>
      </c>
      <c r="E29" s="1704">
        <v>1</v>
      </c>
      <c r="F29" s="1701">
        <v>10000</v>
      </c>
      <c r="G29" s="1704">
        <v>1</v>
      </c>
      <c r="H29" s="1705">
        <f t="shared" si="9"/>
        <v>10000</v>
      </c>
      <c r="I29" s="1693">
        <v>0.05</v>
      </c>
      <c r="J29" s="33">
        <v>0</v>
      </c>
      <c r="K29" s="1706">
        <v>0</v>
      </c>
      <c r="L29" s="1706">
        <v>0</v>
      </c>
      <c r="M29" s="1051">
        <f>+J29*K29*L29</f>
        <v>0</v>
      </c>
      <c r="N29" s="1707">
        <v>0</v>
      </c>
      <c r="O29" s="2230">
        <f t="shared" si="8"/>
        <v>10000</v>
      </c>
      <c r="P29" s="32">
        <v>0.05</v>
      </c>
      <c r="Q29" s="1694">
        <f t="shared" ref="Q29:Q34" si="12">P29*O29</f>
        <v>500</v>
      </c>
      <c r="R29" s="1708"/>
      <c r="S29" s="2505">
        <v>0.05</v>
      </c>
      <c r="T29" s="2502">
        <f t="shared" si="5"/>
        <v>500</v>
      </c>
      <c r="U29" s="2502"/>
      <c r="V29" s="2672">
        <v>10115</v>
      </c>
      <c r="W29" s="32">
        <f t="shared" si="10"/>
        <v>1.0115000000000001</v>
      </c>
      <c r="X29" s="1044" t="s">
        <v>188</v>
      </c>
      <c r="Y29" s="2509">
        <f t="shared" si="11"/>
        <v>5.0575000000000002E-2</v>
      </c>
      <c r="Z29" s="329">
        <f>I29*V29</f>
        <v>505.75</v>
      </c>
      <c r="AA29" s="1044" t="s">
        <v>1107</v>
      </c>
    </row>
    <row r="30" spans="1:27" s="328" customFormat="1" ht="112.5" x14ac:dyDescent="0.25">
      <c r="A30" s="3079"/>
      <c r="B30" s="1027" t="s">
        <v>113</v>
      </c>
      <c r="C30" s="1027" t="s">
        <v>15</v>
      </c>
      <c r="D30" s="320" t="s">
        <v>100</v>
      </c>
      <c r="E30" s="1704">
        <v>1</v>
      </c>
      <c r="F30" s="1701">
        <v>10000</v>
      </c>
      <c r="G30" s="1704">
        <v>1</v>
      </c>
      <c r="H30" s="1705">
        <f t="shared" si="9"/>
        <v>10000</v>
      </c>
      <c r="I30" s="1693">
        <v>0.3</v>
      </c>
      <c r="J30" s="33">
        <v>1</v>
      </c>
      <c r="K30" s="1706">
        <v>10000</v>
      </c>
      <c r="L30" s="1706">
        <v>1</v>
      </c>
      <c r="M30" s="1051">
        <f>+J30*K30*L30</f>
        <v>10000</v>
      </c>
      <c r="N30" s="1891">
        <v>0.3</v>
      </c>
      <c r="O30" s="2230">
        <f t="shared" si="8"/>
        <v>20000</v>
      </c>
      <c r="P30" s="32">
        <v>0.3</v>
      </c>
      <c r="Q30" s="1694">
        <f>P30*O30</f>
        <v>6000</v>
      </c>
      <c r="R30" s="1892"/>
      <c r="S30" s="2505">
        <v>0.3</v>
      </c>
      <c r="T30" s="2502">
        <f t="shared" si="5"/>
        <v>6000</v>
      </c>
      <c r="U30" s="2502"/>
      <c r="V30" s="2672">
        <v>20903.04</v>
      </c>
      <c r="W30" s="32">
        <f t="shared" si="10"/>
        <v>1.0451520000000001</v>
      </c>
      <c r="X30" s="1044" t="s">
        <v>1559</v>
      </c>
      <c r="Y30" s="2509">
        <f>Z30/O30</f>
        <v>0.31354560000000004</v>
      </c>
      <c r="Z30" s="329">
        <f>I30*V30</f>
        <v>6270.9120000000003</v>
      </c>
      <c r="AA30" s="1044" t="s">
        <v>1108</v>
      </c>
    </row>
    <row r="31" spans="1:27" s="328" customFormat="1" ht="62.5" x14ac:dyDescent="0.25">
      <c r="A31" s="3079"/>
      <c r="B31" s="1027" t="s">
        <v>114</v>
      </c>
      <c r="C31" s="1027" t="s">
        <v>15</v>
      </c>
      <c r="D31" s="320" t="s">
        <v>100</v>
      </c>
      <c r="E31" s="1704">
        <v>1</v>
      </c>
      <c r="F31" s="1701">
        <v>7500</v>
      </c>
      <c r="G31" s="1704">
        <v>2</v>
      </c>
      <c r="H31" s="1705">
        <f t="shared" si="9"/>
        <v>15000</v>
      </c>
      <c r="I31" s="1693">
        <v>0.3</v>
      </c>
      <c r="J31" s="33">
        <v>0</v>
      </c>
      <c r="K31" s="33">
        <v>0</v>
      </c>
      <c r="L31" s="33">
        <v>0</v>
      </c>
      <c r="M31" s="33">
        <v>0</v>
      </c>
      <c r="N31" s="33">
        <v>0</v>
      </c>
      <c r="O31" s="2230">
        <f t="shared" si="8"/>
        <v>15000</v>
      </c>
      <c r="P31" s="32">
        <v>0.3</v>
      </c>
      <c r="Q31" s="1694">
        <f t="shared" si="12"/>
        <v>4500</v>
      </c>
      <c r="R31" s="1708"/>
      <c r="S31" s="2505">
        <v>0.3</v>
      </c>
      <c r="T31" s="2502">
        <f t="shared" si="5"/>
        <v>4500</v>
      </c>
      <c r="U31" s="2502"/>
      <c r="V31" s="2672">
        <v>15141.92</v>
      </c>
      <c r="W31" s="32">
        <f t="shared" si="10"/>
        <v>1.0094613333333333</v>
      </c>
      <c r="X31" s="1044" t="s">
        <v>1485</v>
      </c>
      <c r="Y31" s="2509">
        <f>Z31/O31</f>
        <v>0</v>
      </c>
      <c r="Z31" s="329">
        <v>0</v>
      </c>
      <c r="AA31" s="1044" t="s">
        <v>1560</v>
      </c>
    </row>
    <row r="32" spans="1:27" s="328" customFormat="1" ht="50" x14ac:dyDescent="0.25">
      <c r="A32" s="3079"/>
      <c r="B32" s="1027" t="s">
        <v>115</v>
      </c>
      <c r="C32" s="1027" t="s">
        <v>15</v>
      </c>
      <c r="D32" s="320" t="s">
        <v>100</v>
      </c>
      <c r="E32" s="1704">
        <v>1</v>
      </c>
      <c r="F32" s="1701">
        <v>10000</v>
      </c>
      <c r="G32" s="1704">
        <v>1</v>
      </c>
      <c r="H32" s="1705">
        <f t="shared" si="9"/>
        <v>10000</v>
      </c>
      <c r="I32" s="1693">
        <v>0.3</v>
      </c>
      <c r="J32" s="33">
        <v>0</v>
      </c>
      <c r="K32" s="1706">
        <v>0</v>
      </c>
      <c r="L32" s="1706">
        <v>0</v>
      </c>
      <c r="M32" s="1706">
        <v>0</v>
      </c>
      <c r="N32" s="1707">
        <v>0</v>
      </c>
      <c r="O32" s="2230">
        <f t="shared" si="8"/>
        <v>10000</v>
      </c>
      <c r="P32" s="32">
        <v>0.3</v>
      </c>
      <c r="Q32" s="1694">
        <f t="shared" si="12"/>
        <v>3000</v>
      </c>
      <c r="R32" s="1708"/>
      <c r="S32" s="2505">
        <v>0.3</v>
      </c>
      <c r="T32" s="2502">
        <f t="shared" si="5"/>
        <v>3000</v>
      </c>
      <c r="U32" s="2502"/>
      <c r="V32" s="2672">
        <v>10100</v>
      </c>
      <c r="W32" s="32">
        <f t="shared" si="10"/>
        <v>1.01</v>
      </c>
      <c r="X32" s="1044" t="s">
        <v>1485</v>
      </c>
      <c r="Y32" s="2509">
        <f t="shared" si="11"/>
        <v>0.2</v>
      </c>
      <c r="Z32" s="329">
        <v>2000</v>
      </c>
      <c r="AA32" s="1044" t="s">
        <v>1485</v>
      </c>
    </row>
    <row r="33" spans="1:31" s="1910" customFormat="1" ht="90" customHeight="1" x14ac:dyDescent="0.25">
      <c r="A33" s="3079"/>
      <c r="B33" s="1027" t="s">
        <v>116</v>
      </c>
      <c r="C33" s="1027" t="s">
        <v>48</v>
      </c>
      <c r="D33" s="320" t="s">
        <v>100</v>
      </c>
      <c r="E33" s="1704">
        <v>1</v>
      </c>
      <c r="F33" s="1701">
        <v>3000</v>
      </c>
      <c r="G33" s="1704">
        <v>2</v>
      </c>
      <c r="H33" s="1705">
        <f t="shared" si="9"/>
        <v>6000</v>
      </c>
      <c r="I33" s="1693">
        <v>0.3</v>
      </c>
      <c r="J33" s="33">
        <v>1</v>
      </c>
      <c r="K33" s="1706">
        <v>3000</v>
      </c>
      <c r="L33" s="1706">
        <v>2</v>
      </c>
      <c r="M33" s="1051">
        <f>+J33*K33*L33</f>
        <v>6000</v>
      </c>
      <c r="N33" s="1891">
        <v>0.3</v>
      </c>
      <c r="O33" s="2230">
        <f t="shared" si="8"/>
        <v>12000</v>
      </c>
      <c r="P33" s="32">
        <v>0.3</v>
      </c>
      <c r="Q33" s="1694">
        <f>P33*O33</f>
        <v>3600</v>
      </c>
      <c r="R33" s="1697" t="s">
        <v>135</v>
      </c>
      <c r="S33" s="2505">
        <v>0.3</v>
      </c>
      <c r="T33" s="2502">
        <f t="shared" si="5"/>
        <v>3600</v>
      </c>
      <c r="U33" s="2503" t="s">
        <v>120</v>
      </c>
      <c r="V33" s="2672">
        <v>12000</v>
      </c>
      <c r="W33" s="32">
        <f t="shared" si="10"/>
        <v>1</v>
      </c>
      <c r="X33" s="1044" t="s">
        <v>1485</v>
      </c>
      <c r="Y33" s="2509">
        <f t="shared" si="11"/>
        <v>0.14708333333333334</v>
      </c>
      <c r="Z33" s="329">
        <v>1765</v>
      </c>
      <c r="AA33" s="1044" t="s">
        <v>1485</v>
      </c>
    </row>
    <row r="34" spans="1:31" s="1910" customFormat="1" ht="187.5" x14ac:dyDescent="0.25">
      <c r="A34" s="3080"/>
      <c r="B34" s="1027" t="s">
        <v>117</v>
      </c>
      <c r="C34" s="1027" t="s">
        <v>48</v>
      </c>
      <c r="D34" s="320" t="s">
        <v>100</v>
      </c>
      <c r="E34" s="1704">
        <v>1</v>
      </c>
      <c r="F34" s="1701">
        <v>35000</v>
      </c>
      <c r="G34" s="1704">
        <v>1</v>
      </c>
      <c r="H34" s="1705">
        <f t="shared" si="9"/>
        <v>35000</v>
      </c>
      <c r="I34" s="1693">
        <v>0.3</v>
      </c>
      <c r="J34" s="33">
        <v>0</v>
      </c>
      <c r="K34" s="33">
        <v>0</v>
      </c>
      <c r="L34" s="33">
        <v>0</v>
      </c>
      <c r="M34" s="33">
        <v>0</v>
      </c>
      <c r="N34" s="33">
        <v>0</v>
      </c>
      <c r="O34" s="2230">
        <f t="shared" si="8"/>
        <v>35000</v>
      </c>
      <c r="P34" s="32">
        <v>0.3</v>
      </c>
      <c r="Q34" s="1694">
        <f t="shared" si="12"/>
        <v>10500</v>
      </c>
      <c r="R34" s="1697" t="s">
        <v>121</v>
      </c>
      <c r="S34" s="2505">
        <v>0.3</v>
      </c>
      <c r="T34" s="2502">
        <f t="shared" si="5"/>
        <v>10500</v>
      </c>
      <c r="U34" s="2503" t="s">
        <v>121</v>
      </c>
      <c r="V34" s="2672">
        <v>38667.42</v>
      </c>
      <c r="W34" s="32">
        <f t="shared" si="10"/>
        <v>1.1047834285714284</v>
      </c>
      <c r="X34" s="1044" t="s">
        <v>1521</v>
      </c>
      <c r="Y34" s="2509">
        <f t="shared" si="11"/>
        <v>0.10242857142857142</v>
      </c>
      <c r="Z34" s="329">
        <v>3585</v>
      </c>
      <c r="AA34" s="1044" t="s">
        <v>1636</v>
      </c>
    </row>
    <row r="35" spans="1:31" s="36" customFormat="1" x14ac:dyDescent="0.25">
      <c r="A35" s="3081" t="s">
        <v>127</v>
      </c>
      <c r="B35" s="3082"/>
      <c r="C35" s="313"/>
      <c r="D35" s="314" t="s">
        <v>0</v>
      </c>
      <c r="E35" s="314"/>
      <c r="F35" s="316"/>
      <c r="G35" s="314"/>
      <c r="H35" s="34">
        <f>SUM(H27:H34)</f>
        <v>126000</v>
      </c>
      <c r="I35" s="34"/>
      <c r="J35" s="370">
        <v>0</v>
      </c>
      <c r="K35" s="1709">
        <v>0</v>
      </c>
      <c r="L35" s="1709">
        <v>0</v>
      </c>
      <c r="M35" s="34">
        <f>SUM(M27:M34)</f>
        <v>16000</v>
      </c>
      <c r="N35" s="1710"/>
      <c r="O35" s="366">
        <f>SUM(O27:O34)</f>
        <v>142000</v>
      </c>
      <c r="P35" s="319"/>
      <c r="Q35" s="1711">
        <f>SUM(Q27:Q34)</f>
        <v>39100</v>
      </c>
      <c r="R35" s="317"/>
      <c r="S35" s="2507"/>
      <c r="T35" s="2510">
        <f>SUM(T27:T34)</f>
        <v>39100</v>
      </c>
      <c r="U35" s="2510"/>
      <c r="V35" s="2669">
        <f>SUM(V27:V34)</f>
        <v>148539.53</v>
      </c>
      <c r="W35" s="319">
        <f t="shared" si="10"/>
        <v>1.0460530281690141</v>
      </c>
      <c r="X35" s="15"/>
      <c r="Y35" s="319"/>
      <c r="Z35" s="318">
        <f>SUM(Z27:Z34)</f>
        <v>16337.776</v>
      </c>
      <c r="AA35" s="15"/>
    </row>
    <row r="36" spans="1:31" s="328" customFormat="1" ht="119.25" customHeight="1" x14ac:dyDescent="0.25">
      <c r="A36" s="3089" t="s">
        <v>122</v>
      </c>
      <c r="B36" s="1027" t="s">
        <v>123</v>
      </c>
      <c r="C36" s="1027" t="s">
        <v>48</v>
      </c>
      <c r="D36" s="320" t="s">
        <v>100</v>
      </c>
      <c r="E36" s="1704">
        <v>1</v>
      </c>
      <c r="F36" s="1701">
        <v>1500</v>
      </c>
      <c r="G36" s="1704">
        <v>7</v>
      </c>
      <c r="H36" s="1051">
        <f>E36*F36*G36</f>
        <v>10500</v>
      </c>
      <c r="I36" s="1712">
        <v>0.3</v>
      </c>
      <c r="J36" s="307">
        <v>1</v>
      </c>
      <c r="K36" s="307">
        <v>1500</v>
      </c>
      <c r="L36" s="307">
        <v>7</v>
      </c>
      <c r="M36" s="307">
        <f>+J36*K36*L36</f>
        <v>10500</v>
      </c>
      <c r="N36" s="1713">
        <v>0.3</v>
      </c>
      <c r="O36" s="2230">
        <f>+H36+M36</f>
        <v>21000</v>
      </c>
      <c r="P36" s="1714">
        <v>0.3</v>
      </c>
      <c r="Q36" s="308">
        <f>P36*O36</f>
        <v>6300</v>
      </c>
      <c r="R36" s="1697" t="s">
        <v>120</v>
      </c>
      <c r="S36" s="2511">
        <v>0.3</v>
      </c>
      <c r="T36" s="2502">
        <f t="shared" si="5"/>
        <v>6300</v>
      </c>
      <c r="U36" s="2503" t="s">
        <v>120</v>
      </c>
      <c r="V36" s="2670">
        <v>20829.55</v>
      </c>
      <c r="W36" s="32">
        <f t="shared" si="10"/>
        <v>0.99188333333333334</v>
      </c>
      <c r="X36" s="1044" t="s">
        <v>189</v>
      </c>
      <c r="Y36" s="1702">
        <f>Z36/O36</f>
        <v>0.29756499999999997</v>
      </c>
      <c r="Z36" s="1703">
        <f>I36*V36</f>
        <v>6248.8649999999998</v>
      </c>
      <c r="AA36" s="1044" t="s">
        <v>561</v>
      </c>
    </row>
    <row r="37" spans="1:31" s="328" customFormat="1" ht="87.5" x14ac:dyDescent="0.25">
      <c r="A37" s="3090"/>
      <c r="B37" s="1027" t="s">
        <v>124</v>
      </c>
      <c r="C37" s="1027" t="s">
        <v>15</v>
      </c>
      <c r="D37" s="320" t="s">
        <v>100</v>
      </c>
      <c r="E37" s="1704">
        <v>1</v>
      </c>
      <c r="F37" s="1701">
        <v>7500</v>
      </c>
      <c r="G37" s="1704">
        <v>1</v>
      </c>
      <c r="H37" s="1051">
        <f>E37*F37*G37</f>
        <v>7500</v>
      </c>
      <c r="I37" s="1712">
        <v>0.3</v>
      </c>
      <c r="J37" s="1705">
        <v>1</v>
      </c>
      <c r="K37" s="1705">
        <v>7500</v>
      </c>
      <c r="L37" s="1705">
        <v>1</v>
      </c>
      <c r="M37" s="1051">
        <f>J37*K37*L37</f>
        <v>7500</v>
      </c>
      <c r="N37" s="1715">
        <v>0.3</v>
      </c>
      <c r="O37" s="2230">
        <f>H37+M37</f>
        <v>15000</v>
      </c>
      <c r="P37" s="32">
        <v>0.3</v>
      </c>
      <c r="Q37" s="1716">
        <f>P37*O37</f>
        <v>4500</v>
      </c>
      <c r="R37" s="1708"/>
      <c r="S37" s="2505">
        <v>0.3</v>
      </c>
      <c r="T37" s="2502">
        <f t="shared" si="5"/>
        <v>4500</v>
      </c>
      <c r="U37" s="2502"/>
      <c r="V37" s="2670">
        <v>15114.65</v>
      </c>
      <c r="W37" s="32">
        <f t="shared" si="10"/>
        <v>1.0076433333333332</v>
      </c>
      <c r="X37" s="1044" t="s">
        <v>1561</v>
      </c>
      <c r="Y37" s="1702">
        <f t="shared" ref="Y37" si="13">Z37/O37</f>
        <v>0.30229299999999998</v>
      </c>
      <c r="Z37" s="329">
        <f>I37*V37</f>
        <v>4534.3949999999995</v>
      </c>
      <c r="AA37" s="1044" t="s">
        <v>559</v>
      </c>
    </row>
    <row r="38" spans="1:31" s="328" customFormat="1" ht="87.5" x14ac:dyDescent="0.25">
      <c r="A38" s="3090"/>
      <c r="B38" s="1027" t="s">
        <v>125</v>
      </c>
      <c r="C38" s="1027" t="s">
        <v>15</v>
      </c>
      <c r="D38" s="320" t="s">
        <v>100</v>
      </c>
      <c r="E38" s="1704">
        <v>1</v>
      </c>
      <c r="F38" s="1701">
        <v>7500</v>
      </c>
      <c r="G38" s="1704">
        <v>1</v>
      </c>
      <c r="H38" s="1051">
        <f>E38*F38*G38</f>
        <v>7500</v>
      </c>
      <c r="I38" s="1712">
        <v>0.3</v>
      </c>
      <c r="J38" s="1705">
        <v>1</v>
      </c>
      <c r="K38" s="1705">
        <v>7500</v>
      </c>
      <c r="L38" s="1705">
        <v>1</v>
      </c>
      <c r="M38" s="1051">
        <f>J38*K38*L38</f>
        <v>7500</v>
      </c>
      <c r="N38" s="1715">
        <v>0.3</v>
      </c>
      <c r="O38" s="2230">
        <f>H38+M38</f>
        <v>15000</v>
      </c>
      <c r="P38" s="32">
        <v>0.3</v>
      </c>
      <c r="Q38" s="1716">
        <f>P38*O38</f>
        <v>4500</v>
      </c>
      <c r="R38" s="1708"/>
      <c r="S38" s="2505">
        <v>0.3</v>
      </c>
      <c r="T38" s="2502">
        <f t="shared" si="5"/>
        <v>4500</v>
      </c>
      <c r="U38" s="2502"/>
      <c r="V38" s="2670">
        <v>15000</v>
      </c>
      <c r="W38" s="32">
        <f t="shared" si="10"/>
        <v>1</v>
      </c>
      <c r="X38" s="1044" t="s">
        <v>553</v>
      </c>
      <c r="Y38" s="1702">
        <f>Z38/O38</f>
        <v>0.3</v>
      </c>
      <c r="Z38" s="329">
        <f>I38*V38</f>
        <v>4500</v>
      </c>
      <c r="AA38" s="1044" t="s">
        <v>560</v>
      </c>
    </row>
    <row r="39" spans="1:31" s="36" customFormat="1" x14ac:dyDescent="0.25">
      <c r="A39" s="3081" t="s">
        <v>128</v>
      </c>
      <c r="B39" s="3082"/>
      <c r="C39" s="313"/>
      <c r="D39" s="314" t="s">
        <v>0</v>
      </c>
      <c r="E39" s="314"/>
      <c r="F39" s="316"/>
      <c r="G39" s="314"/>
      <c r="H39" s="34">
        <f>SUM(H36:H38)</f>
        <v>25500</v>
      </c>
      <c r="I39" s="34"/>
      <c r="J39" s="380"/>
      <c r="K39" s="380"/>
      <c r="L39" s="380"/>
      <c r="M39" s="366">
        <f>SUM(M36:M38)</f>
        <v>25500</v>
      </c>
      <c r="N39" s="381"/>
      <c r="O39" s="366">
        <f>SUM(O36:O38)</f>
        <v>51000</v>
      </c>
      <c r="P39" s="319"/>
      <c r="Q39" s="382">
        <f>SUM(Q36:Q38)</f>
        <v>15300</v>
      </c>
      <c r="R39" s="317"/>
      <c r="S39" s="2507"/>
      <c r="T39" s="2510">
        <f>SUM(T36:T38)</f>
        <v>15300</v>
      </c>
      <c r="U39" s="2510"/>
      <c r="V39" s="2669">
        <f>SUM(V36:V38)</f>
        <v>50944.2</v>
      </c>
      <c r="W39" s="319">
        <f t="shared" si="10"/>
        <v>0.99890588235294109</v>
      </c>
      <c r="X39" s="15"/>
      <c r="Y39" s="319"/>
      <c r="Z39" s="318">
        <f>SUM(Z36:Z38)</f>
        <v>15283.259999999998</v>
      </c>
      <c r="AA39" s="375"/>
    </row>
    <row r="40" spans="1:31" s="328" customFormat="1" ht="87.5" x14ac:dyDescent="0.25">
      <c r="A40" s="3078" t="s">
        <v>129</v>
      </c>
      <c r="B40" s="1027" t="s">
        <v>130</v>
      </c>
      <c r="C40" s="1027" t="s">
        <v>15</v>
      </c>
      <c r="D40" s="1027" t="s">
        <v>100</v>
      </c>
      <c r="E40" s="1046">
        <v>0</v>
      </c>
      <c r="F40" s="1046">
        <v>0</v>
      </c>
      <c r="G40" s="1046">
        <v>0</v>
      </c>
      <c r="H40" s="1046">
        <v>0</v>
      </c>
      <c r="I40" s="33">
        <v>0</v>
      </c>
      <c r="J40" s="1051">
        <v>1</v>
      </c>
      <c r="K40" s="1717">
        <f>(1021+1680)-117+8</f>
        <v>2592</v>
      </c>
      <c r="L40" s="1051">
        <v>1</v>
      </c>
      <c r="M40" s="1051">
        <f>J40*K40*L40</f>
        <v>2592</v>
      </c>
      <c r="N40" s="1698">
        <v>0.3</v>
      </c>
      <c r="O40" s="2230">
        <f>H41+M40</f>
        <v>2592</v>
      </c>
      <c r="P40" s="32">
        <v>0.3</v>
      </c>
      <c r="Q40" s="1718">
        <f>P40*O40</f>
        <v>777.6</v>
      </c>
      <c r="R40" s="1719"/>
      <c r="S40" s="2505">
        <v>0.3</v>
      </c>
      <c r="T40" s="2502">
        <f t="shared" si="5"/>
        <v>777.6</v>
      </c>
      <c r="U40" s="2502"/>
      <c r="V40" s="2672">
        <v>2595.6999999999998</v>
      </c>
      <c r="W40" s="32">
        <f t="shared" si="10"/>
        <v>1.0014274691358025</v>
      </c>
      <c r="X40" s="1027" t="s">
        <v>1562</v>
      </c>
      <c r="Y40" s="1702">
        <f>Z40/O40</f>
        <v>0.17245370370370369</v>
      </c>
      <c r="Z40" s="1703">
        <v>447</v>
      </c>
      <c r="AA40" s="1029" t="s">
        <v>1563</v>
      </c>
    </row>
    <row r="41" spans="1:31" s="328" customFormat="1" ht="125" x14ac:dyDescent="0.25">
      <c r="A41" s="3079"/>
      <c r="B41" s="1027" t="s">
        <v>131</v>
      </c>
      <c r="C41" s="1027" t="s">
        <v>48</v>
      </c>
      <c r="D41" s="1027" t="s">
        <v>100</v>
      </c>
      <c r="E41" s="1046">
        <v>0</v>
      </c>
      <c r="F41" s="1046">
        <v>0</v>
      </c>
      <c r="G41" s="1046">
        <v>0</v>
      </c>
      <c r="H41" s="1046">
        <v>0</v>
      </c>
      <c r="I41" s="1046">
        <v>0</v>
      </c>
      <c r="J41" s="1051">
        <v>1</v>
      </c>
      <c r="K41" s="1051">
        <v>20000</v>
      </c>
      <c r="L41" s="1051">
        <v>1</v>
      </c>
      <c r="M41" s="1051">
        <f>J41*K41*L41</f>
        <v>20000</v>
      </c>
      <c r="N41" s="1698">
        <v>0.3</v>
      </c>
      <c r="O41" s="2230">
        <f>H42+M41</f>
        <v>20000</v>
      </c>
      <c r="P41" s="32">
        <v>0.3</v>
      </c>
      <c r="Q41" s="1718">
        <f>P41*O41</f>
        <v>6000</v>
      </c>
      <c r="R41" s="1893" t="s">
        <v>183</v>
      </c>
      <c r="S41" s="2505">
        <v>0.3</v>
      </c>
      <c r="T41" s="2502">
        <f t="shared" si="5"/>
        <v>6000</v>
      </c>
      <c r="U41" s="2503" t="s">
        <v>120</v>
      </c>
      <c r="V41" s="2672">
        <v>20196.97</v>
      </c>
      <c r="W41" s="32">
        <f t="shared" si="10"/>
        <v>1.0098485000000001</v>
      </c>
      <c r="X41" s="2512" t="s">
        <v>1564</v>
      </c>
      <c r="Y41" s="1702">
        <f t="shared" ref="Y41:Y43" si="14">Z41/O41</f>
        <v>0.17100000000000001</v>
      </c>
      <c r="Z41" s="1703">
        <v>3420</v>
      </c>
      <c r="AA41" s="1027"/>
      <c r="AB41" s="3067"/>
      <c r="AC41" s="3067"/>
      <c r="AD41" s="3067"/>
      <c r="AE41" s="1916"/>
    </row>
    <row r="42" spans="1:31" s="328" customFormat="1" ht="75" customHeight="1" x14ac:dyDescent="0.25">
      <c r="A42" s="3079"/>
      <c r="B42" s="1027" t="s">
        <v>132</v>
      </c>
      <c r="C42" s="1027" t="s">
        <v>15</v>
      </c>
      <c r="D42" s="1027" t="s">
        <v>100</v>
      </c>
      <c r="E42" s="1046">
        <v>0</v>
      </c>
      <c r="F42" s="1046">
        <v>0</v>
      </c>
      <c r="G42" s="1046">
        <v>0</v>
      </c>
      <c r="H42" s="1046">
        <v>0</v>
      </c>
      <c r="I42" s="1046">
        <v>0</v>
      </c>
      <c r="J42" s="1051">
        <v>1</v>
      </c>
      <c r="K42" s="1051">
        <v>500</v>
      </c>
      <c r="L42" s="1051">
        <v>160</v>
      </c>
      <c r="M42" s="1051">
        <f>J42*K42*L42</f>
        <v>80000</v>
      </c>
      <c r="N42" s="1698">
        <v>0.4</v>
      </c>
      <c r="O42" s="2230">
        <f>H42+M42</f>
        <v>80000</v>
      </c>
      <c r="P42" s="32">
        <v>0.4</v>
      </c>
      <c r="Q42" s="1718">
        <f>P42*O42</f>
        <v>32000</v>
      </c>
      <c r="R42" s="1719"/>
      <c r="S42" s="2505">
        <v>0.4</v>
      </c>
      <c r="T42" s="2502">
        <f t="shared" si="5"/>
        <v>32000</v>
      </c>
      <c r="U42" s="2502"/>
      <c r="V42" s="2672">
        <v>80603.03</v>
      </c>
      <c r="W42" s="32">
        <f t="shared" si="10"/>
        <v>1.0075378749999999</v>
      </c>
      <c r="X42" s="1027" t="s">
        <v>1565</v>
      </c>
      <c r="Y42" s="1702">
        <f t="shared" si="14"/>
        <v>0.5232</v>
      </c>
      <c r="Z42" s="1703">
        <v>41856</v>
      </c>
      <c r="AA42" s="1027" t="s">
        <v>1635</v>
      </c>
      <c r="AB42" s="3067"/>
      <c r="AC42" s="3067"/>
      <c r="AD42" s="3067"/>
      <c r="AE42" s="1916"/>
    </row>
    <row r="43" spans="1:31" s="328" customFormat="1" ht="105" customHeight="1" x14ac:dyDescent="0.25">
      <c r="A43" s="3080"/>
      <c r="B43" s="1027" t="s">
        <v>133</v>
      </c>
      <c r="C43" s="1027" t="s">
        <v>15</v>
      </c>
      <c r="D43" s="1027" t="s">
        <v>100</v>
      </c>
      <c r="E43" s="1046">
        <v>0</v>
      </c>
      <c r="F43" s="1046">
        <v>0</v>
      </c>
      <c r="G43" s="1046">
        <v>0</v>
      </c>
      <c r="H43" s="1046">
        <v>0</v>
      </c>
      <c r="I43" s="1046">
        <v>0</v>
      </c>
      <c r="J43" s="1051">
        <v>1</v>
      </c>
      <c r="K43" s="1051">
        <v>500</v>
      </c>
      <c r="L43" s="1051">
        <v>14</v>
      </c>
      <c r="M43" s="1051">
        <f>J43*K43*L43</f>
        <v>7000</v>
      </c>
      <c r="N43" s="1698">
        <v>0.4</v>
      </c>
      <c r="O43" s="2230">
        <f>H43+M43</f>
        <v>7000</v>
      </c>
      <c r="P43" s="32">
        <v>0.4</v>
      </c>
      <c r="Q43" s="1718">
        <f>P43*O43</f>
        <v>2800</v>
      </c>
      <c r="R43" s="1719"/>
      <c r="S43" s="2505">
        <v>0.4</v>
      </c>
      <c r="T43" s="2502">
        <f>O43*S43</f>
        <v>2800</v>
      </c>
      <c r="U43" s="2502"/>
      <c r="V43" s="2672">
        <v>7066.97</v>
      </c>
      <c r="W43" s="32">
        <f t="shared" si="10"/>
        <v>1.0095671428571429</v>
      </c>
      <c r="X43" s="2512" t="s">
        <v>1566</v>
      </c>
      <c r="Y43" s="1702">
        <f t="shared" si="14"/>
        <v>0.35714285714285715</v>
      </c>
      <c r="Z43" s="1703">
        <v>2500</v>
      </c>
      <c r="AA43" s="1044" t="s">
        <v>1567</v>
      </c>
      <c r="AB43" s="1916"/>
      <c r="AC43" s="1916"/>
      <c r="AD43" s="1916"/>
      <c r="AE43" s="1916"/>
    </row>
    <row r="44" spans="1:31" s="36" customFormat="1" x14ac:dyDescent="0.25">
      <c r="A44" s="3081" t="s">
        <v>134</v>
      </c>
      <c r="B44" s="3082"/>
      <c r="C44" s="313"/>
      <c r="D44" s="314" t="s">
        <v>0</v>
      </c>
      <c r="E44" s="314"/>
      <c r="F44" s="316"/>
      <c r="G44" s="314"/>
      <c r="H44" s="34">
        <f>SUM(H40:H43)</f>
        <v>0</v>
      </c>
      <c r="I44" s="34"/>
      <c r="J44" s="34"/>
      <c r="K44" s="34"/>
      <c r="L44" s="34"/>
      <c r="M44" s="34">
        <f>SUM(M40:M43)</f>
        <v>109592</v>
      </c>
      <c r="N44" s="35"/>
      <c r="O44" s="366">
        <f>SUM(O40:O43)</f>
        <v>109592</v>
      </c>
      <c r="P44" s="34"/>
      <c r="Q44" s="35">
        <f>SUM(Q40:Q43)</f>
        <v>41577.599999999999</v>
      </c>
      <c r="R44" s="317"/>
      <c r="S44" s="2507"/>
      <c r="T44" s="1711">
        <f>SUM(T40:T43)</f>
        <v>41577.599999999999</v>
      </c>
      <c r="U44" s="1711"/>
      <c r="V44" s="2669">
        <f>SUM(V40:V43)</f>
        <v>110462.67</v>
      </c>
      <c r="W44" s="319">
        <f>V44/O44</f>
        <v>1.0079446492444704</v>
      </c>
      <c r="X44" s="15"/>
      <c r="Y44" s="319"/>
      <c r="Z44" s="318">
        <v>0</v>
      </c>
      <c r="AA44" s="313"/>
    </row>
    <row r="45" spans="1:31" s="328" customFormat="1" x14ac:dyDescent="0.25">
      <c r="A45" s="3083" t="s">
        <v>184</v>
      </c>
      <c r="B45" s="3084"/>
      <c r="C45" s="2418"/>
      <c r="D45" s="321"/>
      <c r="E45" s="321"/>
      <c r="F45" s="322"/>
      <c r="G45" s="321"/>
      <c r="H45" s="323">
        <f>H35+H39+H44</f>
        <v>151500</v>
      </c>
      <c r="I45" s="324"/>
      <c r="J45" s="378"/>
      <c r="K45" s="378"/>
      <c r="L45" s="378"/>
      <c r="M45" s="385">
        <f>M35+M39+M44</f>
        <v>151092</v>
      </c>
      <c r="N45" s="378"/>
      <c r="O45" s="385">
        <f>O35+O39+O44</f>
        <v>302592</v>
      </c>
      <c r="P45" s="378"/>
      <c r="Q45" s="374">
        <f>Q35+Q39+Q44</f>
        <v>95977.600000000006</v>
      </c>
      <c r="R45" s="325"/>
      <c r="S45" s="2508"/>
      <c r="T45" s="379">
        <f>T44+T39+T35</f>
        <v>95977.600000000006</v>
      </c>
      <c r="U45" s="2531"/>
      <c r="V45" s="2673">
        <f>V35+V39+V44</f>
        <v>309946.39999999997</v>
      </c>
      <c r="W45" s="326">
        <f>V45/O45</f>
        <v>1.0243046742808797</v>
      </c>
      <c r="X45" s="327"/>
      <c r="Y45" s="373">
        <f>AVERAGE(Y27:Y44)</f>
        <v>0.21055989770723105</v>
      </c>
      <c r="Z45" s="374">
        <f>Z35+Z39+Z44</f>
        <v>31621.036</v>
      </c>
      <c r="AA45" s="378"/>
    </row>
    <row r="46" spans="1:31" s="328" customFormat="1" ht="12.75" customHeight="1" x14ac:dyDescent="0.25">
      <c r="A46" s="1914" t="s">
        <v>137</v>
      </c>
      <c r="B46" s="1915"/>
      <c r="C46" s="1915"/>
      <c r="D46" s="1915"/>
      <c r="E46" s="1915"/>
      <c r="F46" s="1915"/>
      <c r="G46" s="1915"/>
      <c r="H46" s="1915"/>
      <c r="I46" s="1915"/>
      <c r="J46" s="1915"/>
      <c r="K46" s="1915"/>
      <c r="L46" s="1915"/>
      <c r="M46" s="1915"/>
      <c r="N46" s="1915"/>
      <c r="O46" s="1915"/>
      <c r="P46" s="1915"/>
      <c r="Q46" s="1915"/>
      <c r="R46" s="1915"/>
      <c r="S46" s="2513"/>
      <c r="T46" s="2513"/>
      <c r="U46" s="2513"/>
      <c r="V46" s="2674"/>
      <c r="W46" s="1915"/>
      <c r="X46" s="1915"/>
      <c r="Y46" s="1915"/>
      <c r="Z46" s="1915"/>
      <c r="AA46" s="1915"/>
    </row>
    <row r="47" spans="1:31" s="328" customFormat="1" ht="58.5" customHeight="1" x14ac:dyDescent="0.25">
      <c r="A47" s="3091"/>
      <c r="B47" s="320" t="s">
        <v>138</v>
      </c>
      <c r="C47" s="1027" t="s">
        <v>118</v>
      </c>
      <c r="D47" s="1027" t="s">
        <v>100</v>
      </c>
      <c r="E47" s="1027">
        <v>1</v>
      </c>
      <c r="F47" s="1050">
        <v>30000</v>
      </c>
      <c r="G47" s="1027">
        <v>1</v>
      </c>
      <c r="H47" s="1051">
        <f>E47*F47*G47</f>
        <v>30000</v>
      </c>
      <c r="I47" s="33">
        <v>0</v>
      </c>
      <c r="J47" s="33">
        <v>0</v>
      </c>
      <c r="K47" s="33">
        <v>0</v>
      </c>
      <c r="L47" s="33">
        <v>0</v>
      </c>
      <c r="M47" s="33">
        <v>0</v>
      </c>
      <c r="N47" s="33">
        <v>0</v>
      </c>
      <c r="O47" s="2230">
        <f t="shared" ref="O47:O57" si="15">+H47+M47</f>
        <v>30000</v>
      </c>
      <c r="P47" s="37">
        <v>0</v>
      </c>
      <c r="Q47" s="33">
        <v>0</v>
      </c>
      <c r="R47" s="1031" t="s">
        <v>150</v>
      </c>
      <c r="S47" s="2514">
        <v>0</v>
      </c>
      <c r="T47" s="2502">
        <f t="shared" si="5"/>
        <v>0</v>
      </c>
      <c r="U47" s="2515" t="s">
        <v>150</v>
      </c>
      <c r="V47" s="2670">
        <v>29718.1</v>
      </c>
      <c r="W47" s="32">
        <f>V47/O47</f>
        <v>0.99060333333333328</v>
      </c>
      <c r="X47" s="1044" t="s">
        <v>716</v>
      </c>
      <c r="Y47" s="32"/>
      <c r="Z47" s="329"/>
      <c r="AA47" s="1044" t="s">
        <v>716</v>
      </c>
    </row>
    <row r="48" spans="1:31" s="328" customFormat="1" ht="55.5" customHeight="1" x14ac:dyDescent="0.25">
      <c r="A48" s="3092"/>
      <c r="B48" s="320" t="s">
        <v>139</v>
      </c>
      <c r="C48" s="1027" t="s">
        <v>15</v>
      </c>
      <c r="D48" s="1027" t="s">
        <v>100</v>
      </c>
      <c r="E48" s="1027">
        <v>1</v>
      </c>
      <c r="F48" s="1050">
        <v>15000</v>
      </c>
      <c r="G48" s="1027">
        <v>1</v>
      </c>
      <c r="H48" s="1051">
        <f t="shared" ref="H48:H57" si="16">E48*F48*G48</f>
        <v>15000</v>
      </c>
      <c r="I48" s="33">
        <v>0</v>
      </c>
      <c r="J48" s="33">
        <v>0</v>
      </c>
      <c r="K48" s="33">
        <v>0</v>
      </c>
      <c r="L48" s="33">
        <v>0</v>
      </c>
      <c r="M48" s="33">
        <v>0</v>
      </c>
      <c r="N48" s="33">
        <v>0</v>
      </c>
      <c r="O48" s="2230">
        <f t="shared" si="15"/>
        <v>15000</v>
      </c>
      <c r="P48" s="37">
        <v>0</v>
      </c>
      <c r="Q48" s="33">
        <v>0</v>
      </c>
      <c r="R48" s="1031" t="s">
        <v>151</v>
      </c>
      <c r="S48" s="2514"/>
      <c r="T48" s="2502">
        <f t="shared" si="5"/>
        <v>0</v>
      </c>
      <c r="U48" s="2515" t="s">
        <v>1543</v>
      </c>
      <c r="V48" s="2670">
        <v>14870</v>
      </c>
      <c r="W48" s="32">
        <f t="shared" ref="W48:W50" si="17">V48/O48</f>
        <v>0.99133333333333329</v>
      </c>
      <c r="X48" s="1044" t="s">
        <v>191</v>
      </c>
      <c r="Y48" s="32"/>
      <c r="Z48" s="329"/>
      <c r="AA48" s="1044" t="s">
        <v>191</v>
      </c>
    </row>
    <row r="49" spans="1:27" s="328" customFormat="1" ht="65" x14ac:dyDescent="0.25">
      <c r="A49" s="3092"/>
      <c r="B49" s="320" t="s">
        <v>140</v>
      </c>
      <c r="C49" s="1027" t="s">
        <v>14</v>
      </c>
      <c r="D49" s="1027" t="s">
        <v>100</v>
      </c>
      <c r="E49" s="1027">
        <v>1</v>
      </c>
      <c r="F49" s="1050">
        <v>4942.3100000000004</v>
      </c>
      <c r="G49" s="1027">
        <v>12</v>
      </c>
      <c r="H49" s="1051">
        <f t="shared" si="16"/>
        <v>59307.72</v>
      </c>
      <c r="I49" s="33">
        <v>0</v>
      </c>
      <c r="J49" s="1027">
        <v>1</v>
      </c>
      <c r="K49" s="1046">
        <v>4942.3100000000004</v>
      </c>
      <c r="L49" s="1027">
        <v>14</v>
      </c>
      <c r="M49" s="1051">
        <f t="shared" ref="M49:M57" si="18">J49*K49*L49</f>
        <v>69192.340000000011</v>
      </c>
      <c r="N49" s="33">
        <v>0</v>
      </c>
      <c r="O49" s="2230">
        <f t="shared" si="15"/>
        <v>128500.06000000001</v>
      </c>
      <c r="P49" s="37"/>
      <c r="Q49" s="33">
        <v>0</v>
      </c>
      <c r="R49" s="1031"/>
      <c r="S49" s="2514"/>
      <c r="T49" s="2502">
        <f t="shared" si="5"/>
        <v>0</v>
      </c>
      <c r="U49" s="2515" t="s">
        <v>1544</v>
      </c>
      <c r="V49" s="2670">
        <v>121919.55</v>
      </c>
      <c r="W49" s="32">
        <f t="shared" si="17"/>
        <v>0.94878982935883449</v>
      </c>
      <c r="X49" s="1044" t="s">
        <v>1495</v>
      </c>
      <c r="Y49" s="32"/>
      <c r="Z49" s="329"/>
      <c r="AA49" s="1044" t="s">
        <v>1495</v>
      </c>
    </row>
    <row r="50" spans="1:27" s="328" customFormat="1" ht="62.5" x14ac:dyDescent="0.25">
      <c r="A50" s="3092"/>
      <c r="B50" s="320" t="s">
        <v>141</v>
      </c>
      <c r="C50" s="1027" t="s">
        <v>149</v>
      </c>
      <c r="D50" s="1027" t="s">
        <v>100</v>
      </c>
      <c r="E50" s="1027">
        <v>1</v>
      </c>
      <c r="F50" s="1050">
        <v>8333.33</v>
      </c>
      <c r="G50" s="1027">
        <v>3</v>
      </c>
      <c r="H50" s="1051">
        <f t="shared" si="16"/>
        <v>24999.989999999998</v>
      </c>
      <c r="I50" s="33">
        <v>0</v>
      </c>
      <c r="J50" s="1027">
        <v>1</v>
      </c>
      <c r="K50" s="1046">
        <v>8333.33</v>
      </c>
      <c r="L50" s="1027">
        <v>3</v>
      </c>
      <c r="M50" s="1051">
        <f t="shared" si="18"/>
        <v>24999.989999999998</v>
      </c>
      <c r="N50" s="33">
        <v>0</v>
      </c>
      <c r="O50" s="2230">
        <f t="shared" si="15"/>
        <v>49999.979999999996</v>
      </c>
      <c r="P50" s="37"/>
      <c r="Q50" s="33">
        <v>0</v>
      </c>
      <c r="R50" s="1031" t="s">
        <v>152</v>
      </c>
      <c r="S50" s="2514"/>
      <c r="T50" s="2502">
        <f t="shared" si="5"/>
        <v>0</v>
      </c>
      <c r="U50" s="2515" t="s">
        <v>1545</v>
      </c>
      <c r="V50" s="2670">
        <v>50828.43</v>
      </c>
      <c r="W50" s="32">
        <f t="shared" si="17"/>
        <v>1.0165690066276027</v>
      </c>
      <c r="X50" s="1044" t="s">
        <v>1540</v>
      </c>
      <c r="Y50" s="32"/>
      <c r="Z50" s="329"/>
      <c r="AA50" s="1044" t="s">
        <v>717</v>
      </c>
    </row>
    <row r="51" spans="1:27" s="328" customFormat="1" ht="62.5" x14ac:dyDescent="0.25">
      <c r="A51" s="3092"/>
      <c r="B51" s="320" t="s">
        <v>142</v>
      </c>
      <c r="C51" s="1027" t="s">
        <v>15</v>
      </c>
      <c r="D51" s="1027" t="s">
        <v>100</v>
      </c>
      <c r="E51" s="1027">
        <v>1</v>
      </c>
      <c r="F51" s="1050">
        <v>1500</v>
      </c>
      <c r="G51" s="1027">
        <v>3</v>
      </c>
      <c r="H51" s="1051">
        <f t="shared" si="16"/>
        <v>4500</v>
      </c>
      <c r="I51" s="33">
        <v>0</v>
      </c>
      <c r="J51" s="1027">
        <v>1</v>
      </c>
      <c r="K51" s="1046">
        <v>1500</v>
      </c>
      <c r="L51" s="1027">
        <v>3</v>
      </c>
      <c r="M51" s="1051">
        <f t="shared" si="18"/>
        <v>4500</v>
      </c>
      <c r="N51" s="33">
        <v>0</v>
      </c>
      <c r="O51" s="2230">
        <f t="shared" si="15"/>
        <v>9000</v>
      </c>
      <c r="P51" s="37"/>
      <c r="Q51" s="33">
        <v>0</v>
      </c>
      <c r="R51" s="1052"/>
      <c r="S51" s="2516"/>
      <c r="T51" s="2502">
        <f t="shared" si="5"/>
        <v>0</v>
      </c>
      <c r="U51" s="2502"/>
      <c r="V51" s="2670">
        <v>8508.64</v>
      </c>
      <c r="W51" s="32">
        <f>V51/O51</f>
        <v>0.94540444444444438</v>
      </c>
      <c r="X51" s="1044" t="s">
        <v>1568</v>
      </c>
      <c r="Y51" s="32"/>
      <c r="Z51" s="329"/>
      <c r="AA51" s="1044" t="s">
        <v>718</v>
      </c>
    </row>
    <row r="52" spans="1:27" s="328" customFormat="1" ht="75" x14ac:dyDescent="0.25">
      <c r="A52" s="3092"/>
      <c r="B52" s="320" t="s">
        <v>143</v>
      </c>
      <c r="C52" s="1027" t="s">
        <v>15</v>
      </c>
      <c r="D52" s="1027" t="s">
        <v>100</v>
      </c>
      <c r="E52" s="1027">
        <v>1</v>
      </c>
      <c r="F52" s="1050">
        <v>10000</v>
      </c>
      <c r="G52" s="1027">
        <v>1</v>
      </c>
      <c r="H52" s="1051">
        <f t="shared" si="16"/>
        <v>10000</v>
      </c>
      <c r="I52" s="33">
        <v>0</v>
      </c>
      <c r="J52" s="33">
        <v>0</v>
      </c>
      <c r="K52" s="33">
        <v>0</v>
      </c>
      <c r="L52" s="33">
        <v>0</v>
      </c>
      <c r="M52" s="33">
        <v>0</v>
      </c>
      <c r="N52" s="33">
        <v>0</v>
      </c>
      <c r="O52" s="2230">
        <f t="shared" si="15"/>
        <v>10000</v>
      </c>
      <c r="P52" s="37"/>
      <c r="Q52" s="33">
        <v>0</v>
      </c>
      <c r="R52" s="1052"/>
      <c r="S52" s="2516"/>
      <c r="T52" s="2502">
        <f t="shared" si="5"/>
        <v>0</v>
      </c>
      <c r="U52" s="2502"/>
      <c r="V52" s="2670">
        <v>9664.68</v>
      </c>
      <c r="W52" s="32">
        <f>V52/O52</f>
        <v>0.96646799999999999</v>
      </c>
      <c r="X52" s="1044" t="s">
        <v>719</v>
      </c>
      <c r="Y52" s="32"/>
      <c r="Z52" s="329"/>
      <c r="AA52" s="1044" t="s">
        <v>719</v>
      </c>
    </row>
    <row r="53" spans="1:27" s="328" customFormat="1" ht="56.25" customHeight="1" x14ac:dyDescent="0.25">
      <c r="A53" s="3092"/>
      <c r="B53" s="320" t="s">
        <v>144</v>
      </c>
      <c r="C53" s="1027" t="s">
        <v>19</v>
      </c>
      <c r="D53" s="1027" t="s">
        <v>100</v>
      </c>
      <c r="E53" s="1027">
        <v>1</v>
      </c>
      <c r="F53" s="1050">
        <v>500</v>
      </c>
      <c r="G53" s="1027">
        <v>12</v>
      </c>
      <c r="H53" s="1051">
        <f t="shared" si="16"/>
        <v>6000</v>
      </c>
      <c r="I53" s="33">
        <v>0</v>
      </c>
      <c r="J53" s="1027">
        <v>1</v>
      </c>
      <c r="K53" s="1046">
        <v>500</v>
      </c>
      <c r="L53" s="1027">
        <v>12</v>
      </c>
      <c r="M53" s="1051">
        <f t="shared" si="18"/>
        <v>6000</v>
      </c>
      <c r="N53" s="33">
        <v>0</v>
      </c>
      <c r="O53" s="2230">
        <f t="shared" si="15"/>
        <v>12000</v>
      </c>
      <c r="P53" s="37"/>
      <c r="Q53" s="33">
        <v>0</v>
      </c>
      <c r="R53" s="1031" t="s">
        <v>153</v>
      </c>
      <c r="S53" s="2514"/>
      <c r="T53" s="2502">
        <f t="shared" si="5"/>
        <v>0</v>
      </c>
      <c r="U53" s="2515" t="s">
        <v>153</v>
      </c>
      <c r="V53" s="2670">
        <v>10000</v>
      </c>
      <c r="W53" s="32">
        <f>V53/O53</f>
        <v>0.83333333333333337</v>
      </c>
      <c r="X53" s="1044" t="s">
        <v>1539</v>
      </c>
      <c r="Y53" s="32"/>
      <c r="Z53" s="329"/>
      <c r="AA53" s="1044" t="s">
        <v>1522</v>
      </c>
    </row>
    <row r="54" spans="1:27" s="328" customFormat="1" ht="50" x14ac:dyDescent="0.25">
      <c r="A54" s="3092"/>
      <c r="B54" s="320" t="s">
        <v>145</v>
      </c>
      <c r="C54" s="1027" t="s">
        <v>19</v>
      </c>
      <c r="D54" s="1027" t="s">
        <v>100</v>
      </c>
      <c r="E54" s="1027">
        <v>1</v>
      </c>
      <c r="F54" s="1050">
        <v>7500</v>
      </c>
      <c r="G54" s="1027">
        <v>1</v>
      </c>
      <c r="H54" s="1051">
        <f t="shared" si="16"/>
        <v>7500</v>
      </c>
      <c r="I54" s="33">
        <v>0</v>
      </c>
      <c r="J54" s="1027">
        <v>1</v>
      </c>
      <c r="K54" s="1046">
        <v>7500</v>
      </c>
      <c r="L54" s="1027">
        <v>1</v>
      </c>
      <c r="M54" s="1051">
        <f t="shared" si="18"/>
        <v>7500</v>
      </c>
      <c r="N54" s="33">
        <v>0</v>
      </c>
      <c r="O54" s="2230">
        <f t="shared" si="15"/>
        <v>15000</v>
      </c>
      <c r="P54" s="37"/>
      <c r="Q54" s="33">
        <v>0</v>
      </c>
      <c r="R54" s="1031" t="s">
        <v>154</v>
      </c>
      <c r="S54" s="2514"/>
      <c r="T54" s="2502">
        <f t="shared" si="5"/>
        <v>0</v>
      </c>
      <c r="U54" s="2515" t="s">
        <v>1546</v>
      </c>
      <c r="V54" s="2670">
        <v>9904.6</v>
      </c>
      <c r="W54" s="32">
        <f t="shared" ref="W54:W57" si="19">V54/O54</f>
        <v>0.66030666666666671</v>
      </c>
      <c r="X54" s="1897" t="s">
        <v>1523</v>
      </c>
      <c r="Y54" s="32"/>
      <c r="Z54" s="329"/>
      <c r="AA54" s="1044" t="s">
        <v>1569</v>
      </c>
    </row>
    <row r="55" spans="1:27" s="31" customFormat="1" ht="94.5" customHeight="1" x14ac:dyDescent="0.25">
      <c r="A55" s="3092"/>
      <c r="B55" s="320" t="s">
        <v>146</v>
      </c>
      <c r="C55" s="1027" t="s">
        <v>15</v>
      </c>
      <c r="D55" s="1027" t="s">
        <v>100</v>
      </c>
      <c r="E55" s="1027">
        <v>1</v>
      </c>
      <c r="F55" s="1050">
        <v>1750</v>
      </c>
      <c r="G55" s="1027">
        <v>3</v>
      </c>
      <c r="H55" s="1051">
        <f t="shared" si="16"/>
        <v>5250</v>
      </c>
      <c r="I55" s="33">
        <v>0</v>
      </c>
      <c r="J55" s="1027">
        <v>1</v>
      </c>
      <c r="K55" s="1046">
        <v>1750</v>
      </c>
      <c r="L55" s="1027">
        <v>3</v>
      </c>
      <c r="M55" s="1051">
        <f t="shared" si="18"/>
        <v>5250</v>
      </c>
      <c r="N55" s="33">
        <v>0</v>
      </c>
      <c r="O55" s="2230">
        <f t="shared" si="15"/>
        <v>10500</v>
      </c>
      <c r="P55" s="37"/>
      <c r="Q55" s="33">
        <v>0</v>
      </c>
      <c r="R55" s="1031" t="s">
        <v>155</v>
      </c>
      <c r="S55" s="2514"/>
      <c r="T55" s="2502">
        <f t="shared" si="5"/>
        <v>0</v>
      </c>
      <c r="U55" s="2517" t="s">
        <v>155</v>
      </c>
      <c r="V55" s="2670">
        <v>11653.380000000001</v>
      </c>
      <c r="W55" s="32">
        <f t="shared" si="19"/>
        <v>1.1098457142857143</v>
      </c>
      <c r="X55" s="1044" t="s">
        <v>720</v>
      </c>
      <c r="Y55" s="32"/>
      <c r="Z55" s="329"/>
      <c r="AA55" s="1044" t="s">
        <v>1570</v>
      </c>
    </row>
    <row r="56" spans="1:27" s="328" customFormat="1" ht="25" x14ac:dyDescent="0.25">
      <c r="A56" s="3092"/>
      <c r="B56" s="320" t="s">
        <v>147</v>
      </c>
      <c r="C56" s="1027" t="s">
        <v>15</v>
      </c>
      <c r="D56" s="1027" t="s">
        <v>100</v>
      </c>
      <c r="E56" s="1027"/>
      <c r="F56" s="1050"/>
      <c r="G56" s="1027"/>
      <c r="H56" s="1051">
        <f t="shared" si="16"/>
        <v>0</v>
      </c>
      <c r="I56" s="33">
        <v>0</v>
      </c>
      <c r="J56" s="1027">
        <v>1</v>
      </c>
      <c r="K56" s="1046">
        <v>10000</v>
      </c>
      <c r="L56" s="1027">
        <v>1</v>
      </c>
      <c r="M56" s="1051">
        <f t="shared" si="18"/>
        <v>10000</v>
      </c>
      <c r="N56" s="33">
        <v>0</v>
      </c>
      <c r="O56" s="2230">
        <f t="shared" si="15"/>
        <v>10000</v>
      </c>
      <c r="P56" s="37"/>
      <c r="Q56" s="33">
        <v>0</v>
      </c>
      <c r="R56" s="1052" t="s">
        <v>156</v>
      </c>
      <c r="S56" s="2516"/>
      <c r="T56" s="2502">
        <f t="shared" si="5"/>
        <v>0</v>
      </c>
      <c r="U56" s="2518" t="s">
        <v>156</v>
      </c>
      <c r="V56" s="2670">
        <v>9986.8799999999992</v>
      </c>
      <c r="W56" s="32">
        <f t="shared" si="19"/>
        <v>0.99868799999999991</v>
      </c>
      <c r="X56" s="369"/>
      <c r="Y56" s="32"/>
      <c r="Z56" s="329"/>
      <c r="AA56" s="37"/>
    </row>
    <row r="57" spans="1:27" s="328" customFormat="1" ht="87.5" x14ac:dyDescent="0.25">
      <c r="A57" s="3093"/>
      <c r="B57" s="320" t="s">
        <v>148</v>
      </c>
      <c r="C57" s="1027" t="s">
        <v>118</v>
      </c>
      <c r="D57" s="1027" t="s">
        <v>100</v>
      </c>
      <c r="E57" s="1027"/>
      <c r="F57" s="1050"/>
      <c r="G57" s="1027"/>
      <c r="H57" s="1051">
        <f t="shared" si="16"/>
        <v>0</v>
      </c>
      <c r="I57" s="33">
        <v>0</v>
      </c>
      <c r="J57" s="1027">
        <v>1</v>
      </c>
      <c r="K57" s="1046">
        <v>35000</v>
      </c>
      <c r="L57" s="1027">
        <v>1</v>
      </c>
      <c r="M57" s="1051">
        <f t="shared" si="18"/>
        <v>35000</v>
      </c>
      <c r="N57" s="33">
        <v>0</v>
      </c>
      <c r="O57" s="2230">
        <f t="shared" si="15"/>
        <v>35000</v>
      </c>
      <c r="P57" s="37"/>
      <c r="Q57" s="33">
        <v>0</v>
      </c>
      <c r="R57" s="1031" t="s">
        <v>157</v>
      </c>
      <c r="S57" s="2514"/>
      <c r="T57" s="2502"/>
      <c r="U57" s="2515" t="s">
        <v>157</v>
      </c>
      <c r="V57" s="2670">
        <v>35350</v>
      </c>
      <c r="W57" s="32">
        <f t="shared" si="19"/>
        <v>1.01</v>
      </c>
      <c r="X57" s="37"/>
      <c r="Y57" s="32"/>
      <c r="Z57" s="329"/>
      <c r="AA57" s="37"/>
    </row>
    <row r="58" spans="1:27" s="328" customFormat="1" x14ac:dyDescent="0.25">
      <c r="A58" s="3094" t="s">
        <v>158</v>
      </c>
      <c r="B58" s="3095"/>
      <c r="C58" s="1902"/>
      <c r="D58" s="1903" t="s">
        <v>0</v>
      </c>
      <c r="E58" s="1903"/>
      <c r="F58" s="1904"/>
      <c r="G58" s="1903"/>
      <c r="H58" s="376">
        <f>SUM(H47:H57)</f>
        <v>162557.71</v>
      </c>
      <c r="I58" s="376"/>
      <c r="J58" s="378"/>
      <c r="K58" s="378"/>
      <c r="L58" s="378"/>
      <c r="M58" s="1905">
        <f>SUM(M47:M57)</f>
        <v>162442.33000000002</v>
      </c>
      <c r="N58" s="378"/>
      <c r="O58" s="385">
        <f>SUM(O47:O57)</f>
        <v>325000.03999999998</v>
      </c>
      <c r="P58" s="378"/>
      <c r="Q58" s="1905">
        <f>SUM(Q47:Q57)</f>
        <v>0</v>
      </c>
      <c r="R58" s="1906"/>
      <c r="S58" s="1906"/>
      <c r="T58" s="1906">
        <f>SUM(T47:T57)</f>
        <v>0</v>
      </c>
      <c r="U58" s="1906"/>
      <c r="V58" s="2675">
        <f>SUM(V47:V57)</f>
        <v>312404.25999999995</v>
      </c>
      <c r="W58" s="373">
        <f>V58/O58</f>
        <v>0.96124375861615274</v>
      </c>
      <c r="X58" s="378"/>
      <c r="Y58" s="373">
        <v>0</v>
      </c>
      <c r="Z58" s="374">
        <f>SUM(Z47:Z57)</f>
        <v>0</v>
      </c>
      <c r="AA58" s="1907"/>
    </row>
    <row r="59" spans="1:27" s="330" customFormat="1" x14ac:dyDescent="0.25">
      <c r="A59" s="3087" t="s">
        <v>53</v>
      </c>
      <c r="B59" s="3088"/>
      <c r="C59" s="391"/>
      <c r="D59" s="392"/>
      <c r="E59" s="392"/>
      <c r="F59" s="393"/>
      <c r="G59" s="392"/>
      <c r="H59" s="394">
        <f>H25+H45+H58</f>
        <v>548507.71</v>
      </c>
      <c r="I59" s="394"/>
      <c r="J59" s="394"/>
      <c r="K59" s="394"/>
      <c r="L59" s="394"/>
      <c r="M59" s="394">
        <f>M25+M45+M58</f>
        <v>464884.33</v>
      </c>
      <c r="N59" s="395"/>
      <c r="O59" s="2897">
        <f>+H59+M59</f>
        <v>1013392.04</v>
      </c>
      <c r="P59" s="394"/>
      <c r="Q59" s="395">
        <f>Q25+Q45+Q58</f>
        <v>248742.6</v>
      </c>
      <c r="R59" s="396"/>
      <c r="S59" s="396"/>
      <c r="T59" s="396">
        <f>T58+T45+T25</f>
        <v>222554.6</v>
      </c>
      <c r="U59" s="396"/>
      <c r="V59" s="2676">
        <f>V25+V45+V58</f>
        <v>996438.00999999978</v>
      </c>
      <c r="W59" s="397">
        <f>V59/O59</f>
        <v>0.98327001858037066</v>
      </c>
      <c r="X59" s="395"/>
      <c r="Y59" s="398">
        <f>Z59/O59</f>
        <v>0.18055224708494846</v>
      </c>
      <c r="Z59" s="403">
        <f>Z25+Z45+Z58</f>
        <v>182970.21</v>
      </c>
      <c r="AA59" s="399"/>
    </row>
    <row r="60" spans="1:27" s="38" customFormat="1" x14ac:dyDescent="0.25">
      <c r="A60" s="3072" t="s">
        <v>85</v>
      </c>
      <c r="B60" s="3073"/>
      <c r="C60" s="3073"/>
      <c r="D60" s="3073"/>
      <c r="E60" s="3073"/>
      <c r="F60" s="3073"/>
      <c r="G60" s="3073"/>
      <c r="H60" s="3073"/>
      <c r="I60" s="3073"/>
      <c r="J60" s="3073"/>
      <c r="K60" s="3073"/>
      <c r="L60" s="3073"/>
      <c r="M60" s="3073"/>
      <c r="N60" s="3073"/>
      <c r="O60" s="3073"/>
      <c r="P60" s="3073"/>
      <c r="Q60" s="3073"/>
      <c r="R60" s="3073"/>
      <c r="S60" s="3073"/>
      <c r="T60" s="3073"/>
      <c r="U60" s="3073"/>
      <c r="V60" s="3073"/>
      <c r="W60" s="3073"/>
      <c r="X60" s="3073"/>
      <c r="Y60" s="3073"/>
      <c r="Z60" s="3073"/>
      <c r="AA60" s="3073"/>
    </row>
    <row r="61" spans="1:27" s="38" customFormat="1" x14ac:dyDescent="0.25">
      <c r="A61" s="3097" t="s">
        <v>54</v>
      </c>
      <c r="B61" s="3098"/>
      <c r="C61" s="331"/>
      <c r="D61" s="332"/>
      <c r="E61" s="333"/>
      <c r="F61" s="334"/>
      <c r="G61" s="333"/>
      <c r="H61" s="333"/>
      <c r="I61" s="333"/>
      <c r="J61" s="333"/>
      <c r="K61" s="333"/>
      <c r="L61" s="333"/>
      <c r="M61" s="333"/>
      <c r="N61" s="333"/>
      <c r="O61" s="333"/>
      <c r="P61" s="333"/>
      <c r="Q61" s="333"/>
      <c r="R61" s="335"/>
      <c r="S61" s="2519"/>
      <c r="T61" s="2519"/>
      <c r="U61" s="2519"/>
      <c r="V61" s="2677"/>
      <c r="W61" s="336"/>
      <c r="X61" s="333"/>
      <c r="Y61" s="333"/>
      <c r="Z61" s="333"/>
      <c r="AA61" s="333"/>
    </row>
    <row r="62" spans="1:27" s="328" customFormat="1" ht="37.5" x14ac:dyDescent="0.25">
      <c r="A62" s="1045" t="s">
        <v>159</v>
      </c>
      <c r="B62" s="1043" t="s">
        <v>164</v>
      </c>
      <c r="C62" s="337" t="s">
        <v>14</v>
      </c>
      <c r="D62" s="1027" t="s">
        <v>100</v>
      </c>
      <c r="E62" s="1027">
        <v>1</v>
      </c>
      <c r="F62" s="1046">
        <v>3660</v>
      </c>
      <c r="G62" s="1027">
        <v>12</v>
      </c>
      <c r="H62" s="39">
        <f>E62*F62*G62</f>
        <v>43920</v>
      </c>
      <c r="I62" s="33">
        <v>0</v>
      </c>
      <c r="J62" s="1027">
        <v>1</v>
      </c>
      <c r="K62" s="1046">
        <v>3660</v>
      </c>
      <c r="L62" s="1027">
        <v>12</v>
      </c>
      <c r="M62" s="307">
        <f>J62*K62*L62</f>
        <v>43920</v>
      </c>
      <c r="N62" s="33">
        <v>0</v>
      </c>
      <c r="O62" s="2230">
        <f>H62+M62</f>
        <v>87840</v>
      </c>
      <c r="P62" s="307"/>
      <c r="Q62" s="307">
        <v>0</v>
      </c>
      <c r="R62" s="1047" t="s">
        <v>165</v>
      </c>
      <c r="S62" s="2520">
        <v>0</v>
      </c>
      <c r="T62" s="2520">
        <v>0</v>
      </c>
      <c r="U62" s="2520"/>
      <c r="V62" s="2678">
        <v>92104.53</v>
      </c>
      <c r="W62" s="32">
        <f>V62/O62</f>
        <v>1.0485488387978141</v>
      </c>
      <c r="X62" s="1044" t="s">
        <v>1496</v>
      </c>
      <c r="Y62" s="32"/>
      <c r="Z62" s="329">
        <f>I62*V62</f>
        <v>0</v>
      </c>
      <c r="AA62" s="1044" t="s">
        <v>1496</v>
      </c>
    </row>
    <row r="63" spans="1:27" s="328" customFormat="1" ht="37.5" x14ac:dyDescent="0.25">
      <c r="A63" s="1048" t="s">
        <v>160</v>
      </c>
      <c r="B63" s="1043" t="s">
        <v>164</v>
      </c>
      <c r="C63" s="337" t="s">
        <v>14</v>
      </c>
      <c r="D63" s="1027" t="s">
        <v>100</v>
      </c>
      <c r="E63" s="1027">
        <v>1</v>
      </c>
      <c r="F63" s="1046">
        <v>2714</v>
      </c>
      <c r="G63" s="1027">
        <v>12</v>
      </c>
      <c r="H63" s="39">
        <f>E63*F63*G63</f>
        <v>32568</v>
      </c>
      <c r="I63" s="33">
        <v>0</v>
      </c>
      <c r="J63" s="1027">
        <v>1</v>
      </c>
      <c r="K63" s="1046">
        <v>2714</v>
      </c>
      <c r="L63" s="1027">
        <v>12</v>
      </c>
      <c r="M63" s="307">
        <f>J63*K63*L63</f>
        <v>32568</v>
      </c>
      <c r="N63" s="33">
        <v>0</v>
      </c>
      <c r="O63" s="2230">
        <f>H63+M63</f>
        <v>65136</v>
      </c>
      <c r="P63" s="307"/>
      <c r="Q63" s="307">
        <v>0</v>
      </c>
      <c r="R63" s="1047" t="s">
        <v>166</v>
      </c>
      <c r="S63" s="2520"/>
      <c r="T63" s="2520"/>
      <c r="U63" s="2520"/>
      <c r="V63" s="2678">
        <v>68058.44</v>
      </c>
      <c r="W63" s="32">
        <f t="shared" ref="W63:W66" si="20">V63/O63</f>
        <v>1.0448667403586342</v>
      </c>
      <c r="X63" s="1044" t="s">
        <v>1496</v>
      </c>
      <c r="Y63" s="32"/>
      <c r="Z63" s="329">
        <f>I63*V63</f>
        <v>0</v>
      </c>
      <c r="AA63" s="1044" t="s">
        <v>1496</v>
      </c>
    </row>
    <row r="64" spans="1:27" s="328" customFormat="1" ht="37.5" x14ac:dyDescent="0.25">
      <c r="A64" s="1045" t="s">
        <v>161</v>
      </c>
      <c r="B64" s="1043" t="s">
        <v>164</v>
      </c>
      <c r="C64" s="337" t="s">
        <v>14</v>
      </c>
      <c r="D64" s="1027" t="s">
        <v>100</v>
      </c>
      <c r="E64" s="1027">
        <v>1</v>
      </c>
      <c r="F64" s="1046">
        <v>2714</v>
      </c>
      <c r="G64" s="1027">
        <v>12</v>
      </c>
      <c r="H64" s="39">
        <f>E64*F64*G64</f>
        <v>32568</v>
      </c>
      <c r="I64" s="33">
        <v>0</v>
      </c>
      <c r="J64" s="1027">
        <v>1</v>
      </c>
      <c r="K64" s="1046">
        <v>2714</v>
      </c>
      <c r="L64" s="1027">
        <v>12</v>
      </c>
      <c r="M64" s="307">
        <f>J64*K64*L64</f>
        <v>32568</v>
      </c>
      <c r="N64" s="33">
        <v>0</v>
      </c>
      <c r="O64" s="2230">
        <f>H64+M64</f>
        <v>65136</v>
      </c>
      <c r="P64" s="307"/>
      <c r="Q64" s="307">
        <v>0</v>
      </c>
      <c r="R64" s="1047" t="s">
        <v>167</v>
      </c>
      <c r="S64" s="2520"/>
      <c r="T64" s="2520"/>
      <c r="U64" s="2520"/>
      <c r="V64" s="2678">
        <v>66917.98000000001</v>
      </c>
      <c r="W64" s="32">
        <f t="shared" si="20"/>
        <v>1.0273578359125524</v>
      </c>
      <c r="X64" s="1044" t="s">
        <v>1496</v>
      </c>
      <c r="Y64" s="32"/>
      <c r="Z64" s="329">
        <f>I64*V64</f>
        <v>0</v>
      </c>
      <c r="AA64" s="1044" t="s">
        <v>1496</v>
      </c>
    </row>
    <row r="65" spans="1:27" s="328" customFormat="1" ht="37.5" x14ac:dyDescent="0.25">
      <c r="A65" s="1045" t="s">
        <v>162</v>
      </c>
      <c r="B65" s="1043" t="s">
        <v>164</v>
      </c>
      <c r="C65" s="337" t="s">
        <v>14</v>
      </c>
      <c r="D65" s="1027" t="s">
        <v>100</v>
      </c>
      <c r="E65" s="1027">
        <v>1</v>
      </c>
      <c r="F65" s="1046">
        <v>1600</v>
      </c>
      <c r="G65" s="1027">
        <v>12</v>
      </c>
      <c r="H65" s="39">
        <f>E65*F65*G65</f>
        <v>19200</v>
      </c>
      <c r="I65" s="33">
        <v>0</v>
      </c>
      <c r="J65" s="1027">
        <v>1</v>
      </c>
      <c r="K65" s="1046">
        <v>1600</v>
      </c>
      <c r="L65" s="1027">
        <v>12</v>
      </c>
      <c r="M65" s="307">
        <f>J65*K65*L65</f>
        <v>19200</v>
      </c>
      <c r="N65" s="33">
        <v>0</v>
      </c>
      <c r="O65" s="2230">
        <f>H65+M65</f>
        <v>38400</v>
      </c>
      <c r="P65" s="307"/>
      <c r="Q65" s="307">
        <v>0</v>
      </c>
      <c r="R65" s="1047" t="s">
        <v>168</v>
      </c>
      <c r="S65" s="2520"/>
      <c r="T65" s="2520"/>
      <c r="U65" s="2520"/>
      <c r="V65" s="2678">
        <v>38425.57</v>
      </c>
      <c r="W65" s="32">
        <f t="shared" si="20"/>
        <v>1.0006658854166666</v>
      </c>
      <c r="X65" s="1044" t="s">
        <v>1496</v>
      </c>
      <c r="Y65" s="32"/>
      <c r="Z65" s="329">
        <f>I65*V65</f>
        <v>0</v>
      </c>
      <c r="AA65" s="1044" t="s">
        <v>1496</v>
      </c>
    </row>
    <row r="66" spans="1:27" s="328" customFormat="1" ht="37.5" x14ac:dyDescent="0.25">
      <c r="A66" s="539" t="s">
        <v>163</v>
      </c>
      <c r="B66" s="1043" t="s">
        <v>164</v>
      </c>
      <c r="C66" s="337" t="s">
        <v>14</v>
      </c>
      <c r="D66" s="1027" t="s">
        <v>100</v>
      </c>
      <c r="E66" s="1049">
        <v>0.1</v>
      </c>
      <c r="F66" s="1046">
        <v>2714</v>
      </c>
      <c r="G66" s="1027">
        <v>12</v>
      </c>
      <c r="H66" s="39">
        <f>E66*F66*G66</f>
        <v>3256.8</v>
      </c>
      <c r="I66" s="33">
        <v>0</v>
      </c>
      <c r="J66" s="1049">
        <v>0.1</v>
      </c>
      <c r="K66" s="1046">
        <v>2714</v>
      </c>
      <c r="L66" s="1027">
        <v>12</v>
      </c>
      <c r="M66" s="307">
        <f>J66*K66*L66</f>
        <v>3256.8</v>
      </c>
      <c r="N66" s="33">
        <v>0</v>
      </c>
      <c r="O66" s="2230">
        <f>H66+M66</f>
        <v>6513.6</v>
      </c>
      <c r="P66" s="307"/>
      <c r="Q66" s="308">
        <v>0</v>
      </c>
      <c r="R66" s="338"/>
      <c r="S66" s="2521"/>
      <c r="T66" s="2521"/>
      <c r="U66" s="2521"/>
      <c r="V66" s="2679">
        <v>7100</v>
      </c>
      <c r="W66" s="32">
        <f t="shared" si="20"/>
        <v>1.0900270203881111</v>
      </c>
      <c r="X66" s="1044" t="s">
        <v>1496</v>
      </c>
      <c r="Y66" s="32"/>
      <c r="Z66" s="329">
        <f>I66*V66</f>
        <v>0</v>
      </c>
      <c r="AA66" s="1044" t="s">
        <v>1496</v>
      </c>
    </row>
    <row r="67" spans="1:27" s="328" customFormat="1" x14ac:dyDescent="0.25">
      <c r="A67" s="3099"/>
      <c r="B67" s="3099"/>
      <c r="C67" s="339"/>
      <c r="D67" s="314" t="s">
        <v>0</v>
      </c>
      <c r="E67" s="314"/>
      <c r="F67" s="316"/>
      <c r="G67" s="314"/>
      <c r="H67" s="34">
        <f>SUM(H62:H66)</f>
        <v>131512.79999999999</v>
      </c>
      <c r="I67" s="34"/>
      <c r="J67" s="15"/>
      <c r="K67" s="15"/>
      <c r="L67" s="15"/>
      <c r="M67" s="390">
        <f>SUM(M62:M66)</f>
        <v>131512.79999999999</v>
      </c>
      <c r="N67" s="15"/>
      <c r="O67" s="390">
        <f>SUM(O62:O66)</f>
        <v>263025.59999999998</v>
      </c>
      <c r="P67" s="15"/>
      <c r="Q67" s="15"/>
      <c r="R67" s="317"/>
      <c r="S67" s="317"/>
      <c r="T67" s="317">
        <f>SUM(T62:T66)</f>
        <v>0</v>
      </c>
      <c r="U67" s="317"/>
      <c r="V67" s="2669">
        <f>SUM(V62:V66)</f>
        <v>272606.52</v>
      </c>
      <c r="W67" s="319">
        <f>V67/O67</f>
        <v>1.0364258079821889</v>
      </c>
      <c r="X67" s="15"/>
      <c r="Y67" s="375"/>
      <c r="Z67" s="375"/>
      <c r="AA67" s="375"/>
    </row>
    <row r="68" spans="1:27" s="328" customFormat="1" x14ac:dyDescent="0.25">
      <c r="A68" s="3100" t="s">
        <v>55</v>
      </c>
      <c r="B68" s="3101"/>
      <c r="C68" s="3101"/>
      <c r="D68" s="3101"/>
      <c r="E68" s="3101"/>
      <c r="F68" s="3101"/>
      <c r="G68" s="3101"/>
      <c r="H68" s="3101"/>
      <c r="I68" s="3101"/>
      <c r="J68" s="3101"/>
      <c r="K68" s="3101"/>
      <c r="L68" s="3101"/>
      <c r="M68" s="3101"/>
      <c r="N68" s="3101"/>
      <c r="O68" s="3101"/>
      <c r="P68" s="3101"/>
      <c r="Q68" s="3101"/>
      <c r="R68" s="3101"/>
      <c r="S68" s="3101"/>
      <c r="T68" s="3101"/>
      <c r="U68" s="3101"/>
      <c r="V68" s="3101"/>
      <c r="W68" s="3101"/>
      <c r="X68" s="3101"/>
      <c r="Y68" s="3101"/>
      <c r="Z68" s="3101"/>
      <c r="AA68" s="3101"/>
    </row>
    <row r="69" spans="1:27" s="31" customFormat="1" ht="100" x14ac:dyDescent="0.25">
      <c r="A69" s="320" t="s">
        <v>169</v>
      </c>
      <c r="B69" s="1894"/>
      <c r="C69" s="337" t="s">
        <v>15</v>
      </c>
      <c r="D69" s="1027" t="s">
        <v>100</v>
      </c>
      <c r="E69" s="1027">
        <v>1</v>
      </c>
      <c r="F69" s="1033">
        <v>20000.5</v>
      </c>
      <c r="G69" s="1895">
        <v>1</v>
      </c>
      <c r="H69" s="39">
        <f>+E69*F69*G69</f>
        <v>20000.5</v>
      </c>
      <c r="I69" s="33">
        <v>0</v>
      </c>
      <c r="J69" s="33">
        <v>0</v>
      </c>
      <c r="K69" s="33">
        <v>0</v>
      </c>
      <c r="L69" s="33">
        <v>0</v>
      </c>
      <c r="M69" s="33">
        <v>0</v>
      </c>
      <c r="N69" s="33">
        <v>0</v>
      </c>
      <c r="O69" s="2230">
        <f>+H69+M69</f>
        <v>20000.5</v>
      </c>
      <c r="P69" s="33">
        <v>0</v>
      </c>
      <c r="Q69" s="33">
        <v>0</v>
      </c>
      <c r="R69" s="1896" t="s">
        <v>170</v>
      </c>
      <c r="S69" s="2522"/>
      <c r="T69" s="2522"/>
      <c r="U69" s="2522"/>
      <c r="V69" s="2670">
        <v>21185.7</v>
      </c>
      <c r="W69" s="32">
        <f>V69/O69</f>
        <v>1.0592585185370367</v>
      </c>
      <c r="X69" s="1044" t="s">
        <v>1519</v>
      </c>
      <c r="Y69" s="32"/>
      <c r="Z69" s="329">
        <f>I69*V69</f>
        <v>0</v>
      </c>
      <c r="AA69" s="37"/>
    </row>
    <row r="70" spans="1:27" s="328" customFormat="1" x14ac:dyDescent="0.25">
      <c r="A70" s="340"/>
      <c r="B70" s="386"/>
      <c r="C70" s="339"/>
      <c r="D70" s="314" t="s">
        <v>0</v>
      </c>
      <c r="E70" s="314"/>
      <c r="F70" s="316"/>
      <c r="G70" s="314"/>
      <c r="H70" s="34">
        <f>SUM(H69:H69)</f>
        <v>20000.5</v>
      </c>
      <c r="I70" s="34"/>
      <c r="J70" s="15"/>
      <c r="K70" s="15"/>
      <c r="L70" s="15"/>
      <c r="M70" s="318">
        <f>SUM(M69:M69)</f>
        <v>0</v>
      </c>
      <c r="N70" s="15"/>
      <c r="O70" s="390">
        <f>SUM(O69:O69)</f>
        <v>20000.5</v>
      </c>
      <c r="P70" s="15"/>
      <c r="Q70" s="15"/>
      <c r="R70" s="317"/>
      <c r="S70" s="317"/>
      <c r="T70" s="317"/>
      <c r="U70" s="317"/>
      <c r="V70" s="2669">
        <f>SUM(V69:V69)</f>
        <v>21185.7</v>
      </c>
      <c r="W70" s="319">
        <f>V70/O70</f>
        <v>1.0592585185370367</v>
      </c>
      <c r="X70" s="15"/>
      <c r="Y70" s="319"/>
      <c r="Z70" s="318">
        <f>SUM(Z69:Z69)</f>
        <v>0</v>
      </c>
      <c r="AA70" s="15"/>
    </row>
    <row r="71" spans="1:27" s="328" customFormat="1" x14ac:dyDescent="0.25">
      <c r="A71" s="3100" t="s">
        <v>56</v>
      </c>
      <c r="B71" s="3101"/>
      <c r="C71" s="3101"/>
      <c r="D71" s="3101"/>
      <c r="E71" s="3101"/>
      <c r="F71" s="3101"/>
      <c r="G71" s="3101"/>
      <c r="H71" s="3101"/>
      <c r="I71" s="3101"/>
      <c r="J71" s="3101"/>
      <c r="K71" s="3101"/>
      <c r="L71" s="3101"/>
      <c r="M71" s="3101"/>
      <c r="N71" s="3101"/>
      <c r="O71" s="3101"/>
      <c r="P71" s="3101"/>
      <c r="Q71" s="3101"/>
      <c r="R71" s="3101"/>
      <c r="S71" s="3101"/>
      <c r="T71" s="3101"/>
      <c r="U71" s="3101"/>
      <c r="V71" s="3102"/>
      <c r="W71" s="3102"/>
      <c r="X71" s="3102"/>
      <c r="Y71" s="2419"/>
      <c r="Z71" s="2419"/>
      <c r="AA71" s="2419"/>
    </row>
    <row r="72" spans="1:27" s="328" customFormat="1" x14ac:dyDescent="0.25">
      <c r="A72" s="1043" t="s">
        <v>171</v>
      </c>
      <c r="B72" s="387"/>
      <c r="C72" s="320" t="s">
        <v>36</v>
      </c>
      <c r="D72" s="1027" t="s">
        <v>100</v>
      </c>
      <c r="E72" s="33">
        <v>0</v>
      </c>
      <c r="F72" s="33">
        <v>0</v>
      </c>
      <c r="G72" s="33">
        <v>0</v>
      </c>
      <c r="H72" s="39">
        <f>E72*F72*G72</f>
        <v>0</v>
      </c>
      <c r="I72" s="33">
        <v>0</v>
      </c>
      <c r="J72" s="341">
        <v>2</v>
      </c>
      <c r="K72" s="341">
        <v>2500</v>
      </c>
      <c r="L72" s="341">
        <v>1</v>
      </c>
      <c r="M72" s="307">
        <f>J72*K72*L72</f>
        <v>5000</v>
      </c>
      <c r="N72" s="308"/>
      <c r="O72" s="2230">
        <f>H73+M72</f>
        <v>5000</v>
      </c>
      <c r="P72" s="33">
        <v>0</v>
      </c>
      <c r="Q72" s="33">
        <v>0</v>
      </c>
      <c r="R72" s="338"/>
      <c r="S72" s="2521"/>
      <c r="T72" s="2521"/>
      <c r="U72" s="2521"/>
      <c r="V72" s="2670">
        <v>5446</v>
      </c>
      <c r="W72" s="32">
        <f>V72/O72</f>
        <v>1.0891999999999999</v>
      </c>
      <c r="X72" s="37"/>
      <c r="Y72" s="32"/>
      <c r="Z72" s="329">
        <f>I72*V72</f>
        <v>0</v>
      </c>
      <c r="AA72" s="37"/>
    </row>
    <row r="73" spans="1:27" s="328" customFormat="1" x14ac:dyDescent="0.25">
      <c r="A73" s="340"/>
      <c r="B73" s="388"/>
      <c r="C73" s="340"/>
      <c r="D73" s="314" t="s">
        <v>0</v>
      </c>
      <c r="E73" s="314"/>
      <c r="F73" s="316"/>
      <c r="G73" s="314"/>
      <c r="H73" s="34">
        <f>SUM(H72)</f>
        <v>0</v>
      </c>
      <c r="I73" s="34"/>
      <c r="J73" s="15"/>
      <c r="K73" s="15"/>
      <c r="L73" s="15"/>
      <c r="M73" s="390">
        <f>SUM(M72)</f>
        <v>5000</v>
      </c>
      <c r="N73" s="15"/>
      <c r="O73" s="390">
        <f>SUM(O72)</f>
        <v>5000</v>
      </c>
      <c r="P73" s="15"/>
      <c r="Q73" s="15"/>
      <c r="R73" s="317"/>
      <c r="S73" s="317"/>
      <c r="T73" s="317"/>
      <c r="U73" s="317"/>
      <c r="V73" s="2669">
        <f>SUM(V72:V72)</f>
        <v>5446</v>
      </c>
      <c r="W73" s="319">
        <f>V73/O73</f>
        <v>1.0891999999999999</v>
      </c>
      <c r="X73" s="15"/>
      <c r="Y73" s="319"/>
      <c r="Z73" s="318">
        <f>SUM(Z72:Z72)</f>
        <v>0</v>
      </c>
      <c r="AA73" s="15"/>
    </row>
    <row r="74" spans="1:27" s="328" customFormat="1" x14ac:dyDescent="0.25">
      <c r="A74" s="3100" t="s">
        <v>57</v>
      </c>
      <c r="B74" s="3101"/>
      <c r="C74" s="3101"/>
      <c r="D74" s="3101"/>
      <c r="E74" s="3101"/>
      <c r="F74" s="3101"/>
      <c r="G74" s="3101"/>
      <c r="H74" s="3101"/>
      <c r="I74" s="3101"/>
      <c r="J74" s="3101"/>
      <c r="K74" s="3101"/>
      <c r="L74" s="3101"/>
      <c r="M74" s="3101"/>
      <c r="N74" s="3101"/>
      <c r="O74" s="3101"/>
      <c r="P74" s="3101"/>
      <c r="Q74" s="3101"/>
      <c r="R74" s="3101"/>
      <c r="S74" s="3101"/>
      <c r="T74" s="3101"/>
      <c r="U74" s="3101"/>
      <c r="V74" s="3102"/>
      <c r="W74" s="3102"/>
      <c r="X74" s="3102"/>
      <c r="Y74" s="400"/>
      <c r="Z74" s="400"/>
      <c r="AA74" s="400"/>
    </row>
    <row r="75" spans="1:27" s="328" customFormat="1" x14ac:dyDescent="0.25">
      <c r="A75" s="341"/>
      <c r="B75" s="387"/>
      <c r="C75" s="342"/>
      <c r="D75" s="343"/>
      <c r="E75" s="33">
        <v>0</v>
      </c>
      <c r="F75" s="33">
        <v>0</v>
      </c>
      <c r="G75" s="33">
        <v>0</v>
      </c>
      <c r="H75" s="39">
        <v>0</v>
      </c>
      <c r="I75" s="33">
        <v>0</v>
      </c>
      <c r="J75" s="33">
        <v>0</v>
      </c>
      <c r="K75" s="33">
        <v>0</v>
      </c>
      <c r="L75" s="33">
        <v>0</v>
      </c>
      <c r="M75" s="307"/>
      <c r="N75" s="308"/>
      <c r="O75" s="2230">
        <v>0</v>
      </c>
      <c r="P75" s="307"/>
      <c r="Q75" s="308"/>
      <c r="R75" s="338"/>
      <c r="S75" s="2521"/>
      <c r="T75" s="2521"/>
      <c r="U75" s="2521"/>
      <c r="V75" s="2670">
        <v>0</v>
      </c>
      <c r="W75" s="32">
        <v>0</v>
      </c>
      <c r="X75" s="37"/>
      <c r="Y75" s="37"/>
      <c r="Z75" s="37"/>
      <c r="AA75" s="37"/>
    </row>
    <row r="76" spans="1:27" s="328" customFormat="1" x14ac:dyDescent="0.25">
      <c r="A76" s="340"/>
      <c r="B76" s="388"/>
      <c r="C76" s="340"/>
      <c r="D76" s="314" t="s">
        <v>0</v>
      </c>
      <c r="E76" s="314"/>
      <c r="F76" s="316"/>
      <c r="G76" s="314"/>
      <c r="H76" s="34">
        <f>SUM(H75)</f>
        <v>0</v>
      </c>
      <c r="I76" s="34"/>
      <c r="J76" s="15"/>
      <c r="K76" s="15"/>
      <c r="L76" s="15"/>
      <c r="M76" s="390">
        <f>SUM(M75)</f>
        <v>0</v>
      </c>
      <c r="N76" s="15"/>
      <c r="O76" s="390">
        <f>SUM(O75)</f>
        <v>0</v>
      </c>
      <c r="P76" s="15"/>
      <c r="Q76" s="15"/>
      <c r="R76" s="317"/>
      <c r="S76" s="317"/>
      <c r="T76" s="317"/>
      <c r="U76" s="317"/>
      <c r="V76" s="2669">
        <f>SUM(V75:V75)</f>
        <v>0</v>
      </c>
      <c r="W76" s="319">
        <v>0</v>
      </c>
      <c r="X76" s="15"/>
      <c r="Y76" s="319"/>
      <c r="Z76" s="318">
        <f>SUM(Z75:Z75)</f>
        <v>0</v>
      </c>
      <c r="AA76" s="15"/>
    </row>
    <row r="77" spans="1:27" s="328" customFormat="1" x14ac:dyDescent="0.25">
      <c r="A77" s="3103" t="s">
        <v>59</v>
      </c>
      <c r="B77" s="3103"/>
      <c r="C77" s="3103"/>
      <c r="D77" s="3103"/>
      <c r="E77" s="3103"/>
      <c r="F77" s="3103"/>
      <c r="G77" s="3103"/>
      <c r="H77" s="3103"/>
      <c r="I77" s="3103"/>
      <c r="J77" s="3103"/>
      <c r="K77" s="3103"/>
      <c r="L77" s="3103"/>
      <c r="M77" s="3103"/>
      <c r="N77" s="3103"/>
      <c r="O77" s="3103"/>
      <c r="P77" s="3103"/>
      <c r="Q77" s="3103"/>
      <c r="R77" s="3103"/>
      <c r="S77" s="3103"/>
      <c r="T77" s="3103"/>
      <c r="U77" s="3103"/>
      <c r="V77" s="3104"/>
      <c r="W77" s="3104"/>
      <c r="X77" s="3104"/>
      <c r="Y77" s="2419"/>
      <c r="Z77" s="2419"/>
      <c r="AA77" s="2419"/>
    </row>
    <row r="78" spans="1:27" s="31" customFormat="1" ht="25" x14ac:dyDescent="0.25">
      <c r="A78" s="1034" t="s">
        <v>172</v>
      </c>
      <c r="B78" s="1035" t="s">
        <v>173</v>
      </c>
      <c r="C78" s="1036" t="s">
        <v>17</v>
      </c>
      <c r="D78" s="1037" t="s">
        <v>100</v>
      </c>
      <c r="E78" s="1037">
        <v>1</v>
      </c>
      <c r="F78" s="1038">
        <v>2408</v>
      </c>
      <c r="G78" s="1037">
        <v>12</v>
      </c>
      <c r="H78" s="1039">
        <f>+E78*F78*G78</f>
        <v>28896</v>
      </c>
      <c r="I78" s="1040">
        <v>0</v>
      </c>
      <c r="J78" s="1037">
        <v>1</v>
      </c>
      <c r="K78" s="1038">
        <v>2408</v>
      </c>
      <c r="L78" s="1037">
        <v>12</v>
      </c>
      <c r="M78" s="1039">
        <f>+J78*K78*L78</f>
        <v>28896</v>
      </c>
      <c r="N78" s="1040">
        <v>0</v>
      </c>
      <c r="O78" s="2898">
        <f>+H79+M78</f>
        <v>57792</v>
      </c>
      <c r="P78" s="1040">
        <v>0</v>
      </c>
      <c r="Q78" s="1040">
        <v>0</v>
      </c>
      <c r="R78" s="1041"/>
      <c r="S78" s="2523"/>
      <c r="T78" s="2523"/>
      <c r="U78" s="2523"/>
      <c r="V78" s="2680">
        <v>63061.89</v>
      </c>
      <c r="W78" s="1042">
        <f>V78/O78</f>
        <v>1.0911871885382061</v>
      </c>
      <c r="Y78" s="32"/>
      <c r="Z78" s="329">
        <f>I78*V78</f>
        <v>0</v>
      </c>
      <c r="AA78" s="37"/>
    </row>
    <row r="79" spans="1:27" s="328" customFormat="1" x14ac:dyDescent="0.25">
      <c r="A79" s="340"/>
      <c r="B79" s="388"/>
      <c r="C79" s="340"/>
      <c r="D79" s="314" t="s">
        <v>0</v>
      </c>
      <c r="E79" s="314"/>
      <c r="F79" s="316"/>
      <c r="G79" s="314"/>
      <c r="H79" s="34">
        <f>SUM(H78)</f>
        <v>28896</v>
      </c>
      <c r="I79" s="34"/>
      <c r="J79" s="15"/>
      <c r="K79" s="15"/>
      <c r="L79" s="15"/>
      <c r="M79" s="390">
        <f>SUM(M78)</f>
        <v>28896</v>
      </c>
      <c r="N79" s="15"/>
      <c r="O79" s="390">
        <f>SUM(O78)</f>
        <v>57792</v>
      </c>
      <c r="P79" s="15"/>
      <c r="Q79" s="15"/>
      <c r="R79" s="317"/>
      <c r="S79" s="317"/>
      <c r="T79" s="317"/>
      <c r="U79" s="317"/>
      <c r="V79" s="2669">
        <f>SUM(V78:V78)</f>
        <v>63061.89</v>
      </c>
      <c r="W79" s="319">
        <f>V79/O79</f>
        <v>1.0911871885382061</v>
      </c>
      <c r="X79" s="15"/>
      <c r="Y79" s="319"/>
      <c r="Z79" s="318">
        <f>SUM(Z78:Z78)</f>
        <v>0</v>
      </c>
      <c r="AA79" s="15"/>
    </row>
    <row r="80" spans="1:27" s="328" customFormat="1" x14ac:dyDescent="0.25">
      <c r="A80" s="3100" t="s">
        <v>60</v>
      </c>
      <c r="B80" s="3101"/>
      <c r="C80" s="3101"/>
      <c r="D80" s="3101"/>
      <c r="E80" s="3101"/>
      <c r="F80" s="3101"/>
      <c r="G80" s="3101"/>
      <c r="H80" s="3101"/>
      <c r="I80" s="3101"/>
      <c r="J80" s="3101"/>
      <c r="K80" s="3101"/>
      <c r="L80" s="3101"/>
      <c r="M80" s="3101"/>
      <c r="N80" s="3101"/>
      <c r="O80" s="3101"/>
      <c r="P80" s="3101"/>
      <c r="Q80" s="3101"/>
      <c r="R80" s="3101"/>
      <c r="S80" s="3101"/>
      <c r="T80" s="3101"/>
      <c r="U80" s="3101"/>
      <c r="V80" s="3102"/>
      <c r="W80" s="3102"/>
      <c r="X80" s="3102"/>
      <c r="Y80" s="400"/>
      <c r="Z80" s="400"/>
      <c r="AA80" s="400"/>
    </row>
    <row r="81" spans="1:27" s="328" customFormat="1" ht="112" x14ac:dyDescent="0.3">
      <c r="A81" s="320" t="s">
        <v>174</v>
      </c>
      <c r="B81" s="387"/>
      <c r="C81" s="342"/>
      <c r="D81" s="343"/>
      <c r="E81" s="344"/>
      <c r="F81" s="345"/>
      <c r="G81" s="344"/>
      <c r="H81" s="39"/>
      <c r="I81" s="39"/>
      <c r="J81" s="307"/>
      <c r="K81" s="307"/>
      <c r="L81" s="307"/>
      <c r="M81" s="307"/>
      <c r="N81" s="308"/>
      <c r="O81" s="2230"/>
      <c r="P81" s="307"/>
      <c r="Q81" s="308"/>
      <c r="R81" s="338"/>
      <c r="S81" s="2521"/>
      <c r="T81" s="2521"/>
      <c r="U81" s="2521"/>
      <c r="V81" s="2670">
        <v>0</v>
      </c>
      <c r="W81" s="32">
        <v>0</v>
      </c>
      <c r="X81" s="2524" t="s">
        <v>1520</v>
      </c>
      <c r="Y81" s="32"/>
      <c r="Z81" s="329">
        <f>I81*V81</f>
        <v>0</v>
      </c>
      <c r="AA81" s="37"/>
    </row>
    <row r="82" spans="1:27" s="328" customFormat="1" x14ac:dyDescent="0.25">
      <c r="A82" s="340"/>
      <c r="B82" s="388"/>
      <c r="C82" s="340"/>
      <c r="D82" s="314" t="s">
        <v>0</v>
      </c>
      <c r="E82" s="314"/>
      <c r="F82" s="316"/>
      <c r="G82" s="314"/>
      <c r="H82" s="34">
        <f>SUM(H81)</f>
        <v>0</v>
      </c>
      <c r="I82" s="34"/>
      <c r="J82" s="15"/>
      <c r="K82" s="15"/>
      <c r="L82" s="15"/>
      <c r="M82" s="390">
        <f>SUM(M81)</f>
        <v>0</v>
      </c>
      <c r="N82" s="15"/>
      <c r="O82" s="390">
        <f>SUM(O81)</f>
        <v>0</v>
      </c>
      <c r="P82" s="15"/>
      <c r="Q82" s="15"/>
      <c r="R82" s="317"/>
      <c r="S82" s="317"/>
      <c r="T82" s="317">
        <f>T79+T76+T73+T70+T67+T58</f>
        <v>0</v>
      </c>
      <c r="U82" s="317"/>
      <c r="V82" s="2669">
        <f>SUM(V81:V81)</f>
        <v>0</v>
      </c>
      <c r="W82" s="319">
        <v>0</v>
      </c>
      <c r="X82" s="15"/>
      <c r="Y82" s="319"/>
      <c r="Z82" s="318">
        <f>SUM(Z81:Z81)</f>
        <v>0</v>
      </c>
      <c r="AA82" s="15"/>
    </row>
    <row r="83" spans="1:27" s="328" customFormat="1" x14ac:dyDescent="0.25">
      <c r="A83" s="3100" t="s">
        <v>58</v>
      </c>
      <c r="B83" s="3101"/>
      <c r="C83" s="3101"/>
      <c r="D83" s="3101"/>
      <c r="E83" s="3101"/>
      <c r="F83" s="3101"/>
      <c r="G83" s="3101"/>
      <c r="H83" s="3101"/>
      <c r="I83" s="3101"/>
      <c r="J83" s="3101"/>
      <c r="K83" s="3101"/>
      <c r="L83" s="3101"/>
      <c r="M83" s="3101"/>
      <c r="N83" s="3101"/>
      <c r="O83" s="3101"/>
      <c r="P83" s="3101"/>
      <c r="Q83" s="3101"/>
      <c r="R83" s="3101"/>
      <c r="S83" s="3101"/>
      <c r="T83" s="3101"/>
      <c r="U83" s="3101"/>
      <c r="V83" s="3102"/>
      <c r="W83" s="3102"/>
      <c r="X83" s="3102"/>
      <c r="Y83" s="400"/>
      <c r="Z83" s="400"/>
      <c r="AA83" s="400"/>
    </row>
    <row r="84" spans="1:27" s="328" customFormat="1" ht="39" customHeight="1" x14ac:dyDescent="0.25">
      <c r="A84" s="1023" t="s">
        <v>175</v>
      </c>
      <c r="B84" s="1024" t="s">
        <v>175</v>
      </c>
      <c r="C84" s="1025" t="s">
        <v>19</v>
      </c>
      <c r="D84" s="1026" t="s">
        <v>100</v>
      </c>
      <c r="E84" s="1027">
        <v>1</v>
      </c>
      <c r="F84" s="1028">
        <v>735</v>
      </c>
      <c r="G84" s="1029">
        <v>3</v>
      </c>
      <c r="H84" s="39">
        <f>+E84*F84*G84</f>
        <v>2205</v>
      </c>
      <c r="I84" s="33">
        <v>0</v>
      </c>
      <c r="J84" s="1030">
        <v>1</v>
      </c>
      <c r="K84" s="1030">
        <v>740</v>
      </c>
      <c r="L84" s="1027">
        <v>3</v>
      </c>
      <c r="M84" s="307">
        <f>+J84*K84*L84</f>
        <v>2220</v>
      </c>
      <c r="N84" s="33">
        <v>0</v>
      </c>
      <c r="O84" s="2230">
        <f>H84+M84</f>
        <v>4425</v>
      </c>
      <c r="P84" s="33">
        <v>0</v>
      </c>
      <c r="Q84" s="33">
        <v>0</v>
      </c>
      <c r="R84" s="1031" t="s">
        <v>177</v>
      </c>
      <c r="S84" s="2514"/>
      <c r="T84" s="2514"/>
      <c r="U84" s="2514"/>
      <c r="V84" s="2670">
        <v>4425</v>
      </c>
      <c r="W84" s="32">
        <f>V84/O84</f>
        <v>1</v>
      </c>
      <c r="X84" s="37"/>
      <c r="Y84" s="32">
        <v>0</v>
      </c>
      <c r="Z84" s="329">
        <f>I84*V84</f>
        <v>0</v>
      </c>
      <c r="AA84" s="37"/>
    </row>
    <row r="85" spans="1:27" s="328" customFormat="1" ht="37.5" customHeight="1" x14ac:dyDescent="0.25">
      <c r="A85" s="1032" t="s">
        <v>176</v>
      </c>
      <c r="B85" s="387"/>
      <c r="C85" s="1027" t="s">
        <v>19</v>
      </c>
      <c r="D85" s="1026" t="s">
        <v>100</v>
      </c>
      <c r="E85" s="1027">
        <v>1</v>
      </c>
      <c r="F85" s="1033">
        <f>1665-250+5.65</f>
        <v>1420.65</v>
      </c>
      <c r="G85" s="1029">
        <v>12</v>
      </c>
      <c r="H85" s="39">
        <f>+E85*F85*G85</f>
        <v>17047.800000000003</v>
      </c>
      <c r="I85" s="33">
        <v>0</v>
      </c>
      <c r="J85" s="1030">
        <v>1</v>
      </c>
      <c r="K85" s="1033">
        <f>1665-216+5</f>
        <v>1454</v>
      </c>
      <c r="L85" s="1027">
        <v>12</v>
      </c>
      <c r="M85" s="307">
        <f>+J85*K85*L85</f>
        <v>17448</v>
      </c>
      <c r="N85" s="33">
        <v>0</v>
      </c>
      <c r="O85" s="2230">
        <f>H85+M85</f>
        <v>34495.800000000003</v>
      </c>
      <c r="P85" s="33">
        <v>0</v>
      </c>
      <c r="Q85" s="33">
        <v>0</v>
      </c>
      <c r="R85" s="1031" t="s">
        <v>178</v>
      </c>
      <c r="S85" s="2514"/>
      <c r="T85" s="2514"/>
      <c r="U85" s="2514"/>
      <c r="V85" s="2670">
        <v>34967.729999999996</v>
      </c>
      <c r="W85" s="32">
        <f>V85/O85</f>
        <v>1.0136807959229817</v>
      </c>
      <c r="X85" s="31"/>
      <c r="Y85" s="32">
        <v>0</v>
      </c>
      <c r="Z85" s="329">
        <f>I85*V85</f>
        <v>0</v>
      </c>
      <c r="AA85" s="37"/>
    </row>
    <row r="86" spans="1:27" s="328" customFormat="1" x14ac:dyDescent="0.25">
      <c r="A86" s="340"/>
      <c r="B86" s="386"/>
      <c r="C86" s="339"/>
      <c r="D86" s="314" t="s">
        <v>0</v>
      </c>
      <c r="E86" s="314"/>
      <c r="F86" s="316"/>
      <c r="G86" s="314"/>
      <c r="H86" s="34">
        <f>SUM(H84:H85)</f>
        <v>19252.800000000003</v>
      </c>
      <c r="I86" s="34"/>
      <c r="J86" s="34"/>
      <c r="K86" s="34"/>
      <c r="L86" s="34"/>
      <c r="M86" s="34">
        <f>SUM(M84:M85)</f>
        <v>19668</v>
      </c>
      <c r="N86" s="35"/>
      <c r="O86" s="366">
        <f>SUM(O84:O85)</f>
        <v>38920.800000000003</v>
      </c>
      <c r="P86" s="34"/>
      <c r="Q86" s="35">
        <f>SUM(Q84:Q85)</f>
        <v>0</v>
      </c>
      <c r="R86" s="317"/>
      <c r="S86" s="317"/>
      <c r="T86" s="317">
        <f>SUM(T84:T85)</f>
        <v>0</v>
      </c>
      <c r="U86" s="317"/>
      <c r="V86" s="2669">
        <f>SUM(V84:V85)</f>
        <v>39392.729999999996</v>
      </c>
      <c r="W86" s="319">
        <f>V86/O86</f>
        <v>1.0121253931059997</v>
      </c>
      <c r="X86" s="15"/>
      <c r="Y86" s="319">
        <f>AVERAGE(Y84:Y85)</f>
        <v>0</v>
      </c>
      <c r="Z86" s="318">
        <f>SUM(Z84:Z85)</f>
        <v>0</v>
      </c>
      <c r="AA86" s="15"/>
    </row>
    <row r="87" spans="1:27" s="346" customFormat="1" x14ac:dyDescent="0.25">
      <c r="A87" s="3087" t="s">
        <v>51</v>
      </c>
      <c r="B87" s="3088"/>
      <c r="C87" s="3096"/>
      <c r="D87" s="404"/>
      <c r="E87" s="404"/>
      <c r="F87" s="405"/>
      <c r="G87" s="404"/>
      <c r="H87" s="406">
        <f>H67+H70+H73+H76+H79+H82+H86</f>
        <v>199662.09999999998</v>
      </c>
      <c r="I87" s="407"/>
      <c r="J87" s="407"/>
      <c r="K87" s="407"/>
      <c r="L87" s="407"/>
      <c r="M87" s="406">
        <f>M67+M70+M73+M76+M79+M82+M86</f>
        <v>185076.8</v>
      </c>
      <c r="N87" s="407"/>
      <c r="O87" s="2899">
        <f>H87+M87</f>
        <v>384738.89999999997</v>
      </c>
      <c r="P87" s="407"/>
      <c r="Q87" s="408">
        <f>Q67+Q70+Q73+Q76+Q79+Q82+Q86</f>
        <v>0</v>
      </c>
      <c r="R87" s="409"/>
      <c r="S87" s="409"/>
      <c r="T87" s="409"/>
      <c r="U87" s="409"/>
      <c r="V87" s="2681">
        <f>V67+V70+V73+V76+V79+V82+V86</f>
        <v>401692.84</v>
      </c>
      <c r="W87" s="411">
        <f>V87/H87</f>
        <v>2.0118632429489627</v>
      </c>
      <c r="X87" s="412"/>
      <c r="Y87" s="411">
        <f>Y67+Y70+Y73+Y76+Y79+Y82+Y86</f>
        <v>0</v>
      </c>
      <c r="Z87" s="410">
        <f>Z67+Z70+Z73+Z76+Z79+Z82+Z86</f>
        <v>0</v>
      </c>
      <c r="AA87" s="407"/>
    </row>
    <row r="88" spans="1:27" s="415" customFormat="1" x14ac:dyDescent="0.25">
      <c r="A88" s="3111" t="s">
        <v>50</v>
      </c>
      <c r="B88" s="3112"/>
      <c r="C88" s="3112"/>
      <c r="D88" s="3113"/>
      <c r="E88" s="3117"/>
      <c r="F88" s="3118"/>
      <c r="G88" s="3119"/>
      <c r="H88" s="304" t="s">
        <v>3</v>
      </c>
      <c r="I88" s="3123"/>
      <c r="J88" s="2420"/>
      <c r="K88" s="2420"/>
      <c r="L88" s="2420"/>
      <c r="M88" s="304" t="s">
        <v>4</v>
      </c>
      <c r="N88" s="383"/>
      <c r="O88" s="304"/>
      <c r="P88" s="383"/>
      <c r="Q88" s="305"/>
      <c r="R88" s="413"/>
      <c r="S88" s="413"/>
      <c r="T88" s="413"/>
      <c r="U88" s="413"/>
      <c r="V88" s="2682"/>
      <c r="W88" s="306"/>
      <c r="X88" s="305"/>
      <c r="Y88" s="306"/>
      <c r="Z88" s="414"/>
      <c r="AA88" s="304"/>
    </row>
    <row r="89" spans="1:27" s="36" customFormat="1" x14ac:dyDescent="0.25">
      <c r="A89" s="3114"/>
      <c r="B89" s="3115"/>
      <c r="C89" s="3115"/>
      <c r="D89" s="3116"/>
      <c r="E89" s="3120"/>
      <c r="F89" s="3121"/>
      <c r="G89" s="3122"/>
      <c r="H89" s="416">
        <f>+H59+H87</f>
        <v>748169.80999999994</v>
      </c>
      <c r="I89" s="3124"/>
      <c r="J89" s="417"/>
      <c r="K89" s="417"/>
      <c r="L89" s="417"/>
      <c r="M89" s="363">
        <f>+M59+M87</f>
        <v>649961.13</v>
      </c>
      <c r="N89" s="384"/>
      <c r="O89" s="2233">
        <f>+O59+O87</f>
        <v>1398130.94</v>
      </c>
      <c r="P89" s="384"/>
      <c r="Q89" s="364">
        <f>+Q59+Q87</f>
        <v>248742.6</v>
      </c>
      <c r="R89" s="413"/>
      <c r="S89" s="413"/>
      <c r="T89" s="2532">
        <f>T86+T82+T79+T76+T73+T70+T70+T67+T58+T44+T39+T35+T24+T22</f>
        <v>222554.6</v>
      </c>
      <c r="U89" s="2532"/>
      <c r="V89" s="2683">
        <f>V59+V87</f>
        <v>1398130.8499999999</v>
      </c>
      <c r="W89" s="419">
        <f>V89/O89</f>
        <v>0.99999993562834677</v>
      </c>
      <c r="X89" s="305"/>
      <c r="Y89" s="419">
        <f>Z89/O89</f>
        <v>0.13086772115922132</v>
      </c>
      <c r="Z89" s="418">
        <f>Z87+Z59</f>
        <v>182970.21</v>
      </c>
      <c r="AA89" s="304"/>
    </row>
    <row r="90" spans="1:27" s="36" customFormat="1" x14ac:dyDescent="0.25">
      <c r="A90" s="3125" t="s">
        <v>61</v>
      </c>
      <c r="B90" s="3126"/>
      <c r="C90" s="3126"/>
      <c r="D90" s="3127"/>
      <c r="E90" s="3128"/>
      <c r="F90" s="3129"/>
      <c r="G90" s="3130"/>
      <c r="H90" s="401">
        <f>H89*7/100</f>
        <v>52371.886700000003</v>
      </c>
      <c r="I90" s="401"/>
      <c r="J90" s="401">
        <f t="shared" ref="J90:X90" si="21">J89*7/100</f>
        <v>0</v>
      </c>
      <c r="K90" s="401">
        <f t="shared" si="21"/>
        <v>0</v>
      </c>
      <c r="L90" s="401">
        <f t="shared" si="21"/>
        <v>0</v>
      </c>
      <c r="M90" s="401">
        <f t="shared" si="21"/>
        <v>45497.2791</v>
      </c>
      <c r="N90" s="402">
        <f t="shared" si="21"/>
        <v>0</v>
      </c>
      <c r="O90" s="401">
        <f t="shared" si="21"/>
        <v>97869.165800000002</v>
      </c>
      <c r="P90" s="401"/>
      <c r="Q90" s="402">
        <f t="shared" si="21"/>
        <v>17411.982</v>
      </c>
      <c r="R90" s="420">
        <f t="shared" si="21"/>
        <v>0</v>
      </c>
      <c r="S90" s="2525"/>
      <c r="T90" s="2525"/>
      <c r="U90" s="2525"/>
      <c r="V90" s="2684">
        <f>V89*7/100</f>
        <v>97869.159499999994</v>
      </c>
      <c r="W90" s="422"/>
      <c r="X90" s="402">
        <f t="shared" si="21"/>
        <v>0</v>
      </c>
      <c r="Y90" s="422"/>
      <c r="Z90" s="421">
        <f>Z89*7/100</f>
        <v>12807.914699999999</v>
      </c>
      <c r="AA90" s="401"/>
    </row>
    <row r="91" spans="1:27" s="1842" customFormat="1" ht="15.5" x14ac:dyDescent="0.25">
      <c r="A91" s="3131" t="s">
        <v>26</v>
      </c>
      <c r="B91" s="3132"/>
      <c r="C91" s="3132"/>
      <c r="D91" s="3133"/>
      <c r="E91" s="3134"/>
      <c r="F91" s="3135"/>
      <c r="G91" s="3136"/>
      <c r="H91" s="1837">
        <f>SUM(H89:H90)</f>
        <v>800541.69669999997</v>
      </c>
      <c r="I91" s="1837"/>
      <c r="J91" s="1837">
        <f t="shared" ref="J91:X91" si="22">SUM(J89:J90)</f>
        <v>0</v>
      </c>
      <c r="K91" s="1837">
        <f t="shared" si="22"/>
        <v>0</v>
      </c>
      <c r="L91" s="1837">
        <f t="shared" si="22"/>
        <v>0</v>
      </c>
      <c r="M91" s="1837">
        <f t="shared" si="22"/>
        <v>695458.40910000005</v>
      </c>
      <c r="N91" s="1838">
        <f t="shared" si="22"/>
        <v>0</v>
      </c>
      <c r="O91" s="2234">
        <f t="shared" si="22"/>
        <v>1496000.1058</v>
      </c>
      <c r="P91" s="1837"/>
      <c r="Q91" s="1838">
        <f t="shared" si="22"/>
        <v>266154.58199999999</v>
      </c>
      <c r="R91" s="1839">
        <f t="shared" si="22"/>
        <v>0</v>
      </c>
      <c r="S91" s="1839"/>
      <c r="T91" s="1839"/>
      <c r="U91" s="1839"/>
      <c r="V91" s="2685">
        <f t="shared" si="22"/>
        <v>1496000.0094999999</v>
      </c>
      <c r="W91" s="1841">
        <f>V91/O91</f>
        <v>0.99999993562834677</v>
      </c>
      <c r="X91" s="1838">
        <f t="shared" si="22"/>
        <v>0</v>
      </c>
      <c r="Y91" s="1841">
        <f>Z91/O91</f>
        <v>0.13086772115922132</v>
      </c>
      <c r="Z91" s="1840">
        <f>SUM(Z89:Z90)</f>
        <v>195778.12469999999</v>
      </c>
      <c r="AA91" s="1837"/>
    </row>
    <row r="92" spans="1:27" x14ac:dyDescent="0.25">
      <c r="A92" s="36"/>
      <c r="R92" s="348"/>
      <c r="S92" s="2526"/>
      <c r="T92" s="2526"/>
      <c r="U92" s="2526"/>
    </row>
    <row r="93" spans="1:27" x14ac:dyDescent="0.25">
      <c r="A93" s="36"/>
      <c r="R93" s="348"/>
      <c r="S93" s="2526"/>
      <c r="T93" s="2526"/>
      <c r="U93" s="2526"/>
    </row>
    <row r="94" spans="1:27" x14ac:dyDescent="0.25">
      <c r="A94" s="349" t="s">
        <v>5</v>
      </c>
      <c r="B94" s="350"/>
      <c r="C94" s="350"/>
      <c r="D94" s="350"/>
      <c r="E94" s="351"/>
      <c r="F94" s="352"/>
      <c r="G94" s="36"/>
      <c r="H94" s="36"/>
      <c r="I94" s="36"/>
      <c r="N94" s="37"/>
      <c r="O94" s="2235" t="s">
        <v>1536</v>
      </c>
      <c r="P94" s="1911"/>
      <c r="Q94" s="1911"/>
      <c r="R94" s="1912"/>
      <c r="S94" s="2527"/>
      <c r="T94" s="2527"/>
      <c r="U94" s="2527"/>
      <c r="V94" s="2686" t="s">
        <v>1537</v>
      </c>
      <c r="X94" s="310"/>
    </row>
    <row r="95" spans="1:27" x14ac:dyDescent="0.25">
      <c r="A95" s="353" t="s">
        <v>27</v>
      </c>
      <c r="B95" s="389"/>
      <c r="C95" s="28"/>
      <c r="D95" s="28"/>
      <c r="E95" s="354"/>
      <c r="F95" s="352"/>
      <c r="G95" s="36"/>
      <c r="H95" s="36"/>
      <c r="I95" s="36"/>
      <c r="J95" s="36"/>
      <c r="K95" s="36"/>
      <c r="L95" s="36"/>
      <c r="M95" s="30"/>
      <c r="N95" s="37" t="s">
        <v>1535</v>
      </c>
      <c r="O95" s="2236">
        <f>SUM(O33,O21,O20,O14,O17,O34)</f>
        <v>287300</v>
      </c>
      <c r="P95" s="1913">
        <f t="shared" ref="P95:V95" si="23">SUM(P33,P21,P20,P14,P17,P34)</f>
        <v>2.1</v>
      </c>
      <c r="Q95" s="1913">
        <f t="shared" si="23"/>
        <v>108920</v>
      </c>
      <c r="R95" s="1913">
        <f t="shared" si="23"/>
        <v>0</v>
      </c>
      <c r="S95" s="2528"/>
      <c r="T95" s="2528"/>
      <c r="U95" s="2528"/>
      <c r="V95" s="2687">
        <f t="shared" si="23"/>
        <v>301905</v>
      </c>
      <c r="X95" s="1908"/>
    </row>
    <row r="96" spans="1:27" x14ac:dyDescent="0.25">
      <c r="A96" s="3105" t="s">
        <v>46</v>
      </c>
      <c r="B96" s="3106"/>
      <c r="C96" s="3106"/>
      <c r="D96" s="3106"/>
      <c r="E96" s="3107"/>
      <c r="F96" s="312"/>
      <c r="G96" s="28"/>
      <c r="H96" s="28"/>
      <c r="I96" s="28"/>
      <c r="J96" s="36"/>
      <c r="K96" s="36"/>
      <c r="L96" s="36"/>
      <c r="M96" s="30"/>
      <c r="N96" s="30"/>
      <c r="O96" s="36"/>
      <c r="R96" s="355"/>
      <c r="S96" s="2499"/>
      <c r="T96" s="2499"/>
      <c r="U96" s="2499"/>
    </row>
    <row r="97" spans="1:23" x14ac:dyDescent="0.25">
      <c r="A97" s="353" t="s">
        <v>62</v>
      </c>
      <c r="B97" s="29"/>
      <c r="C97" s="29"/>
      <c r="D97" s="356"/>
      <c r="E97" s="354"/>
      <c r="J97" s="28"/>
      <c r="K97" s="28"/>
      <c r="L97" s="28"/>
      <c r="M97" s="28"/>
      <c r="N97" s="28"/>
      <c r="O97" s="356"/>
      <c r="P97" s="28"/>
      <c r="Q97" s="28"/>
    </row>
    <row r="98" spans="1:23" x14ac:dyDescent="0.25">
      <c r="A98" s="353"/>
      <c r="B98" s="29" t="s">
        <v>33</v>
      </c>
      <c r="C98" s="29"/>
      <c r="D98" s="28"/>
      <c r="E98" s="354"/>
    </row>
    <row r="99" spans="1:23" x14ac:dyDescent="0.25">
      <c r="A99" s="353"/>
      <c r="B99" s="29" t="s">
        <v>34</v>
      </c>
      <c r="C99" s="29"/>
      <c r="D99" s="28"/>
      <c r="E99" s="354"/>
    </row>
    <row r="100" spans="1:23" x14ac:dyDescent="0.25">
      <c r="A100" s="3108" t="s">
        <v>63</v>
      </c>
      <c r="B100" s="3109"/>
      <c r="C100" s="3109"/>
      <c r="D100" s="3109"/>
      <c r="E100" s="3110"/>
      <c r="N100" s="30"/>
      <c r="O100" s="36"/>
      <c r="R100" s="30"/>
      <c r="S100" s="2529"/>
      <c r="T100" s="2529"/>
      <c r="U100" s="2529"/>
      <c r="V100" s="2688"/>
      <c r="W100" s="1908"/>
    </row>
    <row r="102" spans="1:23" x14ac:dyDescent="0.25">
      <c r="A102" s="350" t="s">
        <v>49</v>
      </c>
      <c r="B102" s="357"/>
      <c r="C102" s="357"/>
      <c r="D102" s="358"/>
      <c r="E102" s="359"/>
    </row>
    <row r="103" spans="1:23" x14ac:dyDescent="0.25">
      <c r="A103" s="28" t="s">
        <v>14</v>
      </c>
      <c r="B103" s="29"/>
      <c r="C103" s="29"/>
      <c r="D103" s="28"/>
      <c r="E103" s="354"/>
    </row>
    <row r="104" spans="1:23" x14ac:dyDescent="0.25">
      <c r="A104" s="28" t="s">
        <v>15</v>
      </c>
      <c r="B104" s="29"/>
      <c r="C104" s="29"/>
      <c r="D104" s="28"/>
      <c r="E104" s="354"/>
    </row>
    <row r="105" spans="1:23" x14ac:dyDescent="0.25">
      <c r="A105" s="28" t="s">
        <v>36</v>
      </c>
      <c r="B105" s="29"/>
      <c r="C105" s="29"/>
      <c r="D105" s="28"/>
      <c r="E105" s="354"/>
    </row>
    <row r="106" spans="1:23" x14ac:dyDescent="0.25">
      <c r="A106" s="28" t="s">
        <v>47</v>
      </c>
      <c r="B106" s="29"/>
      <c r="C106" s="29"/>
      <c r="D106" s="28"/>
      <c r="E106" s="354"/>
    </row>
    <row r="107" spans="1:23" x14ac:dyDescent="0.25">
      <c r="A107" s="28" t="s">
        <v>17</v>
      </c>
      <c r="B107" s="29"/>
      <c r="C107" s="29"/>
      <c r="D107" s="28"/>
      <c r="E107" s="354"/>
    </row>
    <row r="108" spans="1:23" x14ac:dyDescent="0.25">
      <c r="A108" s="28" t="s">
        <v>48</v>
      </c>
      <c r="B108" s="29"/>
      <c r="C108" s="29"/>
      <c r="D108" s="28"/>
      <c r="E108" s="354"/>
    </row>
    <row r="109" spans="1:23" x14ac:dyDescent="0.25">
      <c r="A109" s="360" t="s">
        <v>19</v>
      </c>
      <c r="B109" s="361"/>
      <c r="C109" s="361"/>
      <c r="D109" s="360"/>
      <c r="E109" s="362"/>
    </row>
  </sheetData>
  <mergeCells count="39">
    <mergeCell ref="A96:E96"/>
    <mergeCell ref="A100:E100"/>
    <mergeCell ref="A88:D89"/>
    <mergeCell ref="E88:G89"/>
    <mergeCell ref="I88:I89"/>
    <mergeCell ref="A90:D90"/>
    <mergeCell ref="E90:G90"/>
    <mergeCell ref="A91:D91"/>
    <mergeCell ref="E91:G91"/>
    <mergeCell ref="A87:C87"/>
    <mergeCell ref="A60:AA60"/>
    <mergeCell ref="A61:B61"/>
    <mergeCell ref="A67:B67"/>
    <mergeCell ref="A68:AA68"/>
    <mergeCell ref="A71:X71"/>
    <mergeCell ref="A74:X74"/>
    <mergeCell ref="A77:X77"/>
    <mergeCell ref="A80:X80"/>
    <mergeCell ref="A83:X83"/>
    <mergeCell ref="A59:B59"/>
    <mergeCell ref="A35:B35"/>
    <mergeCell ref="A36:A38"/>
    <mergeCell ref="A39:B39"/>
    <mergeCell ref="A40:A43"/>
    <mergeCell ref="A44:B44"/>
    <mergeCell ref="A45:B45"/>
    <mergeCell ref="A47:A57"/>
    <mergeCell ref="A58:B58"/>
    <mergeCell ref="AB41:AD42"/>
    <mergeCell ref="C1:I1"/>
    <mergeCell ref="V8:AA8"/>
    <mergeCell ref="A10:AA10"/>
    <mergeCell ref="A11:AA11"/>
    <mergeCell ref="A12:A21"/>
    <mergeCell ref="A22:B22"/>
    <mergeCell ref="A24:B24"/>
    <mergeCell ref="A25:B25"/>
    <mergeCell ref="A26:AA26"/>
    <mergeCell ref="A27:A34"/>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categories</xm:f>
          </x14:formula1>
          <xm:sqref>C58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C65594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C131130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C196666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C262202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C327738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C393274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C458810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C524346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C589882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C655418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C720954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C786490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C852026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C917562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C983098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C84:C86 JA84:JA86 SW84:SW86 ACS84:ACS86 AMO84:AMO86 AWK84:AWK86 BGG84:BGG86 BQC84:BQC86 BZY84:BZY86 CJU84:CJU86 CTQ84:CTQ86 DDM84:DDM86 DNI84:DNI86 DXE84:DXE86 EHA84:EHA86 EQW84:EQW86 FAS84:FAS86 FKO84:FKO86 FUK84:FUK86 GEG84:GEG86 GOC84:GOC86 GXY84:GXY86 HHU84:HHU86 HRQ84:HRQ86 IBM84:IBM86 ILI84:ILI86 IVE84:IVE86 JFA84:JFA86 JOW84:JOW86 JYS84:JYS86 KIO84:KIO86 KSK84:KSK86 LCG84:LCG86 LMC84:LMC86 LVY84:LVY86 MFU84:MFU86 MPQ84:MPQ86 MZM84:MZM86 NJI84:NJI86 NTE84:NTE86 ODA84:ODA86 OMW84:OMW86 OWS84:OWS86 PGO84:PGO86 PQK84:PQK86 QAG84:QAG86 QKC84:QKC86 QTY84:QTY86 RDU84:RDU86 RNQ84:RNQ86 RXM84:RXM86 SHI84:SHI86 SRE84:SRE86 TBA84:TBA86 TKW84:TKW86 TUS84:TUS86 UEO84:UEO86 UOK84:UOK86 UYG84:UYG86 VIC84:VIC86 VRY84:VRY86 WBU84:WBU86 WLQ84:WLQ86 WVM84:WVM86 C65620:C65622 JA65620:JA65622 SW65620:SW65622 ACS65620:ACS65622 AMO65620:AMO65622 AWK65620:AWK65622 BGG65620:BGG65622 BQC65620:BQC65622 BZY65620:BZY65622 CJU65620:CJU65622 CTQ65620:CTQ65622 DDM65620:DDM65622 DNI65620:DNI65622 DXE65620:DXE65622 EHA65620:EHA65622 EQW65620:EQW65622 FAS65620:FAS65622 FKO65620:FKO65622 FUK65620:FUK65622 GEG65620:GEG65622 GOC65620:GOC65622 GXY65620:GXY65622 HHU65620:HHU65622 HRQ65620:HRQ65622 IBM65620:IBM65622 ILI65620:ILI65622 IVE65620:IVE65622 JFA65620:JFA65622 JOW65620:JOW65622 JYS65620:JYS65622 KIO65620:KIO65622 KSK65620:KSK65622 LCG65620:LCG65622 LMC65620:LMC65622 LVY65620:LVY65622 MFU65620:MFU65622 MPQ65620:MPQ65622 MZM65620:MZM65622 NJI65620:NJI65622 NTE65620:NTE65622 ODA65620:ODA65622 OMW65620:OMW65622 OWS65620:OWS65622 PGO65620:PGO65622 PQK65620:PQK65622 QAG65620:QAG65622 QKC65620:QKC65622 QTY65620:QTY65622 RDU65620:RDU65622 RNQ65620:RNQ65622 RXM65620:RXM65622 SHI65620:SHI65622 SRE65620:SRE65622 TBA65620:TBA65622 TKW65620:TKW65622 TUS65620:TUS65622 UEO65620:UEO65622 UOK65620:UOK65622 UYG65620:UYG65622 VIC65620:VIC65622 VRY65620:VRY65622 WBU65620:WBU65622 WLQ65620:WLQ65622 WVM65620:WVM65622 C131156:C131158 JA131156:JA131158 SW131156:SW131158 ACS131156:ACS131158 AMO131156:AMO131158 AWK131156:AWK131158 BGG131156:BGG131158 BQC131156:BQC131158 BZY131156:BZY131158 CJU131156:CJU131158 CTQ131156:CTQ131158 DDM131156:DDM131158 DNI131156:DNI131158 DXE131156:DXE131158 EHA131156:EHA131158 EQW131156:EQW131158 FAS131156:FAS131158 FKO131156:FKO131158 FUK131156:FUK131158 GEG131156:GEG131158 GOC131156:GOC131158 GXY131156:GXY131158 HHU131156:HHU131158 HRQ131156:HRQ131158 IBM131156:IBM131158 ILI131156:ILI131158 IVE131156:IVE131158 JFA131156:JFA131158 JOW131156:JOW131158 JYS131156:JYS131158 KIO131156:KIO131158 KSK131156:KSK131158 LCG131156:LCG131158 LMC131156:LMC131158 LVY131156:LVY131158 MFU131156:MFU131158 MPQ131156:MPQ131158 MZM131156:MZM131158 NJI131156:NJI131158 NTE131156:NTE131158 ODA131156:ODA131158 OMW131156:OMW131158 OWS131156:OWS131158 PGO131156:PGO131158 PQK131156:PQK131158 QAG131156:QAG131158 QKC131156:QKC131158 QTY131156:QTY131158 RDU131156:RDU131158 RNQ131156:RNQ131158 RXM131156:RXM131158 SHI131156:SHI131158 SRE131156:SRE131158 TBA131156:TBA131158 TKW131156:TKW131158 TUS131156:TUS131158 UEO131156:UEO131158 UOK131156:UOK131158 UYG131156:UYG131158 VIC131156:VIC131158 VRY131156:VRY131158 WBU131156:WBU131158 WLQ131156:WLQ131158 WVM131156:WVM131158 C196692:C196694 JA196692:JA196694 SW196692:SW196694 ACS196692:ACS196694 AMO196692:AMO196694 AWK196692:AWK196694 BGG196692:BGG196694 BQC196692:BQC196694 BZY196692:BZY196694 CJU196692:CJU196694 CTQ196692:CTQ196694 DDM196692:DDM196694 DNI196692:DNI196694 DXE196692:DXE196694 EHA196692:EHA196694 EQW196692:EQW196694 FAS196692:FAS196694 FKO196692:FKO196694 FUK196692:FUK196694 GEG196692:GEG196694 GOC196692:GOC196694 GXY196692:GXY196694 HHU196692:HHU196694 HRQ196692:HRQ196694 IBM196692:IBM196694 ILI196692:ILI196694 IVE196692:IVE196694 JFA196692:JFA196694 JOW196692:JOW196694 JYS196692:JYS196694 KIO196692:KIO196694 KSK196692:KSK196694 LCG196692:LCG196694 LMC196692:LMC196694 LVY196692:LVY196694 MFU196692:MFU196694 MPQ196692:MPQ196694 MZM196692:MZM196694 NJI196692:NJI196694 NTE196692:NTE196694 ODA196692:ODA196694 OMW196692:OMW196694 OWS196692:OWS196694 PGO196692:PGO196694 PQK196692:PQK196694 QAG196692:QAG196694 QKC196692:QKC196694 QTY196692:QTY196694 RDU196692:RDU196694 RNQ196692:RNQ196694 RXM196692:RXM196694 SHI196692:SHI196694 SRE196692:SRE196694 TBA196692:TBA196694 TKW196692:TKW196694 TUS196692:TUS196694 UEO196692:UEO196694 UOK196692:UOK196694 UYG196692:UYG196694 VIC196692:VIC196694 VRY196692:VRY196694 WBU196692:WBU196694 WLQ196692:WLQ196694 WVM196692:WVM196694 C262228:C262230 JA262228:JA262230 SW262228:SW262230 ACS262228:ACS262230 AMO262228:AMO262230 AWK262228:AWK262230 BGG262228:BGG262230 BQC262228:BQC262230 BZY262228:BZY262230 CJU262228:CJU262230 CTQ262228:CTQ262230 DDM262228:DDM262230 DNI262228:DNI262230 DXE262228:DXE262230 EHA262228:EHA262230 EQW262228:EQW262230 FAS262228:FAS262230 FKO262228:FKO262230 FUK262228:FUK262230 GEG262228:GEG262230 GOC262228:GOC262230 GXY262228:GXY262230 HHU262228:HHU262230 HRQ262228:HRQ262230 IBM262228:IBM262230 ILI262228:ILI262230 IVE262228:IVE262230 JFA262228:JFA262230 JOW262228:JOW262230 JYS262228:JYS262230 KIO262228:KIO262230 KSK262228:KSK262230 LCG262228:LCG262230 LMC262228:LMC262230 LVY262228:LVY262230 MFU262228:MFU262230 MPQ262228:MPQ262230 MZM262228:MZM262230 NJI262228:NJI262230 NTE262228:NTE262230 ODA262228:ODA262230 OMW262228:OMW262230 OWS262228:OWS262230 PGO262228:PGO262230 PQK262228:PQK262230 QAG262228:QAG262230 QKC262228:QKC262230 QTY262228:QTY262230 RDU262228:RDU262230 RNQ262228:RNQ262230 RXM262228:RXM262230 SHI262228:SHI262230 SRE262228:SRE262230 TBA262228:TBA262230 TKW262228:TKW262230 TUS262228:TUS262230 UEO262228:UEO262230 UOK262228:UOK262230 UYG262228:UYG262230 VIC262228:VIC262230 VRY262228:VRY262230 WBU262228:WBU262230 WLQ262228:WLQ262230 WVM262228:WVM262230 C327764:C327766 JA327764:JA327766 SW327764:SW327766 ACS327764:ACS327766 AMO327764:AMO327766 AWK327764:AWK327766 BGG327764:BGG327766 BQC327764:BQC327766 BZY327764:BZY327766 CJU327764:CJU327766 CTQ327764:CTQ327766 DDM327764:DDM327766 DNI327764:DNI327766 DXE327764:DXE327766 EHA327764:EHA327766 EQW327764:EQW327766 FAS327764:FAS327766 FKO327764:FKO327766 FUK327764:FUK327766 GEG327764:GEG327766 GOC327764:GOC327766 GXY327764:GXY327766 HHU327764:HHU327766 HRQ327764:HRQ327766 IBM327764:IBM327766 ILI327764:ILI327766 IVE327764:IVE327766 JFA327764:JFA327766 JOW327764:JOW327766 JYS327764:JYS327766 KIO327764:KIO327766 KSK327764:KSK327766 LCG327764:LCG327766 LMC327764:LMC327766 LVY327764:LVY327766 MFU327764:MFU327766 MPQ327764:MPQ327766 MZM327764:MZM327766 NJI327764:NJI327766 NTE327764:NTE327766 ODA327764:ODA327766 OMW327764:OMW327766 OWS327764:OWS327766 PGO327764:PGO327766 PQK327764:PQK327766 QAG327764:QAG327766 QKC327764:QKC327766 QTY327764:QTY327766 RDU327764:RDU327766 RNQ327764:RNQ327766 RXM327764:RXM327766 SHI327764:SHI327766 SRE327764:SRE327766 TBA327764:TBA327766 TKW327764:TKW327766 TUS327764:TUS327766 UEO327764:UEO327766 UOK327764:UOK327766 UYG327764:UYG327766 VIC327764:VIC327766 VRY327764:VRY327766 WBU327764:WBU327766 WLQ327764:WLQ327766 WVM327764:WVM327766 C393300:C393302 JA393300:JA393302 SW393300:SW393302 ACS393300:ACS393302 AMO393300:AMO393302 AWK393300:AWK393302 BGG393300:BGG393302 BQC393300:BQC393302 BZY393300:BZY393302 CJU393300:CJU393302 CTQ393300:CTQ393302 DDM393300:DDM393302 DNI393300:DNI393302 DXE393300:DXE393302 EHA393300:EHA393302 EQW393300:EQW393302 FAS393300:FAS393302 FKO393300:FKO393302 FUK393300:FUK393302 GEG393300:GEG393302 GOC393300:GOC393302 GXY393300:GXY393302 HHU393300:HHU393302 HRQ393300:HRQ393302 IBM393300:IBM393302 ILI393300:ILI393302 IVE393300:IVE393302 JFA393300:JFA393302 JOW393300:JOW393302 JYS393300:JYS393302 KIO393300:KIO393302 KSK393300:KSK393302 LCG393300:LCG393302 LMC393300:LMC393302 LVY393300:LVY393302 MFU393300:MFU393302 MPQ393300:MPQ393302 MZM393300:MZM393302 NJI393300:NJI393302 NTE393300:NTE393302 ODA393300:ODA393302 OMW393300:OMW393302 OWS393300:OWS393302 PGO393300:PGO393302 PQK393300:PQK393302 QAG393300:QAG393302 QKC393300:QKC393302 QTY393300:QTY393302 RDU393300:RDU393302 RNQ393300:RNQ393302 RXM393300:RXM393302 SHI393300:SHI393302 SRE393300:SRE393302 TBA393300:TBA393302 TKW393300:TKW393302 TUS393300:TUS393302 UEO393300:UEO393302 UOK393300:UOK393302 UYG393300:UYG393302 VIC393300:VIC393302 VRY393300:VRY393302 WBU393300:WBU393302 WLQ393300:WLQ393302 WVM393300:WVM393302 C458836:C458838 JA458836:JA458838 SW458836:SW458838 ACS458836:ACS458838 AMO458836:AMO458838 AWK458836:AWK458838 BGG458836:BGG458838 BQC458836:BQC458838 BZY458836:BZY458838 CJU458836:CJU458838 CTQ458836:CTQ458838 DDM458836:DDM458838 DNI458836:DNI458838 DXE458836:DXE458838 EHA458836:EHA458838 EQW458836:EQW458838 FAS458836:FAS458838 FKO458836:FKO458838 FUK458836:FUK458838 GEG458836:GEG458838 GOC458836:GOC458838 GXY458836:GXY458838 HHU458836:HHU458838 HRQ458836:HRQ458838 IBM458836:IBM458838 ILI458836:ILI458838 IVE458836:IVE458838 JFA458836:JFA458838 JOW458836:JOW458838 JYS458836:JYS458838 KIO458836:KIO458838 KSK458836:KSK458838 LCG458836:LCG458838 LMC458836:LMC458838 LVY458836:LVY458838 MFU458836:MFU458838 MPQ458836:MPQ458838 MZM458836:MZM458838 NJI458836:NJI458838 NTE458836:NTE458838 ODA458836:ODA458838 OMW458836:OMW458838 OWS458836:OWS458838 PGO458836:PGO458838 PQK458836:PQK458838 QAG458836:QAG458838 QKC458836:QKC458838 QTY458836:QTY458838 RDU458836:RDU458838 RNQ458836:RNQ458838 RXM458836:RXM458838 SHI458836:SHI458838 SRE458836:SRE458838 TBA458836:TBA458838 TKW458836:TKW458838 TUS458836:TUS458838 UEO458836:UEO458838 UOK458836:UOK458838 UYG458836:UYG458838 VIC458836:VIC458838 VRY458836:VRY458838 WBU458836:WBU458838 WLQ458836:WLQ458838 WVM458836:WVM458838 C524372:C524374 JA524372:JA524374 SW524372:SW524374 ACS524372:ACS524374 AMO524372:AMO524374 AWK524372:AWK524374 BGG524372:BGG524374 BQC524372:BQC524374 BZY524372:BZY524374 CJU524372:CJU524374 CTQ524372:CTQ524374 DDM524372:DDM524374 DNI524372:DNI524374 DXE524372:DXE524374 EHA524372:EHA524374 EQW524372:EQW524374 FAS524372:FAS524374 FKO524372:FKO524374 FUK524372:FUK524374 GEG524372:GEG524374 GOC524372:GOC524374 GXY524372:GXY524374 HHU524372:HHU524374 HRQ524372:HRQ524374 IBM524372:IBM524374 ILI524372:ILI524374 IVE524372:IVE524374 JFA524372:JFA524374 JOW524372:JOW524374 JYS524372:JYS524374 KIO524372:KIO524374 KSK524372:KSK524374 LCG524372:LCG524374 LMC524372:LMC524374 LVY524372:LVY524374 MFU524372:MFU524374 MPQ524372:MPQ524374 MZM524372:MZM524374 NJI524372:NJI524374 NTE524372:NTE524374 ODA524372:ODA524374 OMW524372:OMW524374 OWS524372:OWS524374 PGO524372:PGO524374 PQK524372:PQK524374 QAG524372:QAG524374 QKC524372:QKC524374 QTY524372:QTY524374 RDU524372:RDU524374 RNQ524372:RNQ524374 RXM524372:RXM524374 SHI524372:SHI524374 SRE524372:SRE524374 TBA524372:TBA524374 TKW524372:TKW524374 TUS524372:TUS524374 UEO524372:UEO524374 UOK524372:UOK524374 UYG524372:UYG524374 VIC524372:VIC524374 VRY524372:VRY524374 WBU524372:WBU524374 WLQ524372:WLQ524374 WVM524372:WVM524374 C589908:C589910 JA589908:JA589910 SW589908:SW589910 ACS589908:ACS589910 AMO589908:AMO589910 AWK589908:AWK589910 BGG589908:BGG589910 BQC589908:BQC589910 BZY589908:BZY589910 CJU589908:CJU589910 CTQ589908:CTQ589910 DDM589908:DDM589910 DNI589908:DNI589910 DXE589908:DXE589910 EHA589908:EHA589910 EQW589908:EQW589910 FAS589908:FAS589910 FKO589908:FKO589910 FUK589908:FUK589910 GEG589908:GEG589910 GOC589908:GOC589910 GXY589908:GXY589910 HHU589908:HHU589910 HRQ589908:HRQ589910 IBM589908:IBM589910 ILI589908:ILI589910 IVE589908:IVE589910 JFA589908:JFA589910 JOW589908:JOW589910 JYS589908:JYS589910 KIO589908:KIO589910 KSK589908:KSK589910 LCG589908:LCG589910 LMC589908:LMC589910 LVY589908:LVY589910 MFU589908:MFU589910 MPQ589908:MPQ589910 MZM589908:MZM589910 NJI589908:NJI589910 NTE589908:NTE589910 ODA589908:ODA589910 OMW589908:OMW589910 OWS589908:OWS589910 PGO589908:PGO589910 PQK589908:PQK589910 QAG589908:QAG589910 QKC589908:QKC589910 QTY589908:QTY589910 RDU589908:RDU589910 RNQ589908:RNQ589910 RXM589908:RXM589910 SHI589908:SHI589910 SRE589908:SRE589910 TBA589908:TBA589910 TKW589908:TKW589910 TUS589908:TUS589910 UEO589908:UEO589910 UOK589908:UOK589910 UYG589908:UYG589910 VIC589908:VIC589910 VRY589908:VRY589910 WBU589908:WBU589910 WLQ589908:WLQ589910 WVM589908:WVM589910 C655444:C655446 JA655444:JA655446 SW655444:SW655446 ACS655444:ACS655446 AMO655444:AMO655446 AWK655444:AWK655446 BGG655444:BGG655446 BQC655444:BQC655446 BZY655444:BZY655446 CJU655444:CJU655446 CTQ655444:CTQ655446 DDM655444:DDM655446 DNI655444:DNI655446 DXE655444:DXE655446 EHA655444:EHA655446 EQW655444:EQW655446 FAS655444:FAS655446 FKO655444:FKO655446 FUK655444:FUK655446 GEG655444:GEG655446 GOC655444:GOC655446 GXY655444:GXY655446 HHU655444:HHU655446 HRQ655444:HRQ655446 IBM655444:IBM655446 ILI655444:ILI655446 IVE655444:IVE655446 JFA655444:JFA655446 JOW655444:JOW655446 JYS655444:JYS655446 KIO655444:KIO655446 KSK655444:KSK655446 LCG655444:LCG655446 LMC655444:LMC655446 LVY655444:LVY655446 MFU655444:MFU655446 MPQ655444:MPQ655446 MZM655444:MZM655446 NJI655444:NJI655446 NTE655444:NTE655446 ODA655444:ODA655446 OMW655444:OMW655446 OWS655444:OWS655446 PGO655444:PGO655446 PQK655444:PQK655446 QAG655444:QAG655446 QKC655444:QKC655446 QTY655444:QTY655446 RDU655444:RDU655446 RNQ655444:RNQ655446 RXM655444:RXM655446 SHI655444:SHI655446 SRE655444:SRE655446 TBA655444:TBA655446 TKW655444:TKW655446 TUS655444:TUS655446 UEO655444:UEO655446 UOK655444:UOK655446 UYG655444:UYG655446 VIC655444:VIC655446 VRY655444:VRY655446 WBU655444:WBU655446 WLQ655444:WLQ655446 WVM655444:WVM655446 C720980:C720982 JA720980:JA720982 SW720980:SW720982 ACS720980:ACS720982 AMO720980:AMO720982 AWK720980:AWK720982 BGG720980:BGG720982 BQC720980:BQC720982 BZY720980:BZY720982 CJU720980:CJU720982 CTQ720980:CTQ720982 DDM720980:DDM720982 DNI720980:DNI720982 DXE720980:DXE720982 EHA720980:EHA720982 EQW720980:EQW720982 FAS720980:FAS720982 FKO720980:FKO720982 FUK720980:FUK720982 GEG720980:GEG720982 GOC720980:GOC720982 GXY720980:GXY720982 HHU720980:HHU720982 HRQ720980:HRQ720982 IBM720980:IBM720982 ILI720980:ILI720982 IVE720980:IVE720982 JFA720980:JFA720982 JOW720980:JOW720982 JYS720980:JYS720982 KIO720980:KIO720982 KSK720980:KSK720982 LCG720980:LCG720982 LMC720980:LMC720982 LVY720980:LVY720982 MFU720980:MFU720982 MPQ720980:MPQ720982 MZM720980:MZM720982 NJI720980:NJI720982 NTE720980:NTE720982 ODA720980:ODA720982 OMW720980:OMW720982 OWS720980:OWS720982 PGO720980:PGO720982 PQK720980:PQK720982 QAG720980:QAG720982 QKC720980:QKC720982 QTY720980:QTY720982 RDU720980:RDU720982 RNQ720980:RNQ720982 RXM720980:RXM720982 SHI720980:SHI720982 SRE720980:SRE720982 TBA720980:TBA720982 TKW720980:TKW720982 TUS720980:TUS720982 UEO720980:UEO720982 UOK720980:UOK720982 UYG720980:UYG720982 VIC720980:VIC720982 VRY720980:VRY720982 WBU720980:WBU720982 WLQ720980:WLQ720982 WVM720980:WVM720982 C786516:C786518 JA786516:JA786518 SW786516:SW786518 ACS786516:ACS786518 AMO786516:AMO786518 AWK786516:AWK786518 BGG786516:BGG786518 BQC786516:BQC786518 BZY786516:BZY786518 CJU786516:CJU786518 CTQ786516:CTQ786518 DDM786516:DDM786518 DNI786516:DNI786518 DXE786516:DXE786518 EHA786516:EHA786518 EQW786516:EQW786518 FAS786516:FAS786518 FKO786516:FKO786518 FUK786516:FUK786518 GEG786516:GEG786518 GOC786516:GOC786518 GXY786516:GXY786518 HHU786516:HHU786518 HRQ786516:HRQ786518 IBM786516:IBM786518 ILI786516:ILI786518 IVE786516:IVE786518 JFA786516:JFA786518 JOW786516:JOW786518 JYS786516:JYS786518 KIO786516:KIO786518 KSK786516:KSK786518 LCG786516:LCG786518 LMC786516:LMC786518 LVY786516:LVY786518 MFU786516:MFU786518 MPQ786516:MPQ786518 MZM786516:MZM786518 NJI786516:NJI786518 NTE786516:NTE786518 ODA786516:ODA786518 OMW786516:OMW786518 OWS786516:OWS786518 PGO786516:PGO786518 PQK786516:PQK786518 QAG786516:QAG786518 QKC786516:QKC786518 QTY786516:QTY786518 RDU786516:RDU786518 RNQ786516:RNQ786518 RXM786516:RXM786518 SHI786516:SHI786518 SRE786516:SRE786518 TBA786516:TBA786518 TKW786516:TKW786518 TUS786516:TUS786518 UEO786516:UEO786518 UOK786516:UOK786518 UYG786516:UYG786518 VIC786516:VIC786518 VRY786516:VRY786518 WBU786516:WBU786518 WLQ786516:WLQ786518 WVM786516:WVM786518 C852052:C852054 JA852052:JA852054 SW852052:SW852054 ACS852052:ACS852054 AMO852052:AMO852054 AWK852052:AWK852054 BGG852052:BGG852054 BQC852052:BQC852054 BZY852052:BZY852054 CJU852052:CJU852054 CTQ852052:CTQ852054 DDM852052:DDM852054 DNI852052:DNI852054 DXE852052:DXE852054 EHA852052:EHA852054 EQW852052:EQW852054 FAS852052:FAS852054 FKO852052:FKO852054 FUK852052:FUK852054 GEG852052:GEG852054 GOC852052:GOC852054 GXY852052:GXY852054 HHU852052:HHU852054 HRQ852052:HRQ852054 IBM852052:IBM852054 ILI852052:ILI852054 IVE852052:IVE852054 JFA852052:JFA852054 JOW852052:JOW852054 JYS852052:JYS852054 KIO852052:KIO852054 KSK852052:KSK852054 LCG852052:LCG852054 LMC852052:LMC852054 LVY852052:LVY852054 MFU852052:MFU852054 MPQ852052:MPQ852054 MZM852052:MZM852054 NJI852052:NJI852054 NTE852052:NTE852054 ODA852052:ODA852054 OMW852052:OMW852054 OWS852052:OWS852054 PGO852052:PGO852054 PQK852052:PQK852054 QAG852052:QAG852054 QKC852052:QKC852054 QTY852052:QTY852054 RDU852052:RDU852054 RNQ852052:RNQ852054 RXM852052:RXM852054 SHI852052:SHI852054 SRE852052:SRE852054 TBA852052:TBA852054 TKW852052:TKW852054 TUS852052:TUS852054 UEO852052:UEO852054 UOK852052:UOK852054 UYG852052:UYG852054 VIC852052:VIC852054 VRY852052:VRY852054 WBU852052:WBU852054 WLQ852052:WLQ852054 WVM852052:WVM852054 C917588:C917590 JA917588:JA917590 SW917588:SW917590 ACS917588:ACS917590 AMO917588:AMO917590 AWK917588:AWK917590 BGG917588:BGG917590 BQC917588:BQC917590 BZY917588:BZY917590 CJU917588:CJU917590 CTQ917588:CTQ917590 DDM917588:DDM917590 DNI917588:DNI917590 DXE917588:DXE917590 EHA917588:EHA917590 EQW917588:EQW917590 FAS917588:FAS917590 FKO917588:FKO917590 FUK917588:FUK917590 GEG917588:GEG917590 GOC917588:GOC917590 GXY917588:GXY917590 HHU917588:HHU917590 HRQ917588:HRQ917590 IBM917588:IBM917590 ILI917588:ILI917590 IVE917588:IVE917590 JFA917588:JFA917590 JOW917588:JOW917590 JYS917588:JYS917590 KIO917588:KIO917590 KSK917588:KSK917590 LCG917588:LCG917590 LMC917588:LMC917590 LVY917588:LVY917590 MFU917588:MFU917590 MPQ917588:MPQ917590 MZM917588:MZM917590 NJI917588:NJI917590 NTE917588:NTE917590 ODA917588:ODA917590 OMW917588:OMW917590 OWS917588:OWS917590 PGO917588:PGO917590 PQK917588:PQK917590 QAG917588:QAG917590 QKC917588:QKC917590 QTY917588:QTY917590 RDU917588:RDU917590 RNQ917588:RNQ917590 RXM917588:RXM917590 SHI917588:SHI917590 SRE917588:SRE917590 TBA917588:TBA917590 TKW917588:TKW917590 TUS917588:TUS917590 UEO917588:UEO917590 UOK917588:UOK917590 UYG917588:UYG917590 VIC917588:VIC917590 VRY917588:VRY917590 WBU917588:WBU917590 WLQ917588:WLQ917590 WVM917588:WVM917590 C983124:C983126 JA983124:JA983126 SW983124:SW983126 ACS983124:ACS983126 AMO983124:AMO983126 AWK983124:AWK983126 BGG983124:BGG983126 BQC983124:BQC983126 BZY983124:BZY983126 CJU983124:CJU983126 CTQ983124:CTQ983126 DDM983124:DDM983126 DNI983124:DNI983126 DXE983124:DXE983126 EHA983124:EHA983126 EQW983124:EQW983126 FAS983124:FAS983126 FKO983124:FKO983126 FUK983124:FUK983126 GEG983124:GEG983126 GOC983124:GOC983126 GXY983124:GXY983126 HHU983124:HHU983126 HRQ983124:HRQ983126 IBM983124:IBM983126 ILI983124:ILI983126 IVE983124:IVE983126 JFA983124:JFA983126 JOW983124:JOW983126 JYS983124:JYS983126 KIO983124:KIO983126 KSK983124:KSK983126 LCG983124:LCG983126 LMC983124:LMC983126 LVY983124:LVY983126 MFU983124:MFU983126 MPQ983124:MPQ983126 MZM983124:MZM983126 NJI983124:NJI983126 NTE983124:NTE983126 ODA983124:ODA983126 OMW983124:OMW983126 OWS983124:OWS983126 PGO983124:PGO983126 PQK983124:PQK983126 QAG983124:QAG983126 QKC983124:QKC983126 QTY983124:QTY983126 RDU983124:RDU983126 RNQ983124:RNQ983126 RXM983124:RXM983126 SHI983124:SHI983126 SRE983124:SRE983126 TBA983124:TBA983126 TKW983124:TKW983126 TUS983124:TUS983126 UEO983124:UEO983126 UOK983124:UOK983126 UYG983124:UYG983126 VIC983124:VIC983126 VRY983124:VRY983126 WBU983124:WBU983126 WLQ983124:WLQ983126 WVM983124:WVM983126 C78:C79 JA78:JA79 SW78:SW79 ACS78:ACS79 AMO78:AMO79 AWK78:AWK79 BGG78:BGG79 BQC78:BQC79 BZY78:BZY79 CJU78:CJU79 CTQ78:CTQ79 DDM78:DDM79 DNI78:DNI79 DXE78:DXE79 EHA78:EHA79 EQW78:EQW79 FAS78:FAS79 FKO78:FKO79 FUK78:FUK79 GEG78:GEG79 GOC78:GOC79 GXY78:GXY79 HHU78:HHU79 HRQ78:HRQ79 IBM78:IBM79 ILI78:ILI79 IVE78:IVE79 JFA78:JFA79 JOW78:JOW79 JYS78:JYS79 KIO78:KIO79 KSK78:KSK79 LCG78:LCG79 LMC78:LMC79 LVY78:LVY79 MFU78:MFU79 MPQ78:MPQ79 MZM78:MZM79 NJI78:NJI79 NTE78:NTE79 ODA78:ODA79 OMW78:OMW79 OWS78:OWS79 PGO78:PGO79 PQK78:PQK79 QAG78:QAG79 QKC78:QKC79 QTY78:QTY79 RDU78:RDU79 RNQ78:RNQ79 RXM78:RXM79 SHI78:SHI79 SRE78:SRE79 TBA78:TBA79 TKW78:TKW79 TUS78:TUS79 UEO78:UEO79 UOK78:UOK79 UYG78:UYG79 VIC78:VIC79 VRY78:VRY79 WBU78:WBU79 WLQ78:WLQ79 WVM78:WVM79 C65614:C65615 JA65614:JA65615 SW65614:SW65615 ACS65614:ACS65615 AMO65614:AMO65615 AWK65614:AWK65615 BGG65614:BGG65615 BQC65614:BQC65615 BZY65614:BZY65615 CJU65614:CJU65615 CTQ65614:CTQ65615 DDM65614:DDM65615 DNI65614:DNI65615 DXE65614:DXE65615 EHA65614:EHA65615 EQW65614:EQW65615 FAS65614:FAS65615 FKO65614:FKO65615 FUK65614:FUK65615 GEG65614:GEG65615 GOC65614:GOC65615 GXY65614:GXY65615 HHU65614:HHU65615 HRQ65614:HRQ65615 IBM65614:IBM65615 ILI65614:ILI65615 IVE65614:IVE65615 JFA65614:JFA65615 JOW65614:JOW65615 JYS65614:JYS65615 KIO65614:KIO65615 KSK65614:KSK65615 LCG65614:LCG65615 LMC65614:LMC65615 LVY65614:LVY65615 MFU65614:MFU65615 MPQ65614:MPQ65615 MZM65614:MZM65615 NJI65614:NJI65615 NTE65614:NTE65615 ODA65614:ODA65615 OMW65614:OMW65615 OWS65614:OWS65615 PGO65614:PGO65615 PQK65614:PQK65615 QAG65614:QAG65615 QKC65614:QKC65615 QTY65614:QTY65615 RDU65614:RDU65615 RNQ65614:RNQ65615 RXM65614:RXM65615 SHI65614:SHI65615 SRE65614:SRE65615 TBA65614:TBA65615 TKW65614:TKW65615 TUS65614:TUS65615 UEO65614:UEO65615 UOK65614:UOK65615 UYG65614:UYG65615 VIC65614:VIC65615 VRY65614:VRY65615 WBU65614:WBU65615 WLQ65614:WLQ65615 WVM65614:WVM65615 C131150:C131151 JA131150:JA131151 SW131150:SW131151 ACS131150:ACS131151 AMO131150:AMO131151 AWK131150:AWK131151 BGG131150:BGG131151 BQC131150:BQC131151 BZY131150:BZY131151 CJU131150:CJU131151 CTQ131150:CTQ131151 DDM131150:DDM131151 DNI131150:DNI131151 DXE131150:DXE131151 EHA131150:EHA131151 EQW131150:EQW131151 FAS131150:FAS131151 FKO131150:FKO131151 FUK131150:FUK131151 GEG131150:GEG131151 GOC131150:GOC131151 GXY131150:GXY131151 HHU131150:HHU131151 HRQ131150:HRQ131151 IBM131150:IBM131151 ILI131150:ILI131151 IVE131150:IVE131151 JFA131150:JFA131151 JOW131150:JOW131151 JYS131150:JYS131151 KIO131150:KIO131151 KSK131150:KSK131151 LCG131150:LCG131151 LMC131150:LMC131151 LVY131150:LVY131151 MFU131150:MFU131151 MPQ131150:MPQ131151 MZM131150:MZM131151 NJI131150:NJI131151 NTE131150:NTE131151 ODA131150:ODA131151 OMW131150:OMW131151 OWS131150:OWS131151 PGO131150:PGO131151 PQK131150:PQK131151 QAG131150:QAG131151 QKC131150:QKC131151 QTY131150:QTY131151 RDU131150:RDU131151 RNQ131150:RNQ131151 RXM131150:RXM131151 SHI131150:SHI131151 SRE131150:SRE131151 TBA131150:TBA131151 TKW131150:TKW131151 TUS131150:TUS131151 UEO131150:UEO131151 UOK131150:UOK131151 UYG131150:UYG131151 VIC131150:VIC131151 VRY131150:VRY131151 WBU131150:WBU131151 WLQ131150:WLQ131151 WVM131150:WVM131151 C196686:C196687 JA196686:JA196687 SW196686:SW196687 ACS196686:ACS196687 AMO196686:AMO196687 AWK196686:AWK196687 BGG196686:BGG196687 BQC196686:BQC196687 BZY196686:BZY196687 CJU196686:CJU196687 CTQ196686:CTQ196687 DDM196686:DDM196687 DNI196686:DNI196687 DXE196686:DXE196687 EHA196686:EHA196687 EQW196686:EQW196687 FAS196686:FAS196687 FKO196686:FKO196687 FUK196686:FUK196687 GEG196686:GEG196687 GOC196686:GOC196687 GXY196686:GXY196687 HHU196686:HHU196687 HRQ196686:HRQ196687 IBM196686:IBM196687 ILI196686:ILI196687 IVE196686:IVE196687 JFA196686:JFA196687 JOW196686:JOW196687 JYS196686:JYS196687 KIO196686:KIO196687 KSK196686:KSK196687 LCG196686:LCG196687 LMC196686:LMC196687 LVY196686:LVY196687 MFU196686:MFU196687 MPQ196686:MPQ196687 MZM196686:MZM196687 NJI196686:NJI196687 NTE196686:NTE196687 ODA196686:ODA196687 OMW196686:OMW196687 OWS196686:OWS196687 PGO196686:PGO196687 PQK196686:PQK196687 QAG196686:QAG196687 QKC196686:QKC196687 QTY196686:QTY196687 RDU196686:RDU196687 RNQ196686:RNQ196687 RXM196686:RXM196687 SHI196686:SHI196687 SRE196686:SRE196687 TBA196686:TBA196687 TKW196686:TKW196687 TUS196686:TUS196687 UEO196686:UEO196687 UOK196686:UOK196687 UYG196686:UYG196687 VIC196686:VIC196687 VRY196686:VRY196687 WBU196686:WBU196687 WLQ196686:WLQ196687 WVM196686:WVM196687 C262222:C262223 JA262222:JA262223 SW262222:SW262223 ACS262222:ACS262223 AMO262222:AMO262223 AWK262222:AWK262223 BGG262222:BGG262223 BQC262222:BQC262223 BZY262222:BZY262223 CJU262222:CJU262223 CTQ262222:CTQ262223 DDM262222:DDM262223 DNI262222:DNI262223 DXE262222:DXE262223 EHA262222:EHA262223 EQW262222:EQW262223 FAS262222:FAS262223 FKO262222:FKO262223 FUK262222:FUK262223 GEG262222:GEG262223 GOC262222:GOC262223 GXY262222:GXY262223 HHU262222:HHU262223 HRQ262222:HRQ262223 IBM262222:IBM262223 ILI262222:ILI262223 IVE262222:IVE262223 JFA262222:JFA262223 JOW262222:JOW262223 JYS262222:JYS262223 KIO262222:KIO262223 KSK262222:KSK262223 LCG262222:LCG262223 LMC262222:LMC262223 LVY262222:LVY262223 MFU262222:MFU262223 MPQ262222:MPQ262223 MZM262222:MZM262223 NJI262222:NJI262223 NTE262222:NTE262223 ODA262222:ODA262223 OMW262222:OMW262223 OWS262222:OWS262223 PGO262222:PGO262223 PQK262222:PQK262223 QAG262222:QAG262223 QKC262222:QKC262223 QTY262222:QTY262223 RDU262222:RDU262223 RNQ262222:RNQ262223 RXM262222:RXM262223 SHI262222:SHI262223 SRE262222:SRE262223 TBA262222:TBA262223 TKW262222:TKW262223 TUS262222:TUS262223 UEO262222:UEO262223 UOK262222:UOK262223 UYG262222:UYG262223 VIC262222:VIC262223 VRY262222:VRY262223 WBU262222:WBU262223 WLQ262222:WLQ262223 WVM262222:WVM262223 C327758:C327759 JA327758:JA327759 SW327758:SW327759 ACS327758:ACS327759 AMO327758:AMO327759 AWK327758:AWK327759 BGG327758:BGG327759 BQC327758:BQC327759 BZY327758:BZY327759 CJU327758:CJU327759 CTQ327758:CTQ327759 DDM327758:DDM327759 DNI327758:DNI327759 DXE327758:DXE327759 EHA327758:EHA327759 EQW327758:EQW327759 FAS327758:FAS327759 FKO327758:FKO327759 FUK327758:FUK327759 GEG327758:GEG327759 GOC327758:GOC327759 GXY327758:GXY327759 HHU327758:HHU327759 HRQ327758:HRQ327759 IBM327758:IBM327759 ILI327758:ILI327759 IVE327758:IVE327759 JFA327758:JFA327759 JOW327758:JOW327759 JYS327758:JYS327759 KIO327758:KIO327759 KSK327758:KSK327759 LCG327758:LCG327759 LMC327758:LMC327759 LVY327758:LVY327759 MFU327758:MFU327759 MPQ327758:MPQ327759 MZM327758:MZM327759 NJI327758:NJI327759 NTE327758:NTE327759 ODA327758:ODA327759 OMW327758:OMW327759 OWS327758:OWS327759 PGO327758:PGO327759 PQK327758:PQK327759 QAG327758:QAG327759 QKC327758:QKC327759 QTY327758:QTY327759 RDU327758:RDU327759 RNQ327758:RNQ327759 RXM327758:RXM327759 SHI327758:SHI327759 SRE327758:SRE327759 TBA327758:TBA327759 TKW327758:TKW327759 TUS327758:TUS327759 UEO327758:UEO327759 UOK327758:UOK327759 UYG327758:UYG327759 VIC327758:VIC327759 VRY327758:VRY327759 WBU327758:WBU327759 WLQ327758:WLQ327759 WVM327758:WVM327759 C393294:C393295 JA393294:JA393295 SW393294:SW393295 ACS393294:ACS393295 AMO393294:AMO393295 AWK393294:AWK393295 BGG393294:BGG393295 BQC393294:BQC393295 BZY393294:BZY393295 CJU393294:CJU393295 CTQ393294:CTQ393295 DDM393294:DDM393295 DNI393294:DNI393295 DXE393294:DXE393295 EHA393294:EHA393295 EQW393294:EQW393295 FAS393294:FAS393295 FKO393294:FKO393295 FUK393294:FUK393295 GEG393294:GEG393295 GOC393294:GOC393295 GXY393294:GXY393295 HHU393294:HHU393295 HRQ393294:HRQ393295 IBM393294:IBM393295 ILI393294:ILI393295 IVE393294:IVE393295 JFA393294:JFA393295 JOW393294:JOW393295 JYS393294:JYS393295 KIO393294:KIO393295 KSK393294:KSK393295 LCG393294:LCG393295 LMC393294:LMC393295 LVY393294:LVY393295 MFU393294:MFU393295 MPQ393294:MPQ393295 MZM393294:MZM393295 NJI393294:NJI393295 NTE393294:NTE393295 ODA393294:ODA393295 OMW393294:OMW393295 OWS393294:OWS393295 PGO393294:PGO393295 PQK393294:PQK393295 QAG393294:QAG393295 QKC393294:QKC393295 QTY393294:QTY393295 RDU393294:RDU393295 RNQ393294:RNQ393295 RXM393294:RXM393295 SHI393294:SHI393295 SRE393294:SRE393295 TBA393294:TBA393295 TKW393294:TKW393295 TUS393294:TUS393295 UEO393294:UEO393295 UOK393294:UOK393295 UYG393294:UYG393295 VIC393294:VIC393295 VRY393294:VRY393295 WBU393294:WBU393295 WLQ393294:WLQ393295 WVM393294:WVM393295 C458830:C458831 JA458830:JA458831 SW458830:SW458831 ACS458830:ACS458831 AMO458830:AMO458831 AWK458830:AWK458831 BGG458830:BGG458831 BQC458830:BQC458831 BZY458830:BZY458831 CJU458830:CJU458831 CTQ458830:CTQ458831 DDM458830:DDM458831 DNI458830:DNI458831 DXE458830:DXE458831 EHA458830:EHA458831 EQW458830:EQW458831 FAS458830:FAS458831 FKO458830:FKO458831 FUK458830:FUK458831 GEG458830:GEG458831 GOC458830:GOC458831 GXY458830:GXY458831 HHU458830:HHU458831 HRQ458830:HRQ458831 IBM458830:IBM458831 ILI458830:ILI458831 IVE458830:IVE458831 JFA458830:JFA458831 JOW458830:JOW458831 JYS458830:JYS458831 KIO458830:KIO458831 KSK458830:KSK458831 LCG458830:LCG458831 LMC458830:LMC458831 LVY458830:LVY458831 MFU458830:MFU458831 MPQ458830:MPQ458831 MZM458830:MZM458831 NJI458830:NJI458831 NTE458830:NTE458831 ODA458830:ODA458831 OMW458830:OMW458831 OWS458830:OWS458831 PGO458830:PGO458831 PQK458830:PQK458831 QAG458830:QAG458831 QKC458830:QKC458831 QTY458830:QTY458831 RDU458830:RDU458831 RNQ458830:RNQ458831 RXM458830:RXM458831 SHI458830:SHI458831 SRE458830:SRE458831 TBA458830:TBA458831 TKW458830:TKW458831 TUS458830:TUS458831 UEO458830:UEO458831 UOK458830:UOK458831 UYG458830:UYG458831 VIC458830:VIC458831 VRY458830:VRY458831 WBU458830:WBU458831 WLQ458830:WLQ458831 WVM458830:WVM458831 C524366:C524367 JA524366:JA524367 SW524366:SW524367 ACS524366:ACS524367 AMO524366:AMO524367 AWK524366:AWK524367 BGG524366:BGG524367 BQC524366:BQC524367 BZY524366:BZY524367 CJU524366:CJU524367 CTQ524366:CTQ524367 DDM524366:DDM524367 DNI524366:DNI524367 DXE524366:DXE524367 EHA524366:EHA524367 EQW524366:EQW524367 FAS524366:FAS524367 FKO524366:FKO524367 FUK524366:FUK524367 GEG524366:GEG524367 GOC524366:GOC524367 GXY524366:GXY524367 HHU524366:HHU524367 HRQ524366:HRQ524367 IBM524366:IBM524367 ILI524366:ILI524367 IVE524366:IVE524367 JFA524366:JFA524367 JOW524366:JOW524367 JYS524366:JYS524367 KIO524366:KIO524367 KSK524366:KSK524367 LCG524366:LCG524367 LMC524366:LMC524367 LVY524366:LVY524367 MFU524366:MFU524367 MPQ524366:MPQ524367 MZM524366:MZM524367 NJI524366:NJI524367 NTE524366:NTE524367 ODA524366:ODA524367 OMW524366:OMW524367 OWS524366:OWS524367 PGO524366:PGO524367 PQK524366:PQK524367 QAG524366:QAG524367 QKC524366:QKC524367 QTY524366:QTY524367 RDU524366:RDU524367 RNQ524366:RNQ524367 RXM524366:RXM524367 SHI524366:SHI524367 SRE524366:SRE524367 TBA524366:TBA524367 TKW524366:TKW524367 TUS524366:TUS524367 UEO524366:UEO524367 UOK524366:UOK524367 UYG524366:UYG524367 VIC524366:VIC524367 VRY524366:VRY524367 WBU524366:WBU524367 WLQ524366:WLQ524367 WVM524366:WVM524367 C589902:C589903 JA589902:JA589903 SW589902:SW589903 ACS589902:ACS589903 AMO589902:AMO589903 AWK589902:AWK589903 BGG589902:BGG589903 BQC589902:BQC589903 BZY589902:BZY589903 CJU589902:CJU589903 CTQ589902:CTQ589903 DDM589902:DDM589903 DNI589902:DNI589903 DXE589902:DXE589903 EHA589902:EHA589903 EQW589902:EQW589903 FAS589902:FAS589903 FKO589902:FKO589903 FUK589902:FUK589903 GEG589902:GEG589903 GOC589902:GOC589903 GXY589902:GXY589903 HHU589902:HHU589903 HRQ589902:HRQ589903 IBM589902:IBM589903 ILI589902:ILI589903 IVE589902:IVE589903 JFA589902:JFA589903 JOW589902:JOW589903 JYS589902:JYS589903 KIO589902:KIO589903 KSK589902:KSK589903 LCG589902:LCG589903 LMC589902:LMC589903 LVY589902:LVY589903 MFU589902:MFU589903 MPQ589902:MPQ589903 MZM589902:MZM589903 NJI589902:NJI589903 NTE589902:NTE589903 ODA589902:ODA589903 OMW589902:OMW589903 OWS589902:OWS589903 PGO589902:PGO589903 PQK589902:PQK589903 QAG589902:QAG589903 QKC589902:QKC589903 QTY589902:QTY589903 RDU589902:RDU589903 RNQ589902:RNQ589903 RXM589902:RXM589903 SHI589902:SHI589903 SRE589902:SRE589903 TBA589902:TBA589903 TKW589902:TKW589903 TUS589902:TUS589903 UEO589902:UEO589903 UOK589902:UOK589903 UYG589902:UYG589903 VIC589902:VIC589903 VRY589902:VRY589903 WBU589902:WBU589903 WLQ589902:WLQ589903 WVM589902:WVM589903 C655438:C655439 JA655438:JA655439 SW655438:SW655439 ACS655438:ACS655439 AMO655438:AMO655439 AWK655438:AWK655439 BGG655438:BGG655439 BQC655438:BQC655439 BZY655438:BZY655439 CJU655438:CJU655439 CTQ655438:CTQ655439 DDM655438:DDM655439 DNI655438:DNI655439 DXE655438:DXE655439 EHA655438:EHA655439 EQW655438:EQW655439 FAS655438:FAS655439 FKO655438:FKO655439 FUK655438:FUK655439 GEG655438:GEG655439 GOC655438:GOC655439 GXY655438:GXY655439 HHU655438:HHU655439 HRQ655438:HRQ655439 IBM655438:IBM655439 ILI655438:ILI655439 IVE655438:IVE655439 JFA655438:JFA655439 JOW655438:JOW655439 JYS655438:JYS655439 KIO655438:KIO655439 KSK655438:KSK655439 LCG655438:LCG655439 LMC655438:LMC655439 LVY655438:LVY655439 MFU655438:MFU655439 MPQ655438:MPQ655439 MZM655438:MZM655439 NJI655438:NJI655439 NTE655438:NTE655439 ODA655438:ODA655439 OMW655438:OMW655439 OWS655438:OWS655439 PGO655438:PGO655439 PQK655438:PQK655439 QAG655438:QAG655439 QKC655438:QKC655439 QTY655438:QTY655439 RDU655438:RDU655439 RNQ655438:RNQ655439 RXM655438:RXM655439 SHI655438:SHI655439 SRE655438:SRE655439 TBA655438:TBA655439 TKW655438:TKW655439 TUS655438:TUS655439 UEO655438:UEO655439 UOK655438:UOK655439 UYG655438:UYG655439 VIC655438:VIC655439 VRY655438:VRY655439 WBU655438:WBU655439 WLQ655438:WLQ655439 WVM655438:WVM655439 C720974:C720975 JA720974:JA720975 SW720974:SW720975 ACS720974:ACS720975 AMO720974:AMO720975 AWK720974:AWK720975 BGG720974:BGG720975 BQC720974:BQC720975 BZY720974:BZY720975 CJU720974:CJU720975 CTQ720974:CTQ720975 DDM720974:DDM720975 DNI720974:DNI720975 DXE720974:DXE720975 EHA720974:EHA720975 EQW720974:EQW720975 FAS720974:FAS720975 FKO720974:FKO720975 FUK720974:FUK720975 GEG720974:GEG720975 GOC720974:GOC720975 GXY720974:GXY720975 HHU720974:HHU720975 HRQ720974:HRQ720975 IBM720974:IBM720975 ILI720974:ILI720975 IVE720974:IVE720975 JFA720974:JFA720975 JOW720974:JOW720975 JYS720974:JYS720975 KIO720974:KIO720975 KSK720974:KSK720975 LCG720974:LCG720975 LMC720974:LMC720975 LVY720974:LVY720975 MFU720974:MFU720975 MPQ720974:MPQ720975 MZM720974:MZM720975 NJI720974:NJI720975 NTE720974:NTE720975 ODA720974:ODA720975 OMW720974:OMW720975 OWS720974:OWS720975 PGO720974:PGO720975 PQK720974:PQK720975 QAG720974:QAG720975 QKC720974:QKC720975 QTY720974:QTY720975 RDU720974:RDU720975 RNQ720974:RNQ720975 RXM720974:RXM720975 SHI720974:SHI720975 SRE720974:SRE720975 TBA720974:TBA720975 TKW720974:TKW720975 TUS720974:TUS720975 UEO720974:UEO720975 UOK720974:UOK720975 UYG720974:UYG720975 VIC720974:VIC720975 VRY720974:VRY720975 WBU720974:WBU720975 WLQ720974:WLQ720975 WVM720974:WVM720975 C786510:C786511 JA786510:JA786511 SW786510:SW786511 ACS786510:ACS786511 AMO786510:AMO786511 AWK786510:AWK786511 BGG786510:BGG786511 BQC786510:BQC786511 BZY786510:BZY786511 CJU786510:CJU786511 CTQ786510:CTQ786511 DDM786510:DDM786511 DNI786510:DNI786511 DXE786510:DXE786511 EHA786510:EHA786511 EQW786510:EQW786511 FAS786510:FAS786511 FKO786510:FKO786511 FUK786510:FUK786511 GEG786510:GEG786511 GOC786510:GOC786511 GXY786510:GXY786511 HHU786510:HHU786511 HRQ786510:HRQ786511 IBM786510:IBM786511 ILI786510:ILI786511 IVE786510:IVE786511 JFA786510:JFA786511 JOW786510:JOW786511 JYS786510:JYS786511 KIO786510:KIO786511 KSK786510:KSK786511 LCG786510:LCG786511 LMC786510:LMC786511 LVY786510:LVY786511 MFU786510:MFU786511 MPQ786510:MPQ786511 MZM786510:MZM786511 NJI786510:NJI786511 NTE786510:NTE786511 ODA786510:ODA786511 OMW786510:OMW786511 OWS786510:OWS786511 PGO786510:PGO786511 PQK786510:PQK786511 QAG786510:QAG786511 QKC786510:QKC786511 QTY786510:QTY786511 RDU786510:RDU786511 RNQ786510:RNQ786511 RXM786510:RXM786511 SHI786510:SHI786511 SRE786510:SRE786511 TBA786510:TBA786511 TKW786510:TKW786511 TUS786510:TUS786511 UEO786510:UEO786511 UOK786510:UOK786511 UYG786510:UYG786511 VIC786510:VIC786511 VRY786510:VRY786511 WBU786510:WBU786511 WLQ786510:WLQ786511 WVM786510:WVM786511 C852046:C852047 JA852046:JA852047 SW852046:SW852047 ACS852046:ACS852047 AMO852046:AMO852047 AWK852046:AWK852047 BGG852046:BGG852047 BQC852046:BQC852047 BZY852046:BZY852047 CJU852046:CJU852047 CTQ852046:CTQ852047 DDM852046:DDM852047 DNI852046:DNI852047 DXE852046:DXE852047 EHA852046:EHA852047 EQW852046:EQW852047 FAS852046:FAS852047 FKO852046:FKO852047 FUK852046:FUK852047 GEG852046:GEG852047 GOC852046:GOC852047 GXY852046:GXY852047 HHU852046:HHU852047 HRQ852046:HRQ852047 IBM852046:IBM852047 ILI852046:ILI852047 IVE852046:IVE852047 JFA852046:JFA852047 JOW852046:JOW852047 JYS852046:JYS852047 KIO852046:KIO852047 KSK852046:KSK852047 LCG852046:LCG852047 LMC852046:LMC852047 LVY852046:LVY852047 MFU852046:MFU852047 MPQ852046:MPQ852047 MZM852046:MZM852047 NJI852046:NJI852047 NTE852046:NTE852047 ODA852046:ODA852047 OMW852046:OMW852047 OWS852046:OWS852047 PGO852046:PGO852047 PQK852046:PQK852047 QAG852046:QAG852047 QKC852046:QKC852047 QTY852046:QTY852047 RDU852046:RDU852047 RNQ852046:RNQ852047 RXM852046:RXM852047 SHI852046:SHI852047 SRE852046:SRE852047 TBA852046:TBA852047 TKW852046:TKW852047 TUS852046:TUS852047 UEO852046:UEO852047 UOK852046:UOK852047 UYG852046:UYG852047 VIC852046:VIC852047 VRY852046:VRY852047 WBU852046:WBU852047 WLQ852046:WLQ852047 WVM852046:WVM852047 C917582:C917583 JA917582:JA917583 SW917582:SW917583 ACS917582:ACS917583 AMO917582:AMO917583 AWK917582:AWK917583 BGG917582:BGG917583 BQC917582:BQC917583 BZY917582:BZY917583 CJU917582:CJU917583 CTQ917582:CTQ917583 DDM917582:DDM917583 DNI917582:DNI917583 DXE917582:DXE917583 EHA917582:EHA917583 EQW917582:EQW917583 FAS917582:FAS917583 FKO917582:FKO917583 FUK917582:FUK917583 GEG917582:GEG917583 GOC917582:GOC917583 GXY917582:GXY917583 HHU917582:HHU917583 HRQ917582:HRQ917583 IBM917582:IBM917583 ILI917582:ILI917583 IVE917582:IVE917583 JFA917582:JFA917583 JOW917582:JOW917583 JYS917582:JYS917583 KIO917582:KIO917583 KSK917582:KSK917583 LCG917582:LCG917583 LMC917582:LMC917583 LVY917582:LVY917583 MFU917582:MFU917583 MPQ917582:MPQ917583 MZM917582:MZM917583 NJI917582:NJI917583 NTE917582:NTE917583 ODA917582:ODA917583 OMW917582:OMW917583 OWS917582:OWS917583 PGO917582:PGO917583 PQK917582:PQK917583 QAG917582:QAG917583 QKC917582:QKC917583 QTY917582:QTY917583 RDU917582:RDU917583 RNQ917582:RNQ917583 RXM917582:RXM917583 SHI917582:SHI917583 SRE917582:SRE917583 TBA917582:TBA917583 TKW917582:TKW917583 TUS917582:TUS917583 UEO917582:UEO917583 UOK917582:UOK917583 UYG917582:UYG917583 VIC917582:VIC917583 VRY917582:VRY917583 WBU917582:WBU917583 WLQ917582:WLQ917583 WVM917582:WVM917583 C983118:C983119 JA983118:JA983119 SW983118:SW983119 ACS983118:ACS983119 AMO983118:AMO983119 AWK983118:AWK983119 BGG983118:BGG983119 BQC983118:BQC983119 BZY983118:BZY983119 CJU983118:CJU983119 CTQ983118:CTQ983119 DDM983118:DDM983119 DNI983118:DNI983119 DXE983118:DXE983119 EHA983118:EHA983119 EQW983118:EQW983119 FAS983118:FAS983119 FKO983118:FKO983119 FUK983118:FUK983119 GEG983118:GEG983119 GOC983118:GOC983119 GXY983118:GXY983119 HHU983118:HHU983119 HRQ983118:HRQ983119 IBM983118:IBM983119 ILI983118:ILI983119 IVE983118:IVE983119 JFA983118:JFA983119 JOW983118:JOW983119 JYS983118:JYS983119 KIO983118:KIO983119 KSK983118:KSK983119 LCG983118:LCG983119 LMC983118:LMC983119 LVY983118:LVY983119 MFU983118:MFU983119 MPQ983118:MPQ983119 MZM983118:MZM983119 NJI983118:NJI983119 NTE983118:NTE983119 ODA983118:ODA983119 OMW983118:OMW983119 OWS983118:OWS983119 PGO983118:PGO983119 PQK983118:PQK983119 QAG983118:QAG983119 QKC983118:QKC983119 QTY983118:QTY983119 RDU983118:RDU983119 RNQ983118:RNQ983119 RXM983118:RXM983119 SHI983118:SHI983119 SRE983118:SRE983119 TBA983118:TBA983119 TKW983118:TKW983119 TUS983118:TUS983119 UEO983118:UEO983119 UOK983118:UOK983119 UYG983118:UYG983119 VIC983118:VIC983119 VRY983118:VRY983119 WBU983118:WBU983119 WLQ983118:WLQ983119 WVM983118:WVM983119 C75:C76 JA75:JA76 SW75:SW76 ACS75:ACS76 AMO75:AMO76 AWK75:AWK76 BGG75:BGG76 BQC75:BQC76 BZY75:BZY76 CJU75:CJU76 CTQ75:CTQ76 DDM75:DDM76 DNI75:DNI76 DXE75:DXE76 EHA75:EHA76 EQW75:EQW76 FAS75:FAS76 FKO75:FKO76 FUK75:FUK76 GEG75:GEG76 GOC75:GOC76 GXY75:GXY76 HHU75:HHU76 HRQ75:HRQ76 IBM75:IBM76 ILI75:ILI76 IVE75:IVE76 JFA75:JFA76 JOW75:JOW76 JYS75:JYS76 KIO75:KIO76 KSK75:KSK76 LCG75:LCG76 LMC75:LMC76 LVY75:LVY76 MFU75:MFU76 MPQ75:MPQ76 MZM75:MZM76 NJI75:NJI76 NTE75:NTE76 ODA75:ODA76 OMW75:OMW76 OWS75:OWS76 PGO75:PGO76 PQK75:PQK76 QAG75:QAG76 QKC75:QKC76 QTY75:QTY76 RDU75:RDU76 RNQ75:RNQ76 RXM75:RXM76 SHI75:SHI76 SRE75:SRE76 TBA75:TBA76 TKW75:TKW76 TUS75:TUS76 UEO75:UEO76 UOK75:UOK76 UYG75:UYG76 VIC75:VIC76 VRY75:VRY76 WBU75:WBU76 WLQ75:WLQ76 WVM75:WVM76 C65611:C65612 JA65611:JA65612 SW65611:SW65612 ACS65611:ACS65612 AMO65611:AMO65612 AWK65611:AWK65612 BGG65611:BGG65612 BQC65611:BQC65612 BZY65611:BZY65612 CJU65611:CJU65612 CTQ65611:CTQ65612 DDM65611:DDM65612 DNI65611:DNI65612 DXE65611:DXE65612 EHA65611:EHA65612 EQW65611:EQW65612 FAS65611:FAS65612 FKO65611:FKO65612 FUK65611:FUK65612 GEG65611:GEG65612 GOC65611:GOC65612 GXY65611:GXY65612 HHU65611:HHU65612 HRQ65611:HRQ65612 IBM65611:IBM65612 ILI65611:ILI65612 IVE65611:IVE65612 JFA65611:JFA65612 JOW65611:JOW65612 JYS65611:JYS65612 KIO65611:KIO65612 KSK65611:KSK65612 LCG65611:LCG65612 LMC65611:LMC65612 LVY65611:LVY65612 MFU65611:MFU65612 MPQ65611:MPQ65612 MZM65611:MZM65612 NJI65611:NJI65612 NTE65611:NTE65612 ODA65611:ODA65612 OMW65611:OMW65612 OWS65611:OWS65612 PGO65611:PGO65612 PQK65611:PQK65612 QAG65611:QAG65612 QKC65611:QKC65612 QTY65611:QTY65612 RDU65611:RDU65612 RNQ65611:RNQ65612 RXM65611:RXM65612 SHI65611:SHI65612 SRE65611:SRE65612 TBA65611:TBA65612 TKW65611:TKW65612 TUS65611:TUS65612 UEO65611:UEO65612 UOK65611:UOK65612 UYG65611:UYG65612 VIC65611:VIC65612 VRY65611:VRY65612 WBU65611:WBU65612 WLQ65611:WLQ65612 WVM65611:WVM65612 C131147:C131148 JA131147:JA131148 SW131147:SW131148 ACS131147:ACS131148 AMO131147:AMO131148 AWK131147:AWK131148 BGG131147:BGG131148 BQC131147:BQC131148 BZY131147:BZY131148 CJU131147:CJU131148 CTQ131147:CTQ131148 DDM131147:DDM131148 DNI131147:DNI131148 DXE131147:DXE131148 EHA131147:EHA131148 EQW131147:EQW131148 FAS131147:FAS131148 FKO131147:FKO131148 FUK131147:FUK131148 GEG131147:GEG131148 GOC131147:GOC131148 GXY131147:GXY131148 HHU131147:HHU131148 HRQ131147:HRQ131148 IBM131147:IBM131148 ILI131147:ILI131148 IVE131147:IVE131148 JFA131147:JFA131148 JOW131147:JOW131148 JYS131147:JYS131148 KIO131147:KIO131148 KSK131147:KSK131148 LCG131147:LCG131148 LMC131147:LMC131148 LVY131147:LVY131148 MFU131147:MFU131148 MPQ131147:MPQ131148 MZM131147:MZM131148 NJI131147:NJI131148 NTE131147:NTE131148 ODA131147:ODA131148 OMW131147:OMW131148 OWS131147:OWS131148 PGO131147:PGO131148 PQK131147:PQK131148 QAG131147:QAG131148 QKC131147:QKC131148 QTY131147:QTY131148 RDU131147:RDU131148 RNQ131147:RNQ131148 RXM131147:RXM131148 SHI131147:SHI131148 SRE131147:SRE131148 TBA131147:TBA131148 TKW131147:TKW131148 TUS131147:TUS131148 UEO131147:UEO131148 UOK131147:UOK131148 UYG131147:UYG131148 VIC131147:VIC131148 VRY131147:VRY131148 WBU131147:WBU131148 WLQ131147:WLQ131148 WVM131147:WVM131148 C196683:C196684 JA196683:JA196684 SW196683:SW196684 ACS196683:ACS196684 AMO196683:AMO196684 AWK196683:AWK196684 BGG196683:BGG196684 BQC196683:BQC196684 BZY196683:BZY196684 CJU196683:CJU196684 CTQ196683:CTQ196684 DDM196683:DDM196684 DNI196683:DNI196684 DXE196683:DXE196684 EHA196683:EHA196684 EQW196683:EQW196684 FAS196683:FAS196684 FKO196683:FKO196684 FUK196683:FUK196684 GEG196683:GEG196684 GOC196683:GOC196684 GXY196683:GXY196684 HHU196683:HHU196684 HRQ196683:HRQ196684 IBM196683:IBM196684 ILI196683:ILI196684 IVE196683:IVE196684 JFA196683:JFA196684 JOW196683:JOW196684 JYS196683:JYS196684 KIO196683:KIO196684 KSK196683:KSK196684 LCG196683:LCG196684 LMC196683:LMC196684 LVY196683:LVY196684 MFU196683:MFU196684 MPQ196683:MPQ196684 MZM196683:MZM196684 NJI196683:NJI196684 NTE196683:NTE196684 ODA196683:ODA196684 OMW196683:OMW196684 OWS196683:OWS196684 PGO196683:PGO196684 PQK196683:PQK196684 QAG196683:QAG196684 QKC196683:QKC196684 QTY196683:QTY196684 RDU196683:RDU196684 RNQ196683:RNQ196684 RXM196683:RXM196684 SHI196683:SHI196684 SRE196683:SRE196684 TBA196683:TBA196684 TKW196683:TKW196684 TUS196683:TUS196684 UEO196683:UEO196684 UOK196683:UOK196684 UYG196683:UYG196684 VIC196683:VIC196684 VRY196683:VRY196684 WBU196683:WBU196684 WLQ196683:WLQ196684 WVM196683:WVM196684 C262219:C262220 JA262219:JA262220 SW262219:SW262220 ACS262219:ACS262220 AMO262219:AMO262220 AWK262219:AWK262220 BGG262219:BGG262220 BQC262219:BQC262220 BZY262219:BZY262220 CJU262219:CJU262220 CTQ262219:CTQ262220 DDM262219:DDM262220 DNI262219:DNI262220 DXE262219:DXE262220 EHA262219:EHA262220 EQW262219:EQW262220 FAS262219:FAS262220 FKO262219:FKO262220 FUK262219:FUK262220 GEG262219:GEG262220 GOC262219:GOC262220 GXY262219:GXY262220 HHU262219:HHU262220 HRQ262219:HRQ262220 IBM262219:IBM262220 ILI262219:ILI262220 IVE262219:IVE262220 JFA262219:JFA262220 JOW262219:JOW262220 JYS262219:JYS262220 KIO262219:KIO262220 KSK262219:KSK262220 LCG262219:LCG262220 LMC262219:LMC262220 LVY262219:LVY262220 MFU262219:MFU262220 MPQ262219:MPQ262220 MZM262219:MZM262220 NJI262219:NJI262220 NTE262219:NTE262220 ODA262219:ODA262220 OMW262219:OMW262220 OWS262219:OWS262220 PGO262219:PGO262220 PQK262219:PQK262220 QAG262219:QAG262220 QKC262219:QKC262220 QTY262219:QTY262220 RDU262219:RDU262220 RNQ262219:RNQ262220 RXM262219:RXM262220 SHI262219:SHI262220 SRE262219:SRE262220 TBA262219:TBA262220 TKW262219:TKW262220 TUS262219:TUS262220 UEO262219:UEO262220 UOK262219:UOK262220 UYG262219:UYG262220 VIC262219:VIC262220 VRY262219:VRY262220 WBU262219:WBU262220 WLQ262219:WLQ262220 WVM262219:WVM262220 C327755:C327756 JA327755:JA327756 SW327755:SW327756 ACS327755:ACS327756 AMO327755:AMO327756 AWK327755:AWK327756 BGG327755:BGG327756 BQC327755:BQC327756 BZY327755:BZY327756 CJU327755:CJU327756 CTQ327755:CTQ327756 DDM327755:DDM327756 DNI327755:DNI327756 DXE327755:DXE327756 EHA327755:EHA327756 EQW327755:EQW327756 FAS327755:FAS327756 FKO327755:FKO327756 FUK327755:FUK327756 GEG327755:GEG327756 GOC327755:GOC327756 GXY327755:GXY327756 HHU327755:HHU327756 HRQ327755:HRQ327756 IBM327755:IBM327756 ILI327755:ILI327756 IVE327755:IVE327756 JFA327755:JFA327756 JOW327755:JOW327756 JYS327755:JYS327756 KIO327755:KIO327756 KSK327755:KSK327756 LCG327755:LCG327756 LMC327755:LMC327756 LVY327755:LVY327756 MFU327755:MFU327756 MPQ327755:MPQ327756 MZM327755:MZM327756 NJI327755:NJI327756 NTE327755:NTE327756 ODA327755:ODA327756 OMW327755:OMW327756 OWS327755:OWS327756 PGO327755:PGO327756 PQK327755:PQK327756 QAG327755:QAG327756 QKC327755:QKC327756 QTY327755:QTY327756 RDU327755:RDU327756 RNQ327755:RNQ327756 RXM327755:RXM327756 SHI327755:SHI327756 SRE327755:SRE327756 TBA327755:TBA327756 TKW327755:TKW327756 TUS327755:TUS327756 UEO327755:UEO327756 UOK327755:UOK327756 UYG327755:UYG327756 VIC327755:VIC327756 VRY327755:VRY327756 WBU327755:WBU327756 WLQ327755:WLQ327756 WVM327755:WVM327756 C393291:C393292 JA393291:JA393292 SW393291:SW393292 ACS393291:ACS393292 AMO393291:AMO393292 AWK393291:AWK393292 BGG393291:BGG393292 BQC393291:BQC393292 BZY393291:BZY393292 CJU393291:CJU393292 CTQ393291:CTQ393292 DDM393291:DDM393292 DNI393291:DNI393292 DXE393291:DXE393292 EHA393291:EHA393292 EQW393291:EQW393292 FAS393291:FAS393292 FKO393291:FKO393292 FUK393291:FUK393292 GEG393291:GEG393292 GOC393291:GOC393292 GXY393291:GXY393292 HHU393291:HHU393292 HRQ393291:HRQ393292 IBM393291:IBM393292 ILI393291:ILI393292 IVE393291:IVE393292 JFA393291:JFA393292 JOW393291:JOW393292 JYS393291:JYS393292 KIO393291:KIO393292 KSK393291:KSK393292 LCG393291:LCG393292 LMC393291:LMC393292 LVY393291:LVY393292 MFU393291:MFU393292 MPQ393291:MPQ393292 MZM393291:MZM393292 NJI393291:NJI393292 NTE393291:NTE393292 ODA393291:ODA393292 OMW393291:OMW393292 OWS393291:OWS393292 PGO393291:PGO393292 PQK393291:PQK393292 QAG393291:QAG393292 QKC393291:QKC393292 QTY393291:QTY393292 RDU393291:RDU393292 RNQ393291:RNQ393292 RXM393291:RXM393292 SHI393291:SHI393292 SRE393291:SRE393292 TBA393291:TBA393292 TKW393291:TKW393292 TUS393291:TUS393292 UEO393291:UEO393292 UOK393291:UOK393292 UYG393291:UYG393292 VIC393291:VIC393292 VRY393291:VRY393292 WBU393291:WBU393292 WLQ393291:WLQ393292 WVM393291:WVM393292 C458827:C458828 JA458827:JA458828 SW458827:SW458828 ACS458827:ACS458828 AMO458827:AMO458828 AWK458827:AWK458828 BGG458827:BGG458828 BQC458827:BQC458828 BZY458827:BZY458828 CJU458827:CJU458828 CTQ458827:CTQ458828 DDM458827:DDM458828 DNI458827:DNI458828 DXE458827:DXE458828 EHA458827:EHA458828 EQW458827:EQW458828 FAS458827:FAS458828 FKO458827:FKO458828 FUK458827:FUK458828 GEG458827:GEG458828 GOC458827:GOC458828 GXY458827:GXY458828 HHU458827:HHU458828 HRQ458827:HRQ458828 IBM458827:IBM458828 ILI458827:ILI458828 IVE458827:IVE458828 JFA458827:JFA458828 JOW458827:JOW458828 JYS458827:JYS458828 KIO458827:KIO458828 KSK458827:KSK458828 LCG458827:LCG458828 LMC458827:LMC458828 LVY458827:LVY458828 MFU458827:MFU458828 MPQ458827:MPQ458828 MZM458827:MZM458828 NJI458827:NJI458828 NTE458827:NTE458828 ODA458827:ODA458828 OMW458827:OMW458828 OWS458827:OWS458828 PGO458827:PGO458828 PQK458827:PQK458828 QAG458827:QAG458828 QKC458827:QKC458828 QTY458827:QTY458828 RDU458827:RDU458828 RNQ458827:RNQ458828 RXM458827:RXM458828 SHI458827:SHI458828 SRE458827:SRE458828 TBA458827:TBA458828 TKW458827:TKW458828 TUS458827:TUS458828 UEO458827:UEO458828 UOK458827:UOK458828 UYG458827:UYG458828 VIC458827:VIC458828 VRY458827:VRY458828 WBU458827:WBU458828 WLQ458827:WLQ458828 WVM458827:WVM458828 C524363:C524364 JA524363:JA524364 SW524363:SW524364 ACS524363:ACS524364 AMO524363:AMO524364 AWK524363:AWK524364 BGG524363:BGG524364 BQC524363:BQC524364 BZY524363:BZY524364 CJU524363:CJU524364 CTQ524363:CTQ524364 DDM524363:DDM524364 DNI524363:DNI524364 DXE524363:DXE524364 EHA524363:EHA524364 EQW524363:EQW524364 FAS524363:FAS524364 FKO524363:FKO524364 FUK524363:FUK524364 GEG524363:GEG524364 GOC524363:GOC524364 GXY524363:GXY524364 HHU524363:HHU524364 HRQ524363:HRQ524364 IBM524363:IBM524364 ILI524363:ILI524364 IVE524363:IVE524364 JFA524363:JFA524364 JOW524363:JOW524364 JYS524363:JYS524364 KIO524363:KIO524364 KSK524363:KSK524364 LCG524363:LCG524364 LMC524363:LMC524364 LVY524363:LVY524364 MFU524363:MFU524364 MPQ524363:MPQ524364 MZM524363:MZM524364 NJI524363:NJI524364 NTE524363:NTE524364 ODA524363:ODA524364 OMW524363:OMW524364 OWS524363:OWS524364 PGO524363:PGO524364 PQK524363:PQK524364 QAG524363:QAG524364 QKC524363:QKC524364 QTY524363:QTY524364 RDU524363:RDU524364 RNQ524363:RNQ524364 RXM524363:RXM524364 SHI524363:SHI524364 SRE524363:SRE524364 TBA524363:TBA524364 TKW524363:TKW524364 TUS524363:TUS524364 UEO524363:UEO524364 UOK524363:UOK524364 UYG524363:UYG524364 VIC524363:VIC524364 VRY524363:VRY524364 WBU524363:WBU524364 WLQ524363:WLQ524364 WVM524363:WVM524364 C589899:C589900 JA589899:JA589900 SW589899:SW589900 ACS589899:ACS589900 AMO589899:AMO589900 AWK589899:AWK589900 BGG589899:BGG589900 BQC589899:BQC589900 BZY589899:BZY589900 CJU589899:CJU589900 CTQ589899:CTQ589900 DDM589899:DDM589900 DNI589899:DNI589900 DXE589899:DXE589900 EHA589899:EHA589900 EQW589899:EQW589900 FAS589899:FAS589900 FKO589899:FKO589900 FUK589899:FUK589900 GEG589899:GEG589900 GOC589899:GOC589900 GXY589899:GXY589900 HHU589899:HHU589900 HRQ589899:HRQ589900 IBM589899:IBM589900 ILI589899:ILI589900 IVE589899:IVE589900 JFA589899:JFA589900 JOW589899:JOW589900 JYS589899:JYS589900 KIO589899:KIO589900 KSK589899:KSK589900 LCG589899:LCG589900 LMC589899:LMC589900 LVY589899:LVY589900 MFU589899:MFU589900 MPQ589899:MPQ589900 MZM589899:MZM589900 NJI589899:NJI589900 NTE589899:NTE589900 ODA589899:ODA589900 OMW589899:OMW589900 OWS589899:OWS589900 PGO589899:PGO589900 PQK589899:PQK589900 QAG589899:QAG589900 QKC589899:QKC589900 QTY589899:QTY589900 RDU589899:RDU589900 RNQ589899:RNQ589900 RXM589899:RXM589900 SHI589899:SHI589900 SRE589899:SRE589900 TBA589899:TBA589900 TKW589899:TKW589900 TUS589899:TUS589900 UEO589899:UEO589900 UOK589899:UOK589900 UYG589899:UYG589900 VIC589899:VIC589900 VRY589899:VRY589900 WBU589899:WBU589900 WLQ589899:WLQ589900 WVM589899:WVM589900 C655435:C655436 JA655435:JA655436 SW655435:SW655436 ACS655435:ACS655436 AMO655435:AMO655436 AWK655435:AWK655436 BGG655435:BGG655436 BQC655435:BQC655436 BZY655435:BZY655436 CJU655435:CJU655436 CTQ655435:CTQ655436 DDM655435:DDM655436 DNI655435:DNI655436 DXE655435:DXE655436 EHA655435:EHA655436 EQW655435:EQW655436 FAS655435:FAS655436 FKO655435:FKO655436 FUK655435:FUK655436 GEG655435:GEG655436 GOC655435:GOC655436 GXY655435:GXY655436 HHU655435:HHU655436 HRQ655435:HRQ655436 IBM655435:IBM655436 ILI655435:ILI655436 IVE655435:IVE655436 JFA655435:JFA655436 JOW655435:JOW655436 JYS655435:JYS655436 KIO655435:KIO655436 KSK655435:KSK655436 LCG655435:LCG655436 LMC655435:LMC655436 LVY655435:LVY655436 MFU655435:MFU655436 MPQ655435:MPQ655436 MZM655435:MZM655436 NJI655435:NJI655436 NTE655435:NTE655436 ODA655435:ODA655436 OMW655435:OMW655436 OWS655435:OWS655436 PGO655435:PGO655436 PQK655435:PQK655436 QAG655435:QAG655436 QKC655435:QKC655436 QTY655435:QTY655436 RDU655435:RDU655436 RNQ655435:RNQ655436 RXM655435:RXM655436 SHI655435:SHI655436 SRE655435:SRE655436 TBA655435:TBA655436 TKW655435:TKW655436 TUS655435:TUS655436 UEO655435:UEO655436 UOK655435:UOK655436 UYG655435:UYG655436 VIC655435:VIC655436 VRY655435:VRY655436 WBU655435:WBU655436 WLQ655435:WLQ655436 WVM655435:WVM655436 C720971:C720972 JA720971:JA720972 SW720971:SW720972 ACS720971:ACS720972 AMO720971:AMO720972 AWK720971:AWK720972 BGG720971:BGG720972 BQC720971:BQC720972 BZY720971:BZY720972 CJU720971:CJU720972 CTQ720971:CTQ720972 DDM720971:DDM720972 DNI720971:DNI720972 DXE720971:DXE720972 EHA720971:EHA720972 EQW720971:EQW720972 FAS720971:FAS720972 FKO720971:FKO720972 FUK720971:FUK720972 GEG720971:GEG720972 GOC720971:GOC720972 GXY720971:GXY720972 HHU720971:HHU720972 HRQ720971:HRQ720972 IBM720971:IBM720972 ILI720971:ILI720972 IVE720971:IVE720972 JFA720971:JFA720972 JOW720971:JOW720972 JYS720971:JYS720972 KIO720971:KIO720972 KSK720971:KSK720972 LCG720971:LCG720972 LMC720971:LMC720972 LVY720971:LVY720972 MFU720971:MFU720972 MPQ720971:MPQ720972 MZM720971:MZM720972 NJI720971:NJI720972 NTE720971:NTE720972 ODA720971:ODA720972 OMW720971:OMW720972 OWS720971:OWS720972 PGO720971:PGO720972 PQK720971:PQK720972 QAG720971:QAG720972 QKC720971:QKC720972 QTY720971:QTY720972 RDU720971:RDU720972 RNQ720971:RNQ720972 RXM720971:RXM720972 SHI720971:SHI720972 SRE720971:SRE720972 TBA720971:TBA720972 TKW720971:TKW720972 TUS720971:TUS720972 UEO720971:UEO720972 UOK720971:UOK720972 UYG720971:UYG720972 VIC720971:VIC720972 VRY720971:VRY720972 WBU720971:WBU720972 WLQ720971:WLQ720972 WVM720971:WVM720972 C786507:C786508 JA786507:JA786508 SW786507:SW786508 ACS786507:ACS786508 AMO786507:AMO786508 AWK786507:AWK786508 BGG786507:BGG786508 BQC786507:BQC786508 BZY786507:BZY786508 CJU786507:CJU786508 CTQ786507:CTQ786508 DDM786507:DDM786508 DNI786507:DNI786508 DXE786507:DXE786508 EHA786507:EHA786508 EQW786507:EQW786508 FAS786507:FAS786508 FKO786507:FKO786508 FUK786507:FUK786508 GEG786507:GEG786508 GOC786507:GOC786508 GXY786507:GXY786508 HHU786507:HHU786508 HRQ786507:HRQ786508 IBM786507:IBM786508 ILI786507:ILI786508 IVE786507:IVE786508 JFA786507:JFA786508 JOW786507:JOW786508 JYS786507:JYS786508 KIO786507:KIO786508 KSK786507:KSK786508 LCG786507:LCG786508 LMC786507:LMC786508 LVY786507:LVY786508 MFU786507:MFU786508 MPQ786507:MPQ786508 MZM786507:MZM786508 NJI786507:NJI786508 NTE786507:NTE786508 ODA786507:ODA786508 OMW786507:OMW786508 OWS786507:OWS786508 PGO786507:PGO786508 PQK786507:PQK786508 QAG786507:QAG786508 QKC786507:QKC786508 QTY786507:QTY786508 RDU786507:RDU786508 RNQ786507:RNQ786508 RXM786507:RXM786508 SHI786507:SHI786508 SRE786507:SRE786508 TBA786507:TBA786508 TKW786507:TKW786508 TUS786507:TUS786508 UEO786507:UEO786508 UOK786507:UOK786508 UYG786507:UYG786508 VIC786507:VIC786508 VRY786507:VRY786508 WBU786507:WBU786508 WLQ786507:WLQ786508 WVM786507:WVM786508 C852043:C852044 JA852043:JA852044 SW852043:SW852044 ACS852043:ACS852044 AMO852043:AMO852044 AWK852043:AWK852044 BGG852043:BGG852044 BQC852043:BQC852044 BZY852043:BZY852044 CJU852043:CJU852044 CTQ852043:CTQ852044 DDM852043:DDM852044 DNI852043:DNI852044 DXE852043:DXE852044 EHA852043:EHA852044 EQW852043:EQW852044 FAS852043:FAS852044 FKO852043:FKO852044 FUK852043:FUK852044 GEG852043:GEG852044 GOC852043:GOC852044 GXY852043:GXY852044 HHU852043:HHU852044 HRQ852043:HRQ852044 IBM852043:IBM852044 ILI852043:ILI852044 IVE852043:IVE852044 JFA852043:JFA852044 JOW852043:JOW852044 JYS852043:JYS852044 KIO852043:KIO852044 KSK852043:KSK852044 LCG852043:LCG852044 LMC852043:LMC852044 LVY852043:LVY852044 MFU852043:MFU852044 MPQ852043:MPQ852044 MZM852043:MZM852044 NJI852043:NJI852044 NTE852043:NTE852044 ODA852043:ODA852044 OMW852043:OMW852044 OWS852043:OWS852044 PGO852043:PGO852044 PQK852043:PQK852044 QAG852043:QAG852044 QKC852043:QKC852044 QTY852043:QTY852044 RDU852043:RDU852044 RNQ852043:RNQ852044 RXM852043:RXM852044 SHI852043:SHI852044 SRE852043:SRE852044 TBA852043:TBA852044 TKW852043:TKW852044 TUS852043:TUS852044 UEO852043:UEO852044 UOK852043:UOK852044 UYG852043:UYG852044 VIC852043:VIC852044 VRY852043:VRY852044 WBU852043:WBU852044 WLQ852043:WLQ852044 WVM852043:WVM852044 C917579:C917580 JA917579:JA917580 SW917579:SW917580 ACS917579:ACS917580 AMO917579:AMO917580 AWK917579:AWK917580 BGG917579:BGG917580 BQC917579:BQC917580 BZY917579:BZY917580 CJU917579:CJU917580 CTQ917579:CTQ917580 DDM917579:DDM917580 DNI917579:DNI917580 DXE917579:DXE917580 EHA917579:EHA917580 EQW917579:EQW917580 FAS917579:FAS917580 FKO917579:FKO917580 FUK917579:FUK917580 GEG917579:GEG917580 GOC917579:GOC917580 GXY917579:GXY917580 HHU917579:HHU917580 HRQ917579:HRQ917580 IBM917579:IBM917580 ILI917579:ILI917580 IVE917579:IVE917580 JFA917579:JFA917580 JOW917579:JOW917580 JYS917579:JYS917580 KIO917579:KIO917580 KSK917579:KSK917580 LCG917579:LCG917580 LMC917579:LMC917580 LVY917579:LVY917580 MFU917579:MFU917580 MPQ917579:MPQ917580 MZM917579:MZM917580 NJI917579:NJI917580 NTE917579:NTE917580 ODA917579:ODA917580 OMW917579:OMW917580 OWS917579:OWS917580 PGO917579:PGO917580 PQK917579:PQK917580 QAG917579:QAG917580 QKC917579:QKC917580 QTY917579:QTY917580 RDU917579:RDU917580 RNQ917579:RNQ917580 RXM917579:RXM917580 SHI917579:SHI917580 SRE917579:SRE917580 TBA917579:TBA917580 TKW917579:TKW917580 TUS917579:TUS917580 UEO917579:UEO917580 UOK917579:UOK917580 UYG917579:UYG917580 VIC917579:VIC917580 VRY917579:VRY917580 WBU917579:WBU917580 WLQ917579:WLQ917580 WVM917579:WVM917580 C983115:C983116 JA983115:JA983116 SW983115:SW983116 ACS983115:ACS983116 AMO983115:AMO983116 AWK983115:AWK983116 BGG983115:BGG983116 BQC983115:BQC983116 BZY983115:BZY983116 CJU983115:CJU983116 CTQ983115:CTQ983116 DDM983115:DDM983116 DNI983115:DNI983116 DXE983115:DXE983116 EHA983115:EHA983116 EQW983115:EQW983116 FAS983115:FAS983116 FKO983115:FKO983116 FUK983115:FUK983116 GEG983115:GEG983116 GOC983115:GOC983116 GXY983115:GXY983116 HHU983115:HHU983116 HRQ983115:HRQ983116 IBM983115:IBM983116 ILI983115:ILI983116 IVE983115:IVE983116 JFA983115:JFA983116 JOW983115:JOW983116 JYS983115:JYS983116 KIO983115:KIO983116 KSK983115:KSK983116 LCG983115:LCG983116 LMC983115:LMC983116 LVY983115:LVY983116 MFU983115:MFU983116 MPQ983115:MPQ983116 MZM983115:MZM983116 NJI983115:NJI983116 NTE983115:NTE983116 ODA983115:ODA983116 OMW983115:OMW983116 OWS983115:OWS983116 PGO983115:PGO983116 PQK983115:PQK983116 QAG983115:QAG983116 QKC983115:QKC983116 QTY983115:QTY983116 RDU983115:RDU983116 RNQ983115:RNQ983116 RXM983115:RXM983116 SHI983115:SHI983116 SRE983115:SRE983116 TBA983115:TBA983116 TKW983115:TKW983116 TUS983115:TUS983116 UEO983115:UEO983116 UOK983115:UOK983116 UYG983115:UYG983116 VIC983115:VIC983116 VRY983115:VRY983116 WBU983115:WBU983116 WLQ983115:WLQ983116 WVM983115:WVM983116 C73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C65609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C131145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C196681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C262217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C327753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C393289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C458825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C524361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C589897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C655433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C720969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C786505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C852041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C917577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C983113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C62:C67 JA62:JA67 SW62:SW67 ACS62:ACS67 AMO62:AMO67 AWK62:AWK67 BGG62:BGG67 BQC62:BQC67 BZY62:BZY67 CJU62:CJU67 CTQ62:CTQ67 DDM62:DDM67 DNI62:DNI67 DXE62:DXE67 EHA62:EHA67 EQW62:EQW67 FAS62:FAS67 FKO62:FKO67 FUK62:FUK67 GEG62:GEG67 GOC62:GOC67 GXY62:GXY67 HHU62:HHU67 HRQ62:HRQ67 IBM62:IBM67 ILI62:ILI67 IVE62:IVE67 JFA62:JFA67 JOW62:JOW67 JYS62:JYS67 KIO62:KIO67 KSK62:KSK67 LCG62:LCG67 LMC62:LMC67 LVY62:LVY67 MFU62:MFU67 MPQ62:MPQ67 MZM62:MZM67 NJI62:NJI67 NTE62:NTE67 ODA62:ODA67 OMW62:OMW67 OWS62:OWS67 PGO62:PGO67 PQK62:PQK67 QAG62:QAG67 QKC62:QKC67 QTY62:QTY67 RDU62:RDU67 RNQ62:RNQ67 RXM62:RXM67 SHI62:SHI67 SRE62:SRE67 TBA62:TBA67 TKW62:TKW67 TUS62:TUS67 UEO62:UEO67 UOK62:UOK67 UYG62:UYG67 VIC62:VIC67 VRY62:VRY67 WBU62:WBU67 WLQ62:WLQ67 WVM62:WVM67 C65598:C65603 JA65598:JA65603 SW65598:SW65603 ACS65598:ACS65603 AMO65598:AMO65603 AWK65598:AWK65603 BGG65598:BGG65603 BQC65598:BQC65603 BZY65598:BZY65603 CJU65598:CJU65603 CTQ65598:CTQ65603 DDM65598:DDM65603 DNI65598:DNI65603 DXE65598:DXE65603 EHA65598:EHA65603 EQW65598:EQW65603 FAS65598:FAS65603 FKO65598:FKO65603 FUK65598:FUK65603 GEG65598:GEG65603 GOC65598:GOC65603 GXY65598:GXY65603 HHU65598:HHU65603 HRQ65598:HRQ65603 IBM65598:IBM65603 ILI65598:ILI65603 IVE65598:IVE65603 JFA65598:JFA65603 JOW65598:JOW65603 JYS65598:JYS65603 KIO65598:KIO65603 KSK65598:KSK65603 LCG65598:LCG65603 LMC65598:LMC65603 LVY65598:LVY65603 MFU65598:MFU65603 MPQ65598:MPQ65603 MZM65598:MZM65603 NJI65598:NJI65603 NTE65598:NTE65603 ODA65598:ODA65603 OMW65598:OMW65603 OWS65598:OWS65603 PGO65598:PGO65603 PQK65598:PQK65603 QAG65598:QAG65603 QKC65598:QKC65603 QTY65598:QTY65603 RDU65598:RDU65603 RNQ65598:RNQ65603 RXM65598:RXM65603 SHI65598:SHI65603 SRE65598:SRE65603 TBA65598:TBA65603 TKW65598:TKW65603 TUS65598:TUS65603 UEO65598:UEO65603 UOK65598:UOK65603 UYG65598:UYG65603 VIC65598:VIC65603 VRY65598:VRY65603 WBU65598:WBU65603 WLQ65598:WLQ65603 WVM65598:WVM65603 C131134:C131139 JA131134:JA131139 SW131134:SW131139 ACS131134:ACS131139 AMO131134:AMO131139 AWK131134:AWK131139 BGG131134:BGG131139 BQC131134:BQC131139 BZY131134:BZY131139 CJU131134:CJU131139 CTQ131134:CTQ131139 DDM131134:DDM131139 DNI131134:DNI131139 DXE131134:DXE131139 EHA131134:EHA131139 EQW131134:EQW131139 FAS131134:FAS131139 FKO131134:FKO131139 FUK131134:FUK131139 GEG131134:GEG131139 GOC131134:GOC131139 GXY131134:GXY131139 HHU131134:HHU131139 HRQ131134:HRQ131139 IBM131134:IBM131139 ILI131134:ILI131139 IVE131134:IVE131139 JFA131134:JFA131139 JOW131134:JOW131139 JYS131134:JYS131139 KIO131134:KIO131139 KSK131134:KSK131139 LCG131134:LCG131139 LMC131134:LMC131139 LVY131134:LVY131139 MFU131134:MFU131139 MPQ131134:MPQ131139 MZM131134:MZM131139 NJI131134:NJI131139 NTE131134:NTE131139 ODA131134:ODA131139 OMW131134:OMW131139 OWS131134:OWS131139 PGO131134:PGO131139 PQK131134:PQK131139 QAG131134:QAG131139 QKC131134:QKC131139 QTY131134:QTY131139 RDU131134:RDU131139 RNQ131134:RNQ131139 RXM131134:RXM131139 SHI131134:SHI131139 SRE131134:SRE131139 TBA131134:TBA131139 TKW131134:TKW131139 TUS131134:TUS131139 UEO131134:UEO131139 UOK131134:UOK131139 UYG131134:UYG131139 VIC131134:VIC131139 VRY131134:VRY131139 WBU131134:WBU131139 WLQ131134:WLQ131139 WVM131134:WVM131139 C196670:C196675 JA196670:JA196675 SW196670:SW196675 ACS196670:ACS196675 AMO196670:AMO196675 AWK196670:AWK196675 BGG196670:BGG196675 BQC196670:BQC196675 BZY196670:BZY196675 CJU196670:CJU196675 CTQ196670:CTQ196675 DDM196670:DDM196675 DNI196670:DNI196675 DXE196670:DXE196675 EHA196670:EHA196675 EQW196670:EQW196675 FAS196670:FAS196675 FKO196670:FKO196675 FUK196670:FUK196675 GEG196670:GEG196675 GOC196670:GOC196675 GXY196670:GXY196675 HHU196670:HHU196675 HRQ196670:HRQ196675 IBM196670:IBM196675 ILI196670:ILI196675 IVE196670:IVE196675 JFA196670:JFA196675 JOW196670:JOW196675 JYS196670:JYS196675 KIO196670:KIO196675 KSK196670:KSK196675 LCG196670:LCG196675 LMC196670:LMC196675 LVY196670:LVY196675 MFU196670:MFU196675 MPQ196670:MPQ196675 MZM196670:MZM196675 NJI196670:NJI196675 NTE196670:NTE196675 ODA196670:ODA196675 OMW196670:OMW196675 OWS196670:OWS196675 PGO196670:PGO196675 PQK196670:PQK196675 QAG196670:QAG196675 QKC196670:QKC196675 QTY196670:QTY196675 RDU196670:RDU196675 RNQ196670:RNQ196675 RXM196670:RXM196675 SHI196670:SHI196675 SRE196670:SRE196675 TBA196670:TBA196675 TKW196670:TKW196675 TUS196670:TUS196675 UEO196670:UEO196675 UOK196670:UOK196675 UYG196670:UYG196675 VIC196670:VIC196675 VRY196670:VRY196675 WBU196670:WBU196675 WLQ196670:WLQ196675 WVM196670:WVM196675 C262206:C262211 JA262206:JA262211 SW262206:SW262211 ACS262206:ACS262211 AMO262206:AMO262211 AWK262206:AWK262211 BGG262206:BGG262211 BQC262206:BQC262211 BZY262206:BZY262211 CJU262206:CJU262211 CTQ262206:CTQ262211 DDM262206:DDM262211 DNI262206:DNI262211 DXE262206:DXE262211 EHA262206:EHA262211 EQW262206:EQW262211 FAS262206:FAS262211 FKO262206:FKO262211 FUK262206:FUK262211 GEG262206:GEG262211 GOC262206:GOC262211 GXY262206:GXY262211 HHU262206:HHU262211 HRQ262206:HRQ262211 IBM262206:IBM262211 ILI262206:ILI262211 IVE262206:IVE262211 JFA262206:JFA262211 JOW262206:JOW262211 JYS262206:JYS262211 KIO262206:KIO262211 KSK262206:KSK262211 LCG262206:LCG262211 LMC262206:LMC262211 LVY262206:LVY262211 MFU262206:MFU262211 MPQ262206:MPQ262211 MZM262206:MZM262211 NJI262206:NJI262211 NTE262206:NTE262211 ODA262206:ODA262211 OMW262206:OMW262211 OWS262206:OWS262211 PGO262206:PGO262211 PQK262206:PQK262211 QAG262206:QAG262211 QKC262206:QKC262211 QTY262206:QTY262211 RDU262206:RDU262211 RNQ262206:RNQ262211 RXM262206:RXM262211 SHI262206:SHI262211 SRE262206:SRE262211 TBA262206:TBA262211 TKW262206:TKW262211 TUS262206:TUS262211 UEO262206:UEO262211 UOK262206:UOK262211 UYG262206:UYG262211 VIC262206:VIC262211 VRY262206:VRY262211 WBU262206:WBU262211 WLQ262206:WLQ262211 WVM262206:WVM262211 C327742:C327747 JA327742:JA327747 SW327742:SW327747 ACS327742:ACS327747 AMO327742:AMO327747 AWK327742:AWK327747 BGG327742:BGG327747 BQC327742:BQC327747 BZY327742:BZY327747 CJU327742:CJU327747 CTQ327742:CTQ327747 DDM327742:DDM327747 DNI327742:DNI327747 DXE327742:DXE327747 EHA327742:EHA327747 EQW327742:EQW327747 FAS327742:FAS327747 FKO327742:FKO327747 FUK327742:FUK327747 GEG327742:GEG327747 GOC327742:GOC327747 GXY327742:GXY327747 HHU327742:HHU327747 HRQ327742:HRQ327747 IBM327742:IBM327747 ILI327742:ILI327747 IVE327742:IVE327747 JFA327742:JFA327747 JOW327742:JOW327747 JYS327742:JYS327747 KIO327742:KIO327747 KSK327742:KSK327747 LCG327742:LCG327747 LMC327742:LMC327747 LVY327742:LVY327747 MFU327742:MFU327747 MPQ327742:MPQ327747 MZM327742:MZM327747 NJI327742:NJI327747 NTE327742:NTE327747 ODA327742:ODA327747 OMW327742:OMW327747 OWS327742:OWS327747 PGO327742:PGO327747 PQK327742:PQK327747 QAG327742:QAG327747 QKC327742:QKC327747 QTY327742:QTY327747 RDU327742:RDU327747 RNQ327742:RNQ327747 RXM327742:RXM327747 SHI327742:SHI327747 SRE327742:SRE327747 TBA327742:TBA327747 TKW327742:TKW327747 TUS327742:TUS327747 UEO327742:UEO327747 UOK327742:UOK327747 UYG327742:UYG327747 VIC327742:VIC327747 VRY327742:VRY327747 WBU327742:WBU327747 WLQ327742:WLQ327747 WVM327742:WVM327747 C393278:C393283 JA393278:JA393283 SW393278:SW393283 ACS393278:ACS393283 AMO393278:AMO393283 AWK393278:AWK393283 BGG393278:BGG393283 BQC393278:BQC393283 BZY393278:BZY393283 CJU393278:CJU393283 CTQ393278:CTQ393283 DDM393278:DDM393283 DNI393278:DNI393283 DXE393278:DXE393283 EHA393278:EHA393283 EQW393278:EQW393283 FAS393278:FAS393283 FKO393278:FKO393283 FUK393278:FUK393283 GEG393278:GEG393283 GOC393278:GOC393283 GXY393278:GXY393283 HHU393278:HHU393283 HRQ393278:HRQ393283 IBM393278:IBM393283 ILI393278:ILI393283 IVE393278:IVE393283 JFA393278:JFA393283 JOW393278:JOW393283 JYS393278:JYS393283 KIO393278:KIO393283 KSK393278:KSK393283 LCG393278:LCG393283 LMC393278:LMC393283 LVY393278:LVY393283 MFU393278:MFU393283 MPQ393278:MPQ393283 MZM393278:MZM393283 NJI393278:NJI393283 NTE393278:NTE393283 ODA393278:ODA393283 OMW393278:OMW393283 OWS393278:OWS393283 PGO393278:PGO393283 PQK393278:PQK393283 QAG393278:QAG393283 QKC393278:QKC393283 QTY393278:QTY393283 RDU393278:RDU393283 RNQ393278:RNQ393283 RXM393278:RXM393283 SHI393278:SHI393283 SRE393278:SRE393283 TBA393278:TBA393283 TKW393278:TKW393283 TUS393278:TUS393283 UEO393278:UEO393283 UOK393278:UOK393283 UYG393278:UYG393283 VIC393278:VIC393283 VRY393278:VRY393283 WBU393278:WBU393283 WLQ393278:WLQ393283 WVM393278:WVM393283 C458814:C458819 JA458814:JA458819 SW458814:SW458819 ACS458814:ACS458819 AMO458814:AMO458819 AWK458814:AWK458819 BGG458814:BGG458819 BQC458814:BQC458819 BZY458814:BZY458819 CJU458814:CJU458819 CTQ458814:CTQ458819 DDM458814:DDM458819 DNI458814:DNI458819 DXE458814:DXE458819 EHA458814:EHA458819 EQW458814:EQW458819 FAS458814:FAS458819 FKO458814:FKO458819 FUK458814:FUK458819 GEG458814:GEG458819 GOC458814:GOC458819 GXY458814:GXY458819 HHU458814:HHU458819 HRQ458814:HRQ458819 IBM458814:IBM458819 ILI458814:ILI458819 IVE458814:IVE458819 JFA458814:JFA458819 JOW458814:JOW458819 JYS458814:JYS458819 KIO458814:KIO458819 KSK458814:KSK458819 LCG458814:LCG458819 LMC458814:LMC458819 LVY458814:LVY458819 MFU458814:MFU458819 MPQ458814:MPQ458819 MZM458814:MZM458819 NJI458814:NJI458819 NTE458814:NTE458819 ODA458814:ODA458819 OMW458814:OMW458819 OWS458814:OWS458819 PGO458814:PGO458819 PQK458814:PQK458819 QAG458814:QAG458819 QKC458814:QKC458819 QTY458814:QTY458819 RDU458814:RDU458819 RNQ458814:RNQ458819 RXM458814:RXM458819 SHI458814:SHI458819 SRE458814:SRE458819 TBA458814:TBA458819 TKW458814:TKW458819 TUS458814:TUS458819 UEO458814:UEO458819 UOK458814:UOK458819 UYG458814:UYG458819 VIC458814:VIC458819 VRY458814:VRY458819 WBU458814:WBU458819 WLQ458814:WLQ458819 WVM458814:WVM458819 C524350:C524355 JA524350:JA524355 SW524350:SW524355 ACS524350:ACS524355 AMO524350:AMO524355 AWK524350:AWK524355 BGG524350:BGG524355 BQC524350:BQC524355 BZY524350:BZY524355 CJU524350:CJU524355 CTQ524350:CTQ524355 DDM524350:DDM524355 DNI524350:DNI524355 DXE524350:DXE524355 EHA524350:EHA524355 EQW524350:EQW524355 FAS524350:FAS524355 FKO524350:FKO524355 FUK524350:FUK524355 GEG524350:GEG524355 GOC524350:GOC524355 GXY524350:GXY524355 HHU524350:HHU524355 HRQ524350:HRQ524355 IBM524350:IBM524355 ILI524350:ILI524355 IVE524350:IVE524355 JFA524350:JFA524355 JOW524350:JOW524355 JYS524350:JYS524355 KIO524350:KIO524355 KSK524350:KSK524355 LCG524350:LCG524355 LMC524350:LMC524355 LVY524350:LVY524355 MFU524350:MFU524355 MPQ524350:MPQ524355 MZM524350:MZM524355 NJI524350:NJI524355 NTE524350:NTE524355 ODA524350:ODA524355 OMW524350:OMW524355 OWS524350:OWS524355 PGO524350:PGO524355 PQK524350:PQK524355 QAG524350:QAG524355 QKC524350:QKC524355 QTY524350:QTY524355 RDU524350:RDU524355 RNQ524350:RNQ524355 RXM524350:RXM524355 SHI524350:SHI524355 SRE524350:SRE524355 TBA524350:TBA524355 TKW524350:TKW524355 TUS524350:TUS524355 UEO524350:UEO524355 UOK524350:UOK524355 UYG524350:UYG524355 VIC524350:VIC524355 VRY524350:VRY524355 WBU524350:WBU524355 WLQ524350:WLQ524355 WVM524350:WVM524355 C589886:C589891 JA589886:JA589891 SW589886:SW589891 ACS589886:ACS589891 AMO589886:AMO589891 AWK589886:AWK589891 BGG589886:BGG589891 BQC589886:BQC589891 BZY589886:BZY589891 CJU589886:CJU589891 CTQ589886:CTQ589891 DDM589886:DDM589891 DNI589886:DNI589891 DXE589886:DXE589891 EHA589886:EHA589891 EQW589886:EQW589891 FAS589886:FAS589891 FKO589886:FKO589891 FUK589886:FUK589891 GEG589886:GEG589891 GOC589886:GOC589891 GXY589886:GXY589891 HHU589886:HHU589891 HRQ589886:HRQ589891 IBM589886:IBM589891 ILI589886:ILI589891 IVE589886:IVE589891 JFA589886:JFA589891 JOW589886:JOW589891 JYS589886:JYS589891 KIO589886:KIO589891 KSK589886:KSK589891 LCG589886:LCG589891 LMC589886:LMC589891 LVY589886:LVY589891 MFU589886:MFU589891 MPQ589886:MPQ589891 MZM589886:MZM589891 NJI589886:NJI589891 NTE589886:NTE589891 ODA589886:ODA589891 OMW589886:OMW589891 OWS589886:OWS589891 PGO589886:PGO589891 PQK589886:PQK589891 QAG589886:QAG589891 QKC589886:QKC589891 QTY589886:QTY589891 RDU589886:RDU589891 RNQ589886:RNQ589891 RXM589886:RXM589891 SHI589886:SHI589891 SRE589886:SRE589891 TBA589886:TBA589891 TKW589886:TKW589891 TUS589886:TUS589891 UEO589886:UEO589891 UOK589886:UOK589891 UYG589886:UYG589891 VIC589886:VIC589891 VRY589886:VRY589891 WBU589886:WBU589891 WLQ589886:WLQ589891 WVM589886:WVM589891 C655422:C655427 JA655422:JA655427 SW655422:SW655427 ACS655422:ACS655427 AMO655422:AMO655427 AWK655422:AWK655427 BGG655422:BGG655427 BQC655422:BQC655427 BZY655422:BZY655427 CJU655422:CJU655427 CTQ655422:CTQ655427 DDM655422:DDM655427 DNI655422:DNI655427 DXE655422:DXE655427 EHA655422:EHA655427 EQW655422:EQW655427 FAS655422:FAS655427 FKO655422:FKO655427 FUK655422:FUK655427 GEG655422:GEG655427 GOC655422:GOC655427 GXY655422:GXY655427 HHU655422:HHU655427 HRQ655422:HRQ655427 IBM655422:IBM655427 ILI655422:ILI655427 IVE655422:IVE655427 JFA655422:JFA655427 JOW655422:JOW655427 JYS655422:JYS655427 KIO655422:KIO655427 KSK655422:KSK655427 LCG655422:LCG655427 LMC655422:LMC655427 LVY655422:LVY655427 MFU655422:MFU655427 MPQ655422:MPQ655427 MZM655422:MZM655427 NJI655422:NJI655427 NTE655422:NTE655427 ODA655422:ODA655427 OMW655422:OMW655427 OWS655422:OWS655427 PGO655422:PGO655427 PQK655422:PQK655427 QAG655422:QAG655427 QKC655422:QKC655427 QTY655422:QTY655427 RDU655422:RDU655427 RNQ655422:RNQ655427 RXM655422:RXM655427 SHI655422:SHI655427 SRE655422:SRE655427 TBA655422:TBA655427 TKW655422:TKW655427 TUS655422:TUS655427 UEO655422:UEO655427 UOK655422:UOK655427 UYG655422:UYG655427 VIC655422:VIC655427 VRY655422:VRY655427 WBU655422:WBU655427 WLQ655422:WLQ655427 WVM655422:WVM655427 C720958:C720963 JA720958:JA720963 SW720958:SW720963 ACS720958:ACS720963 AMO720958:AMO720963 AWK720958:AWK720963 BGG720958:BGG720963 BQC720958:BQC720963 BZY720958:BZY720963 CJU720958:CJU720963 CTQ720958:CTQ720963 DDM720958:DDM720963 DNI720958:DNI720963 DXE720958:DXE720963 EHA720958:EHA720963 EQW720958:EQW720963 FAS720958:FAS720963 FKO720958:FKO720963 FUK720958:FUK720963 GEG720958:GEG720963 GOC720958:GOC720963 GXY720958:GXY720963 HHU720958:HHU720963 HRQ720958:HRQ720963 IBM720958:IBM720963 ILI720958:ILI720963 IVE720958:IVE720963 JFA720958:JFA720963 JOW720958:JOW720963 JYS720958:JYS720963 KIO720958:KIO720963 KSK720958:KSK720963 LCG720958:LCG720963 LMC720958:LMC720963 LVY720958:LVY720963 MFU720958:MFU720963 MPQ720958:MPQ720963 MZM720958:MZM720963 NJI720958:NJI720963 NTE720958:NTE720963 ODA720958:ODA720963 OMW720958:OMW720963 OWS720958:OWS720963 PGO720958:PGO720963 PQK720958:PQK720963 QAG720958:QAG720963 QKC720958:QKC720963 QTY720958:QTY720963 RDU720958:RDU720963 RNQ720958:RNQ720963 RXM720958:RXM720963 SHI720958:SHI720963 SRE720958:SRE720963 TBA720958:TBA720963 TKW720958:TKW720963 TUS720958:TUS720963 UEO720958:UEO720963 UOK720958:UOK720963 UYG720958:UYG720963 VIC720958:VIC720963 VRY720958:VRY720963 WBU720958:WBU720963 WLQ720958:WLQ720963 WVM720958:WVM720963 C786494:C786499 JA786494:JA786499 SW786494:SW786499 ACS786494:ACS786499 AMO786494:AMO786499 AWK786494:AWK786499 BGG786494:BGG786499 BQC786494:BQC786499 BZY786494:BZY786499 CJU786494:CJU786499 CTQ786494:CTQ786499 DDM786494:DDM786499 DNI786494:DNI786499 DXE786494:DXE786499 EHA786494:EHA786499 EQW786494:EQW786499 FAS786494:FAS786499 FKO786494:FKO786499 FUK786494:FUK786499 GEG786494:GEG786499 GOC786494:GOC786499 GXY786494:GXY786499 HHU786494:HHU786499 HRQ786494:HRQ786499 IBM786494:IBM786499 ILI786494:ILI786499 IVE786494:IVE786499 JFA786494:JFA786499 JOW786494:JOW786499 JYS786494:JYS786499 KIO786494:KIO786499 KSK786494:KSK786499 LCG786494:LCG786499 LMC786494:LMC786499 LVY786494:LVY786499 MFU786494:MFU786499 MPQ786494:MPQ786499 MZM786494:MZM786499 NJI786494:NJI786499 NTE786494:NTE786499 ODA786494:ODA786499 OMW786494:OMW786499 OWS786494:OWS786499 PGO786494:PGO786499 PQK786494:PQK786499 QAG786494:QAG786499 QKC786494:QKC786499 QTY786494:QTY786499 RDU786494:RDU786499 RNQ786494:RNQ786499 RXM786494:RXM786499 SHI786494:SHI786499 SRE786494:SRE786499 TBA786494:TBA786499 TKW786494:TKW786499 TUS786494:TUS786499 UEO786494:UEO786499 UOK786494:UOK786499 UYG786494:UYG786499 VIC786494:VIC786499 VRY786494:VRY786499 WBU786494:WBU786499 WLQ786494:WLQ786499 WVM786494:WVM786499 C852030:C852035 JA852030:JA852035 SW852030:SW852035 ACS852030:ACS852035 AMO852030:AMO852035 AWK852030:AWK852035 BGG852030:BGG852035 BQC852030:BQC852035 BZY852030:BZY852035 CJU852030:CJU852035 CTQ852030:CTQ852035 DDM852030:DDM852035 DNI852030:DNI852035 DXE852030:DXE852035 EHA852030:EHA852035 EQW852030:EQW852035 FAS852030:FAS852035 FKO852030:FKO852035 FUK852030:FUK852035 GEG852030:GEG852035 GOC852030:GOC852035 GXY852030:GXY852035 HHU852030:HHU852035 HRQ852030:HRQ852035 IBM852030:IBM852035 ILI852030:ILI852035 IVE852030:IVE852035 JFA852030:JFA852035 JOW852030:JOW852035 JYS852030:JYS852035 KIO852030:KIO852035 KSK852030:KSK852035 LCG852030:LCG852035 LMC852030:LMC852035 LVY852030:LVY852035 MFU852030:MFU852035 MPQ852030:MPQ852035 MZM852030:MZM852035 NJI852030:NJI852035 NTE852030:NTE852035 ODA852030:ODA852035 OMW852030:OMW852035 OWS852030:OWS852035 PGO852030:PGO852035 PQK852030:PQK852035 QAG852030:QAG852035 QKC852030:QKC852035 QTY852030:QTY852035 RDU852030:RDU852035 RNQ852030:RNQ852035 RXM852030:RXM852035 SHI852030:SHI852035 SRE852030:SRE852035 TBA852030:TBA852035 TKW852030:TKW852035 TUS852030:TUS852035 UEO852030:UEO852035 UOK852030:UOK852035 UYG852030:UYG852035 VIC852030:VIC852035 VRY852030:VRY852035 WBU852030:WBU852035 WLQ852030:WLQ852035 WVM852030:WVM852035 C917566:C917571 JA917566:JA917571 SW917566:SW917571 ACS917566:ACS917571 AMO917566:AMO917571 AWK917566:AWK917571 BGG917566:BGG917571 BQC917566:BQC917571 BZY917566:BZY917571 CJU917566:CJU917571 CTQ917566:CTQ917571 DDM917566:DDM917571 DNI917566:DNI917571 DXE917566:DXE917571 EHA917566:EHA917571 EQW917566:EQW917571 FAS917566:FAS917571 FKO917566:FKO917571 FUK917566:FUK917571 GEG917566:GEG917571 GOC917566:GOC917571 GXY917566:GXY917571 HHU917566:HHU917571 HRQ917566:HRQ917571 IBM917566:IBM917571 ILI917566:ILI917571 IVE917566:IVE917571 JFA917566:JFA917571 JOW917566:JOW917571 JYS917566:JYS917571 KIO917566:KIO917571 KSK917566:KSK917571 LCG917566:LCG917571 LMC917566:LMC917571 LVY917566:LVY917571 MFU917566:MFU917571 MPQ917566:MPQ917571 MZM917566:MZM917571 NJI917566:NJI917571 NTE917566:NTE917571 ODA917566:ODA917571 OMW917566:OMW917571 OWS917566:OWS917571 PGO917566:PGO917571 PQK917566:PQK917571 QAG917566:QAG917571 QKC917566:QKC917571 QTY917566:QTY917571 RDU917566:RDU917571 RNQ917566:RNQ917571 RXM917566:RXM917571 SHI917566:SHI917571 SRE917566:SRE917571 TBA917566:TBA917571 TKW917566:TKW917571 TUS917566:TUS917571 UEO917566:UEO917571 UOK917566:UOK917571 UYG917566:UYG917571 VIC917566:VIC917571 VRY917566:VRY917571 WBU917566:WBU917571 WLQ917566:WLQ917571 WVM917566:WVM917571 C983102:C983107 JA983102:JA983107 SW983102:SW983107 ACS983102:ACS983107 AMO983102:AMO983107 AWK983102:AWK983107 BGG983102:BGG983107 BQC983102:BQC983107 BZY983102:BZY983107 CJU983102:CJU983107 CTQ983102:CTQ983107 DDM983102:DDM983107 DNI983102:DNI983107 DXE983102:DXE983107 EHA983102:EHA983107 EQW983102:EQW983107 FAS983102:FAS983107 FKO983102:FKO983107 FUK983102:FUK983107 GEG983102:GEG983107 GOC983102:GOC983107 GXY983102:GXY983107 HHU983102:HHU983107 HRQ983102:HRQ983107 IBM983102:IBM983107 ILI983102:ILI983107 IVE983102:IVE983107 JFA983102:JFA983107 JOW983102:JOW983107 JYS983102:JYS983107 KIO983102:KIO983107 KSK983102:KSK983107 LCG983102:LCG983107 LMC983102:LMC983107 LVY983102:LVY983107 MFU983102:MFU983107 MPQ983102:MPQ983107 MZM983102:MZM983107 NJI983102:NJI983107 NTE983102:NTE983107 ODA983102:ODA983107 OMW983102:OMW983107 OWS983102:OWS983107 PGO983102:PGO983107 PQK983102:PQK983107 QAG983102:QAG983107 QKC983102:QKC983107 QTY983102:QTY983107 RDU983102:RDU983107 RNQ983102:RNQ983107 RXM983102:RXM983107 SHI983102:SHI983107 SRE983102:SRE983107 TBA983102:TBA983107 TKW983102:TKW983107 TUS983102:TUS983107 UEO983102:UEO983107 UOK983102:UOK983107 UYG983102:UYG983107 VIC983102:VIC983107 VRY983102:VRY983107 WBU983102:WBU983107 WLQ983102:WLQ983107 WVM983102:WVM983107 C18:C19 JA18:JA19 SW18:SW19 ACS18:ACS19 AMO18:AMO19 AWK18:AWK19 BGG18:BGG19 BQC18:BQC19 BZY18:BZY19 CJU18:CJU19 CTQ18:CTQ19 DDM18:DDM19 DNI18:DNI19 DXE18:DXE19 EHA18:EHA19 EQW18:EQW19 FAS18:FAS19 FKO18:FKO19 FUK18:FUK19 GEG18:GEG19 GOC18:GOC19 GXY18:GXY19 HHU18:HHU19 HRQ18:HRQ19 IBM18:IBM19 ILI18:ILI19 IVE18:IVE19 JFA18:JFA19 JOW18:JOW19 JYS18:JYS19 KIO18:KIO19 KSK18:KSK19 LCG18:LCG19 LMC18:LMC19 LVY18:LVY19 MFU18:MFU19 MPQ18:MPQ19 MZM18:MZM19 NJI18:NJI19 NTE18:NTE19 ODA18:ODA19 OMW18:OMW19 OWS18:OWS19 PGO18:PGO19 PQK18:PQK19 QAG18:QAG19 QKC18:QKC19 QTY18:QTY19 RDU18:RDU19 RNQ18:RNQ19 RXM18:RXM19 SHI18:SHI19 SRE18:SRE19 TBA18:TBA19 TKW18:TKW19 TUS18:TUS19 UEO18:UEO19 UOK18:UOK19 UYG18:UYG19 VIC18:VIC19 VRY18:VRY19 WBU18:WBU19 WLQ18:WLQ19 WVM18:WVM19 C65554:C65555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C131090:C131091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C196626:C196627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C262162:C262163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C327698:C327699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C393234:C393235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C458770:C458771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C524306:C524307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C589842:C589843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C655378:C655379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C720914:C720915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C786450:C786451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C851986:C851987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C917522:C917523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C983058:C983059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C69:C70 JA69:JA70 SW69:SW70 ACS69:ACS70 AMO69:AMO70 AWK69:AWK70 BGG69:BGG70 BQC69:BQC70 BZY69:BZY70 CJU69:CJU70 CTQ69:CTQ70 DDM69:DDM70 DNI69:DNI70 DXE69:DXE70 EHA69:EHA70 EQW69:EQW70 FAS69:FAS70 FKO69:FKO70 FUK69:FUK70 GEG69:GEG70 GOC69:GOC70 GXY69:GXY70 HHU69:HHU70 HRQ69:HRQ70 IBM69:IBM70 ILI69:ILI70 IVE69:IVE70 JFA69:JFA70 JOW69:JOW70 JYS69:JYS70 KIO69:KIO70 KSK69:KSK70 LCG69:LCG70 LMC69:LMC70 LVY69:LVY70 MFU69:MFU70 MPQ69:MPQ70 MZM69:MZM70 NJI69:NJI70 NTE69:NTE70 ODA69:ODA70 OMW69:OMW70 OWS69:OWS70 PGO69:PGO70 PQK69:PQK70 QAG69:QAG70 QKC69:QKC70 QTY69:QTY70 RDU69:RDU70 RNQ69:RNQ70 RXM69:RXM70 SHI69:SHI70 SRE69:SRE70 TBA69:TBA70 TKW69:TKW70 TUS69:TUS70 UEO69:UEO70 UOK69:UOK70 UYG69:UYG70 VIC69:VIC70 VRY69:VRY70 WBU69:WBU70 WLQ69:WLQ70 WVM69:WVM70 C65605:C65606 JA65605:JA65606 SW65605:SW65606 ACS65605:ACS65606 AMO65605:AMO65606 AWK65605:AWK65606 BGG65605:BGG65606 BQC65605:BQC65606 BZY65605:BZY65606 CJU65605:CJU65606 CTQ65605:CTQ65606 DDM65605:DDM65606 DNI65605:DNI65606 DXE65605:DXE65606 EHA65605:EHA65606 EQW65605:EQW65606 FAS65605:FAS65606 FKO65605:FKO65606 FUK65605:FUK65606 GEG65605:GEG65606 GOC65605:GOC65606 GXY65605:GXY65606 HHU65605:HHU65606 HRQ65605:HRQ65606 IBM65605:IBM65606 ILI65605:ILI65606 IVE65605:IVE65606 JFA65605:JFA65606 JOW65605:JOW65606 JYS65605:JYS65606 KIO65605:KIO65606 KSK65605:KSK65606 LCG65605:LCG65606 LMC65605:LMC65606 LVY65605:LVY65606 MFU65605:MFU65606 MPQ65605:MPQ65606 MZM65605:MZM65606 NJI65605:NJI65606 NTE65605:NTE65606 ODA65605:ODA65606 OMW65605:OMW65606 OWS65605:OWS65606 PGO65605:PGO65606 PQK65605:PQK65606 QAG65605:QAG65606 QKC65605:QKC65606 QTY65605:QTY65606 RDU65605:RDU65606 RNQ65605:RNQ65606 RXM65605:RXM65606 SHI65605:SHI65606 SRE65605:SRE65606 TBA65605:TBA65606 TKW65605:TKW65606 TUS65605:TUS65606 UEO65605:UEO65606 UOK65605:UOK65606 UYG65605:UYG65606 VIC65605:VIC65606 VRY65605:VRY65606 WBU65605:WBU65606 WLQ65605:WLQ65606 WVM65605:WVM65606 C131141:C131142 JA131141:JA131142 SW131141:SW131142 ACS131141:ACS131142 AMO131141:AMO131142 AWK131141:AWK131142 BGG131141:BGG131142 BQC131141:BQC131142 BZY131141:BZY131142 CJU131141:CJU131142 CTQ131141:CTQ131142 DDM131141:DDM131142 DNI131141:DNI131142 DXE131141:DXE131142 EHA131141:EHA131142 EQW131141:EQW131142 FAS131141:FAS131142 FKO131141:FKO131142 FUK131141:FUK131142 GEG131141:GEG131142 GOC131141:GOC131142 GXY131141:GXY131142 HHU131141:HHU131142 HRQ131141:HRQ131142 IBM131141:IBM131142 ILI131141:ILI131142 IVE131141:IVE131142 JFA131141:JFA131142 JOW131141:JOW131142 JYS131141:JYS131142 KIO131141:KIO131142 KSK131141:KSK131142 LCG131141:LCG131142 LMC131141:LMC131142 LVY131141:LVY131142 MFU131141:MFU131142 MPQ131141:MPQ131142 MZM131141:MZM131142 NJI131141:NJI131142 NTE131141:NTE131142 ODA131141:ODA131142 OMW131141:OMW131142 OWS131141:OWS131142 PGO131141:PGO131142 PQK131141:PQK131142 QAG131141:QAG131142 QKC131141:QKC131142 QTY131141:QTY131142 RDU131141:RDU131142 RNQ131141:RNQ131142 RXM131141:RXM131142 SHI131141:SHI131142 SRE131141:SRE131142 TBA131141:TBA131142 TKW131141:TKW131142 TUS131141:TUS131142 UEO131141:UEO131142 UOK131141:UOK131142 UYG131141:UYG131142 VIC131141:VIC131142 VRY131141:VRY131142 WBU131141:WBU131142 WLQ131141:WLQ131142 WVM131141:WVM131142 C196677:C196678 JA196677:JA196678 SW196677:SW196678 ACS196677:ACS196678 AMO196677:AMO196678 AWK196677:AWK196678 BGG196677:BGG196678 BQC196677:BQC196678 BZY196677:BZY196678 CJU196677:CJU196678 CTQ196677:CTQ196678 DDM196677:DDM196678 DNI196677:DNI196678 DXE196677:DXE196678 EHA196677:EHA196678 EQW196677:EQW196678 FAS196677:FAS196678 FKO196677:FKO196678 FUK196677:FUK196678 GEG196677:GEG196678 GOC196677:GOC196678 GXY196677:GXY196678 HHU196677:HHU196678 HRQ196677:HRQ196678 IBM196677:IBM196678 ILI196677:ILI196678 IVE196677:IVE196678 JFA196677:JFA196678 JOW196677:JOW196678 JYS196677:JYS196678 KIO196677:KIO196678 KSK196677:KSK196678 LCG196677:LCG196678 LMC196677:LMC196678 LVY196677:LVY196678 MFU196677:MFU196678 MPQ196677:MPQ196678 MZM196677:MZM196678 NJI196677:NJI196678 NTE196677:NTE196678 ODA196677:ODA196678 OMW196677:OMW196678 OWS196677:OWS196678 PGO196677:PGO196678 PQK196677:PQK196678 QAG196677:QAG196678 QKC196677:QKC196678 QTY196677:QTY196678 RDU196677:RDU196678 RNQ196677:RNQ196678 RXM196677:RXM196678 SHI196677:SHI196678 SRE196677:SRE196678 TBA196677:TBA196678 TKW196677:TKW196678 TUS196677:TUS196678 UEO196677:UEO196678 UOK196677:UOK196678 UYG196677:UYG196678 VIC196677:VIC196678 VRY196677:VRY196678 WBU196677:WBU196678 WLQ196677:WLQ196678 WVM196677:WVM196678 C262213:C262214 JA262213:JA262214 SW262213:SW262214 ACS262213:ACS262214 AMO262213:AMO262214 AWK262213:AWK262214 BGG262213:BGG262214 BQC262213:BQC262214 BZY262213:BZY262214 CJU262213:CJU262214 CTQ262213:CTQ262214 DDM262213:DDM262214 DNI262213:DNI262214 DXE262213:DXE262214 EHA262213:EHA262214 EQW262213:EQW262214 FAS262213:FAS262214 FKO262213:FKO262214 FUK262213:FUK262214 GEG262213:GEG262214 GOC262213:GOC262214 GXY262213:GXY262214 HHU262213:HHU262214 HRQ262213:HRQ262214 IBM262213:IBM262214 ILI262213:ILI262214 IVE262213:IVE262214 JFA262213:JFA262214 JOW262213:JOW262214 JYS262213:JYS262214 KIO262213:KIO262214 KSK262213:KSK262214 LCG262213:LCG262214 LMC262213:LMC262214 LVY262213:LVY262214 MFU262213:MFU262214 MPQ262213:MPQ262214 MZM262213:MZM262214 NJI262213:NJI262214 NTE262213:NTE262214 ODA262213:ODA262214 OMW262213:OMW262214 OWS262213:OWS262214 PGO262213:PGO262214 PQK262213:PQK262214 QAG262213:QAG262214 QKC262213:QKC262214 QTY262213:QTY262214 RDU262213:RDU262214 RNQ262213:RNQ262214 RXM262213:RXM262214 SHI262213:SHI262214 SRE262213:SRE262214 TBA262213:TBA262214 TKW262213:TKW262214 TUS262213:TUS262214 UEO262213:UEO262214 UOK262213:UOK262214 UYG262213:UYG262214 VIC262213:VIC262214 VRY262213:VRY262214 WBU262213:WBU262214 WLQ262213:WLQ262214 WVM262213:WVM262214 C327749:C327750 JA327749:JA327750 SW327749:SW327750 ACS327749:ACS327750 AMO327749:AMO327750 AWK327749:AWK327750 BGG327749:BGG327750 BQC327749:BQC327750 BZY327749:BZY327750 CJU327749:CJU327750 CTQ327749:CTQ327750 DDM327749:DDM327750 DNI327749:DNI327750 DXE327749:DXE327750 EHA327749:EHA327750 EQW327749:EQW327750 FAS327749:FAS327750 FKO327749:FKO327750 FUK327749:FUK327750 GEG327749:GEG327750 GOC327749:GOC327750 GXY327749:GXY327750 HHU327749:HHU327750 HRQ327749:HRQ327750 IBM327749:IBM327750 ILI327749:ILI327750 IVE327749:IVE327750 JFA327749:JFA327750 JOW327749:JOW327750 JYS327749:JYS327750 KIO327749:KIO327750 KSK327749:KSK327750 LCG327749:LCG327750 LMC327749:LMC327750 LVY327749:LVY327750 MFU327749:MFU327750 MPQ327749:MPQ327750 MZM327749:MZM327750 NJI327749:NJI327750 NTE327749:NTE327750 ODA327749:ODA327750 OMW327749:OMW327750 OWS327749:OWS327750 PGO327749:PGO327750 PQK327749:PQK327750 QAG327749:QAG327750 QKC327749:QKC327750 QTY327749:QTY327750 RDU327749:RDU327750 RNQ327749:RNQ327750 RXM327749:RXM327750 SHI327749:SHI327750 SRE327749:SRE327750 TBA327749:TBA327750 TKW327749:TKW327750 TUS327749:TUS327750 UEO327749:UEO327750 UOK327749:UOK327750 UYG327749:UYG327750 VIC327749:VIC327750 VRY327749:VRY327750 WBU327749:WBU327750 WLQ327749:WLQ327750 WVM327749:WVM327750 C393285:C393286 JA393285:JA393286 SW393285:SW393286 ACS393285:ACS393286 AMO393285:AMO393286 AWK393285:AWK393286 BGG393285:BGG393286 BQC393285:BQC393286 BZY393285:BZY393286 CJU393285:CJU393286 CTQ393285:CTQ393286 DDM393285:DDM393286 DNI393285:DNI393286 DXE393285:DXE393286 EHA393285:EHA393286 EQW393285:EQW393286 FAS393285:FAS393286 FKO393285:FKO393286 FUK393285:FUK393286 GEG393285:GEG393286 GOC393285:GOC393286 GXY393285:GXY393286 HHU393285:HHU393286 HRQ393285:HRQ393286 IBM393285:IBM393286 ILI393285:ILI393286 IVE393285:IVE393286 JFA393285:JFA393286 JOW393285:JOW393286 JYS393285:JYS393286 KIO393285:KIO393286 KSK393285:KSK393286 LCG393285:LCG393286 LMC393285:LMC393286 LVY393285:LVY393286 MFU393285:MFU393286 MPQ393285:MPQ393286 MZM393285:MZM393286 NJI393285:NJI393286 NTE393285:NTE393286 ODA393285:ODA393286 OMW393285:OMW393286 OWS393285:OWS393286 PGO393285:PGO393286 PQK393285:PQK393286 QAG393285:QAG393286 QKC393285:QKC393286 QTY393285:QTY393286 RDU393285:RDU393286 RNQ393285:RNQ393286 RXM393285:RXM393286 SHI393285:SHI393286 SRE393285:SRE393286 TBA393285:TBA393286 TKW393285:TKW393286 TUS393285:TUS393286 UEO393285:UEO393286 UOK393285:UOK393286 UYG393285:UYG393286 VIC393285:VIC393286 VRY393285:VRY393286 WBU393285:WBU393286 WLQ393285:WLQ393286 WVM393285:WVM393286 C458821:C458822 JA458821:JA458822 SW458821:SW458822 ACS458821:ACS458822 AMO458821:AMO458822 AWK458821:AWK458822 BGG458821:BGG458822 BQC458821:BQC458822 BZY458821:BZY458822 CJU458821:CJU458822 CTQ458821:CTQ458822 DDM458821:DDM458822 DNI458821:DNI458822 DXE458821:DXE458822 EHA458821:EHA458822 EQW458821:EQW458822 FAS458821:FAS458822 FKO458821:FKO458822 FUK458821:FUK458822 GEG458821:GEG458822 GOC458821:GOC458822 GXY458821:GXY458822 HHU458821:HHU458822 HRQ458821:HRQ458822 IBM458821:IBM458822 ILI458821:ILI458822 IVE458821:IVE458822 JFA458821:JFA458822 JOW458821:JOW458822 JYS458821:JYS458822 KIO458821:KIO458822 KSK458821:KSK458822 LCG458821:LCG458822 LMC458821:LMC458822 LVY458821:LVY458822 MFU458821:MFU458822 MPQ458821:MPQ458822 MZM458821:MZM458822 NJI458821:NJI458822 NTE458821:NTE458822 ODA458821:ODA458822 OMW458821:OMW458822 OWS458821:OWS458822 PGO458821:PGO458822 PQK458821:PQK458822 QAG458821:QAG458822 QKC458821:QKC458822 QTY458821:QTY458822 RDU458821:RDU458822 RNQ458821:RNQ458822 RXM458821:RXM458822 SHI458821:SHI458822 SRE458821:SRE458822 TBA458821:TBA458822 TKW458821:TKW458822 TUS458821:TUS458822 UEO458821:UEO458822 UOK458821:UOK458822 UYG458821:UYG458822 VIC458821:VIC458822 VRY458821:VRY458822 WBU458821:WBU458822 WLQ458821:WLQ458822 WVM458821:WVM458822 C524357:C524358 JA524357:JA524358 SW524357:SW524358 ACS524357:ACS524358 AMO524357:AMO524358 AWK524357:AWK524358 BGG524357:BGG524358 BQC524357:BQC524358 BZY524357:BZY524358 CJU524357:CJU524358 CTQ524357:CTQ524358 DDM524357:DDM524358 DNI524357:DNI524358 DXE524357:DXE524358 EHA524357:EHA524358 EQW524357:EQW524358 FAS524357:FAS524358 FKO524357:FKO524358 FUK524357:FUK524358 GEG524357:GEG524358 GOC524357:GOC524358 GXY524357:GXY524358 HHU524357:HHU524358 HRQ524357:HRQ524358 IBM524357:IBM524358 ILI524357:ILI524358 IVE524357:IVE524358 JFA524357:JFA524358 JOW524357:JOW524358 JYS524357:JYS524358 KIO524357:KIO524358 KSK524357:KSK524358 LCG524357:LCG524358 LMC524357:LMC524358 LVY524357:LVY524358 MFU524357:MFU524358 MPQ524357:MPQ524358 MZM524357:MZM524358 NJI524357:NJI524358 NTE524357:NTE524358 ODA524357:ODA524358 OMW524357:OMW524358 OWS524357:OWS524358 PGO524357:PGO524358 PQK524357:PQK524358 QAG524357:QAG524358 QKC524357:QKC524358 QTY524357:QTY524358 RDU524357:RDU524358 RNQ524357:RNQ524358 RXM524357:RXM524358 SHI524357:SHI524358 SRE524357:SRE524358 TBA524357:TBA524358 TKW524357:TKW524358 TUS524357:TUS524358 UEO524357:UEO524358 UOK524357:UOK524358 UYG524357:UYG524358 VIC524357:VIC524358 VRY524357:VRY524358 WBU524357:WBU524358 WLQ524357:WLQ524358 WVM524357:WVM524358 C589893:C589894 JA589893:JA589894 SW589893:SW589894 ACS589893:ACS589894 AMO589893:AMO589894 AWK589893:AWK589894 BGG589893:BGG589894 BQC589893:BQC589894 BZY589893:BZY589894 CJU589893:CJU589894 CTQ589893:CTQ589894 DDM589893:DDM589894 DNI589893:DNI589894 DXE589893:DXE589894 EHA589893:EHA589894 EQW589893:EQW589894 FAS589893:FAS589894 FKO589893:FKO589894 FUK589893:FUK589894 GEG589893:GEG589894 GOC589893:GOC589894 GXY589893:GXY589894 HHU589893:HHU589894 HRQ589893:HRQ589894 IBM589893:IBM589894 ILI589893:ILI589894 IVE589893:IVE589894 JFA589893:JFA589894 JOW589893:JOW589894 JYS589893:JYS589894 KIO589893:KIO589894 KSK589893:KSK589894 LCG589893:LCG589894 LMC589893:LMC589894 LVY589893:LVY589894 MFU589893:MFU589894 MPQ589893:MPQ589894 MZM589893:MZM589894 NJI589893:NJI589894 NTE589893:NTE589894 ODA589893:ODA589894 OMW589893:OMW589894 OWS589893:OWS589894 PGO589893:PGO589894 PQK589893:PQK589894 QAG589893:QAG589894 QKC589893:QKC589894 QTY589893:QTY589894 RDU589893:RDU589894 RNQ589893:RNQ589894 RXM589893:RXM589894 SHI589893:SHI589894 SRE589893:SRE589894 TBA589893:TBA589894 TKW589893:TKW589894 TUS589893:TUS589894 UEO589893:UEO589894 UOK589893:UOK589894 UYG589893:UYG589894 VIC589893:VIC589894 VRY589893:VRY589894 WBU589893:WBU589894 WLQ589893:WLQ589894 WVM589893:WVM589894 C655429:C655430 JA655429:JA655430 SW655429:SW655430 ACS655429:ACS655430 AMO655429:AMO655430 AWK655429:AWK655430 BGG655429:BGG655430 BQC655429:BQC655430 BZY655429:BZY655430 CJU655429:CJU655430 CTQ655429:CTQ655430 DDM655429:DDM655430 DNI655429:DNI655430 DXE655429:DXE655430 EHA655429:EHA655430 EQW655429:EQW655430 FAS655429:FAS655430 FKO655429:FKO655430 FUK655429:FUK655430 GEG655429:GEG655430 GOC655429:GOC655430 GXY655429:GXY655430 HHU655429:HHU655430 HRQ655429:HRQ655430 IBM655429:IBM655430 ILI655429:ILI655430 IVE655429:IVE655430 JFA655429:JFA655430 JOW655429:JOW655430 JYS655429:JYS655430 KIO655429:KIO655430 KSK655429:KSK655430 LCG655429:LCG655430 LMC655429:LMC655430 LVY655429:LVY655430 MFU655429:MFU655430 MPQ655429:MPQ655430 MZM655429:MZM655430 NJI655429:NJI655430 NTE655429:NTE655430 ODA655429:ODA655430 OMW655429:OMW655430 OWS655429:OWS655430 PGO655429:PGO655430 PQK655429:PQK655430 QAG655429:QAG655430 QKC655429:QKC655430 QTY655429:QTY655430 RDU655429:RDU655430 RNQ655429:RNQ655430 RXM655429:RXM655430 SHI655429:SHI655430 SRE655429:SRE655430 TBA655429:TBA655430 TKW655429:TKW655430 TUS655429:TUS655430 UEO655429:UEO655430 UOK655429:UOK655430 UYG655429:UYG655430 VIC655429:VIC655430 VRY655429:VRY655430 WBU655429:WBU655430 WLQ655429:WLQ655430 WVM655429:WVM655430 C720965:C720966 JA720965:JA720966 SW720965:SW720966 ACS720965:ACS720966 AMO720965:AMO720966 AWK720965:AWK720966 BGG720965:BGG720966 BQC720965:BQC720966 BZY720965:BZY720966 CJU720965:CJU720966 CTQ720965:CTQ720966 DDM720965:DDM720966 DNI720965:DNI720966 DXE720965:DXE720966 EHA720965:EHA720966 EQW720965:EQW720966 FAS720965:FAS720966 FKO720965:FKO720966 FUK720965:FUK720966 GEG720965:GEG720966 GOC720965:GOC720966 GXY720965:GXY720966 HHU720965:HHU720966 HRQ720965:HRQ720966 IBM720965:IBM720966 ILI720965:ILI720966 IVE720965:IVE720966 JFA720965:JFA720966 JOW720965:JOW720966 JYS720965:JYS720966 KIO720965:KIO720966 KSK720965:KSK720966 LCG720965:LCG720966 LMC720965:LMC720966 LVY720965:LVY720966 MFU720965:MFU720966 MPQ720965:MPQ720966 MZM720965:MZM720966 NJI720965:NJI720966 NTE720965:NTE720966 ODA720965:ODA720966 OMW720965:OMW720966 OWS720965:OWS720966 PGO720965:PGO720966 PQK720965:PQK720966 QAG720965:QAG720966 QKC720965:QKC720966 QTY720965:QTY720966 RDU720965:RDU720966 RNQ720965:RNQ720966 RXM720965:RXM720966 SHI720965:SHI720966 SRE720965:SRE720966 TBA720965:TBA720966 TKW720965:TKW720966 TUS720965:TUS720966 UEO720965:UEO720966 UOK720965:UOK720966 UYG720965:UYG720966 VIC720965:VIC720966 VRY720965:VRY720966 WBU720965:WBU720966 WLQ720965:WLQ720966 WVM720965:WVM720966 C786501:C786502 JA786501:JA786502 SW786501:SW786502 ACS786501:ACS786502 AMO786501:AMO786502 AWK786501:AWK786502 BGG786501:BGG786502 BQC786501:BQC786502 BZY786501:BZY786502 CJU786501:CJU786502 CTQ786501:CTQ786502 DDM786501:DDM786502 DNI786501:DNI786502 DXE786501:DXE786502 EHA786501:EHA786502 EQW786501:EQW786502 FAS786501:FAS786502 FKO786501:FKO786502 FUK786501:FUK786502 GEG786501:GEG786502 GOC786501:GOC786502 GXY786501:GXY786502 HHU786501:HHU786502 HRQ786501:HRQ786502 IBM786501:IBM786502 ILI786501:ILI786502 IVE786501:IVE786502 JFA786501:JFA786502 JOW786501:JOW786502 JYS786501:JYS786502 KIO786501:KIO786502 KSK786501:KSK786502 LCG786501:LCG786502 LMC786501:LMC786502 LVY786501:LVY786502 MFU786501:MFU786502 MPQ786501:MPQ786502 MZM786501:MZM786502 NJI786501:NJI786502 NTE786501:NTE786502 ODA786501:ODA786502 OMW786501:OMW786502 OWS786501:OWS786502 PGO786501:PGO786502 PQK786501:PQK786502 QAG786501:QAG786502 QKC786501:QKC786502 QTY786501:QTY786502 RDU786501:RDU786502 RNQ786501:RNQ786502 RXM786501:RXM786502 SHI786501:SHI786502 SRE786501:SRE786502 TBA786501:TBA786502 TKW786501:TKW786502 TUS786501:TUS786502 UEO786501:UEO786502 UOK786501:UOK786502 UYG786501:UYG786502 VIC786501:VIC786502 VRY786501:VRY786502 WBU786501:WBU786502 WLQ786501:WLQ786502 WVM786501:WVM786502 C852037:C852038 JA852037:JA852038 SW852037:SW852038 ACS852037:ACS852038 AMO852037:AMO852038 AWK852037:AWK852038 BGG852037:BGG852038 BQC852037:BQC852038 BZY852037:BZY852038 CJU852037:CJU852038 CTQ852037:CTQ852038 DDM852037:DDM852038 DNI852037:DNI852038 DXE852037:DXE852038 EHA852037:EHA852038 EQW852037:EQW852038 FAS852037:FAS852038 FKO852037:FKO852038 FUK852037:FUK852038 GEG852037:GEG852038 GOC852037:GOC852038 GXY852037:GXY852038 HHU852037:HHU852038 HRQ852037:HRQ852038 IBM852037:IBM852038 ILI852037:ILI852038 IVE852037:IVE852038 JFA852037:JFA852038 JOW852037:JOW852038 JYS852037:JYS852038 KIO852037:KIO852038 KSK852037:KSK852038 LCG852037:LCG852038 LMC852037:LMC852038 LVY852037:LVY852038 MFU852037:MFU852038 MPQ852037:MPQ852038 MZM852037:MZM852038 NJI852037:NJI852038 NTE852037:NTE852038 ODA852037:ODA852038 OMW852037:OMW852038 OWS852037:OWS852038 PGO852037:PGO852038 PQK852037:PQK852038 QAG852037:QAG852038 QKC852037:QKC852038 QTY852037:QTY852038 RDU852037:RDU852038 RNQ852037:RNQ852038 RXM852037:RXM852038 SHI852037:SHI852038 SRE852037:SRE852038 TBA852037:TBA852038 TKW852037:TKW852038 TUS852037:TUS852038 UEO852037:UEO852038 UOK852037:UOK852038 UYG852037:UYG852038 VIC852037:VIC852038 VRY852037:VRY852038 WBU852037:WBU852038 WLQ852037:WLQ852038 WVM852037:WVM852038 C917573:C917574 JA917573:JA917574 SW917573:SW917574 ACS917573:ACS917574 AMO917573:AMO917574 AWK917573:AWK917574 BGG917573:BGG917574 BQC917573:BQC917574 BZY917573:BZY917574 CJU917573:CJU917574 CTQ917573:CTQ917574 DDM917573:DDM917574 DNI917573:DNI917574 DXE917573:DXE917574 EHA917573:EHA917574 EQW917573:EQW917574 FAS917573:FAS917574 FKO917573:FKO917574 FUK917573:FUK917574 GEG917573:GEG917574 GOC917573:GOC917574 GXY917573:GXY917574 HHU917573:HHU917574 HRQ917573:HRQ917574 IBM917573:IBM917574 ILI917573:ILI917574 IVE917573:IVE917574 JFA917573:JFA917574 JOW917573:JOW917574 JYS917573:JYS917574 KIO917573:KIO917574 KSK917573:KSK917574 LCG917573:LCG917574 LMC917573:LMC917574 LVY917573:LVY917574 MFU917573:MFU917574 MPQ917573:MPQ917574 MZM917573:MZM917574 NJI917573:NJI917574 NTE917573:NTE917574 ODA917573:ODA917574 OMW917573:OMW917574 OWS917573:OWS917574 PGO917573:PGO917574 PQK917573:PQK917574 QAG917573:QAG917574 QKC917573:QKC917574 QTY917573:QTY917574 RDU917573:RDU917574 RNQ917573:RNQ917574 RXM917573:RXM917574 SHI917573:SHI917574 SRE917573:SRE917574 TBA917573:TBA917574 TKW917573:TKW917574 TUS917573:TUS917574 UEO917573:UEO917574 UOK917573:UOK917574 UYG917573:UYG917574 VIC917573:VIC917574 VRY917573:VRY917574 WBU917573:WBU917574 WLQ917573:WLQ917574 WVM917573:WVM917574 C983109:C983110 JA983109:JA983110 SW983109:SW983110 ACS983109:ACS983110 AMO983109:AMO983110 AWK983109:AWK983110 BGG983109:BGG983110 BQC983109:BQC983110 BZY983109:BZY983110 CJU983109:CJU983110 CTQ983109:CTQ983110 DDM983109:DDM983110 DNI983109:DNI983110 DXE983109:DXE983110 EHA983109:EHA983110 EQW983109:EQW983110 FAS983109:FAS983110 FKO983109:FKO983110 FUK983109:FUK983110 GEG983109:GEG983110 GOC983109:GOC983110 GXY983109:GXY983110 HHU983109:HHU983110 HRQ983109:HRQ983110 IBM983109:IBM983110 ILI983109:ILI983110 IVE983109:IVE983110 JFA983109:JFA983110 JOW983109:JOW983110 JYS983109:JYS983110 KIO983109:KIO983110 KSK983109:KSK983110 LCG983109:LCG983110 LMC983109:LMC983110 LVY983109:LVY983110 MFU983109:MFU983110 MPQ983109:MPQ983110 MZM983109:MZM983110 NJI983109:NJI983110 NTE983109:NTE983110 ODA983109:ODA983110 OMW983109:OMW983110 OWS983109:OWS983110 PGO983109:PGO983110 PQK983109:PQK983110 QAG983109:QAG983110 QKC983109:QKC983110 QTY983109:QTY983110 RDU983109:RDU983110 RNQ983109:RNQ983110 RXM983109:RXM983110 SHI983109:SHI983110 SRE983109:SRE983110 TBA983109:TBA983110 TKW983109:TKW983110 TUS983109:TUS983110 UEO983109:UEO983110 UOK983109:UOK983110 UYG983109:UYG983110 VIC983109:VIC983110 VRY983109:VRY983110 WBU983109:WBU983110 WLQ983109:WLQ983110 WVM983109:WVM983110 C81:C82 JA81:JA82 SW81:SW82 ACS81:ACS82 AMO81:AMO82 AWK81:AWK82 BGG81:BGG82 BQC81:BQC82 BZY81:BZY82 CJU81:CJU82 CTQ81:CTQ82 DDM81:DDM82 DNI81:DNI82 DXE81:DXE82 EHA81:EHA82 EQW81:EQW82 FAS81:FAS82 FKO81:FKO82 FUK81:FUK82 GEG81:GEG82 GOC81:GOC82 GXY81:GXY82 HHU81:HHU82 HRQ81:HRQ82 IBM81:IBM82 ILI81:ILI82 IVE81:IVE82 JFA81:JFA82 JOW81:JOW82 JYS81:JYS82 KIO81:KIO82 KSK81:KSK82 LCG81:LCG82 LMC81:LMC82 LVY81:LVY82 MFU81:MFU82 MPQ81:MPQ82 MZM81:MZM82 NJI81:NJI82 NTE81:NTE82 ODA81:ODA82 OMW81:OMW82 OWS81:OWS82 PGO81:PGO82 PQK81:PQK82 QAG81:QAG82 QKC81:QKC82 QTY81:QTY82 RDU81:RDU82 RNQ81:RNQ82 RXM81:RXM82 SHI81:SHI82 SRE81:SRE82 TBA81:TBA82 TKW81:TKW82 TUS81:TUS82 UEO81:UEO82 UOK81:UOK82 UYG81:UYG82 VIC81:VIC82 VRY81:VRY82 WBU81:WBU82 WLQ81:WLQ82 WVM81:WVM82 C65617:C65618 JA65617:JA65618 SW65617:SW65618 ACS65617:ACS65618 AMO65617:AMO65618 AWK65617:AWK65618 BGG65617:BGG65618 BQC65617:BQC65618 BZY65617:BZY65618 CJU65617:CJU65618 CTQ65617:CTQ65618 DDM65617:DDM65618 DNI65617:DNI65618 DXE65617:DXE65618 EHA65617:EHA65618 EQW65617:EQW65618 FAS65617:FAS65618 FKO65617:FKO65618 FUK65617:FUK65618 GEG65617:GEG65618 GOC65617:GOC65618 GXY65617:GXY65618 HHU65617:HHU65618 HRQ65617:HRQ65618 IBM65617:IBM65618 ILI65617:ILI65618 IVE65617:IVE65618 JFA65617:JFA65618 JOW65617:JOW65618 JYS65617:JYS65618 KIO65617:KIO65618 KSK65617:KSK65618 LCG65617:LCG65618 LMC65617:LMC65618 LVY65617:LVY65618 MFU65617:MFU65618 MPQ65617:MPQ65618 MZM65617:MZM65618 NJI65617:NJI65618 NTE65617:NTE65618 ODA65617:ODA65618 OMW65617:OMW65618 OWS65617:OWS65618 PGO65617:PGO65618 PQK65617:PQK65618 QAG65617:QAG65618 QKC65617:QKC65618 QTY65617:QTY65618 RDU65617:RDU65618 RNQ65617:RNQ65618 RXM65617:RXM65618 SHI65617:SHI65618 SRE65617:SRE65618 TBA65617:TBA65618 TKW65617:TKW65618 TUS65617:TUS65618 UEO65617:UEO65618 UOK65617:UOK65618 UYG65617:UYG65618 VIC65617:VIC65618 VRY65617:VRY65618 WBU65617:WBU65618 WLQ65617:WLQ65618 WVM65617:WVM65618 C131153:C131154 JA131153:JA131154 SW131153:SW131154 ACS131153:ACS131154 AMO131153:AMO131154 AWK131153:AWK131154 BGG131153:BGG131154 BQC131153:BQC131154 BZY131153:BZY131154 CJU131153:CJU131154 CTQ131153:CTQ131154 DDM131153:DDM131154 DNI131153:DNI131154 DXE131153:DXE131154 EHA131153:EHA131154 EQW131153:EQW131154 FAS131153:FAS131154 FKO131153:FKO131154 FUK131153:FUK131154 GEG131153:GEG131154 GOC131153:GOC131154 GXY131153:GXY131154 HHU131153:HHU131154 HRQ131153:HRQ131154 IBM131153:IBM131154 ILI131153:ILI131154 IVE131153:IVE131154 JFA131153:JFA131154 JOW131153:JOW131154 JYS131153:JYS131154 KIO131153:KIO131154 KSK131153:KSK131154 LCG131153:LCG131154 LMC131153:LMC131154 LVY131153:LVY131154 MFU131153:MFU131154 MPQ131153:MPQ131154 MZM131153:MZM131154 NJI131153:NJI131154 NTE131153:NTE131154 ODA131153:ODA131154 OMW131153:OMW131154 OWS131153:OWS131154 PGO131153:PGO131154 PQK131153:PQK131154 QAG131153:QAG131154 QKC131153:QKC131154 QTY131153:QTY131154 RDU131153:RDU131154 RNQ131153:RNQ131154 RXM131153:RXM131154 SHI131153:SHI131154 SRE131153:SRE131154 TBA131153:TBA131154 TKW131153:TKW131154 TUS131153:TUS131154 UEO131153:UEO131154 UOK131153:UOK131154 UYG131153:UYG131154 VIC131153:VIC131154 VRY131153:VRY131154 WBU131153:WBU131154 WLQ131153:WLQ131154 WVM131153:WVM131154 C196689:C196690 JA196689:JA196690 SW196689:SW196690 ACS196689:ACS196690 AMO196689:AMO196690 AWK196689:AWK196690 BGG196689:BGG196690 BQC196689:BQC196690 BZY196689:BZY196690 CJU196689:CJU196690 CTQ196689:CTQ196690 DDM196689:DDM196690 DNI196689:DNI196690 DXE196689:DXE196690 EHA196689:EHA196690 EQW196689:EQW196690 FAS196689:FAS196690 FKO196689:FKO196690 FUK196689:FUK196690 GEG196689:GEG196690 GOC196689:GOC196690 GXY196689:GXY196690 HHU196689:HHU196690 HRQ196689:HRQ196690 IBM196689:IBM196690 ILI196689:ILI196690 IVE196689:IVE196690 JFA196689:JFA196690 JOW196689:JOW196690 JYS196689:JYS196690 KIO196689:KIO196690 KSK196689:KSK196690 LCG196689:LCG196690 LMC196689:LMC196690 LVY196689:LVY196690 MFU196689:MFU196690 MPQ196689:MPQ196690 MZM196689:MZM196690 NJI196689:NJI196690 NTE196689:NTE196690 ODA196689:ODA196690 OMW196689:OMW196690 OWS196689:OWS196690 PGO196689:PGO196690 PQK196689:PQK196690 QAG196689:QAG196690 QKC196689:QKC196690 QTY196689:QTY196690 RDU196689:RDU196690 RNQ196689:RNQ196690 RXM196689:RXM196690 SHI196689:SHI196690 SRE196689:SRE196690 TBA196689:TBA196690 TKW196689:TKW196690 TUS196689:TUS196690 UEO196689:UEO196690 UOK196689:UOK196690 UYG196689:UYG196690 VIC196689:VIC196690 VRY196689:VRY196690 WBU196689:WBU196690 WLQ196689:WLQ196690 WVM196689:WVM196690 C262225:C262226 JA262225:JA262226 SW262225:SW262226 ACS262225:ACS262226 AMO262225:AMO262226 AWK262225:AWK262226 BGG262225:BGG262226 BQC262225:BQC262226 BZY262225:BZY262226 CJU262225:CJU262226 CTQ262225:CTQ262226 DDM262225:DDM262226 DNI262225:DNI262226 DXE262225:DXE262226 EHA262225:EHA262226 EQW262225:EQW262226 FAS262225:FAS262226 FKO262225:FKO262226 FUK262225:FUK262226 GEG262225:GEG262226 GOC262225:GOC262226 GXY262225:GXY262226 HHU262225:HHU262226 HRQ262225:HRQ262226 IBM262225:IBM262226 ILI262225:ILI262226 IVE262225:IVE262226 JFA262225:JFA262226 JOW262225:JOW262226 JYS262225:JYS262226 KIO262225:KIO262226 KSK262225:KSK262226 LCG262225:LCG262226 LMC262225:LMC262226 LVY262225:LVY262226 MFU262225:MFU262226 MPQ262225:MPQ262226 MZM262225:MZM262226 NJI262225:NJI262226 NTE262225:NTE262226 ODA262225:ODA262226 OMW262225:OMW262226 OWS262225:OWS262226 PGO262225:PGO262226 PQK262225:PQK262226 QAG262225:QAG262226 QKC262225:QKC262226 QTY262225:QTY262226 RDU262225:RDU262226 RNQ262225:RNQ262226 RXM262225:RXM262226 SHI262225:SHI262226 SRE262225:SRE262226 TBA262225:TBA262226 TKW262225:TKW262226 TUS262225:TUS262226 UEO262225:UEO262226 UOK262225:UOK262226 UYG262225:UYG262226 VIC262225:VIC262226 VRY262225:VRY262226 WBU262225:WBU262226 WLQ262225:WLQ262226 WVM262225:WVM262226 C327761:C327762 JA327761:JA327762 SW327761:SW327762 ACS327761:ACS327762 AMO327761:AMO327762 AWK327761:AWK327762 BGG327761:BGG327762 BQC327761:BQC327762 BZY327761:BZY327762 CJU327761:CJU327762 CTQ327761:CTQ327762 DDM327761:DDM327762 DNI327761:DNI327762 DXE327761:DXE327762 EHA327761:EHA327762 EQW327761:EQW327762 FAS327761:FAS327762 FKO327761:FKO327762 FUK327761:FUK327762 GEG327761:GEG327762 GOC327761:GOC327762 GXY327761:GXY327762 HHU327761:HHU327762 HRQ327761:HRQ327762 IBM327761:IBM327762 ILI327761:ILI327762 IVE327761:IVE327762 JFA327761:JFA327762 JOW327761:JOW327762 JYS327761:JYS327762 KIO327761:KIO327762 KSK327761:KSK327762 LCG327761:LCG327762 LMC327761:LMC327762 LVY327761:LVY327762 MFU327761:MFU327762 MPQ327761:MPQ327762 MZM327761:MZM327762 NJI327761:NJI327762 NTE327761:NTE327762 ODA327761:ODA327762 OMW327761:OMW327762 OWS327761:OWS327762 PGO327761:PGO327762 PQK327761:PQK327762 QAG327761:QAG327762 QKC327761:QKC327762 QTY327761:QTY327762 RDU327761:RDU327762 RNQ327761:RNQ327762 RXM327761:RXM327762 SHI327761:SHI327762 SRE327761:SRE327762 TBA327761:TBA327762 TKW327761:TKW327762 TUS327761:TUS327762 UEO327761:UEO327762 UOK327761:UOK327762 UYG327761:UYG327762 VIC327761:VIC327762 VRY327761:VRY327762 WBU327761:WBU327762 WLQ327761:WLQ327762 WVM327761:WVM327762 C393297:C393298 JA393297:JA393298 SW393297:SW393298 ACS393297:ACS393298 AMO393297:AMO393298 AWK393297:AWK393298 BGG393297:BGG393298 BQC393297:BQC393298 BZY393297:BZY393298 CJU393297:CJU393298 CTQ393297:CTQ393298 DDM393297:DDM393298 DNI393297:DNI393298 DXE393297:DXE393298 EHA393297:EHA393298 EQW393297:EQW393298 FAS393297:FAS393298 FKO393297:FKO393298 FUK393297:FUK393298 GEG393297:GEG393298 GOC393297:GOC393298 GXY393297:GXY393298 HHU393297:HHU393298 HRQ393297:HRQ393298 IBM393297:IBM393298 ILI393297:ILI393298 IVE393297:IVE393298 JFA393297:JFA393298 JOW393297:JOW393298 JYS393297:JYS393298 KIO393297:KIO393298 KSK393297:KSK393298 LCG393297:LCG393298 LMC393297:LMC393298 LVY393297:LVY393298 MFU393297:MFU393298 MPQ393297:MPQ393298 MZM393297:MZM393298 NJI393297:NJI393298 NTE393297:NTE393298 ODA393297:ODA393298 OMW393297:OMW393298 OWS393297:OWS393298 PGO393297:PGO393298 PQK393297:PQK393298 QAG393297:QAG393298 QKC393297:QKC393298 QTY393297:QTY393298 RDU393297:RDU393298 RNQ393297:RNQ393298 RXM393297:RXM393298 SHI393297:SHI393298 SRE393297:SRE393298 TBA393297:TBA393298 TKW393297:TKW393298 TUS393297:TUS393298 UEO393297:UEO393298 UOK393297:UOK393298 UYG393297:UYG393298 VIC393297:VIC393298 VRY393297:VRY393298 WBU393297:WBU393298 WLQ393297:WLQ393298 WVM393297:WVM393298 C458833:C458834 JA458833:JA458834 SW458833:SW458834 ACS458833:ACS458834 AMO458833:AMO458834 AWK458833:AWK458834 BGG458833:BGG458834 BQC458833:BQC458834 BZY458833:BZY458834 CJU458833:CJU458834 CTQ458833:CTQ458834 DDM458833:DDM458834 DNI458833:DNI458834 DXE458833:DXE458834 EHA458833:EHA458834 EQW458833:EQW458834 FAS458833:FAS458834 FKO458833:FKO458834 FUK458833:FUK458834 GEG458833:GEG458834 GOC458833:GOC458834 GXY458833:GXY458834 HHU458833:HHU458834 HRQ458833:HRQ458834 IBM458833:IBM458834 ILI458833:ILI458834 IVE458833:IVE458834 JFA458833:JFA458834 JOW458833:JOW458834 JYS458833:JYS458834 KIO458833:KIO458834 KSK458833:KSK458834 LCG458833:LCG458834 LMC458833:LMC458834 LVY458833:LVY458834 MFU458833:MFU458834 MPQ458833:MPQ458834 MZM458833:MZM458834 NJI458833:NJI458834 NTE458833:NTE458834 ODA458833:ODA458834 OMW458833:OMW458834 OWS458833:OWS458834 PGO458833:PGO458834 PQK458833:PQK458834 QAG458833:QAG458834 QKC458833:QKC458834 QTY458833:QTY458834 RDU458833:RDU458834 RNQ458833:RNQ458834 RXM458833:RXM458834 SHI458833:SHI458834 SRE458833:SRE458834 TBA458833:TBA458834 TKW458833:TKW458834 TUS458833:TUS458834 UEO458833:UEO458834 UOK458833:UOK458834 UYG458833:UYG458834 VIC458833:VIC458834 VRY458833:VRY458834 WBU458833:WBU458834 WLQ458833:WLQ458834 WVM458833:WVM458834 C524369:C524370 JA524369:JA524370 SW524369:SW524370 ACS524369:ACS524370 AMO524369:AMO524370 AWK524369:AWK524370 BGG524369:BGG524370 BQC524369:BQC524370 BZY524369:BZY524370 CJU524369:CJU524370 CTQ524369:CTQ524370 DDM524369:DDM524370 DNI524369:DNI524370 DXE524369:DXE524370 EHA524369:EHA524370 EQW524369:EQW524370 FAS524369:FAS524370 FKO524369:FKO524370 FUK524369:FUK524370 GEG524369:GEG524370 GOC524369:GOC524370 GXY524369:GXY524370 HHU524369:HHU524370 HRQ524369:HRQ524370 IBM524369:IBM524370 ILI524369:ILI524370 IVE524369:IVE524370 JFA524369:JFA524370 JOW524369:JOW524370 JYS524369:JYS524370 KIO524369:KIO524370 KSK524369:KSK524370 LCG524369:LCG524370 LMC524369:LMC524370 LVY524369:LVY524370 MFU524369:MFU524370 MPQ524369:MPQ524370 MZM524369:MZM524370 NJI524369:NJI524370 NTE524369:NTE524370 ODA524369:ODA524370 OMW524369:OMW524370 OWS524369:OWS524370 PGO524369:PGO524370 PQK524369:PQK524370 QAG524369:QAG524370 QKC524369:QKC524370 QTY524369:QTY524370 RDU524369:RDU524370 RNQ524369:RNQ524370 RXM524369:RXM524370 SHI524369:SHI524370 SRE524369:SRE524370 TBA524369:TBA524370 TKW524369:TKW524370 TUS524369:TUS524370 UEO524369:UEO524370 UOK524369:UOK524370 UYG524369:UYG524370 VIC524369:VIC524370 VRY524369:VRY524370 WBU524369:WBU524370 WLQ524369:WLQ524370 WVM524369:WVM524370 C589905:C589906 JA589905:JA589906 SW589905:SW589906 ACS589905:ACS589906 AMO589905:AMO589906 AWK589905:AWK589906 BGG589905:BGG589906 BQC589905:BQC589906 BZY589905:BZY589906 CJU589905:CJU589906 CTQ589905:CTQ589906 DDM589905:DDM589906 DNI589905:DNI589906 DXE589905:DXE589906 EHA589905:EHA589906 EQW589905:EQW589906 FAS589905:FAS589906 FKO589905:FKO589906 FUK589905:FUK589906 GEG589905:GEG589906 GOC589905:GOC589906 GXY589905:GXY589906 HHU589905:HHU589906 HRQ589905:HRQ589906 IBM589905:IBM589906 ILI589905:ILI589906 IVE589905:IVE589906 JFA589905:JFA589906 JOW589905:JOW589906 JYS589905:JYS589906 KIO589905:KIO589906 KSK589905:KSK589906 LCG589905:LCG589906 LMC589905:LMC589906 LVY589905:LVY589906 MFU589905:MFU589906 MPQ589905:MPQ589906 MZM589905:MZM589906 NJI589905:NJI589906 NTE589905:NTE589906 ODA589905:ODA589906 OMW589905:OMW589906 OWS589905:OWS589906 PGO589905:PGO589906 PQK589905:PQK589906 QAG589905:QAG589906 QKC589905:QKC589906 QTY589905:QTY589906 RDU589905:RDU589906 RNQ589905:RNQ589906 RXM589905:RXM589906 SHI589905:SHI589906 SRE589905:SRE589906 TBA589905:TBA589906 TKW589905:TKW589906 TUS589905:TUS589906 UEO589905:UEO589906 UOK589905:UOK589906 UYG589905:UYG589906 VIC589905:VIC589906 VRY589905:VRY589906 WBU589905:WBU589906 WLQ589905:WLQ589906 WVM589905:WVM589906 C655441:C655442 JA655441:JA655442 SW655441:SW655442 ACS655441:ACS655442 AMO655441:AMO655442 AWK655441:AWK655442 BGG655441:BGG655442 BQC655441:BQC655442 BZY655441:BZY655442 CJU655441:CJU655442 CTQ655441:CTQ655442 DDM655441:DDM655442 DNI655441:DNI655442 DXE655441:DXE655442 EHA655441:EHA655442 EQW655441:EQW655442 FAS655441:FAS655442 FKO655441:FKO655442 FUK655441:FUK655442 GEG655441:GEG655442 GOC655441:GOC655442 GXY655441:GXY655442 HHU655441:HHU655442 HRQ655441:HRQ655442 IBM655441:IBM655442 ILI655441:ILI655442 IVE655441:IVE655442 JFA655441:JFA655442 JOW655441:JOW655442 JYS655441:JYS655442 KIO655441:KIO655442 KSK655441:KSK655442 LCG655441:LCG655442 LMC655441:LMC655442 LVY655441:LVY655442 MFU655441:MFU655442 MPQ655441:MPQ655442 MZM655441:MZM655442 NJI655441:NJI655442 NTE655441:NTE655442 ODA655441:ODA655442 OMW655441:OMW655442 OWS655441:OWS655442 PGO655441:PGO655442 PQK655441:PQK655442 QAG655441:QAG655442 QKC655441:QKC655442 QTY655441:QTY655442 RDU655441:RDU655442 RNQ655441:RNQ655442 RXM655441:RXM655442 SHI655441:SHI655442 SRE655441:SRE655442 TBA655441:TBA655442 TKW655441:TKW655442 TUS655441:TUS655442 UEO655441:UEO655442 UOK655441:UOK655442 UYG655441:UYG655442 VIC655441:VIC655442 VRY655441:VRY655442 WBU655441:WBU655442 WLQ655441:WLQ655442 WVM655441:WVM655442 C720977:C720978 JA720977:JA720978 SW720977:SW720978 ACS720977:ACS720978 AMO720977:AMO720978 AWK720977:AWK720978 BGG720977:BGG720978 BQC720977:BQC720978 BZY720977:BZY720978 CJU720977:CJU720978 CTQ720977:CTQ720978 DDM720977:DDM720978 DNI720977:DNI720978 DXE720977:DXE720978 EHA720977:EHA720978 EQW720977:EQW720978 FAS720977:FAS720978 FKO720977:FKO720978 FUK720977:FUK720978 GEG720977:GEG720978 GOC720977:GOC720978 GXY720977:GXY720978 HHU720977:HHU720978 HRQ720977:HRQ720978 IBM720977:IBM720978 ILI720977:ILI720978 IVE720977:IVE720978 JFA720977:JFA720978 JOW720977:JOW720978 JYS720977:JYS720978 KIO720977:KIO720978 KSK720977:KSK720978 LCG720977:LCG720978 LMC720977:LMC720978 LVY720977:LVY720978 MFU720977:MFU720978 MPQ720977:MPQ720978 MZM720977:MZM720978 NJI720977:NJI720978 NTE720977:NTE720978 ODA720977:ODA720978 OMW720977:OMW720978 OWS720977:OWS720978 PGO720977:PGO720978 PQK720977:PQK720978 QAG720977:QAG720978 QKC720977:QKC720978 QTY720977:QTY720978 RDU720977:RDU720978 RNQ720977:RNQ720978 RXM720977:RXM720978 SHI720977:SHI720978 SRE720977:SRE720978 TBA720977:TBA720978 TKW720977:TKW720978 TUS720977:TUS720978 UEO720977:UEO720978 UOK720977:UOK720978 UYG720977:UYG720978 VIC720977:VIC720978 VRY720977:VRY720978 WBU720977:WBU720978 WLQ720977:WLQ720978 WVM720977:WVM720978 C786513:C786514 JA786513:JA786514 SW786513:SW786514 ACS786513:ACS786514 AMO786513:AMO786514 AWK786513:AWK786514 BGG786513:BGG786514 BQC786513:BQC786514 BZY786513:BZY786514 CJU786513:CJU786514 CTQ786513:CTQ786514 DDM786513:DDM786514 DNI786513:DNI786514 DXE786513:DXE786514 EHA786513:EHA786514 EQW786513:EQW786514 FAS786513:FAS786514 FKO786513:FKO786514 FUK786513:FUK786514 GEG786513:GEG786514 GOC786513:GOC786514 GXY786513:GXY786514 HHU786513:HHU786514 HRQ786513:HRQ786514 IBM786513:IBM786514 ILI786513:ILI786514 IVE786513:IVE786514 JFA786513:JFA786514 JOW786513:JOW786514 JYS786513:JYS786514 KIO786513:KIO786514 KSK786513:KSK786514 LCG786513:LCG786514 LMC786513:LMC786514 LVY786513:LVY786514 MFU786513:MFU786514 MPQ786513:MPQ786514 MZM786513:MZM786514 NJI786513:NJI786514 NTE786513:NTE786514 ODA786513:ODA786514 OMW786513:OMW786514 OWS786513:OWS786514 PGO786513:PGO786514 PQK786513:PQK786514 QAG786513:QAG786514 QKC786513:QKC786514 QTY786513:QTY786514 RDU786513:RDU786514 RNQ786513:RNQ786514 RXM786513:RXM786514 SHI786513:SHI786514 SRE786513:SRE786514 TBA786513:TBA786514 TKW786513:TKW786514 TUS786513:TUS786514 UEO786513:UEO786514 UOK786513:UOK786514 UYG786513:UYG786514 VIC786513:VIC786514 VRY786513:VRY786514 WBU786513:WBU786514 WLQ786513:WLQ786514 WVM786513:WVM786514 C852049:C852050 JA852049:JA852050 SW852049:SW852050 ACS852049:ACS852050 AMO852049:AMO852050 AWK852049:AWK852050 BGG852049:BGG852050 BQC852049:BQC852050 BZY852049:BZY852050 CJU852049:CJU852050 CTQ852049:CTQ852050 DDM852049:DDM852050 DNI852049:DNI852050 DXE852049:DXE852050 EHA852049:EHA852050 EQW852049:EQW852050 FAS852049:FAS852050 FKO852049:FKO852050 FUK852049:FUK852050 GEG852049:GEG852050 GOC852049:GOC852050 GXY852049:GXY852050 HHU852049:HHU852050 HRQ852049:HRQ852050 IBM852049:IBM852050 ILI852049:ILI852050 IVE852049:IVE852050 JFA852049:JFA852050 JOW852049:JOW852050 JYS852049:JYS852050 KIO852049:KIO852050 KSK852049:KSK852050 LCG852049:LCG852050 LMC852049:LMC852050 LVY852049:LVY852050 MFU852049:MFU852050 MPQ852049:MPQ852050 MZM852049:MZM852050 NJI852049:NJI852050 NTE852049:NTE852050 ODA852049:ODA852050 OMW852049:OMW852050 OWS852049:OWS852050 PGO852049:PGO852050 PQK852049:PQK852050 QAG852049:QAG852050 QKC852049:QKC852050 QTY852049:QTY852050 RDU852049:RDU852050 RNQ852049:RNQ852050 RXM852049:RXM852050 SHI852049:SHI852050 SRE852049:SRE852050 TBA852049:TBA852050 TKW852049:TKW852050 TUS852049:TUS852050 UEO852049:UEO852050 UOK852049:UOK852050 UYG852049:UYG852050 VIC852049:VIC852050 VRY852049:VRY852050 WBU852049:WBU852050 WLQ852049:WLQ852050 WVM852049:WVM852050 C917585:C917586 JA917585:JA917586 SW917585:SW917586 ACS917585:ACS917586 AMO917585:AMO917586 AWK917585:AWK917586 BGG917585:BGG917586 BQC917585:BQC917586 BZY917585:BZY917586 CJU917585:CJU917586 CTQ917585:CTQ917586 DDM917585:DDM917586 DNI917585:DNI917586 DXE917585:DXE917586 EHA917585:EHA917586 EQW917585:EQW917586 FAS917585:FAS917586 FKO917585:FKO917586 FUK917585:FUK917586 GEG917585:GEG917586 GOC917585:GOC917586 GXY917585:GXY917586 HHU917585:HHU917586 HRQ917585:HRQ917586 IBM917585:IBM917586 ILI917585:ILI917586 IVE917585:IVE917586 JFA917585:JFA917586 JOW917585:JOW917586 JYS917585:JYS917586 KIO917585:KIO917586 KSK917585:KSK917586 LCG917585:LCG917586 LMC917585:LMC917586 LVY917585:LVY917586 MFU917585:MFU917586 MPQ917585:MPQ917586 MZM917585:MZM917586 NJI917585:NJI917586 NTE917585:NTE917586 ODA917585:ODA917586 OMW917585:OMW917586 OWS917585:OWS917586 PGO917585:PGO917586 PQK917585:PQK917586 QAG917585:QAG917586 QKC917585:QKC917586 QTY917585:QTY917586 RDU917585:RDU917586 RNQ917585:RNQ917586 RXM917585:RXM917586 SHI917585:SHI917586 SRE917585:SRE917586 TBA917585:TBA917586 TKW917585:TKW917586 TUS917585:TUS917586 UEO917585:UEO917586 UOK917585:UOK917586 UYG917585:UYG917586 VIC917585:VIC917586 VRY917585:VRY917586 WBU917585:WBU917586 WLQ917585:WLQ917586 WVM917585:WVM917586 C983121:C983122 JA983121:JA983122 SW983121:SW983122 ACS983121:ACS983122 AMO983121:AMO983122 AWK983121:AWK983122 BGG983121:BGG983122 BQC983121:BQC983122 BZY983121:BZY983122 CJU983121:CJU983122 CTQ983121:CTQ983122 DDM983121:DDM983122 DNI983121:DNI983122 DXE983121:DXE983122 EHA983121:EHA983122 EQW983121:EQW983122 FAS983121:FAS983122 FKO983121:FKO983122 FUK983121:FUK983122 GEG983121:GEG983122 GOC983121:GOC983122 GXY983121:GXY983122 HHU983121:HHU983122 HRQ983121:HRQ983122 IBM983121:IBM983122 ILI983121:ILI983122 IVE983121:IVE983122 JFA983121:JFA983122 JOW983121:JOW983122 JYS983121:JYS983122 KIO983121:KIO983122 KSK983121:KSK983122 LCG983121:LCG983122 LMC983121:LMC983122 LVY983121:LVY983122 MFU983121:MFU983122 MPQ983121:MPQ983122 MZM983121:MZM983122 NJI983121:NJI983122 NTE983121:NTE983122 ODA983121:ODA983122 OMW983121:OMW983122 OWS983121:OWS983122 PGO983121:PGO983122 PQK983121:PQK983122 QAG983121:QAG983122 QKC983121:QKC983122 QTY983121:QTY983122 RDU983121:RDU983122 RNQ983121:RNQ983122 RXM983121:RXM983122 SHI983121:SHI983122 SRE983121:SRE983122 TBA983121:TBA983122 TKW983121:TKW983122 TUS983121:TUS983122 UEO983121:UEO983122 UOK983121:UOK983122 UYG983121:UYG983122 VIC983121:VIC983122 VRY983121:VRY983122 WBU983121:WBU983122 WLQ983121:WLQ983122 WVM983121:WVM983122 C22:C24 JA22:JA24 SW22:SW24 ACS22:ACS24 AMO22:AMO24 AWK22:AWK24 BGG22:BGG24 BQC22:BQC24 BZY22:BZY24 CJU22:CJU24 CTQ22:CTQ24 DDM22:DDM24 DNI22:DNI24 DXE22:DXE24 EHA22:EHA24 EQW22:EQW24 FAS22:FAS24 FKO22:FKO24 FUK22:FUK24 GEG22:GEG24 GOC22:GOC24 GXY22:GXY24 HHU22:HHU24 HRQ22:HRQ24 IBM22:IBM24 ILI22:ILI24 IVE22:IVE24 JFA22:JFA24 JOW22:JOW24 JYS22:JYS24 KIO22:KIO24 KSK22:KSK24 LCG22:LCG24 LMC22:LMC24 LVY22:LVY24 MFU22:MFU24 MPQ22:MPQ24 MZM22:MZM24 NJI22:NJI24 NTE22:NTE24 ODA22:ODA24 OMW22:OMW24 OWS22:OWS24 PGO22:PGO24 PQK22:PQK24 QAG22:QAG24 QKC22:QKC24 QTY22:QTY24 RDU22:RDU24 RNQ22:RNQ24 RXM22:RXM24 SHI22:SHI24 SRE22:SRE24 TBA22:TBA24 TKW22:TKW24 TUS22:TUS24 UEO22:UEO24 UOK22:UOK24 UYG22:UYG24 VIC22:VIC24 VRY22:VRY24 WBU22:WBU24 WLQ22:WLQ24 WVM22:WVM24 C65558:C65560 JA65558:JA65560 SW65558:SW65560 ACS65558:ACS65560 AMO65558:AMO65560 AWK65558:AWK65560 BGG65558:BGG65560 BQC65558:BQC65560 BZY65558:BZY65560 CJU65558:CJU65560 CTQ65558:CTQ65560 DDM65558:DDM65560 DNI65558:DNI65560 DXE65558:DXE65560 EHA65558:EHA65560 EQW65558:EQW65560 FAS65558:FAS65560 FKO65558:FKO65560 FUK65558:FUK65560 GEG65558:GEG65560 GOC65558:GOC65560 GXY65558:GXY65560 HHU65558:HHU65560 HRQ65558:HRQ65560 IBM65558:IBM65560 ILI65558:ILI65560 IVE65558:IVE65560 JFA65558:JFA65560 JOW65558:JOW65560 JYS65558:JYS65560 KIO65558:KIO65560 KSK65558:KSK65560 LCG65558:LCG65560 LMC65558:LMC65560 LVY65558:LVY65560 MFU65558:MFU65560 MPQ65558:MPQ65560 MZM65558:MZM65560 NJI65558:NJI65560 NTE65558:NTE65560 ODA65558:ODA65560 OMW65558:OMW65560 OWS65558:OWS65560 PGO65558:PGO65560 PQK65558:PQK65560 QAG65558:QAG65560 QKC65558:QKC65560 QTY65558:QTY65560 RDU65558:RDU65560 RNQ65558:RNQ65560 RXM65558:RXM65560 SHI65558:SHI65560 SRE65558:SRE65560 TBA65558:TBA65560 TKW65558:TKW65560 TUS65558:TUS65560 UEO65558:UEO65560 UOK65558:UOK65560 UYG65558:UYG65560 VIC65558:VIC65560 VRY65558:VRY65560 WBU65558:WBU65560 WLQ65558:WLQ65560 WVM65558:WVM65560 C131094:C131096 JA131094:JA131096 SW131094:SW131096 ACS131094:ACS131096 AMO131094:AMO131096 AWK131094:AWK131096 BGG131094:BGG131096 BQC131094:BQC131096 BZY131094:BZY131096 CJU131094:CJU131096 CTQ131094:CTQ131096 DDM131094:DDM131096 DNI131094:DNI131096 DXE131094:DXE131096 EHA131094:EHA131096 EQW131094:EQW131096 FAS131094:FAS131096 FKO131094:FKO131096 FUK131094:FUK131096 GEG131094:GEG131096 GOC131094:GOC131096 GXY131094:GXY131096 HHU131094:HHU131096 HRQ131094:HRQ131096 IBM131094:IBM131096 ILI131094:ILI131096 IVE131094:IVE131096 JFA131094:JFA131096 JOW131094:JOW131096 JYS131094:JYS131096 KIO131094:KIO131096 KSK131094:KSK131096 LCG131094:LCG131096 LMC131094:LMC131096 LVY131094:LVY131096 MFU131094:MFU131096 MPQ131094:MPQ131096 MZM131094:MZM131096 NJI131094:NJI131096 NTE131094:NTE131096 ODA131094:ODA131096 OMW131094:OMW131096 OWS131094:OWS131096 PGO131094:PGO131096 PQK131094:PQK131096 QAG131094:QAG131096 QKC131094:QKC131096 QTY131094:QTY131096 RDU131094:RDU131096 RNQ131094:RNQ131096 RXM131094:RXM131096 SHI131094:SHI131096 SRE131094:SRE131096 TBA131094:TBA131096 TKW131094:TKW131096 TUS131094:TUS131096 UEO131094:UEO131096 UOK131094:UOK131096 UYG131094:UYG131096 VIC131094:VIC131096 VRY131094:VRY131096 WBU131094:WBU131096 WLQ131094:WLQ131096 WVM131094:WVM131096 C196630:C196632 JA196630:JA196632 SW196630:SW196632 ACS196630:ACS196632 AMO196630:AMO196632 AWK196630:AWK196632 BGG196630:BGG196632 BQC196630:BQC196632 BZY196630:BZY196632 CJU196630:CJU196632 CTQ196630:CTQ196632 DDM196630:DDM196632 DNI196630:DNI196632 DXE196630:DXE196632 EHA196630:EHA196632 EQW196630:EQW196632 FAS196630:FAS196632 FKO196630:FKO196632 FUK196630:FUK196632 GEG196630:GEG196632 GOC196630:GOC196632 GXY196630:GXY196632 HHU196630:HHU196632 HRQ196630:HRQ196632 IBM196630:IBM196632 ILI196630:ILI196632 IVE196630:IVE196632 JFA196630:JFA196632 JOW196630:JOW196632 JYS196630:JYS196632 KIO196630:KIO196632 KSK196630:KSK196632 LCG196630:LCG196632 LMC196630:LMC196632 LVY196630:LVY196632 MFU196630:MFU196632 MPQ196630:MPQ196632 MZM196630:MZM196632 NJI196630:NJI196632 NTE196630:NTE196632 ODA196630:ODA196632 OMW196630:OMW196632 OWS196630:OWS196632 PGO196630:PGO196632 PQK196630:PQK196632 QAG196630:QAG196632 QKC196630:QKC196632 QTY196630:QTY196632 RDU196630:RDU196632 RNQ196630:RNQ196632 RXM196630:RXM196632 SHI196630:SHI196632 SRE196630:SRE196632 TBA196630:TBA196632 TKW196630:TKW196632 TUS196630:TUS196632 UEO196630:UEO196632 UOK196630:UOK196632 UYG196630:UYG196632 VIC196630:VIC196632 VRY196630:VRY196632 WBU196630:WBU196632 WLQ196630:WLQ196632 WVM196630:WVM196632 C262166:C262168 JA262166:JA262168 SW262166:SW262168 ACS262166:ACS262168 AMO262166:AMO262168 AWK262166:AWK262168 BGG262166:BGG262168 BQC262166:BQC262168 BZY262166:BZY262168 CJU262166:CJU262168 CTQ262166:CTQ262168 DDM262166:DDM262168 DNI262166:DNI262168 DXE262166:DXE262168 EHA262166:EHA262168 EQW262166:EQW262168 FAS262166:FAS262168 FKO262166:FKO262168 FUK262166:FUK262168 GEG262166:GEG262168 GOC262166:GOC262168 GXY262166:GXY262168 HHU262166:HHU262168 HRQ262166:HRQ262168 IBM262166:IBM262168 ILI262166:ILI262168 IVE262166:IVE262168 JFA262166:JFA262168 JOW262166:JOW262168 JYS262166:JYS262168 KIO262166:KIO262168 KSK262166:KSK262168 LCG262166:LCG262168 LMC262166:LMC262168 LVY262166:LVY262168 MFU262166:MFU262168 MPQ262166:MPQ262168 MZM262166:MZM262168 NJI262166:NJI262168 NTE262166:NTE262168 ODA262166:ODA262168 OMW262166:OMW262168 OWS262166:OWS262168 PGO262166:PGO262168 PQK262166:PQK262168 QAG262166:QAG262168 QKC262166:QKC262168 QTY262166:QTY262168 RDU262166:RDU262168 RNQ262166:RNQ262168 RXM262166:RXM262168 SHI262166:SHI262168 SRE262166:SRE262168 TBA262166:TBA262168 TKW262166:TKW262168 TUS262166:TUS262168 UEO262166:UEO262168 UOK262166:UOK262168 UYG262166:UYG262168 VIC262166:VIC262168 VRY262166:VRY262168 WBU262166:WBU262168 WLQ262166:WLQ262168 WVM262166:WVM262168 C327702:C327704 JA327702:JA327704 SW327702:SW327704 ACS327702:ACS327704 AMO327702:AMO327704 AWK327702:AWK327704 BGG327702:BGG327704 BQC327702:BQC327704 BZY327702:BZY327704 CJU327702:CJU327704 CTQ327702:CTQ327704 DDM327702:DDM327704 DNI327702:DNI327704 DXE327702:DXE327704 EHA327702:EHA327704 EQW327702:EQW327704 FAS327702:FAS327704 FKO327702:FKO327704 FUK327702:FUK327704 GEG327702:GEG327704 GOC327702:GOC327704 GXY327702:GXY327704 HHU327702:HHU327704 HRQ327702:HRQ327704 IBM327702:IBM327704 ILI327702:ILI327704 IVE327702:IVE327704 JFA327702:JFA327704 JOW327702:JOW327704 JYS327702:JYS327704 KIO327702:KIO327704 KSK327702:KSK327704 LCG327702:LCG327704 LMC327702:LMC327704 LVY327702:LVY327704 MFU327702:MFU327704 MPQ327702:MPQ327704 MZM327702:MZM327704 NJI327702:NJI327704 NTE327702:NTE327704 ODA327702:ODA327704 OMW327702:OMW327704 OWS327702:OWS327704 PGO327702:PGO327704 PQK327702:PQK327704 QAG327702:QAG327704 QKC327702:QKC327704 QTY327702:QTY327704 RDU327702:RDU327704 RNQ327702:RNQ327704 RXM327702:RXM327704 SHI327702:SHI327704 SRE327702:SRE327704 TBA327702:TBA327704 TKW327702:TKW327704 TUS327702:TUS327704 UEO327702:UEO327704 UOK327702:UOK327704 UYG327702:UYG327704 VIC327702:VIC327704 VRY327702:VRY327704 WBU327702:WBU327704 WLQ327702:WLQ327704 WVM327702:WVM327704 C393238:C393240 JA393238:JA393240 SW393238:SW393240 ACS393238:ACS393240 AMO393238:AMO393240 AWK393238:AWK393240 BGG393238:BGG393240 BQC393238:BQC393240 BZY393238:BZY393240 CJU393238:CJU393240 CTQ393238:CTQ393240 DDM393238:DDM393240 DNI393238:DNI393240 DXE393238:DXE393240 EHA393238:EHA393240 EQW393238:EQW393240 FAS393238:FAS393240 FKO393238:FKO393240 FUK393238:FUK393240 GEG393238:GEG393240 GOC393238:GOC393240 GXY393238:GXY393240 HHU393238:HHU393240 HRQ393238:HRQ393240 IBM393238:IBM393240 ILI393238:ILI393240 IVE393238:IVE393240 JFA393238:JFA393240 JOW393238:JOW393240 JYS393238:JYS393240 KIO393238:KIO393240 KSK393238:KSK393240 LCG393238:LCG393240 LMC393238:LMC393240 LVY393238:LVY393240 MFU393238:MFU393240 MPQ393238:MPQ393240 MZM393238:MZM393240 NJI393238:NJI393240 NTE393238:NTE393240 ODA393238:ODA393240 OMW393238:OMW393240 OWS393238:OWS393240 PGO393238:PGO393240 PQK393238:PQK393240 QAG393238:QAG393240 QKC393238:QKC393240 QTY393238:QTY393240 RDU393238:RDU393240 RNQ393238:RNQ393240 RXM393238:RXM393240 SHI393238:SHI393240 SRE393238:SRE393240 TBA393238:TBA393240 TKW393238:TKW393240 TUS393238:TUS393240 UEO393238:UEO393240 UOK393238:UOK393240 UYG393238:UYG393240 VIC393238:VIC393240 VRY393238:VRY393240 WBU393238:WBU393240 WLQ393238:WLQ393240 WVM393238:WVM393240 C458774:C458776 JA458774:JA458776 SW458774:SW458776 ACS458774:ACS458776 AMO458774:AMO458776 AWK458774:AWK458776 BGG458774:BGG458776 BQC458774:BQC458776 BZY458774:BZY458776 CJU458774:CJU458776 CTQ458774:CTQ458776 DDM458774:DDM458776 DNI458774:DNI458776 DXE458774:DXE458776 EHA458774:EHA458776 EQW458774:EQW458776 FAS458774:FAS458776 FKO458774:FKO458776 FUK458774:FUK458776 GEG458774:GEG458776 GOC458774:GOC458776 GXY458774:GXY458776 HHU458774:HHU458776 HRQ458774:HRQ458776 IBM458774:IBM458776 ILI458774:ILI458776 IVE458774:IVE458776 JFA458774:JFA458776 JOW458774:JOW458776 JYS458774:JYS458776 KIO458774:KIO458776 KSK458774:KSK458776 LCG458774:LCG458776 LMC458774:LMC458776 LVY458774:LVY458776 MFU458774:MFU458776 MPQ458774:MPQ458776 MZM458774:MZM458776 NJI458774:NJI458776 NTE458774:NTE458776 ODA458774:ODA458776 OMW458774:OMW458776 OWS458774:OWS458776 PGO458774:PGO458776 PQK458774:PQK458776 QAG458774:QAG458776 QKC458774:QKC458776 QTY458774:QTY458776 RDU458774:RDU458776 RNQ458774:RNQ458776 RXM458774:RXM458776 SHI458774:SHI458776 SRE458774:SRE458776 TBA458774:TBA458776 TKW458774:TKW458776 TUS458774:TUS458776 UEO458774:UEO458776 UOK458774:UOK458776 UYG458774:UYG458776 VIC458774:VIC458776 VRY458774:VRY458776 WBU458774:WBU458776 WLQ458774:WLQ458776 WVM458774:WVM458776 C524310:C524312 JA524310:JA524312 SW524310:SW524312 ACS524310:ACS524312 AMO524310:AMO524312 AWK524310:AWK524312 BGG524310:BGG524312 BQC524310:BQC524312 BZY524310:BZY524312 CJU524310:CJU524312 CTQ524310:CTQ524312 DDM524310:DDM524312 DNI524310:DNI524312 DXE524310:DXE524312 EHA524310:EHA524312 EQW524310:EQW524312 FAS524310:FAS524312 FKO524310:FKO524312 FUK524310:FUK524312 GEG524310:GEG524312 GOC524310:GOC524312 GXY524310:GXY524312 HHU524310:HHU524312 HRQ524310:HRQ524312 IBM524310:IBM524312 ILI524310:ILI524312 IVE524310:IVE524312 JFA524310:JFA524312 JOW524310:JOW524312 JYS524310:JYS524312 KIO524310:KIO524312 KSK524310:KSK524312 LCG524310:LCG524312 LMC524310:LMC524312 LVY524310:LVY524312 MFU524310:MFU524312 MPQ524310:MPQ524312 MZM524310:MZM524312 NJI524310:NJI524312 NTE524310:NTE524312 ODA524310:ODA524312 OMW524310:OMW524312 OWS524310:OWS524312 PGO524310:PGO524312 PQK524310:PQK524312 QAG524310:QAG524312 QKC524310:QKC524312 QTY524310:QTY524312 RDU524310:RDU524312 RNQ524310:RNQ524312 RXM524310:RXM524312 SHI524310:SHI524312 SRE524310:SRE524312 TBA524310:TBA524312 TKW524310:TKW524312 TUS524310:TUS524312 UEO524310:UEO524312 UOK524310:UOK524312 UYG524310:UYG524312 VIC524310:VIC524312 VRY524310:VRY524312 WBU524310:WBU524312 WLQ524310:WLQ524312 WVM524310:WVM524312 C589846:C589848 JA589846:JA589848 SW589846:SW589848 ACS589846:ACS589848 AMO589846:AMO589848 AWK589846:AWK589848 BGG589846:BGG589848 BQC589846:BQC589848 BZY589846:BZY589848 CJU589846:CJU589848 CTQ589846:CTQ589848 DDM589846:DDM589848 DNI589846:DNI589848 DXE589846:DXE589848 EHA589846:EHA589848 EQW589846:EQW589848 FAS589846:FAS589848 FKO589846:FKO589848 FUK589846:FUK589848 GEG589846:GEG589848 GOC589846:GOC589848 GXY589846:GXY589848 HHU589846:HHU589848 HRQ589846:HRQ589848 IBM589846:IBM589848 ILI589846:ILI589848 IVE589846:IVE589848 JFA589846:JFA589848 JOW589846:JOW589848 JYS589846:JYS589848 KIO589846:KIO589848 KSK589846:KSK589848 LCG589846:LCG589848 LMC589846:LMC589848 LVY589846:LVY589848 MFU589846:MFU589848 MPQ589846:MPQ589848 MZM589846:MZM589848 NJI589846:NJI589848 NTE589846:NTE589848 ODA589846:ODA589848 OMW589846:OMW589848 OWS589846:OWS589848 PGO589846:PGO589848 PQK589846:PQK589848 QAG589846:QAG589848 QKC589846:QKC589848 QTY589846:QTY589848 RDU589846:RDU589848 RNQ589846:RNQ589848 RXM589846:RXM589848 SHI589846:SHI589848 SRE589846:SRE589848 TBA589846:TBA589848 TKW589846:TKW589848 TUS589846:TUS589848 UEO589846:UEO589848 UOK589846:UOK589848 UYG589846:UYG589848 VIC589846:VIC589848 VRY589846:VRY589848 WBU589846:WBU589848 WLQ589846:WLQ589848 WVM589846:WVM589848 C655382:C655384 JA655382:JA655384 SW655382:SW655384 ACS655382:ACS655384 AMO655382:AMO655384 AWK655382:AWK655384 BGG655382:BGG655384 BQC655382:BQC655384 BZY655382:BZY655384 CJU655382:CJU655384 CTQ655382:CTQ655384 DDM655382:DDM655384 DNI655382:DNI655384 DXE655382:DXE655384 EHA655382:EHA655384 EQW655382:EQW655384 FAS655382:FAS655384 FKO655382:FKO655384 FUK655382:FUK655384 GEG655382:GEG655384 GOC655382:GOC655384 GXY655382:GXY655384 HHU655382:HHU655384 HRQ655382:HRQ655384 IBM655382:IBM655384 ILI655382:ILI655384 IVE655382:IVE655384 JFA655382:JFA655384 JOW655382:JOW655384 JYS655382:JYS655384 KIO655382:KIO655384 KSK655382:KSK655384 LCG655382:LCG655384 LMC655382:LMC655384 LVY655382:LVY655384 MFU655382:MFU655384 MPQ655382:MPQ655384 MZM655382:MZM655384 NJI655382:NJI655384 NTE655382:NTE655384 ODA655382:ODA655384 OMW655382:OMW655384 OWS655382:OWS655384 PGO655382:PGO655384 PQK655382:PQK655384 QAG655382:QAG655384 QKC655382:QKC655384 QTY655382:QTY655384 RDU655382:RDU655384 RNQ655382:RNQ655384 RXM655382:RXM655384 SHI655382:SHI655384 SRE655382:SRE655384 TBA655382:TBA655384 TKW655382:TKW655384 TUS655382:TUS655384 UEO655382:UEO655384 UOK655382:UOK655384 UYG655382:UYG655384 VIC655382:VIC655384 VRY655382:VRY655384 WBU655382:WBU655384 WLQ655382:WLQ655384 WVM655382:WVM655384 C720918:C720920 JA720918:JA720920 SW720918:SW720920 ACS720918:ACS720920 AMO720918:AMO720920 AWK720918:AWK720920 BGG720918:BGG720920 BQC720918:BQC720920 BZY720918:BZY720920 CJU720918:CJU720920 CTQ720918:CTQ720920 DDM720918:DDM720920 DNI720918:DNI720920 DXE720918:DXE720920 EHA720918:EHA720920 EQW720918:EQW720920 FAS720918:FAS720920 FKO720918:FKO720920 FUK720918:FUK720920 GEG720918:GEG720920 GOC720918:GOC720920 GXY720918:GXY720920 HHU720918:HHU720920 HRQ720918:HRQ720920 IBM720918:IBM720920 ILI720918:ILI720920 IVE720918:IVE720920 JFA720918:JFA720920 JOW720918:JOW720920 JYS720918:JYS720920 KIO720918:KIO720920 KSK720918:KSK720920 LCG720918:LCG720920 LMC720918:LMC720920 LVY720918:LVY720920 MFU720918:MFU720920 MPQ720918:MPQ720920 MZM720918:MZM720920 NJI720918:NJI720920 NTE720918:NTE720920 ODA720918:ODA720920 OMW720918:OMW720920 OWS720918:OWS720920 PGO720918:PGO720920 PQK720918:PQK720920 QAG720918:QAG720920 QKC720918:QKC720920 QTY720918:QTY720920 RDU720918:RDU720920 RNQ720918:RNQ720920 RXM720918:RXM720920 SHI720918:SHI720920 SRE720918:SRE720920 TBA720918:TBA720920 TKW720918:TKW720920 TUS720918:TUS720920 UEO720918:UEO720920 UOK720918:UOK720920 UYG720918:UYG720920 VIC720918:VIC720920 VRY720918:VRY720920 WBU720918:WBU720920 WLQ720918:WLQ720920 WVM720918:WVM720920 C786454:C786456 JA786454:JA786456 SW786454:SW786456 ACS786454:ACS786456 AMO786454:AMO786456 AWK786454:AWK786456 BGG786454:BGG786456 BQC786454:BQC786456 BZY786454:BZY786456 CJU786454:CJU786456 CTQ786454:CTQ786456 DDM786454:DDM786456 DNI786454:DNI786456 DXE786454:DXE786456 EHA786454:EHA786456 EQW786454:EQW786456 FAS786454:FAS786456 FKO786454:FKO786456 FUK786454:FUK786456 GEG786454:GEG786456 GOC786454:GOC786456 GXY786454:GXY786456 HHU786454:HHU786456 HRQ786454:HRQ786456 IBM786454:IBM786456 ILI786454:ILI786456 IVE786454:IVE786456 JFA786454:JFA786456 JOW786454:JOW786456 JYS786454:JYS786456 KIO786454:KIO786456 KSK786454:KSK786456 LCG786454:LCG786456 LMC786454:LMC786456 LVY786454:LVY786456 MFU786454:MFU786456 MPQ786454:MPQ786456 MZM786454:MZM786456 NJI786454:NJI786456 NTE786454:NTE786456 ODA786454:ODA786456 OMW786454:OMW786456 OWS786454:OWS786456 PGO786454:PGO786456 PQK786454:PQK786456 QAG786454:QAG786456 QKC786454:QKC786456 QTY786454:QTY786456 RDU786454:RDU786456 RNQ786454:RNQ786456 RXM786454:RXM786456 SHI786454:SHI786456 SRE786454:SRE786456 TBA786454:TBA786456 TKW786454:TKW786456 TUS786454:TUS786456 UEO786454:UEO786456 UOK786454:UOK786456 UYG786454:UYG786456 VIC786454:VIC786456 VRY786454:VRY786456 WBU786454:WBU786456 WLQ786454:WLQ786456 WVM786454:WVM786456 C851990:C851992 JA851990:JA851992 SW851990:SW851992 ACS851990:ACS851992 AMO851990:AMO851992 AWK851990:AWK851992 BGG851990:BGG851992 BQC851990:BQC851992 BZY851990:BZY851992 CJU851990:CJU851992 CTQ851990:CTQ851992 DDM851990:DDM851992 DNI851990:DNI851992 DXE851990:DXE851992 EHA851990:EHA851992 EQW851990:EQW851992 FAS851990:FAS851992 FKO851990:FKO851992 FUK851990:FUK851992 GEG851990:GEG851992 GOC851990:GOC851992 GXY851990:GXY851992 HHU851990:HHU851992 HRQ851990:HRQ851992 IBM851990:IBM851992 ILI851990:ILI851992 IVE851990:IVE851992 JFA851990:JFA851992 JOW851990:JOW851992 JYS851990:JYS851992 KIO851990:KIO851992 KSK851990:KSK851992 LCG851990:LCG851992 LMC851990:LMC851992 LVY851990:LVY851992 MFU851990:MFU851992 MPQ851990:MPQ851992 MZM851990:MZM851992 NJI851990:NJI851992 NTE851990:NTE851992 ODA851990:ODA851992 OMW851990:OMW851992 OWS851990:OWS851992 PGO851990:PGO851992 PQK851990:PQK851992 QAG851990:QAG851992 QKC851990:QKC851992 QTY851990:QTY851992 RDU851990:RDU851992 RNQ851990:RNQ851992 RXM851990:RXM851992 SHI851990:SHI851992 SRE851990:SRE851992 TBA851990:TBA851992 TKW851990:TKW851992 TUS851990:TUS851992 UEO851990:UEO851992 UOK851990:UOK851992 UYG851990:UYG851992 VIC851990:VIC851992 VRY851990:VRY851992 WBU851990:WBU851992 WLQ851990:WLQ851992 WVM851990:WVM851992 C917526:C917528 JA917526:JA917528 SW917526:SW917528 ACS917526:ACS917528 AMO917526:AMO917528 AWK917526:AWK917528 BGG917526:BGG917528 BQC917526:BQC917528 BZY917526:BZY917528 CJU917526:CJU917528 CTQ917526:CTQ917528 DDM917526:DDM917528 DNI917526:DNI917528 DXE917526:DXE917528 EHA917526:EHA917528 EQW917526:EQW917528 FAS917526:FAS917528 FKO917526:FKO917528 FUK917526:FUK917528 GEG917526:GEG917528 GOC917526:GOC917528 GXY917526:GXY917528 HHU917526:HHU917528 HRQ917526:HRQ917528 IBM917526:IBM917528 ILI917526:ILI917528 IVE917526:IVE917528 JFA917526:JFA917528 JOW917526:JOW917528 JYS917526:JYS917528 KIO917526:KIO917528 KSK917526:KSK917528 LCG917526:LCG917528 LMC917526:LMC917528 LVY917526:LVY917528 MFU917526:MFU917528 MPQ917526:MPQ917528 MZM917526:MZM917528 NJI917526:NJI917528 NTE917526:NTE917528 ODA917526:ODA917528 OMW917526:OMW917528 OWS917526:OWS917528 PGO917526:PGO917528 PQK917526:PQK917528 QAG917526:QAG917528 QKC917526:QKC917528 QTY917526:QTY917528 RDU917526:RDU917528 RNQ917526:RNQ917528 RXM917526:RXM917528 SHI917526:SHI917528 SRE917526:SRE917528 TBA917526:TBA917528 TKW917526:TKW917528 TUS917526:TUS917528 UEO917526:UEO917528 UOK917526:UOK917528 UYG917526:UYG917528 VIC917526:VIC917528 VRY917526:VRY917528 WBU917526:WBU917528 WLQ917526:WLQ917528 WVM917526:WVM917528 C983062:C983064 JA983062:JA983064 SW983062:SW983064 ACS983062:ACS983064 AMO983062:AMO983064 AWK983062:AWK983064 BGG983062:BGG983064 BQC983062:BQC983064 BZY983062:BZY983064 CJU983062:CJU983064 CTQ983062:CTQ983064 DDM983062:DDM983064 DNI983062:DNI983064 DXE983062:DXE983064 EHA983062:EHA983064 EQW983062:EQW983064 FAS983062:FAS983064 FKO983062:FKO983064 FUK983062:FUK983064 GEG983062:GEG983064 GOC983062:GOC983064 GXY983062:GXY983064 HHU983062:HHU983064 HRQ983062:HRQ983064 IBM983062:IBM983064 ILI983062:ILI983064 IVE983062:IVE983064 JFA983062:JFA983064 JOW983062:JOW983064 JYS983062:JYS983064 KIO983062:KIO983064 KSK983062:KSK983064 LCG983062:LCG983064 LMC983062:LMC983064 LVY983062:LVY983064 MFU983062:MFU983064 MPQ983062:MPQ983064 MZM983062:MZM983064 NJI983062:NJI983064 NTE983062:NTE983064 ODA983062:ODA983064 OMW983062:OMW983064 OWS983062:OWS983064 PGO983062:PGO983064 PQK983062:PQK983064 QAG983062:QAG983064 QKC983062:QKC983064 QTY983062:QTY983064 RDU983062:RDU983064 RNQ983062:RNQ983064 RXM983062:RXM983064 SHI983062:SHI983064 SRE983062:SRE983064 TBA983062:TBA983064 TKW983062:TKW983064 TUS983062:TUS983064 UEO983062:UEO983064 UOK983062:UOK983064 UYG983062:UYG983064 VIC983062:VIC983064 VRY983062:VRY983064 WBU983062:WBU983064 WLQ983062:WLQ983064 WVM983062:WVM983064 C27:C44 JA27:JA44 SW27:SW44 ACS27:ACS44 AMO27:AMO44 AWK27:AWK44 BGG27:BGG44 BQC27:BQC44 BZY27:BZY44 CJU27:CJU44 CTQ27:CTQ44 DDM27:DDM44 DNI27:DNI44 DXE27:DXE44 EHA27:EHA44 EQW27:EQW44 FAS27:FAS44 FKO27:FKO44 FUK27:FUK44 GEG27:GEG44 GOC27:GOC44 GXY27:GXY44 HHU27:HHU44 HRQ27:HRQ44 IBM27:IBM44 ILI27:ILI44 IVE27:IVE44 JFA27:JFA44 JOW27:JOW44 JYS27:JYS44 KIO27:KIO44 KSK27:KSK44 LCG27:LCG44 LMC27:LMC44 LVY27:LVY44 MFU27:MFU44 MPQ27:MPQ44 MZM27:MZM44 NJI27:NJI44 NTE27:NTE44 ODA27:ODA44 OMW27:OMW44 OWS27:OWS44 PGO27:PGO44 PQK27:PQK44 QAG27:QAG44 QKC27:QKC44 QTY27:QTY44 RDU27:RDU44 RNQ27:RNQ44 RXM27:RXM44 SHI27:SHI44 SRE27:SRE44 TBA27:TBA44 TKW27:TKW44 TUS27:TUS44 UEO27:UEO44 UOK27:UOK44 UYG27:UYG44 VIC27:VIC44 VRY27:VRY44 WBU27:WBU44 WLQ27:WLQ44 WVM27:WVM44 C65563:C65580 JA65563:JA65580 SW65563:SW65580 ACS65563:ACS65580 AMO65563:AMO65580 AWK65563:AWK65580 BGG65563:BGG65580 BQC65563:BQC65580 BZY65563:BZY65580 CJU65563:CJU65580 CTQ65563:CTQ65580 DDM65563:DDM65580 DNI65563:DNI65580 DXE65563:DXE65580 EHA65563:EHA65580 EQW65563:EQW65580 FAS65563:FAS65580 FKO65563:FKO65580 FUK65563:FUK65580 GEG65563:GEG65580 GOC65563:GOC65580 GXY65563:GXY65580 HHU65563:HHU65580 HRQ65563:HRQ65580 IBM65563:IBM65580 ILI65563:ILI65580 IVE65563:IVE65580 JFA65563:JFA65580 JOW65563:JOW65580 JYS65563:JYS65580 KIO65563:KIO65580 KSK65563:KSK65580 LCG65563:LCG65580 LMC65563:LMC65580 LVY65563:LVY65580 MFU65563:MFU65580 MPQ65563:MPQ65580 MZM65563:MZM65580 NJI65563:NJI65580 NTE65563:NTE65580 ODA65563:ODA65580 OMW65563:OMW65580 OWS65563:OWS65580 PGO65563:PGO65580 PQK65563:PQK65580 QAG65563:QAG65580 QKC65563:QKC65580 QTY65563:QTY65580 RDU65563:RDU65580 RNQ65563:RNQ65580 RXM65563:RXM65580 SHI65563:SHI65580 SRE65563:SRE65580 TBA65563:TBA65580 TKW65563:TKW65580 TUS65563:TUS65580 UEO65563:UEO65580 UOK65563:UOK65580 UYG65563:UYG65580 VIC65563:VIC65580 VRY65563:VRY65580 WBU65563:WBU65580 WLQ65563:WLQ65580 WVM65563:WVM65580 C131099:C131116 JA131099:JA131116 SW131099:SW131116 ACS131099:ACS131116 AMO131099:AMO131116 AWK131099:AWK131116 BGG131099:BGG131116 BQC131099:BQC131116 BZY131099:BZY131116 CJU131099:CJU131116 CTQ131099:CTQ131116 DDM131099:DDM131116 DNI131099:DNI131116 DXE131099:DXE131116 EHA131099:EHA131116 EQW131099:EQW131116 FAS131099:FAS131116 FKO131099:FKO131116 FUK131099:FUK131116 GEG131099:GEG131116 GOC131099:GOC131116 GXY131099:GXY131116 HHU131099:HHU131116 HRQ131099:HRQ131116 IBM131099:IBM131116 ILI131099:ILI131116 IVE131099:IVE131116 JFA131099:JFA131116 JOW131099:JOW131116 JYS131099:JYS131116 KIO131099:KIO131116 KSK131099:KSK131116 LCG131099:LCG131116 LMC131099:LMC131116 LVY131099:LVY131116 MFU131099:MFU131116 MPQ131099:MPQ131116 MZM131099:MZM131116 NJI131099:NJI131116 NTE131099:NTE131116 ODA131099:ODA131116 OMW131099:OMW131116 OWS131099:OWS131116 PGO131099:PGO131116 PQK131099:PQK131116 QAG131099:QAG131116 QKC131099:QKC131116 QTY131099:QTY131116 RDU131099:RDU131116 RNQ131099:RNQ131116 RXM131099:RXM131116 SHI131099:SHI131116 SRE131099:SRE131116 TBA131099:TBA131116 TKW131099:TKW131116 TUS131099:TUS131116 UEO131099:UEO131116 UOK131099:UOK131116 UYG131099:UYG131116 VIC131099:VIC131116 VRY131099:VRY131116 WBU131099:WBU131116 WLQ131099:WLQ131116 WVM131099:WVM131116 C196635:C196652 JA196635:JA196652 SW196635:SW196652 ACS196635:ACS196652 AMO196635:AMO196652 AWK196635:AWK196652 BGG196635:BGG196652 BQC196635:BQC196652 BZY196635:BZY196652 CJU196635:CJU196652 CTQ196635:CTQ196652 DDM196635:DDM196652 DNI196635:DNI196652 DXE196635:DXE196652 EHA196635:EHA196652 EQW196635:EQW196652 FAS196635:FAS196652 FKO196635:FKO196652 FUK196635:FUK196652 GEG196635:GEG196652 GOC196635:GOC196652 GXY196635:GXY196652 HHU196635:HHU196652 HRQ196635:HRQ196652 IBM196635:IBM196652 ILI196635:ILI196652 IVE196635:IVE196652 JFA196635:JFA196652 JOW196635:JOW196652 JYS196635:JYS196652 KIO196635:KIO196652 KSK196635:KSK196652 LCG196635:LCG196652 LMC196635:LMC196652 LVY196635:LVY196652 MFU196635:MFU196652 MPQ196635:MPQ196652 MZM196635:MZM196652 NJI196635:NJI196652 NTE196635:NTE196652 ODA196635:ODA196652 OMW196635:OMW196652 OWS196635:OWS196652 PGO196635:PGO196652 PQK196635:PQK196652 QAG196635:QAG196652 QKC196635:QKC196652 QTY196635:QTY196652 RDU196635:RDU196652 RNQ196635:RNQ196652 RXM196635:RXM196652 SHI196635:SHI196652 SRE196635:SRE196652 TBA196635:TBA196652 TKW196635:TKW196652 TUS196635:TUS196652 UEO196635:UEO196652 UOK196635:UOK196652 UYG196635:UYG196652 VIC196635:VIC196652 VRY196635:VRY196652 WBU196635:WBU196652 WLQ196635:WLQ196652 WVM196635:WVM196652 C262171:C262188 JA262171:JA262188 SW262171:SW262188 ACS262171:ACS262188 AMO262171:AMO262188 AWK262171:AWK262188 BGG262171:BGG262188 BQC262171:BQC262188 BZY262171:BZY262188 CJU262171:CJU262188 CTQ262171:CTQ262188 DDM262171:DDM262188 DNI262171:DNI262188 DXE262171:DXE262188 EHA262171:EHA262188 EQW262171:EQW262188 FAS262171:FAS262188 FKO262171:FKO262188 FUK262171:FUK262188 GEG262171:GEG262188 GOC262171:GOC262188 GXY262171:GXY262188 HHU262171:HHU262188 HRQ262171:HRQ262188 IBM262171:IBM262188 ILI262171:ILI262188 IVE262171:IVE262188 JFA262171:JFA262188 JOW262171:JOW262188 JYS262171:JYS262188 KIO262171:KIO262188 KSK262171:KSK262188 LCG262171:LCG262188 LMC262171:LMC262188 LVY262171:LVY262188 MFU262171:MFU262188 MPQ262171:MPQ262188 MZM262171:MZM262188 NJI262171:NJI262188 NTE262171:NTE262188 ODA262171:ODA262188 OMW262171:OMW262188 OWS262171:OWS262188 PGO262171:PGO262188 PQK262171:PQK262188 QAG262171:QAG262188 QKC262171:QKC262188 QTY262171:QTY262188 RDU262171:RDU262188 RNQ262171:RNQ262188 RXM262171:RXM262188 SHI262171:SHI262188 SRE262171:SRE262188 TBA262171:TBA262188 TKW262171:TKW262188 TUS262171:TUS262188 UEO262171:UEO262188 UOK262171:UOK262188 UYG262171:UYG262188 VIC262171:VIC262188 VRY262171:VRY262188 WBU262171:WBU262188 WLQ262171:WLQ262188 WVM262171:WVM262188 C327707:C327724 JA327707:JA327724 SW327707:SW327724 ACS327707:ACS327724 AMO327707:AMO327724 AWK327707:AWK327724 BGG327707:BGG327724 BQC327707:BQC327724 BZY327707:BZY327724 CJU327707:CJU327724 CTQ327707:CTQ327724 DDM327707:DDM327724 DNI327707:DNI327724 DXE327707:DXE327724 EHA327707:EHA327724 EQW327707:EQW327724 FAS327707:FAS327724 FKO327707:FKO327724 FUK327707:FUK327724 GEG327707:GEG327724 GOC327707:GOC327724 GXY327707:GXY327724 HHU327707:HHU327724 HRQ327707:HRQ327724 IBM327707:IBM327724 ILI327707:ILI327724 IVE327707:IVE327724 JFA327707:JFA327724 JOW327707:JOW327724 JYS327707:JYS327724 KIO327707:KIO327724 KSK327707:KSK327724 LCG327707:LCG327724 LMC327707:LMC327724 LVY327707:LVY327724 MFU327707:MFU327724 MPQ327707:MPQ327724 MZM327707:MZM327724 NJI327707:NJI327724 NTE327707:NTE327724 ODA327707:ODA327724 OMW327707:OMW327724 OWS327707:OWS327724 PGO327707:PGO327724 PQK327707:PQK327724 QAG327707:QAG327724 QKC327707:QKC327724 QTY327707:QTY327724 RDU327707:RDU327724 RNQ327707:RNQ327724 RXM327707:RXM327724 SHI327707:SHI327724 SRE327707:SRE327724 TBA327707:TBA327724 TKW327707:TKW327724 TUS327707:TUS327724 UEO327707:UEO327724 UOK327707:UOK327724 UYG327707:UYG327724 VIC327707:VIC327724 VRY327707:VRY327724 WBU327707:WBU327724 WLQ327707:WLQ327724 WVM327707:WVM327724 C393243:C393260 JA393243:JA393260 SW393243:SW393260 ACS393243:ACS393260 AMO393243:AMO393260 AWK393243:AWK393260 BGG393243:BGG393260 BQC393243:BQC393260 BZY393243:BZY393260 CJU393243:CJU393260 CTQ393243:CTQ393260 DDM393243:DDM393260 DNI393243:DNI393260 DXE393243:DXE393260 EHA393243:EHA393260 EQW393243:EQW393260 FAS393243:FAS393260 FKO393243:FKO393260 FUK393243:FUK393260 GEG393243:GEG393260 GOC393243:GOC393260 GXY393243:GXY393260 HHU393243:HHU393260 HRQ393243:HRQ393260 IBM393243:IBM393260 ILI393243:ILI393260 IVE393243:IVE393260 JFA393243:JFA393260 JOW393243:JOW393260 JYS393243:JYS393260 KIO393243:KIO393260 KSK393243:KSK393260 LCG393243:LCG393260 LMC393243:LMC393260 LVY393243:LVY393260 MFU393243:MFU393260 MPQ393243:MPQ393260 MZM393243:MZM393260 NJI393243:NJI393260 NTE393243:NTE393260 ODA393243:ODA393260 OMW393243:OMW393260 OWS393243:OWS393260 PGO393243:PGO393260 PQK393243:PQK393260 QAG393243:QAG393260 QKC393243:QKC393260 QTY393243:QTY393260 RDU393243:RDU393260 RNQ393243:RNQ393260 RXM393243:RXM393260 SHI393243:SHI393260 SRE393243:SRE393260 TBA393243:TBA393260 TKW393243:TKW393260 TUS393243:TUS393260 UEO393243:UEO393260 UOK393243:UOK393260 UYG393243:UYG393260 VIC393243:VIC393260 VRY393243:VRY393260 WBU393243:WBU393260 WLQ393243:WLQ393260 WVM393243:WVM393260 C458779:C458796 JA458779:JA458796 SW458779:SW458796 ACS458779:ACS458796 AMO458779:AMO458796 AWK458779:AWK458796 BGG458779:BGG458796 BQC458779:BQC458796 BZY458779:BZY458796 CJU458779:CJU458796 CTQ458779:CTQ458796 DDM458779:DDM458796 DNI458779:DNI458796 DXE458779:DXE458796 EHA458779:EHA458796 EQW458779:EQW458796 FAS458779:FAS458796 FKO458779:FKO458796 FUK458779:FUK458796 GEG458779:GEG458796 GOC458779:GOC458796 GXY458779:GXY458796 HHU458779:HHU458796 HRQ458779:HRQ458796 IBM458779:IBM458796 ILI458779:ILI458796 IVE458779:IVE458796 JFA458779:JFA458796 JOW458779:JOW458796 JYS458779:JYS458796 KIO458779:KIO458796 KSK458779:KSK458796 LCG458779:LCG458796 LMC458779:LMC458796 LVY458779:LVY458796 MFU458779:MFU458796 MPQ458779:MPQ458796 MZM458779:MZM458796 NJI458779:NJI458796 NTE458779:NTE458796 ODA458779:ODA458796 OMW458779:OMW458796 OWS458779:OWS458796 PGO458779:PGO458796 PQK458779:PQK458796 QAG458779:QAG458796 QKC458779:QKC458796 QTY458779:QTY458796 RDU458779:RDU458796 RNQ458779:RNQ458796 RXM458779:RXM458796 SHI458779:SHI458796 SRE458779:SRE458796 TBA458779:TBA458796 TKW458779:TKW458796 TUS458779:TUS458796 UEO458779:UEO458796 UOK458779:UOK458796 UYG458779:UYG458796 VIC458779:VIC458796 VRY458779:VRY458796 WBU458779:WBU458796 WLQ458779:WLQ458796 WVM458779:WVM458796 C524315:C524332 JA524315:JA524332 SW524315:SW524332 ACS524315:ACS524332 AMO524315:AMO524332 AWK524315:AWK524332 BGG524315:BGG524332 BQC524315:BQC524332 BZY524315:BZY524332 CJU524315:CJU524332 CTQ524315:CTQ524332 DDM524315:DDM524332 DNI524315:DNI524332 DXE524315:DXE524332 EHA524315:EHA524332 EQW524315:EQW524332 FAS524315:FAS524332 FKO524315:FKO524332 FUK524315:FUK524332 GEG524315:GEG524332 GOC524315:GOC524332 GXY524315:GXY524332 HHU524315:HHU524332 HRQ524315:HRQ524332 IBM524315:IBM524332 ILI524315:ILI524332 IVE524315:IVE524332 JFA524315:JFA524332 JOW524315:JOW524332 JYS524315:JYS524332 KIO524315:KIO524332 KSK524315:KSK524332 LCG524315:LCG524332 LMC524315:LMC524332 LVY524315:LVY524332 MFU524315:MFU524332 MPQ524315:MPQ524332 MZM524315:MZM524332 NJI524315:NJI524332 NTE524315:NTE524332 ODA524315:ODA524332 OMW524315:OMW524332 OWS524315:OWS524332 PGO524315:PGO524332 PQK524315:PQK524332 QAG524315:QAG524332 QKC524315:QKC524332 QTY524315:QTY524332 RDU524315:RDU524332 RNQ524315:RNQ524332 RXM524315:RXM524332 SHI524315:SHI524332 SRE524315:SRE524332 TBA524315:TBA524332 TKW524315:TKW524332 TUS524315:TUS524332 UEO524315:UEO524332 UOK524315:UOK524332 UYG524315:UYG524332 VIC524315:VIC524332 VRY524315:VRY524332 WBU524315:WBU524332 WLQ524315:WLQ524332 WVM524315:WVM524332 C589851:C589868 JA589851:JA589868 SW589851:SW589868 ACS589851:ACS589868 AMO589851:AMO589868 AWK589851:AWK589868 BGG589851:BGG589868 BQC589851:BQC589868 BZY589851:BZY589868 CJU589851:CJU589868 CTQ589851:CTQ589868 DDM589851:DDM589868 DNI589851:DNI589868 DXE589851:DXE589868 EHA589851:EHA589868 EQW589851:EQW589868 FAS589851:FAS589868 FKO589851:FKO589868 FUK589851:FUK589868 GEG589851:GEG589868 GOC589851:GOC589868 GXY589851:GXY589868 HHU589851:HHU589868 HRQ589851:HRQ589868 IBM589851:IBM589868 ILI589851:ILI589868 IVE589851:IVE589868 JFA589851:JFA589868 JOW589851:JOW589868 JYS589851:JYS589868 KIO589851:KIO589868 KSK589851:KSK589868 LCG589851:LCG589868 LMC589851:LMC589868 LVY589851:LVY589868 MFU589851:MFU589868 MPQ589851:MPQ589868 MZM589851:MZM589868 NJI589851:NJI589868 NTE589851:NTE589868 ODA589851:ODA589868 OMW589851:OMW589868 OWS589851:OWS589868 PGO589851:PGO589868 PQK589851:PQK589868 QAG589851:QAG589868 QKC589851:QKC589868 QTY589851:QTY589868 RDU589851:RDU589868 RNQ589851:RNQ589868 RXM589851:RXM589868 SHI589851:SHI589868 SRE589851:SRE589868 TBA589851:TBA589868 TKW589851:TKW589868 TUS589851:TUS589868 UEO589851:UEO589868 UOK589851:UOK589868 UYG589851:UYG589868 VIC589851:VIC589868 VRY589851:VRY589868 WBU589851:WBU589868 WLQ589851:WLQ589868 WVM589851:WVM589868 C655387:C655404 JA655387:JA655404 SW655387:SW655404 ACS655387:ACS655404 AMO655387:AMO655404 AWK655387:AWK655404 BGG655387:BGG655404 BQC655387:BQC655404 BZY655387:BZY655404 CJU655387:CJU655404 CTQ655387:CTQ655404 DDM655387:DDM655404 DNI655387:DNI655404 DXE655387:DXE655404 EHA655387:EHA655404 EQW655387:EQW655404 FAS655387:FAS655404 FKO655387:FKO655404 FUK655387:FUK655404 GEG655387:GEG655404 GOC655387:GOC655404 GXY655387:GXY655404 HHU655387:HHU655404 HRQ655387:HRQ655404 IBM655387:IBM655404 ILI655387:ILI655404 IVE655387:IVE655404 JFA655387:JFA655404 JOW655387:JOW655404 JYS655387:JYS655404 KIO655387:KIO655404 KSK655387:KSK655404 LCG655387:LCG655404 LMC655387:LMC655404 LVY655387:LVY655404 MFU655387:MFU655404 MPQ655387:MPQ655404 MZM655387:MZM655404 NJI655387:NJI655404 NTE655387:NTE655404 ODA655387:ODA655404 OMW655387:OMW655404 OWS655387:OWS655404 PGO655387:PGO655404 PQK655387:PQK655404 QAG655387:QAG655404 QKC655387:QKC655404 QTY655387:QTY655404 RDU655387:RDU655404 RNQ655387:RNQ655404 RXM655387:RXM655404 SHI655387:SHI655404 SRE655387:SRE655404 TBA655387:TBA655404 TKW655387:TKW655404 TUS655387:TUS655404 UEO655387:UEO655404 UOK655387:UOK655404 UYG655387:UYG655404 VIC655387:VIC655404 VRY655387:VRY655404 WBU655387:WBU655404 WLQ655387:WLQ655404 WVM655387:WVM655404 C720923:C720940 JA720923:JA720940 SW720923:SW720940 ACS720923:ACS720940 AMO720923:AMO720940 AWK720923:AWK720940 BGG720923:BGG720940 BQC720923:BQC720940 BZY720923:BZY720940 CJU720923:CJU720940 CTQ720923:CTQ720940 DDM720923:DDM720940 DNI720923:DNI720940 DXE720923:DXE720940 EHA720923:EHA720940 EQW720923:EQW720940 FAS720923:FAS720940 FKO720923:FKO720940 FUK720923:FUK720940 GEG720923:GEG720940 GOC720923:GOC720940 GXY720923:GXY720940 HHU720923:HHU720940 HRQ720923:HRQ720940 IBM720923:IBM720940 ILI720923:ILI720940 IVE720923:IVE720940 JFA720923:JFA720940 JOW720923:JOW720940 JYS720923:JYS720940 KIO720923:KIO720940 KSK720923:KSK720940 LCG720923:LCG720940 LMC720923:LMC720940 LVY720923:LVY720940 MFU720923:MFU720940 MPQ720923:MPQ720940 MZM720923:MZM720940 NJI720923:NJI720940 NTE720923:NTE720940 ODA720923:ODA720940 OMW720923:OMW720940 OWS720923:OWS720940 PGO720923:PGO720940 PQK720923:PQK720940 QAG720923:QAG720940 QKC720923:QKC720940 QTY720923:QTY720940 RDU720923:RDU720940 RNQ720923:RNQ720940 RXM720923:RXM720940 SHI720923:SHI720940 SRE720923:SRE720940 TBA720923:TBA720940 TKW720923:TKW720940 TUS720923:TUS720940 UEO720923:UEO720940 UOK720923:UOK720940 UYG720923:UYG720940 VIC720923:VIC720940 VRY720923:VRY720940 WBU720923:WBU720940 WLQ720923:WLQ720940 WVM720923:WVM720940 C786459:C786476 JA786459:JA786476 SW786459:SW786476 ACS786459:ACS786476 AMO786459:AMO786476 AWK786459:AWK786476 BGG786459:BGG786476 BQC786459:BQC786476 BZY786459:BZY786476 CJU786459:CJU786476 CTQ786459:CTQ786476 DDM786459:DDM786476 DNI786459:DNI786476 DXE786459:DXE786476 EHA786459:EHA786476 EQW786459:EQW786476 FAS786459:FAS786476 FKO786459:FKO786476 FUK786459:FUK786476 GEG786459:GEG786476 GOC786459:GOC786476 GXY786459:GXY786476 HHU786459:HHU786476 HRQ786459:HRQ786476 IBM786459:IBM786476 ILI786459:ILI786476 IVE786459:IVE786476 JFA786459:JFA786476 JOW786459:JOW786476 JYS786459:JYS786476 KIO786459:KIO786476 KSK786459:KSK786476 LCG786459:LCG786476 LMC786459:LMC786476 LVY786459:LVY786476 MFU786459:MFU786476 MPQ786459:MPQ786476 MZM786459:MZM786476 NJI786459:NJI786476 NTE786459:NTE786476 ODA786459:ODA786476 OMW786459:OMW786476 OWS786459:OWS786476 PGO786459:PGO786476 PQK786459:PQK786476 QAG786459:QAG786476 QKC786459:QKC786476 QTY786459:QTY786476 RDU786459:RDU786476 RNQ786459:RNQ786476 RXM786459:RXM786476 SHI786459:SHI786476 SRE786459:SRE786476 TBA786459:TBA786476 TKW786459:TKW786476 TUS786459:TUS786476 UEO786459:UEO786476 UOK786459:UOK786476 UYG786459:UYG786476 VIC786459:VIC786476 VRY786459:VRY786476 WBU786459:WBU786476 WLQ786459:WLQ786476 WVM786459:WVM786476 C851995:C852012 JA851995:JA852012 SW851995:SW852012 ACS851995:ACS852012 AMO851995:AMO852012 AWK851995:AWK852012 BGG851995:BGG852012 BQC851995:BQC852012 BZY851995:BZY852012 CJU851995:CJU852012 CTQ851995:CTQ852012 DDM851995:DDM852012 DNI851995:DNI852012 DXE851995:DXE852012 EHA851995:EHA852012 EQW851995:EQW852012 FAS851995:FAS852012 FKO851995:FKO852012 FUK851995:FUK852012 GEG851995:GEG852012 GOC851995:GOC852012 GXY851995:GXY852012 HHU851995:HHU852012 HRQ851995:HRQ852012 IBM851995:IBM852012 ILI851995:ILI852012 IVE851995:IVE852012 JFA851995:JFA852012 JOW851995:JOW852012 JYS851995:JYS852012 KIO851995:KIO852012 KSK851995:KSK852012 LCG851995:LCG852012 LMC851995:LMC852012 LVY851995:LVY852012 MFU851995:MFU852012 MPQ851995:MPQ852012 MZM851995:MZM852012 NJI851995:NJI852012 NTE851995:NTE852012 ODA851995:ODA852012 OMW851995:OMW852012 OWS851995:OWS852012 PGO851995:PGO852012 PQK851995:PQK852012 QAG851995:QAG852012 QKC851995:QKC852012 QTY851995:QTY852012 RDU851995:RDU852012 RNQ851995:RNQ852012 RXM851995:RXM852012 SHI851995:SHI852012 SRE851995:SRE852012 TBA851995:TBA852012 TKW851995:TKW852012 TUS851995:TUS852012 UEO851995:UEO852012 UOK851995:UOK852012 UYG851995:UYG852012 VIC851995:VIC852012 VRY851995:VRY852012 WBU851995:WBU852012 WLQ851995:WLQ852012 WVM851995:WVM852012 C917531:C917548 JA917531:JA917548 SW917531:SW917548 ACS917531:ACS917548 AMO917531:AMO917548 AWK917531:AWK917548 BGG917531:BGG917548 BQC917531:BQC917548 BZY917531:BZY917548 CJU917531:CJU917548 CTQ917531:CTQ917548 DDM917531:DDM917548 DNI917531:DNI917548 DXE917531:DXE917548 EHA917531:EHA917548 EQW917531:EQW917548 FAS917531:FAS917548 FKO917531:FKO917548 FUK917531:FUK917548 GEG917531:GEG917548 GOC917531:GOC917548 GXY917531:GXY917548 HHU917531:HHU917548 HRQ917531:HRQ917548 IBM917531:IBM917548 ILI917531:ILI917548 IVE917531:IVE917548 JFA917531:JFA917548 JOW917531:JOW917548 JYS917531:JYS917548 KIO917531:KIO917548 KSK917531:KSK917548 LCG917531:LCG917548 LMC917531:LMC917548 LVY917531:LVY917548 MFU917531:MFU917548 MPQ917531:MPQ917548 MZM917531:MZM917548 NJI917531:NJI917548 NTE917531:NTE917548 ODA917531:ODA917548 OMW917531:OMW917548 OWS917531:OWS917548 PGO917531:PGO917548 PQK917531:PQK917548 QAG917531:QAG917548 QKC917531:QKC917548 QTY917531:QTY917548 RDU917531:RDU917548 RNQ917531:RNQ917548 RXM917531:RXM917548 SHI917531:SHI917548 SRE917531:SRE917548 TBA917531:TBA917548 TKW917531:TKW917548 TUS917531:TUS917548 UEO917531:UEO917548 UOK917531:UOK917548 UYG917531:UYG917548 VIC917531:VIC917548 VRY917531:VRY917548 WBU917531:WBU917548 WLQ917531:WLQ917548 WVM917531:WVM917548 C983067:C983084 JA983067:JA983084 SW983067:SW983084 ACS983067:ACS983084 AMO983067:AMO983084 AWK983067:AWK983084 BGG983067:BGG983084 BQC983067:BQC983084 BZY983067:BZY983084 CJU983067:CJU983084 CTQ983067:CTQ983084 DDM983067:DDM983084 DNI983067:DNI983084 DXE983067:DXE983084 EHA983067:EHA983084 EQW983067:EQW983084 FAS983067:FAS983084 FKO983067:FKO983084 FUK983067:FUK983084 GEG983067:GEG983084 GOC983067:GOC983084 GXY983067:GXY983084 HHU983067:HHU983084 HRQ983067:HRQ983084 IBM983067:IBM983084 ILI983067:ILI983084 IVE983067:IVE983084 JFA983067:JFA983084 JOW983067:JOW983084 JYS983067:JYS983084 KIO983067:KIO983084 KSK983067:KSK983084 LCG983067:LCG983084 LMC983067:LMC983084 LVY983067:LVY983084 MFU983067:MFU983084 MPQ983067:MPQ983084 MZM983067:MZM983084 NJI983067:NJI983084 NTE983067:NTE983084 ODA983067:ODA983084 OMW983067:OMW983084 OWS983067:OWS983084 PGO983067:PGO983084 PQK983067:PQK983084 QAG983067:QAG983084 QKC983067:QKC983084 QTY983067:QTY983084 RDU983067:RDU983084 RNQ983067:RNQ983084 RXM983067:RXM983084 SHI983067:SHI983084 SRE983067:SRE983084 TBA983067:TBA983084 TKW983067:TKW983084 TUS983067:TUS983084 UEO983067:UEO983084 UOK983067:UOK983084 UYG983067:UYG983084 VIC983067:VIC983084 VRY983067:VRY983084 WBU983067:WBU983084 WLQ983067:WLQ983084 WVM983067:WVM983084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53"/>
  <sheetViews>
    <sheetView zoomScale="60" zoomScaleNormal="60" workbookViewId="0">
      <pane xSplit="3" ySplit="12" topLeftCell="J13" activePane="bottomRight" state="frozen"/>
      <selection pane="topRight" activeCell="D1" sqref="D1"/>
      <selection pane="bottomLeft" activeCell="A13" sqref="A13"/>
      <selection pane="bottomRight" activeCell="O137" sqref="O137"/>
    </sheetView>
  </sheetViews>
  <sheetFormatPr baseColWidth="10" defaultColWidth="11.453125" defaultRowHeight="13" x14ac:dyDescent="0.3"/>
  <cols>
    <col min="1" max="1" width="44" style="261" customWidth="1"/>
    <col min="2" max="2" width="36.26953125" style="523" customWidth="1"/>
    <col min="3" max="3" width="21.08984375" style="261" customWidth="1"/>
    <col min="4" max="4" width="27.1796875" style="494" customWidth="1"/>
    <col min="5" max="7" width="10.7265625" style="261" customWidth="1"/>
    <col min="8" max="8" width="17.26953125" style="2754" customWidth="1"/>
    <col min="9" max="9" width="11.26953125" style="261" customWidth="1"/>
    <col min="10" max="12" width="10.7265625" style="261" customWidth="1"/>
    <col min="13" max="13" width="16.81640625" style="261" customWidth="1"/>
    <col min="14" max="14" width="12" style="2755" bestFit="1" customWidth="1"/>
    <col min="15" max="15" width="10.81640625" style="249" customWidth="1"/>
    <col min="16" max="16" width="18" style="2900" customWidth="1"/>
    <col min="17" max="18" width="15.453125" style="261" hidden="1" customWidth="1"/>
    <col min="19" max="19" width="41.81640625" style="261" hidden="1" customWidth="1"/>
    <col min="20" max="20" width="20.54296875" style="2928" customWidth="1"/>
    <col min="21" max="21" width="16.54296875" style="2756" customWidth="1"/>
    <col min="22" max="22" width="46.1796875" style="297" customWidth="1"/>
    <col min="23" max="23" width="14.453125" style="2756" customWidth="1"/>
    <col min="24" max="24" width="16.453125" style="2757" customWidth="1"/>
    <col min="25" max="25" width="57.1796875" style="297" customWidth="1"/>
    <col min="26" max="256" width="11.453125" style="261"/>
    <col min="257" max="257" width="44" style="261" customWidth="1"/>
    <col min="258" max="258" width="36.26953125" style="261" customWidth="1"/>
    <col min="259" max="259" width="51" style="261" customWidth="1"/>
    <col min="260" max="260" width="27.1796875" style="261" customWidth="1"/>
    <col min="261" max="263" width="10.7265625" style="261" customWidth="1"/>
    <col min="264" max="264" width="17.26953125" style="261" customWidth="1"/>
    <col min="265" max="265" width="11.26953125" style="261" customWidth="1"/>
    <col min="266" max="268" width="10.7265625" style="261" customWidth="1"/>
    <col min="269" max="269" width="16.81640625" style="261" customWidth="1"/>
    <col min="270" max="270" width="12" style="261" bestFit="1" customWidth="1"/>
    <col min="271" max="271" width="10.81640625" style="261" customWidth="1"/>
    <col min="272" max="272" width="18" style="261" customWidth="1"/>
    <col min="273" max="274" width="15.453125" style="261" customWidth="1"/>
    <col min="275" max="275" width="41.81640625" style="261" customWidth="1"/>
    <col min="276" max="276" width="20.54296875" style="261" customWidth="1"/>
    <col min="277" max="277" width="16.54296875" style="261" customWidth="1"/>
    <col min="278" max="278" width="46.1796875" style="261" customWidth="1"/>
    <col min="279" max="279" width="14.453125" style="261" customWidth="1"/>
    <col min="280" max="280" width="16.453125" style="261" customWidth="1"/>
    <col min="281" max="281" width="57.1796875" style="261" customWidth="1"/>
    <col min="282" max="512" width="11.453125" style="261"/>
    <col min="513" max="513" width="44" style="261" customWidth="1"/>
    <col min="514" max="514" width="36.26953125" style="261" customWidth="1"/>
    <col min="515" max="515" width="51" style="261" customWidth="1"/>
    <col min="516" max="516" width="27.1796875" style="261" customWidth="1"/>
    <col min="517" max="519" width="10.7265625" style="261" customWidth="1"/>
    <col min="520" max="520" width="17.26953125" style="261" customWidth="1"/>
    <col min="521" max="521" width="11.26953125" style="261" customWidth="1"/>
    <col min="522" max="524" width="10.7265625" style="261" customWidth="1"/>
    <col min="525" max="525" width="16.81640625" style="261" customWidth="1"/>
    <col min="526" max="526" width="12" style="261" bestFit="1" customWidth="1"/>
    <col min="527" max="527" width="10.81640625" style="261" customWidth="1"/>
    <col min="528" max="528" width="18" style="261" customWidth="1"/>
    <col min="529" max="530" width="15.453125" style="261" customWidth="1"/>
    <col min="531" max="531" width="41.81640625" style="261" customWidth="1"/>
    <col min="532" max="532" width="20.54296875" style="261" customWidth="1"/>
    <col min="533" max="533" width="16.54296875" style="261" customWidth="1"/>
    <col min="534" max="534" width="46.1796875" style="261" customWidth="1"/>
    <col min="535" max="535" width="14.453125" style="261" customWidth="1"/>
    <col min="536" max="536" width="16.453125" style="261" customWidth="1"/>
    <col min="537" max="537" width="57.1796875" style="261" customWidth="1"/>
    <col min="538" max="768" width="11.453125" style="261"/>
    <col min="769" max="769" width="44" style="261" customWidth="1"/>
    <col min="770" max="770" width="36.26953125" style="261" customWidth="1"/>
    <col min="771" max="771" width="51" style="261" customWidth="1"/>
    <col min="772" max="772" width="27.1796875" style="261" customWidth="1"/>
    <col min="773" max="775" width="10.7265625" style="261" customWidth="1"/>
    <col min="776" max="776" width="17.26953125" style="261" customWidth="1"/>
    <col min="777" max="777" width="11.26953125" style="261" customWidth="1"/>
    <col min="778" max="780" width="10.7265625" style="261" customWidth="1"/>
    <col min="781" max="781" width="16.81640625" style="261" customWidth="1"/>
    <col min="782" max="782" width="12" style="261" bestFit="1" customWidth="1"/>
    <col min="783" max="783" width="10.81640625" style="261" customWidth="1"/>
    <col min="784" max="784" width="18" style="261" customWidth="1"/>
    <col min="785" max="786" width="15.453125" style="261" customWidth="1"/>
    <col min="787" max="787" width="41.81640625" style="261" customWidth="1"/>
    <col min="788" max="788" width="20.54296875" style="261" customWidth="1"/>
    <col min="789" max="789" width="16.54296875" style="261" customWidth="1"/>
    <col min="790" max="790" width="46.1796875" style="261" customWidth="1"/>
    <col min="791" max="791" width="14.453125" style="261" customWidth="1"/>
    <col min="792" max="792" width="16.453125" style="261" customWidth="1"/>
    <col min="793" max="793" width="57.1796875" style="261" customWidth="1"/>
    <col min="794" max="1024" width="11.453125" style="261"/>
    <col min="1025" max="1025" width="44" style="261" customWidth="1"/>
    <col min="1026" max="1026" width="36.26953125" style="261" customWidth="1"/>
    <col min="1027" max="1027" width="51" style="261" customWidth="1"/>
    <col min="1028" max="1028" width="27.1796875" style="261" customWidth="1"/>
    <col min="1029" max="1031" width="10.7265625" style="261" customWidth="1"/>
    <col min="1032" max="1032" width="17.26953125" style="261" customWidth="1"/>
    <col min="1033" max="1033" width="11.26953125" style="261" customWidth="1"/>
    <col min="1034" max="1036" width="10.7265625" style="261" customWidth="1"/>
    <col min="1037" max="1037" width="16.81640625" style="261" customWidth="1"/>
    <col min="1038" max="1038" width="12" style="261" bestFit="1" customWidth="1"/>
    <col min="1039" max="1039" width="10.81640625" style="261" customWidth="1"/>
    <col min="1040" max="1040" width="18" style="261" customWidth="1"/>
    <col min="1041" max="1042" width="15.453125" style="261" customWidth="1"/>
    <col min="1043" max="1043" width="41.81640625" style="261" customWidth="1"/>
    <col min="1044" max="1044" width="20.54296875" style="261" customWidth="1"/>
    <col min="1045" max="1045" width="16.54296875" style="261" customWidth="1"/>
    <col min="1046" max="1046" width="46.1796875" style="261" customWidth="1"/>
    <col min="1047" max="1047" width="14.453125" style="261" customWidth="1"/>
    <col min="1048" max="1048" width="16.453125" style="261" customWidth="1"/>
    <col min="1049" max="1049" width="57.1796875" style="261" customWidth="1"/>
    <col min="1050" max="1280" width="11.453125" style="261"/>
    <col min="1281" max="1281" width="44" style="261" customWidth="1"/>
    <col min="1282" max="1282" width="36.26953125" style="261" customWidth="1"/>
    <col min="1283" max="1283" width="51" style="261" customWidth="1"/>
    <col min="1284" max="1284" width="27.1796875" style="261" customWidth="1"/>
    <col min="1285" max="1287" width="10.7265625" style="261" customWidth="1"/>
    <col min="1288" max="1288" width="17.26953125" style="261" customWidth="1"/>
    <col min="1289" max="1289" width="11.26953125" style="261" customWidth="1"/>
    <col min="1290" max="1292" width="10.7265625" style="261" customWidth="1"/>
    <col min="1293" max="1293" width="16.81640625" style="261" customWidth="1"/>
    <col min="1294" max="1294" width="12" style="261" bestFit="1" customWidth="1"/>
    <col min="1295" max="1295" width="10.81640625" style="261" customWidth="1"/>
    <col min="1296" max="1296" width="18" style="261" customWidth="1"/>
    <col min="1297" max="1298" width="15.453125" style="261" customWidth="1"/>
    <col min="1299" max="1299" width="41.81640625" style="261" customWidth="1"/>
    <col min="1300" max="1300" width="20.54296875" style="261" customWidth="1"/>
    <col min="1301" max="1301" width="16.54296875" style="261" customWidth="1"/>
    <col min="1302" max="1302" width="46.1796875" style="261" customWidth="1"/>
    <col min="1303" max="1303" width="14.453125" style="261" customWidth="1"/>
    <col min="1304" max="1304" width="16.453125" style="261" customWidth="1"/>
    <col min="1305" max="1305" width="57.1796875" style="261" customWidth="1"/>
    <col min="1306" max="1536" width="11.453125" style="261"/>
    <col min="1537" max="1537" width="44" style="261" customWidth="1"/>
    <col min="1538" max="1538" width="36.26953125" style="261" customWidth="1"/>
    <col min="1539" max="1539" width="51" style="261" customWidth="1"/>
    <col min="1540" max="1540" width="27.1796875" style="261" customWidth="1"/>
    <col min="1541" max="1543" width="10.7265625" style="261" customWidth="1"/>
    <col min="1544" max="1544" width="17.26953125" style="261" customWidth="1"/>
    <col min="1545" max="1545" width="11.26953125" style="261" customWidth="1"/>
    <col min="1546" max="1548" width="10.7265625" style="261" customWidth="1"/>
    <col min="1549" max="1549" width="16.81640625" style="261" customWidth="1"/>
    <col min="1550" max="1550" width="12" style="261" bestFit="1" customWidth="1"/>
    <col min="1551" max="1551" width="10.81640625" style="261" customWidth="1"/>
    <col min="1552" max="1552" width="18" style="261" customWidth="1"/>
    <col min="1553" max="1554" width="15.453125" style="261" customWidth="1"/>
    <col min="1555" max="1555" width="41.81640625" style="261" customWidth="1"/>
    <col min="1556" max="1556" width="20.54296875" style="261" customWidth="1"/>
    <col min="1557" max="1557" width="16.54296875" style="261" customWidth="1"/>
    <col min="1558" max="1558" width="46.1796875" style="261" customWidth="1"/>
    <col min="1559" max="1559" width="14.453125" style="261" customWidth="1"/>
    <col min="1560" max="1560" width="16.453125" style="261" customWidth="1"/>
    <col min="1561" max="1561" width="57.1796875" style="261" customWidth="1"/>
    <col min="1562" max="1792" width="11.453125" style="261"/>
    <col min="1793" max="1793" width="44" style="261" customWidth="1"/>
    <col min="1794" max="1794" width="36.26953125" style="261" customWidth="1"/>
    <col min="1795" max="1795" width="51" style="261" customWidth="1"/>
    <col min="1796" max="1796" width="27.1796875" style="261" customWidth="1"/>
    <col min="1797" max="1799" width="10.7265625" style="261" customWidth="1"/>
    <col min="1800" max="1800" width="17.26953125" style="261" customWidth="1"/>
    <col min="1801" max="1801" width="11.26953125" style="261" customWidth="1"/>
    <col min="1802" max="1804" width="10.7265625" style="261" customWidth="1"/>
    <col min="1805" max="1805" width="16.81640625" style="261" customWidth="1"/>
    <col min="1806" max="1806" width="12" style="261" bestFit="1" customWidth="1"/>
    <col min="1807" max="1807" width="10.81640625" style="261" customWidth="1"/>
    <col min="1808" max="1808" width="18" style="261" customWidth="1"/>
    <col min="1809" max="1810" width="15.453125" style="261" customWidth="1"/>
    <col min="1811" max="1811" width="41.81640625" style="261" customWidth="1"/>
    <col min="1812" max="1812" width="20.54296875" style="261" customWidth="1"/>
    <col min="1813" max="1813" width="16.54296875" style="261" customWidth="1"/>
    <col min="1814" max="1814" width="46.1796875" style="261" customWidth="1"/>
    <col min="1815" max="1815" width="14.453125" style="261" customWidth="1"/>
    <col min="1816" max="1816" width="16.453125" style="261" customWidth="1"/>
    <col min="1817" max="1817" width="57.1796875" style="261" customWidth="1"/>
    <col min="1818" max="2048" width="11.453125" style="261"/>
    <col min="2049" max="2049" width="44" style="261" customWidth="1"/>
    <col min="2050" max="2050" width="36.26953125" style="261" customWidth="1"/>
    <col min="2051" max="2051" width="51" style="261" customWidth="1"/>
    <col min="2052" max="2052" width="27.1796875" style="261" customWidth="1"/>
    <col min="2053" max="2055" width="10.7265625" style="261" customWidth="1"/>
    <col min="2056" max="2056" width="17.26953125" style="261" customWidth="1"/>
    <col min="2057" max="2057" width="11.26953125" style="261" customWidth="1"/>
    <col min="2058" max="2060" width="10.7265625" style="261" customWidth="1"/>
    <col min="2061" max="2061" width="16.81640625" style="261" customWidth="1"/>
    <col min="2062" max="2062" width="12" style="261" bestFit="1" customWidth="1"/>
    <col min="2063" max="2063" width="10.81640625" style="261" customWidth="1"/>
    <col min="2064" max="2064" width="18" style="261" customWidth="1"/>
    <col min="2065" max="2066" width="15.453125" style="261" customWidth="1"/>
    <col min="2067" max="2067" width="41.81640625" style="261" customWidth="1"/>
    <col min="2068" max="2068" width="20.54296875" style="261" customWidth="1"/>
    <col min="2069" max="2069" width="16.54296875" style="261" customWidth="1"/>
    <col min="2070" max="2070" width="46.1796875" style="261" customWidth="1"/>
    <col min="2071" max="2071" width="14.453125" style="261" customWidth="1"/>
    <col min="2072" max="2072" width="16.453125" style="261" customWidth="1"/>
    <col min="2073" max="2073" width="57.1796875" style="261" customWidth="1"/>
    <col min="2074" max="2304" width="11.453125" style="261"/>
    <col min="2305" max="2305" width="44" style="261" customWidth="1"/>
    <col min="2306" max="2306" width="36.26953125" style="261" customWidth="1"/>
    <col min="2307" max="2307" width="51" style="261" customWidth="1"/>
    <col min="2308" max="2308" width="27.1796875" style="261" customWidth="1"/>
    <col min="2309" max="2311" width="10.7265625" style="261" customWidth="1"/>
    <col min="2312" max="2312" width="17.26953125" style="261" customWidth="1"/>
    <col min="2313" max="2313" width="11.26953125" style="261" customWidth="1"/>
    <col min="2314" max="2316" width="10.7265625" style="261" customWidth="1"/>
    <col min="2317" max="2317" width="16.81640625" style="261" customWidth="1"/>
    <col min="2318" max="2318" width="12" style="261" bestFit="1" customWidth="1"/>
    <col min="2319" max="2319" width="10.81640625" style="261" customWidth="1"/>
    <col min="2320" max="2320" width="18" style="261" customWidth="1"/>
    <col min="2321" max="2322" width="15.453125" style="261" customWidth="1"/>
    <col min="2323" max="2323" width="41.81640625" style="261" customWidth="1"/>
    <col min="2324" max="2324" width="20.54296875" style="261" customWidth="1"/>
    <col min="2325" max="2325" width="16.54296875" style="261" customWidth="1"/>
    <col min="2326" max="2326" width="46.1796875" style="261" customWidth="1"/>
    <col min="2327" max="2327" width="14.453125" style="261" customWidth="1"/>
    <col min="2328" max="2328" width="16.453125" style="261" customWidth="1"/>
    <col min="2329" max="2329" width="57.1796875" style="261" customWidth="1"/>
    <col min="2330" max="2560" width="11.453125" style="261"/>
    <col min="2561" max="2561" width="44" style="261" customWidth="1"/>
    <col min="2562" max="2562" width="36.26953125" style="261" customWidth="1"/>
    <col min="2563" max="2563" width="51" style="261" customWidth="1"/>
    <col min="2564" max="2564" width="27.1796875" style="261" customWidth="1"/>
    <col min="2565" max="2567" width="10.7265625" style="261" customWidth="1"/>
    <col min="2568" max="2568" width="17.26953125" style="261" customWidth="1"/>
    <col min="2569" max="2569" width="11.26953125" style="261" customWidth="1"/>
    <col min="2570" max="2572" width="10.7265625" style="261" customWidth="1"/>
    <col min="2573" max="2573" width="16.81640625" style="261" customWidth="1"/>
    <col min="2574" max="2574" width="12" style="261" bestFit="1" customWidth="1"/>
    <col min="2575" max="2575" width="10.81640625" style="261" customWidth="1"/>
    <col min="2576" max="2576" width="18" style="261" customWidth="1"/>
    <col min="2577" max="2578" width="15.453125" style="261" customWidth="1"/>
    <col min="2579" max="2579" width="41.81640625" style="261" customWidth="1"/>
    <col min="2580" max="2580" width="20.54296875" style="261" customWidth="1"/>
    <col min="2581" max="2581" width="16.54296875" style="261" customWidth="1"/>
    <col min="2582" max="2582" width="46.1796875" style="261" customWidth="1"/>
    <col min="2583" max="2583" width="14.453125" style="261" customWidth="1"/>
    <col min="2584" max="2584" width="16.453125" style="261" customWidth="1"/>
    <col min="2585" max="2585" width="57.1796875" style="261" customWidth="1"/>
    <col min="2586" max="2816" width="11.453125" style="261"/>
    <col min="2817" max="2817" width="44" style="261" customWidth="1"/>
    <col min="2818" max="2818" width="36.26953125" style="261" customWidth="1"/>
    <col min="2819" max="2819" width="51" style="261" customWidth="1"/>
    <col min="2820" max="2820" width="27.1796875" style="261" customWidth="1"/>
    <col min="2821" max="2823" width="10.7265625" style="261" customWidth="1"/>
    <col min="2824" max="2824" width="17.26953125" style="261" customWidth="1"/>
    <col min="2825" max="2825" width="11.26953125" style="261" customWidth="1"/>
    <col min="2826" max="2828" width="10.7265625" style="261" customWidth="1"/>
    <col min="2829" max="2829" width="16.81640625" style="261" customWidth="1"/>
    <col min="2830" max="2830" width="12" style="261" bestFit="1" customWidth="1"/>
    <col min="2831" max="2831" width="10.81640625" style="261" customWidth="1"/>
    <col min="2832" max="2832" width="18" style="261" customWidth="1"/>
    <col min="2833" max="2834" width="15.453125" style="261" customWidth="1"/>
    <col min="2835" max="2835" width="41.81640625" style="261" customWidth="1"/>
    <col min="2836" max="2836" width="20.54296875" style="261" customWidth="1"/>
    <col min="2837" max="2837" width="16.54296875" style="261" customWidth="1"/>
    <col min="2838" max="2838" width="46.1796875" style="261" customWidth="1"/>
    <col min="2839" max="2839" width="14.453125" style="261" customWidth="1"/>
    <col min="2840" max="2840" width="16.453125" style="261" customWidth="1"/>
    <col min="2841" max="2841" width="57.1796875" style="261" customWidth="1"/>
    <col min="2842" max="3072" width="11.453125" style="261"/>
    <col min="3073" max="3073" width="44" style="261" customWidth="1"/>
    <col min="3074" max="3074" width="36.26953125" style="261" customWidth="1"/>
    <col min="3075" max="3075" width="51" style="261" customWidth="1"/>
    <col min="3076" max="3076" width="27.1796875" style="261" customWidth="1"/>
    <col min="3077" max="3079" width="10.7265625" style="261" customWidth="1"/>
    <col min="3080" max="3080" width="17.26953125" style="261" customWidth="1"/>
    <col min="3081" max="3081" width="11.26953125" style="261" customWidth="1"/>
    <col min="3082" max="3084" width="10.7265625" style="261" customWidth="1"/>
    <col min="3085" max="3085" width="16.81640625" style="261" customWidth="1"/>
    <col min="3086" max="3086" width="12" style="261" bestFit="1" customWidth="1"/>
    <col min="3087" max="3087" width="10.81640625" style="261" customWidth="1"/>
    <col min="3088" max="3088" width="18" style="261" customWidth="1"/>
    <col min="3089" max="3090" width="15.453125" style="261" customWidth="1"/>
    <col min="3091" max="3091" width="41.81640625" style="261" customWidth="1"/>
    <col min="3092" max="3092" width="20.54296875" style="261" customWidth="1"/>
    <col min="3093" max="3093" width="16.54296875" style="261" customWidth="1"/>
    <col min="3094" max="3094" width="46.1796875" style="261" customWidth="1"/>
    <col min="3095" max="3095" width="14.453125" style="261" customWidth="1"/>
    <col min="3096" max="3096" width="16.453125" style="261" customWidth="1"/>
    <col min="3097" max="3097" width="57.1796875" style="261" customWidth="1"/>
    <col min="3098" max="3328" width="11.453125" style="261"/>
    <col min="3329" max="3329" width="44" style="261" customWidth="1"/>
    <col min="3330" max="3330" width="36.26953125" style="261" customWidth="1"/>
    <col min="3331" max="3331" width="51" style="261" customWidth="1"/>
    <col min="3332" max="3332" width="27.1796875" style="261" customWidth="1"/>
    <col min="3333" max="3335" width="10.7265625" style="261" customWidth="1"/>
    <col min="3336" max="3336" width="17.26953125" style="261" customWidth="1"/>
    <col min="3337" max="3337" width="11.26953125" style="261" customWidth="1"/>
    <col min="3338" max="3340" width="10.7265625" style="261" customWidth="1"/>
    <col min="3341" max="3341" width="16.81640625" style="261" customWidth="1"/>
    <col min="3342" max="3342" width="12" style="261" bestFit="1" customWidth="1"/>
    <col min="3343" max="3343" width="10.81640625" style="261" customWidth="1"/>
    <col min="3344" max="3344" width="18" style="261" customWidth="1"/>
    <col min="3345" max="3346" width="15.453125" style="261" customWidth="1"/>
    <col min="3347" max="3347" width="41.81640625" style="261" customWidth="1"/>
    <col min="3348" max="3348" width="20.54296875" style="261" customWidth="1"/>
    <col min="3349" max="3349" width="16.54296875" style="261" customWidth="1"/>
    <col min="3350" max="3350" width="46.1796875" style="261" customWidth="1"/>
    <col min="3351" max="3351" width="14.453125" style="261" customWidth="1"/>
    <col min="3352" max="3352" width="16.453125" style="261" customWidth="1"/>
    <col min="3353" max="3353" width="57.1796875" style="261" customWidth="1"/>
    <col min="3354" max="3584" width="11.453125" style="261"/>
    <col min="3585" max="3585" width="44" style="261" customWidth="1"/>
    <col min="3586" max="3586" width="36.26953125" style="261" customWidth="1"/>
    <col min="3587" max="3587" width="51" style="261" customWidth="1"/>
    <col min="3588" max="3588" width="27.1796875" style="261" customWidth="1"/>
    <col min="3589" max="3591" width="10.7265625" style="261" customWidth="1"/>
    <col min="3592" max="3592" width="17.26953125" style="261" customWidth="1"/>
    <col min="3593" max="3593" width="11.26953125" style="261" customWidth="1"/>
    <col min="3594" max="3596" width="10.7265625" style="261" customWidth="1"/>
    <col min="3597" max="3597" width="16.81640625" style="261" customWidth="1"/>
    <col min="3598" max="3598" width="12" style="261" bestFit="1" customWidth="1"/>
    <col min="3599" max="3599" width="10.81640625" style="261" customWidth="1"/>
    <col min="3600" max="3600" width="18" style="261" customWidth="1"/>
    <col min="3601" max="3602" width="15.453125" style="261" customWidth="1"/>
    <col min="3603" max="3603" width="41.81640625" style="261" customWidth="1"/>
    <col min="3604" max="3604" width="20.54296875" style="261" customWidth="1"/>
    <col min="3605" max="3605" width="16.54296875" style="261" customWidth="1"/>
    <col min="3606" max="3606" width="46.1796875" style="261" customWidth="1"/>
    <col min="3607" max="3607" width="14.453125" style="261" customWidth="1"/>
    <col min="3608" max="3608" width="16.453125" style="261" customWidth="1"/>
    <col min="3609" max="3609" width="57.1796875" style="261" customWidth="1"/>
    <col min="3610" max="3840" width="11.453125" style="261"/>
    <col min="3841" max="3841" width="44" style="261" customWidth="1"/>
    <col min="3842" max="3842" width="36.26953125" style="261" customWidth="1"/>
    <col min="3843" max="3843" width="51" style="261" customWidth="1"/>
    <col min="3844" max="3844" width="27.1796875" style="261" customWidth="1"/>
    <col min="3845" max="3847" width="10.7265625" style="261" customWidth="1"/>
    <col min="3848" max="3848" width="17.26953125" style="261" customWidth="1"/>
    <col min="3849" max="3849" width="11.26953125" style="261" customWidth="1"/>
    <col min="3850" max="3852" width="10.7265625" style="261" customWidth="1"/>
    <col min="3853" max="3853" width="16.81640625" style="261" customWidth="1"/>
    <col min="3854" max="3854" width="12" style="261" bestFit="1" customWidth="1"/>
    <col min="3855" max="3855" width="10.81640625" style="261" customWidth="1"/>
    <col min="3856" max="3856" width="18" style="261" customWidth="1"/>
    <col min="3857" max="3858" width="15.453125" style="261" customWidth="1"/>
    <col min="3859" max="3859" width="41.81640625" style="261" customWidth="1"/>
    <col min="3860" max="3860" width="20.54296875" style="261" customWidth="1"/>
    <col min="3861" max="3861" width="16.54296875" style="261" customWidth="1"/>
    <col min="3862" max="3862" width="46.1796875" style="261" customWidth="1"/>
    <col min="3863" max="3863" width="14.453125" style="261" customWidth="1"/>
    <col min="3864" max="3864" width="16.453125" style="261" customWidth="1"/>
    <col min="3865" max="3865" width="57.1796875" style="261" customWidth="1"/>
    <col min="3866" max="4096" width="11.453125" style="261"/>
    <col min="4097" max="4097" width="44" style="261" customWidth="1"/>
    <col min="4098" max="4098" width="36.26953125" style="261" customWidth="1"/>
    <col min="4099" max="4099" width="51" style="261" customWidth="1"/>
    <col min="4100" max="4100" width="27.1796875" style="261" customWidth="1"/>
    <col min="4101" max="4103" width="10.7265625" style="261" customWidth="1"/>
    <col min="4104" max="4104" width="17.26953125" style="261" customWidth="1"/>
    <col min="4105" max="4105" width="11.26953125" style="261" customWidth="1"/>
    <col min="4106" max="4108" width="10.7265625" style="261" customWidth="1"/>
    <col min="4109" max="4109" width="16.81640625" style="261" customWidth="1"/>
    <col min="4110" max="4110" width="12" style="261" bestFit="1" customWidth="1"/>
    <col min="4111" max="4111" width="10.81640625" style="261" customWidth="1"/>
    <col min="4112" max="4112" width="18" style="261" customWidth="1"/>
    <col min="4113" max="4114" width="15.453125" style="261" customWidth="1"/>
    <col min="4115" max="4115" width="41.81640625" style="261" customWidth="1"/>
    <col min="4116" max="4116" width="20.54296875" style="261" customWidth="1"/>
    <col min="4117" max="4117" width="16.54296875" style="261" customWidth="1"/>
    <col min="4118" max="4118" width="46.1796875" style="261" customWidth="1"/>
    <col min="4119" max="4119" width="14.453125" style="261" customWidth="1"/>
    <col min="4120" max="4120" width="16.453125" style="261" customWidth="1"/>
    <col min="4121" max="4121" width="57.1796875" style="261" customWidth="1"/>
    <col min="4122" max="4352" width="11.453125" style="261"/>
    <col min="4353" max="4353" width="44" style="261" customWidth="1"/>
    <col min="4354" max="4354" width="36.26953125" style="261" customWidth="1"/>
    <col min="4355" max="4355" width="51" style="261" customWidth="1"/>
    <col min="4356" max="4356" width="27.1796875" style="261" customWidth="1"/>
    <col min="4357" max="4359" width="10.7265625" style="261" customWidth="1"/>
    <col min="4360" max="4360" width="17.26953125" style="261" customWidth="1"/>
    <col min="4361" max="4361" width="11.26953125" style="261" customWidth="1"/>
    <col min="4362" max="4364" width="10.7265625" style="261" customWidth="1"/>
    <col min="4365" max="4365" width="16.81640625" style="261" customWidth="1"/>
    <col min="4366" max="4366" width="12" style="261" bestFit="1" customWidth="1"/>
    <col min="4367" max="4367" width="10.81640625" style="261" customWidth="1"/>
    <col min="4368" max="4368" width="18" style="261" customWidth="1"/>
    <col min="4369" max="4370" width="15.453125" style="261" customWidth="1"/>
    <col min="4371" max="4371" width="41.81640625" style="261" customWidth="1"/>
    <col min="4372" max="4372" width="20.54296875" style="261" customWidth="1"/>
    <col min="4373" max="4373" width="16.54296875" style="261" customWidth="1"/>
    <col min="4374" max="4374" width="46.1796875" style="261" customWidth="1"/>
    <col min="4375" max="4375" width="14.453125" style="261" customWidth="1"/>
    <col min="4376" max="4376" width="16.453125" style="261" customWidth="1"/>
    <col min="4377" max="4377" width="57.1796875" style="261" customWidth="1"/>
    <col min="4378" max="4608" width="11.453125" style="261"/>
    <col min="4609" max="4609" width="44" style="261" customWidth="1"/>
    <col min="4610" max="4610" width="36.26953125" style="261" customWidth="1"/>
    <col min="4611" max="4611" width="51" style="261" customWidth="1"/>
    <col min="4612" max="4612" width="27.1796875" style="261" customWidth="1"/>
    <col min="4613" max="4615" width="10.7265625" style="261" customWidth="1"/>
    <col min="4616" max="4616" width="17.26953125" style="261" customWidth="1"/>
    <col min="4617" max="4617" width="11.26953125" style="261" customWidth="1"/>
    <col min="4618" max="4620" width="10.7265625" style="261" customWidth="1"/>
    <col min="4621" max="4621" width="16.81640625" style="261" customWidth="1"/>
    <col min="4622" max="4622" width="12" style="261" bestFit="1" customWidth="1"/>
    <col min="4623" max="4623" width="10.81640625" style="261" customWidth="1"/>
    <col min="4624" max="4624" width="18" style="261" customWidth="1"/>
    <col min="4625" max="4626" width="15.453125" style="261" customWidth="1"/>
    <col min="4627" max="4627" width="41.81640625" style="261" customWidth="1"/>
    <col min="4628" max="4628" width="20.54296875" style="261" customWidth="1"/>
    <col min="4629" max="4629" width="16.54296875" style="261" customWidth="1"/>
    <col min="4630" max="4630" width="46.1796875" style="261" customWidth="1"/>
    <col min="4631" max="4631" width="14.453125" style="261" customWidth="1"/>
    <col min="4632" max="4632" width="16.453125" style="261" customWidth="1"/>
    <col min="4633" max="4633" width="57.1796875" style="261" customWidth="1"/>
    <col min="4634" max="4864" width="11.453125" style="261"/>
    <col min="4865" max="4865" width="44" style="261" customWidth="1"/>
    <col min="4866" max="4866" width="36.26953125" style="261" customWidth="1"/>
    <col min="4867" max="4867" width="51" style="261" customWidth="1"/>
    <col min="4868" max="4868" width="27.1796875" style="261" customWidth="1"/>
    <col min="4869" max="4871" width="10.7265625" style="261" customWidth="1"/>
    <col min="4872" max="4872" width="17.26953125" style="261" customWidth="1"/>
    <col min="4873" max="4873" width="11.26953125" style="261" customWidth="1"/>
    <col min="4874" max="4876" width="10.7265625" style="261" customWidth="1"/>
    <col min="4877" max="4877" width="16.81640625" style="261" customWidth="1"/>
    <col min="4878" max="4878" width="12" style="261" bestFit="1" customWidth="1"/>
    <col min="4879" max="4879" width="10.81640625" style="261" customWidth="1"/>
    <col min="4880" max="4880" width="18" style="261" customWidth="1"/>
    <col min="4881" max="4882" width="15.453125" style="261" customWidth="1"/>
    <col min="4883" max="4883" width="41.81640625" style="261" customWidth="1"/>
    <col min="4884" max="4884" width="20.54296875" style="261" customWidth="1"/>
    <col min="4885" max="4885" width="16.54296875" style="261" customWidth="1"/>
    <col min="4886" max="4886" width="46.1796875" style="261" customWidth="1"/>
    <col min="4887" max="4887" width="14.453125" style="261" customWidth="1"/>
    <col min="4888" max="4888" width="16.453125" style="261" customWidth="1"/>
    <col min="4889" max="4889" width="57.1796875" style="261" customWidth="1"/>
    <col min="4890" max="5120" width="11.453125" style="261"/>
    <col min="5121" max="5121" width="44" style="261" customWidth="1"/>
    <col min="5122" max="5122" width="36.26953125" style="261" customWidth="1"/>
    <col min="5123" max="5123" width="51" style="261" customWidth="1"/>
    <col min="5124" max="5124" width="27.1796875" style="261" customWidth="1"/>
    <col min="5125" max="5127" width="10.7265625" style="261" customWidth="1"/>
    <col min="5128" max="5128" width="17.26953125" style="261" customWidth="1"/>
    <col min="5129" max="5129" width="11.26953125" style="261" customWidth="1"/>
    <col min="5130" max="5132" width="10.7265625" style="261" customWidth="1"/>
    <col min="5133" max="5133" width="16.81640625" style="261" customWidth="1"/>
    <col min="5134" max="5134" width="12" style="261" bestFit="1" customWidth="1"/>
    <col min="5135" max="5135" width="10.81640625" style="261" customWidth="1"/>
    <col min="5136" max="5136" width="18" style="261" customWidth="1"/>
    <col min="5137" max="5138" width="15.453125" style="261" customWidth="1"/>
    <col min="5139" max="5139" width="41.81640625" style="261" customWidth="1"/>
    <col min="5140" max="5140" width="20.54296875" style="261" customWidth="1"/>
    <col min="5141" max="5141" width="16.54296875" style="261" customWidth="1"/>
    <col min="5142" max="5142" width="46.1796875" style="261" customWidth="1"/>
    <col min="5143" max="5143" width="14.453125" style="261" customWidth="1"/>
    <col min="5144" max="5144" width="16.453125" style="261" customWidth="1"/>
    <col min="5145" max="5145" width="57.1796875" style="261" customWidth="1"/>
    <col min="5146" max="5376" width="11.453125" style="261"/>
    <col min="5377" max="5377" width="44" style="261" customWidth="1"/>
    <col min="5378" max="5378" width="36.26953125" style="261" customWidth="1"/>
    <col min="5379" max="5379" width="51" style="261" customWidth="1"/>
    <col min="5380" max="5380" width="27.1796875" style="261" customWidth="1"/>
    <col min="5381" max="5383" width="10.7265625" style="261" customWidth="1"/>
    <col min="5384" max="5384" width="17.26953125" style="261" customWidth="1"/>
    <col min="5385" max="5385" width="11.26953125" style="261" customWidth="1"/>
    <col min="5386" max="5388" width="10.7265625" style="261" customWidth="1"/>
    <col min="5389" max="5389" width="16.81640625" style="261" customWidth="1"/>
    <col min="5390" max="5390" width="12" style="261" bestFit="1" customWidth="1"/>
    <col min="5391" max="5391" width="10.81640625" style="261" customWidth="1"/>
    <col min="5392" max="5392" width="18" style="261" customWidth="1"/>
    <col min="5393" max="5394" width="15.453125" style="261" customWidth="1"/>
    <col min="5395" max="5395" width="41.81640625" style="261" customWidth="1"/>
    <col min="5396" max="5396" width="20.54296875" style="261" customWidth="1"/>
    <col min="5397" max="5397" width="16.54296875" style="261" customWidth="1"/>
    <col min="5398" max="5398" width="46.1796875" style="261" customWidth="1"/>
    <col min="5399" max="5399" width="14.453125" style="261" customWidth="1"/>
    <col min="5400" max="5400" width="16.453125" style="261" customWidth="1"/>
    <col min="5401" max="5401" width="57.1796875" style="261" customWidth="1"/>
    <col min="5402" max="5632" width="11.453125" style="261"/>
    <col min="5633" max="5633" width="44" style="261" customWidth="1"/>
    <col min="5634" max="5634" width="36.26953125" style="261" customWidth="1"/>
    <col min="5635" max="5635" width="51" style="261" customWidth="1"/>
    <col min="5636" max="5636" width="27.1796875" style="261" customWidth="1"/>
    <col min="5637" max="5639" width="10.7265625" style="261" customWidth="1"/>
    <col min="5640" max="5640" width="17.26953125" style="261" customWidth="1"/>
    <col min="5641" max="5641" width="11.26953125" style="261" customWidth="1"/>
    <col min="5642" max="5644" width="10.7265625" style="261" customWidth="1"/>
    <col min="5645" max="5645" width="16.81640625" style="261" customWidth="1"/>
    <col min="5646" max="5646" width="12" style="261" bestFit="1" customWidth="1"/>
    <col min="5647" max="5647" width="10.81640625" style="261" customWidth="1"/>
    <col min="5648" max="5648" width="18" style="261" customWidth="1"/>
    <col min="5649" max="5650" width="15.453125" style="261" customWidth="1"/>
    <col min="5651" max="5651" width="41.81640625" style="261" customWidth="1"/>
    <col min="5652" max="5652" width="20.54296875" style="261" customWidth="1"/>
    <col min="5653" max="5653" width="16.54296875" style="261" customWidth="1"/>
    <col min="5654" max="5654" width="46.1796875" style="261" customWidth="1"/>
    <col min="5655" max="5655" width="14.453125" style="261" customWidth="1"/>
    <col min="5656" max="5656" width="16.453125" style="261" customWidth="1"/>
    <col min="5657" max="5657" width="57.1796875" style="261" customWidth="1"/>
    <col min="5658" max="5888" width="11.453125" style="261"/>
    <col min="5889" max="5889" width="44" style="261" customWidth="1"/>
    <col min="5890" max="5890" width="36.26953125" style="261" customWidth="1"/>
    <col min="5891" max="5891" width="51" style="261" customWidth="1"/>
    <col min="5892" max="5892" width="27.1796875" style="261" customWidth="1"/>
    <col min="5893" max="5895" width="10.7265625" style="261" customWidth="1"/>
    <col min="5896" max="5896" width="17.26953125" style="261" customWidth="1"/>
    <col min="5897" max="5897" width="11.26953125" style="261" customWidth="1"/>
    <col min="5898" max="5900" width="10.7265625" style="261" customWidth="1"/>
    <col min="5901" max="5901" width="16.81640625" style="261" customWidth="1"/>
    <col min="5902" max="5902" width="12" style="261" bestFit="1" customWidth="1"/>
    <col min="5903" max="5903" width="10.81640625" style="261" customWidth="1"/>
    <col min="5904" max="5904" width="18" style="261" customWidth="1"/>
    <col min="5905" max="5906" width="15.453125" style="261" customWidth="1"/>
    <col min="5907" max="5907" width="41.81640625" style="261" customWidth="1"/>
    <col min="5908" max="5908" width="20.54296875" style="261" customWidth="1"/>
    <col min="5909" max="5909" width="16.54296875" style="261" customWidth="1"/>
    <col min="5910" max="5910" width="46.1796875" style="261" customWidth="1"/>
    <col min="5911" max="5911" width="14.453125" style="261" customWidth="1"/>
    <col min="5912" max="5912" width="16.453125" style="261" customWidth="1"/>
    <col min="5913" max="5913" width="57.1796875" style="261" customWidth="1"/>
    <col min="5914" max="6144" width="11.453125" style="261"/>
    <col min="6145" max="6145" width="44" style="261" customWidth="1"/>
    <col min="6146" max="6146" width="36.26953125" style="261" customWidth="1"/>
    <col min="6147" max="6147" width="51" style="261" customWidth="1"/>
    <col min="6148" max="6148" width="27.1796875" style="261" customWidth="1"/>
    <col min="6149" max="6151" width="10.7265625" style="261" customWidth="1"/>
    <col min="6152" max="6152" width="17.26953125" style="261" customWidth="1"/>
    <col min="6153" max="6153" width="11.26953125" style="261" customWidth="1"/>
    <col min="6154" max="6156" width="10.7265625" style="261" customWidth="1"/>
    <col min="6157" max="6157" width="16.81640625" style="261" customWidth="1"/>
    <col min="6158" max="6158" width="12" style="261" bestFit="1" customWidth="1"/>
    <col min="6159" max="6159" width="10.81640625" style="261" customWidth="1"/>
    <col min="6160" max="6160" width="18" style="261" customWidth="1"/>
    <col min="6161" max="6162" width="15.453125" style="261" customWidth="1"/>
    <col min="6163" max="6163" width="41.81640625" style="261" customWidth="1"/>
    <col min="6164" max="6164" width="20.54296875" style="261" customWidth="1"/>
    <col min="6165" max="6165" width="16.54296875" style="261" customWidth="1"/>
    <col min="6166" max="6166" width="46.1796875" style="261" customWidth="1"/>
    <col min="6167" max="6167" width="14.453125" style="261" customWidth="1"/>
    <col min="6168" max="6168" width="16.453125" style="261" customWidth="1"/>
    <col min="6169" max="6169" width="57.1796875" style="261" customWidth="1"/>
    <col min="6170" max="6400" width="11.453125" style="261"/>
    <col min="6401" max="6401" width="44" style="261" customWidth="1"/>
    <col min="6402" max="6402" width="36.26953125" style="261" customWidth="1"/>
    <col min="6403" max="6403" width="51" style="261" customWidth="1"/>
    <col min="6404" max="6404" width="27.1796875" style="261" customWidth="1"/>
    <col min="6405" max="6407" width="10.7265625" style="261" customWidth="1"/>
    <col min="6408" max="6408" width="17.26953125" style="261" customWidth="1"/>
    <col min="6409" max="6409" width="11.26953125" style="261" customWidth="1"/>
    <col min="6410" max="6412" width="10.7265625" style="261" customWidth="1"/>
    <col min="6413" max="6413" width="16.81640625" style="261" customWidth="1"/>
    <col min="6414" max="6414" width="12" style="261" bestFit="1" customWidth="1"/>
    <col min="6415" max="6415" width="10.81640625" style="261" customWidth="1"/>
    <col min="6416" max="6416" width="18" style="261" customWidth="1"/>
    <col min="6417" max="6418" width="15.453125" style="261" customWidth="1"/>
    <col min="6419" max="6419" width="41.81640625" style="261" customWidth="1"/>
    <col min="6420" max="6420" width="20.54296875" style="261" customWidth="1"/>
    <col min="6421" max="6421" width="16.54296875" style="261" customWidth="1"/>
    <col min="6422" max="6422" width="46.1796875" style="261" customWidth="1"/>
    <col min="6423" max="6423" width="14.453125" style="261" customWidth="1"/>
    <col min="6424" max="6424" width="16.453125" style="261" customWidth="1"/>
    <col min="6425" max="6425" width="57.1796875" style="261" customWidth="1"/>
    <col min="6426" max="6656" width="11.453125" style="261"/>
    <col min="6657" max="6657" width="44" style="261" customWidth="1"/>
    <col min="6658" max="6658" width="36.26953125" style="261" customWidth="1"/>
    <col min="6659" max="6659" width="51" style="261" customWidth="1"/>
    <col min="6660" max="6660" width="27.1796875" style="261" customWidth="1"/>
    <col min="6661" max="6663" width="10.7265625" style="261" customWidth="1"/>
    <col min="6664" max="6664" width="17.26953125" style="261" customWidth="1"/>
    <col min="6665" max="6665" width="11.26953125" style="261" customWidth="1"/>
    <col min="6666" max="6668" width="10.7265625" style="261" customWidth="1"/>
    <col min="6669" max="6669" width="16.81640625" style="261" customWidth="1"/>
    <col min="6670" max="6670" width="12" style="261" bestFit="1" customWidth="1"/>
    <col min="6671" max="6671" width="10.81640625" style="261" customWidth="1"/>
    <col min="6672" max="6672" width="18" style="261" customWidth="1"/>
    <col min="6673" max="6674" width="15.453125" style="261" customWidth="1"/>
    <col min="6675" max="6675" width="41.81640625" style="261" customWidth="1"/>
    <col min="6676" max="6676" width="20.54296875" style="261" customWidth="1"/>
    <col min="6677" max="6677" width="16.54296875" style="261" customWidth="1"/>
    <col min="6678" max="6678" width="46.1796875" style="261" customWidth="1"/>
    <col min="6679" max="6679" width="14.453125" style="261" customWidth="1"/>
    <col min="6680" max="6680" width="16.453125" style="261" customWidth="1"/>
    <col min="6681" max="6681" width="57.1796875" style="261" customWidth="1"/>
    <col min="6682" max="6912" width="11.453125" style="261"/>
    <col min="6913" max="6913" width="44" style="261" customWidth="1"/>
    <col min="6914" max="6914" width="36.26953125" style="261" customWidth="1"/>
    <col min="6915" max="6915" width="51" style="261" customWidth="1"/>
    <col min="6916" max="6916" width="27.1796875" style="261" customWidth="1"/>
    <col min="6917" max="6919" width="10.7265625" style="261" customWidth="1"/>
    <col min="6920" max="6920" width="17.26953125" style="261" customWidth="1"/>
    <col min="6921" max="6921" width="11.26953125" style="261" customWidth="1"/>
    <col min="6922" max="6924" width="10.7265625" style="261" customWidth="1"/>
    <col min="6925" max="6925" width="16.81640625" style="261" customWidth="1"/>
    <col min="6926" max="6926" width="12" style="261" bestFit="1" customWidth="1"/>
    <col min="6927" max="6927" width="10.81640625" style="261" customWidth="1"/>
    <col min="6928" max="6928" width="18" style="261" customWidth="1"/>
    <col min="6929" max="6930" width="15.453125" style="261" customWidth="1"/>
    <col min="6931" max="6931" width="41.81640625" style="261" customWidth="1"/>
    <col min="6932" max="6932" width="20.54296875" style="261" customWidth="1"/>
    <col min="6933" max="6933" width="16.54296875" style="261" customWidth="1"/>
    <col min="6934" max="6934" width="46.1796875" style="261" customWidth="1"/>
    <col min="6935" max="6935" width="14.453125" style="261" customWidth="1"/>
    <col min="6936" max="6936" width="16.453125" style="261" customWidth="1"/>
    <col min="6937" max="6937" width="57.1796875" style="261" customWidth="1"/>
    <col min="6938" max="7168" width="11.453125" style="261"/>
    <col min="7169" max="7169" width="44" style="261" customWidth="1"/>
    <col min="7170" max="7170" width="36.26953125" style="261" customWidth="1"/>
    <col min="7171" max="7171" width="51" style="261" customWidth="1"/>
    <col min="7172" max="7172" width="27.1796875" style="261" customWidth="1"/>
    <col min="7173" max="7175" width="10.7265625" style="261" customWidth="1"/>
    <col min="7176" max="7176" width="17.26953125" style="261" customWidth="1"/>
    <col min="7177" max="7177" width="11.26953125" style="261" customWidth="1"/>
    <col min="7178" max="7180" width="10.7265625" style="261" customWidth="1"/>
    <col min="7181" max="7181" width="16.81640625" style="261" customWidth="1"/>
    <col min="7182" max="7182" width="12" style="261" bestFit="1" customWidth="1"/>
    <col min="7183" max="7183" width="10.81640625" style="261" customWidth="1"/>
    <col min="7184" max="7184" width="18" style="261" customWidth="1"/>
    <col min="7185" max="7186" width="15.453125" style="261" customWidth="1"/>
    <col min="7187" max="7187" width="41.81640625" style="261" customWidth="1"/>
    <col min="7188" max="7188" width="20.54296875" style="261" customWidth="1"/>
    <col min="7189" max="7189" width="16.54296875" style="261" customWidth="1"/>
    <col min="7190" max="7190" width="46.1796875" style="261" customWidth="1"/>
    <col min="7191" max="7191" width="14.453125" style="261" customWidth="1"/>
    <col min="7192" max="7192" width="16.453125" style="261" customWidth="1"/>
    <col min="7193" max="7193" width="57.1796875" style="261" customWidth="1"/>
    <col min="7194" max="7424" width="11.453125" style="261"/>
    <col min="7425" max="7425" width="44" style="261" customWidth="1"/>
    <col min="7426" max="7426" width="36.26953125" style="261" customWidth="1"/>
    <col min="7427" max="7427" width="51" style="261" customWidth="1"/>
    <col min="7428" max="7428" width="27.1796875" style="261" customWidth="1"/>
    <col min="7429" max="7431" width="10.7265625" style="261" customWidth="1"/>
    <col min="7432" max="7432" width="17.26953125" style="261" customWidth="1"/>
    <col min="7433" max="7433" width="11.26953125" style="261" customWidth="1"/>
    <col min="7434" max="7436" width="10.7265625" style="261" customWidth="1"/>
    <col min="7437" max="7437" width="16.81640625" style="261" customWidth="1"/>
    <col min="7438" max="7438" width="12" style="261" bestFit="1" customWidth="1"/>
    <col min="7439" max="7439" width="10.81640625" style="261" customWidth="1"/>
    <col min="7440" max="7440" width="18" style="261" customWidth="1"/>
    <col min="7441" max="7442" width="15.453125" style="261" customWidth="1"/>
    <col min="7443" max="7443" width="41.81640625" style="261" customWidth="1"/>
    <col min="7444" max="7444" width="20.54296875" style="261" customWidth="1"/>
    <col min="7445" max="7445" width="16.54296875" style="261" customWidth="1"/>
    <col min="7446" max="7446" width="46.1796875" style="261" customWidth="1"/>
    <col min="7447" max="7447" width="14.453125" style="261" customWidth="1"/>
    <col min="7448" max="7448" width="16.453125" style="261" customWidth="1"/>
    <col min="7449" max="7449" width="57.1796875" style="261" customWidth="1"/>
    <col min="7450" max="7680" width="11.453125" style="261"/>
    <col min="7681" max="7681" width="44" style="261" customWidth="1"/>
    <col min="7682" max="7682" width="36.26953125" style="261" customWidth="1"/>
    <col min="7683" max="7683" width="51" style="261" customWidth="1"/>
    <col min="7684" max="7684" width="27.1796875" style="261" customWidth="1"/>
    <col min="7685" max="7687" width="10.7265625" style="261" customWidth="1"/>
    <col min="7688" max="7688" width="17.26953125" style="261" customWidth="1"/>
    <col min="7689" max="7689" width="11.26953125" style="261" customWidth="1"/>
    <col min="7690" max="7692" width="10.7265625" style="261" customWidth="1"/>
    <col min="7693" max="7693" width="16.81640625" style="261" customWidth="1"/>
    <col min="7694" max="7694" width="12" style="261" bestFit="1" customWidth="1"/>
    <col min="7695" max="7695" width="10.81640625" style="261" customWidth="1"/>
    <col min="7696" max="7696" width="18" style="261" customWidth="1"/>
    <col min="7697" max="7698" width="15.453125" style="261" customWidth="1"/>
    <col min="7699" max="7699" width="41.81640625" style="261" customWidth="1"/>
    <col min="7700" max="7700" width="20.54296875" style="261" customWidth="1"/>
    <col min="7701" max="7701" width="16.54296875" style="261" customWidth="1"/>
    <col min="7702" max="7702" width="46.1796875" style="261" customWidth="1"/>
    <col min="7703" max="7703" width="14.453125" style="261" customWidth="1"/>
    <col min="7704" max="7704" width="16.453125" style="261" customWidth="1"/>
    <col min="7705" max="7705" width="57.1796875" style="261" customWidth="1"/>
    <col min="7706" max="7936" width="11.453125" style="261"/>
    <col min="7937" max="7937" width="44" style="261" customWidth="1"/>
    <col min="7938" max="7938" width="36.26953125" style="261" customWidth="1"/>
    <col min="7939" max="7939" width="51" style="261" customWidth="1"/>
    <col min="7940" max="7940" width="27.1796875" style="261" customWidth="1"/>
    <col min="7941" max="7943" width="10.7265625" style="261" customWidth="1"/>
    <col min="7944" max="7944" width="17.26953125" style="261" customWidth="1"/>
    <col min="7945" max="7945" width="11.26953125" style="261" customWidth="1"/>
    <col min="7946" max="7948" width="10.7265625" style="261" customWidth="1"/>
    <col min="7949" max="7949" width="16.81640625" style="261" customWidth="1"/>
    <col min="7950" max="7950" width="12" style="261" bestFit="1" customWidth="1"/>
    <col min="7951" max="7951" width="10.81640625" style="261" customWidth="1"/>
    <col min="7952" max="7952" width="18" style="261" customWidth="1"/>
    <col min="7953" max="7954" width="15.453125" style="261" customWidth="1"/>
    <col min="7955" max="7955" width="41.81640625" style="261" customWidth="1"/>
    <col min="7956" max="7956" width="20.54296875" style="261" customWidth="1"/>
    <col min="7957" max="7957" width="16.54296875" style="261" customWidth="1"/>
    <col min="7958" max="7958" width="46.1796875" style="261" customWidth="1"/>
    <col min="7959" max="7959" width="14.453125" style="261" customWidth="1"/>
    <col min="7960" max="7960" width="16.453125" style="261" customWidth="1"/>
    <col min="7961" max="7961" width="57.1796875" style="261" customWidth="1"/>
    <col min="7962" max="8192" width="11.453125" style="261"/>
    <col min="8193" max="8193" width="44" style="261" customWidth="1"/>
    <col min="8194" max="8194" width="36.26953125" style="261" customWidth="1"/>
    <col min="8195" max="8195" width="51" style="261" customWidth="1"/>
    <col min="8196" max="8196" width="27.1796875" style="261" customWidth="1"/>
    <col min="8197" max="8199" width="10.7265625" style="261" customWidth="1"/>
    <col min="8200" max="8200" width="17.26953125" style="261" customWidth="1"/>
    <col min="8201" max="8201" width="11.26953125" style="261" customWidth="1"/>
    <col min="8202" max="8204" width="10.7265625" style="261" customWidth="1"/>
    <col min="8205" max="8205" width="16.81640625" style="261" customWidth="1"/>
    <col min="8206" max="8206" width="12" style="261" bestFit="1" customWidth="1"/>
    <col min="8207" max="8207" width="10.81640625" style="261" customWidth="1"/>
    <col min="8208" max="8208" width="18" style="261" customWidth="1"/>
    <col min="8209" max="8210" width="15.453125" style="261" customWidth="1"/>
    <col min="8211" max="8211" width="41.81640625" style="261" customWidth="1"/>
    <col min="8212" max="8212" width="20.54296875" style="261" customWidth="1"/>
    <col min="8213" max="8213" width="16.54296875" style="261" customWidth="1"/>
    <col min="8214" max="8214" width="46.1796875" style="261" customWidth="1"/>
    <col min="8215" max="8215" width="14.453125" style="261" customWidth="1"/>
    <col min="8216" max="8216" width="16.453125" style="261" customWidth="1"/>
    <col min="8217" max="8217" width="57.1796875" style="261" customWidth="1"/>
    <col min="8218" max="8448" width="11.453125" style="261"/>
    <col min="8449" max="8449" width="44" style="261" customWidth="1"/>
    <col min="8450" max="8450" width="36.26953125" style="261" customWidth="1"/>
    <col min="8451" max="8451" width="51" style="261" customWidth="1"/>
    <col min="8452" max="8452" width="27.1796875" style="261" customWidth="1"/>
    <col min="8453" max="8455" width="10.7265625" style="261" customWidth="1"/>
    <col min="8456" max="8456" width="17.26953125" style="261" customWidth="1"/>
    <col min="8457" max="8457" width="11.26953125" style="261" customWidth="1"/>
    <col min="8458" max="8460" width="10.7265625" style="261" customWidth="1"/>
    <col min="8461" max="8461" width="16.81640625" style="261" customWidth="1"/>
    <col min="8462" max="8462" width="12" style="261" bestFit="1" customWidth="1"/>
    <col min="8463" max="8463" width="10.81640625" style="261" customWidth="1"/>
    <col min="8464" max="8464" width="18" style="261" customWidth="1"/>
    <col min="8465" max="8466" width="15.453125" style="261" customWidth="1"/>
    <col min="8467" max="8467" width="41.81640625" style="261" customWidth="1"/>
    <col min="8468" max="8468" width="20.54296875" style="261" customWidth="1"/>
    <col min="8469" max="8469" width="16.54296875" style="261" customWidth="1"/>
    <col min="8470" max="8470" width="46.1796875" style="261" customWidth="1"/>
    <col min="8471" max="8471" width="14.453125" style="261" customWidth="1"/>
    <col min="8472" max="8472" width="16.453125" style="261" customWidth="1"/>
    <col min="8473" max="8473" width="57.1796875" style="261" customWidth="1"/>
    <col min="8474" max="8704" width="11.453125" style="261"/>
    <col min="8705" max="8705" width="44" style="261" customWidth="1"/>
    <col min="8706" max="8706" width="36.26953125" style="261" customWidth="1"/>
    <col min="8707" max="8707" width="51" style="261" customWidth="1"/>
    <col min="8708" max="8708" width="27.1796875" style="261" customWidth="1"/>
    <col min="8709" max="8711" width="10.7265625" style="261" customWidth="1"/>
    <col min="8712" max="8712" width="17.26953125" style="261" customWidth="1"/>
    <col min="8713" max="8713" width="11.26953125" style="261" customWidth="1"/>
    <col min="8714" max="8716" width="10.7265625" style="261" customWidth="1"/>
    <col min="8717" max="8717" width="16.81640625" style="261" customWidth="1"/>
    <col min="8718" max="8718" width="12" style="261" bestFit="1" customWidth="1"/>
    <col min="8719" max="8719" width="10.81640625" style="261" customWidth="1"/>
    <col min="8720" max="8720" width="18" style="261" customWidth="1"/>
    <col min="8721" max="8722" width="15.453125" style="261" customWidth="1"/>
    <col min="8723" max="8723" width="41.81640625" style="261" customWidth="1"/>
    <col min="8724" max="8724" width="20.54296875" style="261" customWidth="1"/>
    <col min="8725" max="8725" width="16.54296875" style="261" customWidth="1"/>
    <col min="8726" max="8726" width="46.1796875" style="261" customWidth="1"/>
    <col min="8727" max="8727" width="14.453125" style="261" customWidth="1"/>
    <col min="8728" max="8728" width="16.453125" style="261" customWidth="1"/>
    <col min="8729" max="8729" width="57.1796875" style="261" customWidth="1"/>
    <col min="8730" max="8960" width="11.453125" style="261"/>
    <col min="8961" max="8961" width="44" style="261" customWidth="1"/>
    <col min="8962" max="8962" width="36.26953125" style="261" customWidth="1"/>
    <col min="8963" max="8963" width="51" style="261" customWidth="1"/>
    <col min="8964" max="8964" width="27.1796875" style="261" customWidth="1"/>
    <col min="8965" max="8967" width="10.7265625" style="261" customWidth="1"/>
    <col min="8968" max="8968" width="17.26953125" style="261" customWidth="1"/>
    <col min="8969" max="8969" width="11.26953125" style="261" customWidth="1"/>
    <col min="8970" max="8972" width="10.7265625" style="261" customWidth="1"/>
    <col min="8973" max="8973" width="16.81640625" style="261" customWidth="1"/>
    <col min="8974" max="8974" width="12" style="261" bestFit="1" customWidth="1"/>
    <col min="8975" max="8975" width="10.81640625" style="261" customWidth="1"/>
    <col min="8976" max="8976" width="18" style="261" customWidth="1"/>
    <col min="8977" max="8978" width="15.453125" style="261" customWidth="1"/>
    <col min="8979" max="8979" width="41.81640625" style="261" customWidth="1"/>
    <col min="8980" max="8980" width="20.54296875" style="261" customWidth="1"/>
    <col min="8981" max="8981" width="16.54296875" style="261" customWidth="1"/>
    <col min="8982" max="8982" width="46.1796875" style="261" customWidth="1"/>
    <col min="8983" max="8983" width="14.453125" style="261" customWidth="1"/>
    <col min="8984" max="8984" width="16.453125" style="261" customWidth="1"/>
    <col min="8985" max="8985" width="57.1796875" style="261" customWidth="1"/>
    <col min="8986" max="9216" width="11.453125" style="261"/>
    <col min="9217" max="9217" width="44" style="261" customWidth="1"/>
    <col min="9218" max="9218" width="36.26953125" style="261" customWidth="1"/>
    <col min="9219" max="9219" width="51" style="261" customWidth="1"/>
    <col min="9220" max="9220" width="27.1796875" style="261" customWidth="1"/>
    <col min="9221" max="9223" width="10.7265625" style="261" customWidth="1"/>
    <col min="9224" max="9224" width="17.26953125" style="261" customWidth="1"/>
    <col min="9225" max="9225" width="11.26953125" style="261" customWidth="1"/>
    <col min="9226" max="9228" width="10.7265625" style="261" customWidth="1"/>
    <col min="9229" max="9229" width="16.81640625" style="261" customWidth="1"/>
    <col min="9230" max="9230" width="12" style="261" bestFit="1" customWidth="1"/>
    <col min="9231" max="9231" width="10.81640625" style="261" customWidth="1"/>
    <col min="9232" max="9232" width="18" style="261" customWidth="1"/>
    <col min="9233" max="9234" width="15.453125" style="261" customWidth="1"/>
    <col min="9235" max="9235" width="41.81640625" style="261" customWidth="1"/>
    <col min="9236" max="9236" width="20.54296875" style="261" customWidth="1"/>
    <col min="9237" max="9237" width="16.54296875" style="261" customWidth="1"/>
    <col min="9238" max="9238" width="46.1796875" style="261" customWidth="1"/>
    <col min="9239" max="9239" width="14.453125" style="261" customWidth="1"/>
    <col min="9240" max="9240" width="16.453125" style="261" customWidth="1"/>
    <col min="9241" max="9241" width="57.1796875" style="261" customWidth="1"/>
    <col min="9242" max="9472" width="11.453125" style="261"/>
    <col min="9473" max="9473" width="44" style="261" customWidth="1"/>
    <col min="9474" max="9474" width="36.26953125" style="261" customWidth="1"/>
    <col min="9475" max="9475" width="51" style="261" customWidth="1"/>
    <col min="9476" max="9476" width="27.1796875" style="261" customWidth="1"/>
    <col min="9477" max="9479" width="10.7265625" style="261" customWidth="1"/>
    <col min="9480" max="9480" width="17.26953125" style="261" customWidth="1"/>
    <col min="9481" max="9481" width="11.26953125" style="261" customWidth="1"/>
    <col min="9482" max="9484" width="10.7265625" style="261" customWidth="1"/>
    <col min="9485" max="9485" width="16.81640625" style="261" customWidth="1"/>
    <col min="9486" max="9486" width="12" style="261" bestFit="1" customWidth="1"/>
    <col min="9487" max="9487" width="10.81640625" style="261" customWidth="1"/>
    <col min="9488" max="9488" width="18" style="261" customWidth="1"/>
    <col min="9489" max="9490" width="15.453125" style="261" customWidth="1"/>
    <col min="9491" max="9491" width="41.81640625" style="261" customWidth="1"/>
    <col min="9492" max="9492" width="20.54296875" style="261" customWidth="1"/>
    <col min="9493" max="9493" width="16.54296875" style="261" customWidth="1"/>
    <col min="9494" max="9494" width="46.1796875" style="261" customWidth="1"/>
    <col min="9495" max="9495" width="14.453125" style="261" customWidth="1"/>
    <col min="9496" max="9496" width="16.453125" style="261" customWidth="1"/>
    <col min="9497" max="9497" width="57.1796875" style="261" customWidth="1"/>
    <col min="9498" max="9728" width="11.453125" style="261"/>
    <col min="9729" max="9729" width="44" style="261" customWidth="1"/>
    <col min="9730" max="9730" width="36.26953125" style="261" customWidth="1"/>
    <col min="9731" max="9731" width="51" style="261" customWidth="1"/>
    <col min="9732" max="9732" width="27.1796875" style="261" customWidth="1"/>
    <col min="9733" max="9735" width="10.7265625" style="261" customWidth="1"/>
    <col min="9736" max="9736" width="17.26953125" style="261" customWidth="1"/>
    <col min="9737" max="9737" width="11.26953125" style="261" customWidth="1"/>
    <col min="9738" max="9740" width="10.7265625" style="261" customWidth="1"/>
    <col min="9741" max="9741" width="16.81640625" style="261" customWidth="1"/>
    <col min="9742" max="9742" width="12" style="261" bestFit="1" customWidth="1"/>
    <col min="9743" max="9743" width="10.81640625" style="261" customWidth="1"/>
    <col min="9744" max="9744" width="18" style="261" customWidth="1"/>
    <col min="9745" max="9746" width="15.453125" style="261" customWidth="1"/>
    <col min="9747" max="9747" width="41.81640625" style="261" customWidth="1"/>
    <col min="9748" max="9748" width="20.54296875" style="261" customWidth="1"/>
    <col min="9749" max="9749" width="16.54296875" style="261" customWidth="1"/>
    <col min="9750" max="9750" width="46.1796875" style="261" customWidth="1"/>
    <col min="9751" max="9751" width="14.453125" style="261" customWidth="1"/>
    <col min="9752" max="9752" width="16.453125" style="261" customWidth="1"/>
    <col min="9753" max="9753" width="57.1796875" style="261" customWidth="1"/>
    <col min="9754" max="9984" width="11.453125" style="261"/>
    <col min="9985" max="9985" width="44" style="261" customWidth="1"/>
    <col min="9986" max="9986" width="36.26953125" style="261" customWidth="1"/>
    <col min="9987" max="9987" width="51" style="261" customWidth="1"/>
    <col min="9988" max="9988" width="27.1796875" style="261" customWidth="1"/>
    <col min="9989" max="9991" width="10.7265625" style="261" customWidth="1"/>
    <col min="9992" max="9992" width="17.26953125" style="261" customWidth="1"/>
    <col min="9993" max="9993" width="11.26953125" style="261" customWidth="1"/>
    <col min="9994" max="9996" width="10.7265625" style="261" customWidth="1"/>
    <col min="9997" max="9997" width="16.81640625" style="261" customWidth="1"/>
    <col min="9998" max="9998" width="12" style="261" bestFit="1" customWidth="1"/>
    <col min="9999" max="9999" width="10.81640625" style="261" customWidth="1"/>
    <col min="10000" max="10000" width="18" style="261" customWidth="1"/>
    <col min="10001" max="10002" width="15.453125" style="261" customWidth="1"/>
    <col min="10003" max="10003" width="41.81640625" style="261" customWidth="1"/>
    <col min="10004" max="10004" width="20.54296875" style="261" customWidth="1"/>
    <col min="10005" max="10005" width="16.54296875" style="261" customWidth="1"/>
    <col min="10006" max="10006" width="46.1796875" style="261" customWidth="1"/>
    <col min="10007" max="10007" width="14.453125" style="261" customWidth="1"/>
    <col min="10008" max="10008" width="16.453125" style="261" customWidth="1"/>
    <col min="10009" max="10009" width="57.1796875" style="261" customWidth="1"/>
    <col min="10010" max="10240" width="11.453125" style="261"/>
    <col min="10241" max="10241" width="44" style="261" customWidth="1"/>
    <col min="10242" max="10242" width="36.26953125" style="261" customWidth="1"/>
    <col min="10243" max="10243" width="51" style="261" customWidth="1"/>
    <col min="10244" max="10244" width="27.1796875" style="261" customWidth="1"/>
    <col min="10245" max="10247" width="10.7265625" style="261" customWidth="1"/>
    <col min="10248" max="10248" width="17.26953125" style="261" customWidth="1"/>
    <col min="10249" max="10249" width="11.26953125" style="261" customWidth="1"/>
    <col min="10250" max="10252" width="10.7265625" style="261" customWidth="1"/>
    <col min="10253" max="10253" width="16.81640625" style="261" customWidth="1"/>
    <col min="10254" max="10254" width="12" style="261" bestFit="1" customWidth="1"/>
    <col min="10255" max="10255" width="10.81640625" style="261" customWidth="1"/>
    <col min="10256" max="10256" width="18" style="261" customWidth="1"/>
    <col min="10257" max="10258" width="15.453125" style="261" customWidth="1"/>
    <col min="10259" max="10259" width="41.81640625" style="261" customWidth="1"/>
    <col min="10260" max="10260" width="20.54296875" style="261" customWidth="1"/>
    <col min="10261" max="10261" width="16.54296875" style="261" customWidth="1"/>
    <col min="10262" max="10262" width="46.1796875" style="261" customWidth="1"/>
    <col min="10263" max="10263" width="14.453125" style="261" customWidth="1"/>
    <col min="10264" max="10264" width="16.453125" style="261" customWidth="1"/>
    <col min="10265" max="10265" width="57.1796875" style="261" customWidth="1"/>
    <col min="10266" max="10496" width="11.453125" style="261"/>
    <col min="10497" max="10497" width="44" style="261" customWidth="1"/>
    <col min="10498" max="10498" width="36.26953125" style="261" customWidth="1"/>
    <col min="10499" max="10499" width="51" style="261" customWidth="1"/>
    <col min="10500" max="10500" width="27.1796875" style="261" customWidth="1"/>
    <col min="10501" max="10503" width="10.7265625" style="261" customWidth="1"/>
    <col min="10504" max="10504" width="17.26953125" style="261" customWidth="1"/>
    <col min="10505" max="10505" width="11.26953125" style="261" customWidth="1"/>
    <col min="10506" max="10508" width="10.7265625" style="261" customWidth="1"/>
    <col min="10509" max="10509" width="16.81640625" style="261" customWidth="1"/>
    <col min="10510" max="10510" width="12" style="261" bestFit="1" customWidth="1"/>
    <col min="10511" max="10511" width="10.81640625" style="261" customWidth="1"/>
    <col min="10512" max="10512" width="18" style="261" customWidth="1"/>
    <col min="10513" max="10514" width="15.453125" style="261" customWidth="1"/>
    <col min="10515" max="10515" width="41.81640625" style="261" customWidth="1"/>
    <col min="10516" max="10516" width="20.54296875" style="261" customWidth="1"/>
    <col min="10517" max="10517" width="16.54296875" style="261" customWidth="1"/>
    <col min="10518" max="10518" width="46.1796875" style="261" customWidth="1"/>
    <col min="10519" max="10519" width="14.453125" style="261" customWidth="1"/>
    <col min="10520" max="10520" width="16.453125" style="261" customWidth="1"/>
    <col min="10521" max="10521" width="57.1796875" style="261" customWidth="1"/>
    <col min="10522" max="10752" width="11.453125" style="261"/>
    <col min="10753" max="10753" width="44" style="261" customWidth="1"/>
    <col min="10754" max="10754" width="36.26953125" style="261" customWidth="1"/>
    <col min="10755" max="10755" width="51" style="261" customWidth="1"/>
    <col min="10756" max="10756" width="27.1796875" style="261" customWidth="1"/>
    <col min="10757" max="10759" width="10.7265625" style="261" customWidth="1"/>
    <col min="10760" max="10760" width="17.26953125" style="261" customWidth="1"/>
    <col min="10761" max="10761" width="11.26953125" style="261" customWidth="1"/>
    <col min="10762" max="10764" width="10.7265625" style="261" customWidth="1"/>
    <col min="10765" max="10765" width="16.81640625" style="261" customWidth="1"/>
    <col min="10766" max="10766" width="12" style="261" bestFit="1" customWidth="1"/>
    <col min="10767" max="10767" width="10.81640625" style="261" customWidth="1"/>
    <col min="10768" max="10768" width="18" style="261" customWidth="1"/>
    <col min="10769" max="10770" width="15.453125" style="261" customWidth="1"/>
    <col min="10771" max="10771" width="41.81640625" style="261" customWidth="1"/>
    <col min="10772" max="10772" width="20.54296875" style="261" customWidth="1"/>
    <col min="10773" max="10773" width="16.54296875" style="261" customWidth="1"/>
    <col min="10774" max="10774" width="46.1796875" style="261" customWidth="1"/>
    <col min="10775" max="10775" width="14.453125" style="261" customWidth="1"/>
    <col min="10776" max="10776" width="16.453125" style="261" customWidth="1"/>
    <col min="10777" max="10777" width="57.1796875" style="261" customWidth="1"/>
    <col min="10778" max="11008" width="11.453125" style="261"/>
    <col min="11009" max="11009" width="44" style="261" customWidth="1"/>
    <col min="11010" max="11010" width="36.26953125" style="261" customWidth="1"/>
    <col min="11011" max="11011" width="51" style="261" customWidth="1"/>
    <col min="11012" max="11012" width="27.1796875" style="261" customWidth="1"/>
    <col min="11013" max="11015" width="10.7265625" style="261" customWidth="1"/>
    <col min="11016" max="11016" width="17.26953125" style="261" customWidth="1"/>
    <col min="11017" max="11017" width="11.26953125" style="261" customWidth="1"/>
    <col min="11018" max="11020" width="10.7265625" style="261" customWidth="1"/>
    <col min="11021" max="11021" width="16.81640625" style="261" customWidth="1"/>
    <col min="11022" max="11022" width="12" style="261" bestFit="1" customWidth="1"/>
    <col min="11023" max="11023" width="10.81640625" style="261" customWidth="1"/>
    <col min="11024" max="11024" width="18" style="261" customWidth="1"/>
    <col min="11025" max="11026" width="15.453125" style="261" customWidth="1"/>
    <col min="11027" max="11027" width="41.81640625" style="261" customWidth="1"/>
    <col min="11028" max="11028" width="20.54296875" style="261" customWidth="1"/>
    <col min="11029" max="11029" width="16.54296875" style="261" customWidth="1"/>
    <col min="11030" max="11030" width="46.1796875" style="261" customWidth="1"/>
    <col min="11031" max="11031" width="14.453125" style="261" customWidth="1"/>
    <col min="11032" max="11032" width="16.453125" style="261" customWidth="1"/>
    <col min="11033" max="11033" width="57.1796875" style="261" customWidth="1"/>
    <col min="11034" max="11264" width="11.453125" style="261"/>
    <col min="11265" max="11265" width="44" style="261" customWidth="1"/>
    <col min="11266" max="11266" width="36.26953125" style="261" customWidth="1"/>
    <col min="11267" max="11267" width="51" style="261" customWidth="1"/>
    <col min="11268" max="11268" width="27.1796875" style="261" customWidth="1"/>
    <col min="11269" max="11271" width="10.7265625" style="261" customWidth="1"/>
    <col min="11272" max="11272" width="17.26953125" style="261" customWidth="1"/>
    <col min="11273" max="11273" width="11.26953125" style="261" customWidth="1"/>
    <col min="11274" max="11276" width="10.7265625" style="261" customWidth="1"/>
    <col min="11277" max="11277" width="16.81640625" style="261" customWidth="1"/>
    <col min="11278" max="11278" width="12" style="261" bestFit="1" customWidth="1"/>
    <col min="11279" max="11279" width="10.81640625" style="261" customWidth="1"/>
    <col min="11280" max="11280" width="18" style="261" customWidth="1"/>
    <col min="11281" max="11282" width="15.453125" style="261" customWidth="1"/>
    <col min="11283" max="11283" width="41.81640625" style="261" customWidth="1"/>
    <col min="11284" max="11284" width="20.54296875" style="261" customWidth="1"/>
    <col min="11285" max="11285" width="16.54296875" style="261" customWidth="1"/>
    <col min="11286" max="11286" width="46.1796875" style="261" customWidth="1"/>
    <col min="11287" max="11287" width="14.453125" style="261" customWidth="1"/>
    <col min="11288" max="11288" width="16.453125" style="261" customWidth="1"/>
    <col min="11289" max="11289" width="57.1796875" style="261" customWidth="1"/>
    <col min="11290" max="11520" width="11.453125" style="261"/>
    <col min="11521" max="11521" width="44" style="261" customWidth="1"/>
    <col min="11522" max="11522" width="36.26953125" style="261" customWidth="1"/>
    <col min="11523" max="11523" width="51" style="261" customWidth="1"/>
    <col min="11524" max="11524" width="27.1796875" style="261" customWidth="1"/>
    <col min="11525" max="11527" width="10.7265625" style="261" customWidth="1"/>
    <col min="11528" max="11528" width="17.26953125" style="261" customWidth="1"/>
    <col min="11529" max="11529" width="11.26953125" style="261" customWidth="1"/>
    <col min="11530" max="11532" width="10.7265625" style="261" customWidth="1"/>
    <col min="11533" max="11533" width="16.81640625" style="261" customWidth="1"/>
    <col min="11534" max="11534" width="12" style="261" bestFit="1" customWidth="1"/>
    <col min="11535" max="11535" width="10.81640625" style="261" customWidth="1"/>
    <col min="11536" max="11536" width="18" style="261" customWidth="1"/>
    <col min="11537" max="11538" width="15.453125" style="261" customWidth="1"/>
    <col min="11539" max="11539" width="41.81640625" style="261" customWidth="1"/>
    <col min="11540" max="11540" width="20.54296875" style="261" customWidth="1"/>
    <col min="11541" max="11541" width="16.54296875" style="261" customWidth="1"/>
    <col min="11542" max="11542" width="46.1796875" style="261" customWidth="1"/>
    <col min="11543" max="11543" width="14.453125" style="261" customWidth="1"/>
    <col min="11544" max="11544" width="16.453125" style="261" customWidth="1"/>
    <col min="11545" max="11545" width="57.1796875" style="261" customWidth="1"/>
    <col min="11546" max="11776" width="11.453125" style="261"/>
    <col min="11777" max="11777" width="44" style="261" customWidth="1"/>
    <col min="11778" max="11778" width="36.26953125" style="261" customWidth="1"/>
    <col min="11779" max="11779" width="51" style="261" customWidth="1"/>
    <col min="11780" max="11780" width="27.1796875" style="261" customWidth="1"/>
    <col min="11781" max="11783" width="10.7265625" style="261" customWidth="1"/>
    <col min="11784" max="11784" width="17.26953125" style="261" customWidth="1"/>
    <col min="11785" max="11785" width="11.26953125" style="261" customWidth="1"/>
    <col min="11786" max="11788" width="10.7265625" style="261" customWidth="1"/>
    <col min="11789" max="11789" width="16.81640625" style="261" customWidth="1"/>
    <col min="11790" max="11790" width="12" style="261" bestFit="1" customWidth="1"/>
    <col min="11791" max="11791" width="10.81640625" style="261" customWidth="1"/>
    <col min="11792" max="11792" width="18" style="261" customWidth="1"/>
    <col min="11793" max="11794" width="15.453125" style="261" customWidth="1"/>
    <col min="11795" max="11795" width="41.81640625" style="261" customWidth="1"/>
    <col min="11796" max="11796" width="20.54296875" style="261" customWidth="1"/>
    <col min="11797" max="11797" width="16.54296875" style="261" customWidth="1"/>
    <col min="11798" max="11798" width="46.1796875" style="261" customWidth="1"/>
    <col min="11799" max="11799" width="14.453125" style="261" customWidth="1"/>
    <col min="11800" max="11800" width="16.453125" style="261" customWidth="1"/>
    <col min="11801" max="11801" width="57.1796875" style="261" customWidth="1"/>
    <col min="11802" max="12032" width="11.453125" style="261"/>
    <col min="12033" max="12033" width="44" style="261" customWidth="1"/>
    <col min="12034" max="12034" width="36.26953125" style="261" customWidth="1"/>
    <col min="12035" max="12035" width="51" style="261" customWidth="1"/>
    <col min="12036" max="12036" width="27.1796875" style="261" customWidth="1"/>
    <col min="12037" max="12039" width="10.7265625" style="261" customWidth="1"/>
    <col min="12040" max="12040" width="17.26953125" style="261" customWidth="1"/>
    <col min="12041" max="12041" width="11.26953125" style="261" customWidth="1"/>
    <col min="12042" max="12044" width="10.7265625" style="261" customWidth="1"/>
    <col min="12045" max="12045" width="16.81640625" style="261" customWidth="1"/>
    <col min="12046" max="12046" width="12" style="261" bestFit="1" customWidth="1"/>
    <col min="12047" max="12047" width="10.81640625" style="261" customWidth="1"/>
    <col min="12048" max="12048" width="18" style="261" customWidth="1"/>
    <col min="12049" max="12050" width="15.453125" style="261" customWidth="1"/>
    <col min="12051" max="12051" width="41.81640625" style="261" customWidth="1"/>
    <col min="12052" max="12052" width="20.54296875" style="261" customWidth="1"/>
    <col min="12053" max="12053" width="16.54296875" style="261" customWidth="1"/>
    <col min="12054" max="12054" width="46.1796875" style="261" customWidth="1"/>
    <col min="12055" max="12055" width="14.453125" style="261" customWidth="1"/>
    <col min="12056" max="12056" width="16.453125" style="261" customWidth="1"/>
    <col min="12057" max="12057" width="57.1796875" style="261" customWidth="1"/>
    <col min="12058" max="12288" width="11.453125" style="261"/>
    <col min="12289" max="12289" width="44" style="261" customWidth="1"/>
    <col min="12290" max="12290" width="36.26953125" style="261" customWidth="1"/>
    <col min="12291" max="12291" width="51" style="261" customWidth="1"/>
    <col min="12292" max="12292" width="27.1796875" style="261" customWidth="1"/>
    <col min="12293" max="12295" width="10.7265625" style="261" customWidth="1"/>
    <col min="12296" max="12296" width="17.26953125" style="261" customWidth="1"/>
    <col min="12297" max="12297" width="11.26953125" style="261" customWidth="1"/>
    <col min="12298" max="12300" width="10.7265625" style="261" customWidth="1"/>
    <col min="12301" max="12301" width="16.81640625" style="261" customWidth="1"/>
    <col min="12302" max="12302" width="12" style="261" bestFit="1" customWidth="1"/>
    <col min="12303" max="12303" width="10.81640625" style="261" customWidth="1"/>
    <col min="12304" max="12304" width="18" style="261" customWidth="1"/>
    <col min="12305" max="12306" width="15.453125" style="261" customWidth="1"/>
    <col min="12307" max="12307" width="41.81640625" style="261" customWidth="1"/>
    <col min="12308" max="12308" width="20.54296875" style="261" customWidth="1"/>
    <col min="12309" max="12309" width="16.54296875" style="261" customWidth="1"/>
    <col min="12310" max="12310" width="46.1796875" style="261" customWidth="1"/>
    <col min="12311" max="12311" width="14.453125" style="261" customWidth="1"/>
    <col min="12312" max="12312" width="16.453125" style="261" customWidth="1"/>
    <col min="12313" max="12313" width="57.1796875" style="261" customWidth="1"/>
    <col min="12314" max="12544" width="11.453125" style="261"/>
    <col min="12545" max="12545" width="44" style="261" customWidth="1"/>
    <col min="12546" max="12546" width="36.26953125" style="261" customWidth="1"/>
    <col min="12547" max="12547" width="51" style="261" customWidth="1"/>
    <col min="12548" max="12548" width="27.1796875" style="261" customWidth="1"/>
    <col min="12549" max="12551" width="10.7265625" style="261" customWidth="1"/>
    <col min="12552" max="12552" width="17.26953125" style="261" customWidth="1"/>
    <col min="12553" max="12553" width="11.26953125" style="261" customWidth="1"/>
    <col min="12554" max="12556" width="10.7265625" style="261" customWidth="1"/>
    <col min="12557" max="12557" width="16.81640625" style="261" customWidth="1"/>
    <col min="12558" max="12558" width="12" style="261" bestFit="1" customWidth="1"/>
    <col min="12559" max="12559" width="10.81640625" style="261" customWidth="1"/>
    <col min="12560" max="12560" width="18" style="261" customWidth="1"/>
    <col min="12561" max="12562" width="15.453125" style="261" customWidth="1"/>
    <col min="12563" max="12563" width="41.81640625" style="261" customWidth="1"/>
    <col min="12564" max="12564" width="20.54296875" style="261" customWidth="1"/>
    <col min="12565" max="12565" width="16.54296875" style="261" customWidth="1"/>
    <col min="12566" max="12566" width="46.1796875" style="261" customWidth="1"/>
    <col min="12567" max="12567" width="14.453125" style="261" customWidth="1"/>
    <col min="12568" max="12568" width="16.453125" style="261" customWidth="1"/>
    <col min="12569" max="12569" width="57.1796875" style="261" customWidth="1"/>
    <col min="12570" max="12800" width="11.453125" style="261"/>
    <col min="12801" max="12801" width="44" style="261" customWidth="1"/>
    <col min="12802" max="12802" width="36.26953125" style="261" customWidth="1"/>
    <col min="12803" max="12803" width="51" style="261" customWidth="1"/>
    <col min="12804" max="12804" width="27.1796875" style="261" customWidth="1"/>
    <col min="12805" max="12807" width="10.7265625" style="261" customWidth="1"/>
    <col min="12808" max="12808" width="17.26953125" style="261" customWidth="1"/>
    <col min="12809" max="12809" width="11.26953125" style="261" customWidth="1"/>
    <col min="12810" max="12812" width="10.7265625" style="261" customWidth="1"/>
    <col min="12813" max="12813" width="16.81640625" style="261" customWidth="1"/>
    <col min="12814" max="12814" width="12" style="261" bestFit="1" customWidth="1"/>
    <col min="12815" max="12815" width="10.81640625" style="261" customWidth="1"/>
    <col min="12816" max="12816" width="18" style="261" customWidth="1"/>
    <col min="12817" max="12818" width="15.453125" style="261" customWidth="1"/>
    <col min="12819" max="12819" width="41.81640625" style="261" customWidth="1"/>
    <col min="12820" max="12820" width="20.54296875" style="261" customWidth="1"/>
    <col min="12821" max="12821" width="16.54296875" style="261" customWidth="1"/>
    <col min="12822" max="12822" width="46.1796875" style="261" customWidth="1"/>
    <col min="12823" max="12823" width="14.453125" style="261" customWidth="1"/>
    <col min="12824" max="12824" width="16.453125" style="261" customWidth="1"/>
    <col min="12825" max="12825" width="57.1796875" style="261" customWidth="1"/>
    <col min="12826" max="13056" width="11.453125" style="261"/>
    <col min="13057" max="13057" width="44" style="261" customWidth="1"/>
    <col min="13058" max="13058" width="36.26953125" style="261" customWidth="1"/>
    <col min="13059" max="13059" width="51" style="261" customWidth="1"/>
    <col min="13060" max="13060" width="27.1796875" style="261" customWidth="1"/>
    <col min="13061" max="13063" width="10.7265625" style="261" customWidth="1"/>
    <col min="13064" max="13064" width="17.26953125" style="261" customWidth="1"/>
    <col min="13065" max="13065" width="11.26953125" style="261" customWidth="1"/>
    <col min="13066" max="13068" width="10.7265625" style="261" customWidth="1"/>
    <col min="13069" max="13069" width="16.81640625" style="261" customWidth="1"/>
    <col min="13070" max="13070" width="12" style="261" bestFit="1" customWidth="1"/>
    <col min="13071" max="13071" width="10.81640625" style="261" customWidth="1"/>
    <col min="13072" max="13072" width="18" style="261" customWidth="1"/>
    <col min="13073" max="13074" width="15.453125" style="261" customWidth="1"/>
    <col min="13075" max="13075" width="41.81640625" style="261" customWidth="1"/>
    <col min="13076" max="13076" width="20.54296875" style="261" customWidth="1"/>
    <col min="13077" max="13077" width="16.54296875" style="261" customWidth="1"/>
    <col min="13078" max="13078" width="46.1796875" style="261" customWidth="1"/>
    <col min="13079" max="13079" width="14.453125" style="261" customWidth="1"/>
    <col min="13080" max="13080" width="16.453125" style="261" customWidth="1"/>
    <col min="13081" max="13081" width="57.1796875" style="261" customWidth="1"/>
    <col min="13082" max="13312" width="11.453125" style="261"/>
    <col min="13313" max="13313" width="44" style="261" customWidth="1"/>
    <col min="13314" max="13314" width="36.26953125" style="261" customWidth="1"/>
    <col min="13315" max="13315" width="51" style="261" customWidth="1"/>
    <col min="13316" max="13316" width="27.1796875" style="261" customWidth="1"/>
    <col min="13317" max="13319" width="10.7265625" style="261" customWidth="1"/>
    <col min="13320" max="13320" width="17.26953125" style="261" customWidth="1"/>
    <col min="13321" max="13321" width="11.26953125" style="261" customWidth="1"/>
    <col min="13322" max="13324" width="10.7265625" style="261" customWidth="1"/>
    <col min="13325" max="13325" width="16.81640625" style="261" customWidth="1"/>
    <col min="13326" max="13326" width="12" style="261" bestFit="1" customWidth="1"/>
    <col min="13327" max="13327" width="10.81640625" style="261" customWidth="1"/>
    <col min="13328" max="13328" width="18" style="261" customWidth="1"/>
    <col min="13329" max="13330" width="15.453125" style="261" customWidth="1"/>
    <col min="13331" max="13331" width="41.81640625" style="261" customWidth="1"/>
    <col min="13332" max="13332" width="20.54296875" style="261" customWidth="1"/>
    <col min="13333" max="13333" width="16.54296875" style="261" customWidth="1"/>
    <col min="13334" max="13334" width="46.1796875" style="261" customWidth="1"/>
    <col min="13335" max="13335" width="14.453125" style="261" customWidth="1"/>
    <col min="13336" max="13336" width="16.453125" style="261" customWidth="1"/>
    <col min="13337" max="13337" width="57.1796875" style="261" customWidth="1"/>
    <col min="13338" max="13568" width="11.453125" style="261"/>
    <col min="13569" max="13569" width="44" style="261" customWidth="1"/>
    <col min="13570" max="13570" width="36.26953125" style="261" customWidth="1"/>
    <col min="13571" max="13571" width="51" style="261" customWidth="1"/>
    <col min="13572" max="13572" width="27.1796875" style="261" customWidth="1"/>
    <col min="13573" max="13575" width="10.7265625" style="261" customWidth="1"/>
    <col min="13576" max="13576" width="17.26953125" style="261" customWidth="1"/>
    <col min="13577" max="13577" width="11.26953125" style="261" customWidth="1"/>
    <col min="13578" max="13580" width="10.7265625" style="261" customWidth="1"/>
    <col min="13581" max="13581" width="16.81640625" style="261" customWidth="1"/>
    <col min="13582" max="13582" width="12" style="261" bestFit="1" customWidth="1"/>
    <col min="13583" max="13583" width="10.81640625" style="261" customWidth="1"/>
    <col min="13584" max="13584" width="18" style="261" customWidth="1"/>
    <col min="13585" max="13586" width="15.453125" style="261" customWidth="1"/>
    <col min="13587" max="13587" width="41.81640625" style="261" customWidth="1"/>
    <col min="13588" max="13588" width="20.54296875" style="261" customWidth="1"/>
    <col min="13589" max="13589" width="16.54296875" style="261" customWidth="1"/>
    <col min="13590" max="13590" width="46.1796875" style="261" customWidth="1"/>
    <col min="13591" max="13591" width="14.453125" style="261" customWidth="1"/>
    <col min="13592" max="13592" width="16.453125" style="261" customWidth="1"/>
    <col min="13593" max="13593" width="57.1796875" style="261" customWidth="1"/>
    <col min="13594" max="13824" width="11.453125" style="261"/>
    <col min="13825" max="13825" width="44" style="261" customWidth="1"/>
    <col min="13826" max="13826" width="36.26953125" style="261" customWidth="1"/>
    <col min="13827" max="13827" width="51" style="261" customWidth="1"/>
    <col min="13828" max="13828" width="27.1796875" style="261" customWidth="1"/>
    <col min="13829" max="13831" width="10.7265625" style="261" customWidth="1"/>
    <col min="13832" max="13832" width="17.26953125" style="261" customWidth="1"/>
    <col min="13833" max="13833" width="11.26953125" style="261" customWidth="1"/>
    <col min="13834" max="13836" width="10.7265625" style="261" customWidth="1"/>
    <col min="13837" max="13837" width="16.81640625" style="261" customWidth="1"/>
    <col min="13838" max="13838" width="12" style="261" bestFit="1" customWidth="1"/>
    <col min="13839" max="13839" width="10.81640625" style="261" customWidth="1"/>
    <col min="13840" max="13840" width="18" style="261" customWidth="1"/>
    <col min="13841" max="13842" width="15.453125" style="261" customWidth="1"/>
    <col min="13843" max="13843" width="41.81640625" style="261" customWidth="1"/>
    <col min="13844" max="13844" width="20.54296875" style="261" customWidth="1"/>
    <col min="13845" max="13845" width="16.54296875" style="261" customWidth="1"/>
    <col min="13846" max="13846" width="46.1796875" style="261" customWidth="1"/>
    <col min="13847" max="13847" width="14.453125" style="261" customWidth="1"/>
    <col min="13848" max="13848" width="16.453125" style="261" customWidth="1"/>
    <col min="13849" max="13849" width="57.1796875" style="261" customWidth="1"/>
    <col min="13850" max="14080" width="11.453125" style="261"/>
    <col min="14081" max="14081" width="44" style="261" customWidth="1"/>
    <col min="14082" max="14082" width="36.26953125" style="261" customWidth="1"/>
    <col min="14083" max="14083" width="51" style="261" customWidth="1"/>
    <col min="14084" max="14084" width="27.1796875" style="261" customWidth="1"/>
    <col min="14085" max="14087" width="10.7265625" style="261" customWidth="1"/>
    <col min="14088" max="14088" width="17.26953125" style="261" customWidth="1"/>
    <col min="14089" max="14089" width="11.26953125" style="261" customWidth="1"/>
    <col min="14090" max="14092" width="10.7265625" style="261" customWidth="1"/>
    <col min="14093" max="14093" width="16.81640625" style="261" customWidth="1"/>
    <col min="14094" max="14094" width="12" style="261" bestFit="1" customWidth="1"/>
    <col min="14095" max="14095" width="10.81640625" style="261" customWidth="1"/>
    <col min="14096" max="14096" width="18" style="261" customWidth="1"/>
    <col min="14097" max="14098" width="15.453125" style="261" customWidth="1"/>
    <col min="14099" max="14099" width="41.81640625" style="261" customWidth="1"/>
    <col min="14100" max="14100" width="20.54296875" style="261" customWidth="1"/>
    <col min="14101" max="14101" width="16.54296875" style="261" customWidth="1"/>
    <col min="14102" max="14102" width="46.1796875" style="261" customWidth="1"/>
    <col min="14103" max="14103" width="14.453125" style="261" customWidth="1"/>
    <col min="14104" max="14104" width="16.453125" style="261" customWidth="1"/>
    <col min="14105" max="14105" width="57.1796875" style="261" customWidth="1"/>
    <col min="14106" max="14336" width="11.453125" style="261"/>
    <col min="14337" max="14337" width="44" style="261" customWidth="1"/>
    <col min="14338" max="14338" width="36.26953125" style="261" customWidth="1"/>
    <col min="14339" max="14339" width="51" style="261" customWidth="1"/>
    <col min="14340" max="14340" width="27.1796875" style="261" customWidth="1"/>
    <col min="14341" max="14343" width="10.7265625" style="261" customWidth="1"/>
    <col min="14344" max="14344" width="17.26953125" style="261" customWidth="1"/>
    <col min="14345" max="14345" width="11.26953125" style="261" customWidth="1"/>
    <col min="14346" max="14348" width="10.7265625" style="261" customWidth="1"/>
    <col min="14349" max="14349" width="16.81640625" style="261" customWidth="1"/>
    <col min="14350" max="14350" width="12" style="261" bestFit="1" customWidth="1"/>
    <col min="14351" max="14351" width="10.81640625" style="261" customWidth="1"/>
    <col min="14352" max="14352" width="18" style="261" customWidth="1"/>
    <col min="14353" max="14354" width="15.453125" style="261" customWidth="1"/>
    <col min="14355" max="14355" width="41.81640625" style="261" customWidth="1"/>
    <col min="14356" max="14356" width="20.54296875" style="261" customWidth="1"/>
    <col min="14357" max="14357" width="16.54296875" style="261" customWidth="1"/>
    <col min="14358" max="14358" width="46.1796875" style="261" customWidth="1"/>
    <col min="14359" max="14359" width="14.453125" style="261" customWidth="1"/>
    <col min="14360" max="14360" width="16.453125" style="261" customWidth="1"/>
    <col min="14361" max="14361" width="57.1796875" style="261" customWidth="1"/>
    <col min="14362" max="14592" width="11.453125" style="261"/>
    <col min="14593" max="14593" width="44" style="261" customWidth="1"/>
    <col min="14594" max="14594" width="36.26953125" style="261" customWidth="1"/>
    <col min="14595" max="14595" width="51" style="261" customWidth="1"/>
    <col min="14596" max="14596" width="27.1796875" style="261" customWidth="1"/>
    <col min="14597" max="14599" width="10.7265625" style="261" customWidth="1"/>
    <col min="14600" max="14600" width="17.26953125" style="261" customWidth="1"/>
    <col min="14601" max="14601" width="11.26953125" style="261" customWidth="1"/>
    <col min="14602" max="14604" width="10.7265625" style="261" customWidth="1"/>
    <col min="14605" max="14605" width="16.81640625" style="261" customWidth="1"/>
    <col min="14606" max="14606" width="12" style="261" bestFit="1" customWidth="1"/>
    <col min="14607" max="14607" width="10.81640625" style="261" customWidth="1"/>
    <col min="14608" max="14608" width="18" style="261" customWidth="1"/>
    <col min="14609" max="14610" width="15.453125" style="261" customWidth="1"/>
    <col min="14611" max="14611" width="41.81640625" style="261" customWidth="1"/>
    <col min="14612" max="14612" width="20.54296875" style="261" customWidth="1"/>
    <col min="14613" max="14613" width="16.54296875" style="261" customWidth="1"/>
    <col min="14614" max="14614" width="46.1796875" style="261" customWidth="1"/>
    <col min="14615" max="14615" width="14.453125" style="261" customWidth="1"/>
    <col min="14616" max="14616" width="16.453125" style="261" customWidth="1"/>
    <col min="14617" max="14617" width="57.1796875" style="261" customWidth="1"/>
    <col min="14618" max="14848" width="11.453125" style="261"/>
    <col min="14849" max="14849" width="44" style="261" customWidth="1"/>
    <col min="14850" max="14850" width="36.26953125" style="261" customWidth="1"/>
    <col min="14851" max="14851" width="51" style="261" customWidth="1"/>
    <col min="14852" max="14852" width="27.1796875" style="261" customWidth="1"/>
    <col min="14853" max="14855" width="10.7265625" style="261" customWidth="1"/>
    <col min="14856" max="14856" width="17.26953125" style="261" customWidth="1"/>
    <col min="14857" max="14857" width="11.26953125" style="261" customWidth="1"/>
    <col min="14858" max="14860" width="10.7265625" style="261" customWidth="1"/>
    <col min="14861" max="14861" width="16.81640625" style="261" customWidth="1"/>
    <col min="14862" max="14862" width="12" style="261" bestFit="1" customWidth="1"/>
    <col min="14863" max="14863" width="10.81640625" style="261" customWidth="1"/>
    <col min="14864" max="14864" width="18" style="261" customWidth="1"/>
    <col min="14865" max="14866" width="15.453125" style="261" customWidth="1"/>
    <col min="14867" max="14867" width="41.81640625" style="261" customWidth="1"/>
    <col min="14868" max="14868" width="20.54296875" style="261" customWidth="1"/>
    <col min="14869" max="14869" width="16.54296875" style="261" customWidth="1"/>
    <col min="14870" max="14870" width="46.1796875" style="261" customWidth="1"/>
    <col min="14871" max="14871" width="14.453125" style="261" customWidth="1"/>
    <col min="14872" max="14872" width="16.453125" style="261" customWidth="1"/>
    <col min="14873" max="14873" width="57.1796875" style="261" customWidth="1"/>
    <col min="14874" max="15104" width="11.453125" style="261"/>
    <col min="15105" max="15105" width="44" style="261" customWidth="1"/>
    <col min="15106" max="15106" width="36.26953125" style="261" customWidth="1"/>
    <col min="15107" max="15107" width="51" style="261" customWidth="1"/>
    <col min="15108" max="15108" width="27.1796875" style="261" customWidth="1"/>
    <col min="15109" max="15111" width="10.7265625" style="261" customWidth="1"/>
    <col min="15112" max="15112" width="17.26953125" style="261" customWidth="1"/>
    <col min="15113" max="15113" width="11.26953125" style="261" customWidth="1"/>
    <col min="15114" max="15116" width="10.7265625" style="261" customWidth="1"/>
    <col min="15117" max="15117" width="16.81640625" style="261" customWidth="1"/>
    <col min="15118" max="15118" width="12" style="261" bestFit="1" customWidth="1"/>
    <col min="15119" max="15119" width="10.81640625" style="261" customWidth="1"/>
    <col min="15120" max="15120" width="18" style="261" customWidth="1"/>
    <col min="15121" max="15122" width="15.453125" style="261" customWidth="1"/>
    <col min="15123" max="15123" width="41.81640625" style="261" customWidth="1"/>
    <col min="15124" max="15124" width="20.54296875" style="261" customWidth="1"/>
    <col min="15125" max="15125" width="16.54296875" style="261" customWidth="1"/>
    <col min="15126" max="15126" width="46.1796875" style="261" customWidth="1"/>
    <col min="15127" max="15127" width="14.453125" style="261" customWidth="1"/>
    <col min="15128" max="15128" width="16.453125" style="261" customWidth="1"/>
    <col min="15129" max="15129" width="57.1796875" style="261" customWidth="1"/>
    <col min="15130" max="15360" width="11.453125" style="261"/>
    <col min="15361" max="15361" width="44" style="261" customWidth="1"/>
    <col min="15362" max="15362" width="36.26953125" style="261" customWidth="1"/>
    <col min="15363" max="15363" width="51" style="261" customWidth="1"/>
    <col min="15364" max="15364" width="27.1796875" style="261" customWidth="1"/>
    <col min="15365" max="15367" width="10.7265625" style="261" customWidth="1"/>
    <col min="15368" max="15368" width="17.26953125" style="261" customWidth="1"/>
    <col min="15369" max="15369" width="11.26953125" style="261" customWidth="1"/>
    <col min="15370" max="15372" width="10.7265625" style="261" customWidth="1"/>
    <col min="15373" max="15373" width="16.81640625" style="261" customWidth="1"/>
    <col min="15374" max="15374" width="12" style="261" bestFit="1" customWidth="1"/>
    <col min="15375" max="15375" width="10.81640625" style="261" customWidth="1"/>
    <col min="15376" max="15376" width="18" style="261" customWidth="1"/>
    <col min="15377" max="15378" width="15.453125" style="261" customWidth="1"/>
    <col min="15379" max="15379" width="41.81640625" style="261" customWidth="1"/>
    <col min="15380" max="15380" width="20.54296875" style="261" customWidth="1"/>
    <col min="15381" max="15381" width="16.54296875" style="261" customWidth="1"/>
    <col min="15382" max="15382" width="46.1796875" style="261" customWidth="1"/>
    <col min="15383" max="15383" width="14.453125" style="261" customWidth="1"/>
    <col min="15384" max="15384" width="16.453125" style="261" customWidth="1"/>
    <col min="15385" max="15385" width="57.1796875" style="261" customWidth="1"/>
    <col min="15386" max="15616" width="11.453125" style="261"/>
    <col min="15617" max="15617" width="44" style="261" customWidth="1"/>
    <col min="15618" max="15618" width="36.26953125" style="261" customWidth="1"/>
    <col min="15619" max="15619" width="51" style="261" customWidth="1"/>
    <col min="15620" max="15620" width="27.1796875" style="261" customWidth="1"/>
    <col min="15621" max="15623" width="10.7265625" style="261" customWidth="1"/>
    <col min="15624" max="15624" width="17.26953125" style="261" customWidth="1"/>
    <col min="15625" max="15625" width="11.26953125" style="261" customWidth="1"/>
    <col min="15626" max="15628" width="10.7265625" style="261" customWidth="1"/>
    <col min="15629" max="15629" width="16.81640625" style="261" customWidth="1"/>
    <col min="15630" max="15630" width="12" style="261" bestFit="1" customWidth="1"/>
    <col min="15631" max="15631" width="10.81640625" style="261" customWidth="1"/>
    <col min="15632" max="15632" width="18" style="261" customWidth="1"/>
    <col min="15633" max="15634" width="15.453125" style="261" customWidth="1"/>
    <col min="15635" max="15635" width="41.81640625" style="261" customWidth="1"/>
    <col min="15636" max="15636" width="20.54296875" style="261" customWidth="1"/>
    <col min="15637" max="15637" width="16.54296875" style="261" customWidth="1"/>
    <col min="15638" max="15638" width="46.1796875" style="261" customWidth="1"/>
    <col min="15639" max="15639" width="14.453125" style="261" customWidth="1"/>
    <col min="15640" max="15640" width="16.453125" style="261" customWidth="1"/>
    <col min="15641" max="15641" width="57.1796875" style="261" customWidth="1"/>
    <col min="15642" max="15872" width="11.453125" style="261"/>
    <col min="15873" max="15873" width="44" style="261" customWidth="1"/>
    <col min="15874" max="15874" width="36.26953125" style="261" customWidth="1"/>
    <col min="15875" max="15875" width="51" style="261" customWidth="1"/>
    <col min="15876" max="15876" width="27.1796875" style="261" customWidth="1"/>
    <col min="15877" max="15879" width="10.7265625" style="261" customWidth="1"/>
    <col min="15880" max="15880" width="17.26953125" style="261" customWidth="1"/>
    <col min="15881" max="15881" width="11.26953125" style="261" customWidth="1"/>
    <col min="15882" max="15884" width="10.7265625" style="261" customWidth="1"/>
    <col min="15885" max="15885" width="16.81640625" style="261" customWidth="1"/>
    <col min="15886" max="15886" width="12" style="261" bestFit="1" customWidth="1"/>
    <col min="15887" max="15887" width="10.81640625" style="261" customWidth="1"/>
    <col min="15888" max="15888" width="18" style="261" customWidth="1"/>
    <col min="15889" max="15890" width="15.453125" style="261" customWidth="1"/>
    <col min="15891" max="15891" width="41.81640625" style="261" customWidth="1"/>
    <col min="15892" max="15892" width="20.54296875" style="261" customWidth="1"/>
    <col min="15893" max="15893" width="16.54296875" style="261" customWidth="1"/>
    <col min="15894" max="15894" width="46.1796875" style="261" customWidth="1"/>
    <col min="15895" max="15895" width="14.453125" style="261" customWidth="1"/>
    <col min="15896" max="15896" width="16.453125" style="261" customWidth="1"/>
    <col min="15897" max="15897" width="57.1796875" style="261" customWidth="1"/>
    <col min="15898" max="16128" width="11.453125" style="261"/>
    <col min="16129" max="16129" width="44" style="261" customWidth="1"/>
    <col min="16130" max="16130" width="36.26953125" style="261" customWidth="1"/>
    <col min="16131" max="16131" width="51" style="261" customWidth="1"/>
    <col min="16132" max="16132" width="27.1796875" style="261" customWidth="1"/>
    <col min="16133" max="16135" width="10.7265625" style="261" customWidth="1"/>
    <col min="16136" max="16136" width="17.26953125" style="261" customWidth="1"/>
    <col min="16137" max="16137" width="11.26953125" style="261" customWidth="1"/>
    <col min="16138" max="16140" width="10.7265625" style="261" customWidth="1"/>
    <col min="16141" max="16141" width="16.81640625" style="261" customWidth="1"/>
    <col min="16142" max="16142" width="12" style="261" bestFit="1" customWidth="1"/>
    <col min="16143" max="16143" width="10.81640625" style="261" customWidth="1"/>
    <col min="16144" max="16144" width="18" style="261" customWidth="1"/>
    <col min="16145" max="16146" width="15.453125" style="261" customWidth="1"/>
    <col min="16147" max="16147" width="41.81640625" style="261" customWidth="1"/>
    <col min="16148" max="16148" width="20.54296875" style="261" customWidth="1"/>
    <col min="16149" max="16149" width="16.54296875" style="261" customWidth="1"/>
    <col min="16150" max="16150" width="46.1796875" style="261" customWidth="1"/>
    <col min="16151" max="16151" width="14.453125" style="261" customWidth="1"/>
    <col min="16152" max="16152" width="16.453125" style="261" customWidth="1"/>
    <col min="16153" max="16153" width="57.1796875" style="261" customWidth="1"/>
    <col min="16154" max="16384" width="11.453125" style="261"/>
  </cols>
  <sheetData>
    <row r="1" spans="1:26" x14ac:dyDescent="0.3">
      <c r="D1" s="499" t="s">
        <v>28</v>
      </c>
      <c r="E1" s="454"/>
      <c r="F1" s="454"/>
      <c r="G1" s="454"/>
    </row>
    <row r="2" spans="1:26" x14ac:dyDescent="0.3">
      <c r="A2" s="454" t="s">
        <v>23</v>
      </c>
      <c r="B2" s="1098" t="s">
        <v>398</v>
      </c>
    </row>
    <row r="3" spans="1:26" x14ac:dyDescent="0.3">
      <c r="A3" s="454" t="s">
        <v>24</v>
      </c>
      <c r="B3" s="1098" t="s">
        <v>98</v>
      </c>
    </row>
    <row r="4" spans="1:26" x14ac:dyDescent="0.3">
      <c r="A4" s="454" t="s">
        <v>21</v>
      </c>
      <c r="B4" s="1098" t="s">
        <v>1538</v>
      </c>
      <c r="D4" s="499"/>
      <c r="E4" s="499"/>
      <c r="F4" s="499"/>
      <c r="G4" s="499"/>
      <c r="H4" s="2758"/>
      <c r="I4" s="499"/>
      <c r="J4" s="499"/>
      <c r="K4" s="499"/>
      <c r="L4" s="499"/>
      <c r="M4" s="499"/>
      <c r="N4" s="2759"/>
      <c r="O4" s="2145"/>
    </row>
    <row r="5" spans="1:26" x14ac:dyDescent="0.3">
      <c r="A5" s="454" t="s">
        <v>22</v>
      </c>
      <c r="B5" s="2760">
        <f>+P134</f>
        <v>693222.1</v>
      </c>
      <c r="D5" s="499"/>
      <c r="E5" s="499"/>
      <c r="F5" s="499"/>
      <c r="G5" s="499"/>
      <c r="H5" s="2758"/>
      <c r="I5" s="499"/>
      <c r="J5" s="499"/>
      <c r="K5" s="499"/>
      <c r="L5" s="499"/>
      <c r="M5" s="499"/>
      <c r="N5" s="2759"/>
      <c r="O5" s="2145"/>
      <c r="Y5" s="264"/>
    </row>
    <row r="6" spans="1:26" x14ac:dyDescent="0.3">
      <c r="A6" s="454" t="s">
        <v>37</v>
      </c>
      <c r="B6" s="2760">
        <f>+P135</f>
        <v>48525.547000000006</v>
      </c>
      <c r="D6" s="2761"/>
      <c r="E6" s="499"/>
      <c r="F6" s="499"/>
      <c r="G6" s="499"/>
      <c r="H6" s="2758"/>
      <c r="I6" s="499"/>
      <c r="J6" s="499"/>
      <c r="K6" s="499"/>
      <c r="L6" s="499"/>
      <c r="M6" s="499"/>
      <c r="N6" s="2759"/>
      <c r="O6" s="2145"/>
      <c r="Y6" s="264"/>
    </row>
    <row r="7" spans="1:26" x14ac:dyDescent="0.3">
      <c r="A7" s="454" t="s">
        <v>38</v>
      </c>
      <c r="B7" s="2760">
        <f>+P136</f>
        <v>741747.647</v>
      </c>
      <c r="D7" s="499"/>
      <c r="E7" s="499"/>
      <c r="F7" s="499"/>
      <c r="G7" s="499"/>
      <c r="H7" s="2758"/>
      <c r="I7" s="499"/>
      <c r="J7" s="499"/>
      <c r="K7" s="499"/>
      <c r="L7" s="499"/>
      <c r="M7" s="499"/>
      <c r="N7" s="2759"/>
      <c r="O7" s="2145"/>
      <c r="Y7" s="264"/>
    </row>
    <row r="8" spans="1:26" x14ac:dyDescent="0.3">
      <c r="T8" s="3137">
        <v>43800</v>
      </c>
      <c r="U8" s="3138"/>
      <c r="V8" s="3138"/>
      <c r="W8" s="3138"/>
      <c r="X8" s="3138"/>
      <c r="Y8" s="3138"/>
    </row>
    <row r="9" spans="1:26" ht="39" x14ac:dyDescent="0.3">
      <c r="A9" s="529" t="s">
        <v>9</v>
      </c>
      <c r="B9" s="1181" t="s">
        <v>10</v>
      </c>
      <c r="C9" s="2533" t="s">
        <v>45</v>
      </c>
      <c r="D9" s="2533" t="s">
        <v>35</v>
      </c>
      <c r="E9" s="2533" t="s">
        <v>6</v>
      </c>
      <c r="F9" s="2533" t="s">
        <v>7</v>
      </c>
      <c r="G9" s="2533" t="s">
        <v>8</v>
      </c>
      <c r="H9" s="2748" t="s">
        <v>11</v>
      </c>
      <c r="I9" s="2534" t="s">
        <v>25</v>
      </c>
      <c r="J9" s="2533" t="s">
        <v>6</v>
      </c>
      <c r="K9" s="2533" t="s">
        <v>7</v>
      </c>
      <c r="L9" s="2533" t="s">
        <v>8</v>
      </c>
      <c r="M9" s="2534" t="s">
        <v>12</v>
      </c>
      <c r="N9" s="2534" t="s">
        <v>1638</v>
      </c>
      <c r="O9" s="2535" t="s">
        <v>25</v>
      </c>
      <c r="P9" s="2901" t="s">
        <v>13</v>
      </c>
      <c r="Q9" s="2534" t="s">
        <v>64</v>
      </c>
      <c r="R9" s="2534" t="s">
        <v>84</v>
      </c>
      <c r="S9" s="2534" t="s">
        <v>42</v>
      </c>
      <c r="T9" s="2941" t="s">
        <v>79</v>
      </c>
      <c r="U9" s="2536" t="s">
        <v>80</v>
      </c>
      <c r="V9" s="2537" t="s">
        <v>81</v>
      </c>
      <c r="W9" s="2536" t="s">
        <v>1159</v>
      </c>
      <c r="X9" s="2538" t="s">
        <v>1160</v>
      </c>
      <c r="Y9" s="2539" t="s">
        <v>83</v>
      </c>
    </row>
    <row r="10" spans="1:26" x14ac:dyDescent="0.25">
      <c r="A10" s="2988" t="s">
        <v>52</v>
      </c>
      <c r="B10" s="2989"/>
      <c r="C10" s="2989"/>
      <c r="D10" s="2989"/>
      <c r="E10" s="2989"/>
      <c r="F10" s="2989"/>
      <c r="G10" s="2989"/>
      <c r="H10" s="2989"/>
      <c r="I10" s="2989"/>
      <c r="J10" s="2989"/>
      <c r="K10" s="2989"/>
      <c r="L10" s="2989"/>
      <c r="M10" s="2989"/>
      <c r="N10" s="2989"/>
      <c r="O10" s="2989"/>
      <c r="P10" s="2989"/>
      <c r="Q10" s="2989"/>
      <c r="R10" s="2989"/>
      <c r="S10" s="2989"/>
      <c r="T10" s="3139"/>
      <c r="U10" s="3139"/>
      <c r="V10" s="3139"/>
      <c r="W10" s="3139"/>
      <c r="X10" s="3139"/>
      <c r="Y10" s="3139"/>
    </row>
    <row r="11" spans="1:26" x14ac:dyDescent="0.25">
      <c r="A11" s="2991" t="s">
        <v>400</v>
      </c>
      <c r="B11" s="2992"/>
      <c r="C11" s="2992"/>
      <c r="D11" s="2992"/>
      <c r="E11" s="2992"/>
      <c r="F11" s="2992"/>
      <c r="G11" s="2992"/>
      <c r="H11" s="2992"/>
      <c r="I11" s="2992"/>
      <c r="J11" s="2992"/>
      <c r="K11" s="2992"/>
      <c r="L11" s="2992"/>
      <c r="M11" s="2992"/>
      <c r="N11" s="2992"/>
      <c r="O11" s="2992"/>
      <c r="P11" s="2992"/>
      <c r="Q11" s="2992"/>
      <c r="R11" s="2992"/>
      <c r="S11" s="2992"/>
      <c r="T11" s="3140"/>
      <c r="U11" s="3140"/>
      <c r="V11" s="3140"/>
      <c r="W11" s="3140"/>
      <c r="X11" s="3140"/>
      <c r="Y11" s="3140"/>
    </row>
    <row r="12" spans="1:26" s="494" customFormat="1" ht="65.25" customHeight="1" x14ac:dyDescent="0.3">
      <c r="A12" s="3144" t="s">
        <v>401</v>
      </c>
      <c r="B12" s="2170" t="s">
        <v>1364</v>
      </c>
      <c r="C12" s="2202" t="s">
        <v>47</v>
      </c>
      <c r="D12" s="2157" t="s">
        <v>398</v>
      </c>
      <c r="E12" s="2540">
        <v>1</v>
      </c>
      <c r="F12" s="2541">
        <v>205</v>
      </c>
      <c r="G12" s="2541">
        <v>13</v>
      </c>
      <c r="H12" s="2749">
        <f>E12*F12*G12</f>
        <v>2665</v>
      </c>
      <c r="I12" s="2161">
        <v>0.3</v>
      </c>
      <c r="J12" s="2540">
        <v>1</v>
      </c>
      <c r="K12" s="2541">
        <v>205</v>
      </c>
      <c r="L12" s="2541">
        <v>13</v>
      </c>
      <c r="M12" s="2161">
        <f>J12*K12*L12</f>
        <v>2665</v>
      </c>
      <c r="N12" s="2542">
        <v>3600</v>
      </c>
      <c r="O12" s="624">
        <v>0.3</v>
      </c>
      <c r="P12" s="2902">
        <f>+H12+M12+N12</f>
        <v>8930</v>
      </c>
      <c r="Q12" s="624">
        <v>0.3</v>
      </c>
      <c r="R12" s="2346">
        <f>P12*Q12</f>
        <v>2679</v>
      </c>
      <c r="S12" s="2762" t="s">
        <v>1161</v>
      </c>
      <c r="T12" s="2929">
        <v>5247.08</v>
      </c>
      <c r="U12" s="624">
        <f>T12/P12</f>
        <v>0.58757894736842109</v>
      </c>
      <c r="V12" s="2157" t="s">
        <v>403</v>
      </c>
      <c r="W12" s="624">
        <f>X12/P12</f>
        <v>7.1108622620380743E-2</v>
      </c>
      <c r="X12" s="2347">
        <v>635</v>
      </c>
      <c r="Y12" s="2170" t="s">
        <v>1162</v>
      </c>
      <c r="Z12" s="2348"/>
    </row>
    <row r="13" spans="1:26" ht="70.150000000000006" customHeight="1" x14ac:dyDescent="0.3">
      <c r="A13" s="3144"/>
      <c r="B13" s="2170" t="s">
        <v>404</v>
      </c>
      <c r="C13" s="2334" t="s">
        <v>47</v>
      </c>
      <c r="D13" s="2157" t="s">
        <v>398</v>
      </c>
      <c r="E13" s="2540">
        <v>6539</v>
      </c>
      <c r="F13" s="2541">
        <v>1</v>
      </c>
      <c r="G13" s="2541">
        <v>1</v>
      </c>
      <c r="H13" s="2763">
        <f t="shared" ref="H13:H14" si="0">E13*F13*G13</f>
        <v>6539</v>
      </c>
      <c r="I13" s="2162">
        <v>0.3</v>
      </c>
      <c r="J13" s="2540">
        <v>6540</v>
      </c>
      <c r="K13" s="2541">
        <f>F13</f>
        <v>1</v>
      </c>
      <c r="L13" s="2541">
        <v>1</v>
      </c>
      <c r="M13" s="2161">
        <f t="shared" ref="M13:M14" si="1">J13*K13*L13</f>
        <v>6540</v>
      </c>
      <c r="N13" s="2764"/>
      <c r="O13" s="263">
        <v>0.3</v>
      </c>
      <c r="P13" s="2902">
        <f>+H13+M13+N13</f>
        <v>13079</v>
      </c>
      <c r="Q13" s="263">
        <v>0.3</v>
      </c>
      <c r="R13" s="2765">
        <f>P13*Q13</f>
        <v>3923.7</v>
      </c>
      <c r="S13" s="2766" t="s">
        <v>1163</v>
      </c>
      <c r="T13" s="2929">
        <v>11691</v>
      </c>
      <c r="U13" s="624">
        <f>T13/P13</f>
        <v>0.89387567856869787</v>
      </c>
      <c r="V13" s="264" t="s">
        <v>1109</v>
      </c>
      <c r="W13" s="624">
        <f>X13/P13</f>
        <v>0.12049850906032571</v>
      </c>
      <c r="X13" s="2296">
        <v>1576</v>
      </c>
      <c r="Y13" s="264" t="s">
        <v>1164</v>
      </c>
      <c r="Z13" s="1158"/>
    </row>
    <row r="14" spans="1:26" ht="68.25" customHeight="1" x14ac:dyDescent="0.3">
      <c r="A14" s="3144"/>
      <c r="B14" s="2170" t="s">
        <v>405</v>
      </c>
      <c r="C14" s="2334" t="s">
        <v>47</v>
      </c>
      <c r="D14" s="2157" t="s">
        <v>398</v>
      </c>
      <c r="E14" s="2540">
        <v>1</v>
      </c>
      <c r="F14" s="2541">
        <v>1500</v>
      </c>
      <c r="G14" s="2541">
        <v>1</v>
      </c>
      <c r="H14" s="2763">
        <f t="shared" si="0"/>
        <v>1500</v>
      </c>
      <c r="I14" s="2162">
        <v>0.3</v>
      </c>
      <c r="J14" s="2540">
        <v>1</v>
      </c>
      <c r="K14" s="2541">
        <v>1500</v>
      </c>
      <c r="L14" s="2541">
        <v>1</v>
      </c>
      <c r="M14" s="2161">
        <f t="shared" si="1"/>
        <v>1500</v>
      </c>
      <c r="N14" s="2764"/>
      <c r="O14" s="263">
        <v>0.3</v>
      </c>
      <c r="P14" s="2902">
        <f>+H14+M14+N14</f>
        <v>3000</v>
      </c>
      <c r="Q14" s="263">
        <v>0.3</v>
      </c>
      <c r="R14" s="2765">
        <f>P14*Q14</f>
        <v>900</v>
      </c>
      <c r="S14" s="2762" t="s">
        <v>1165</v>
      </c>
      <c r="T14" s="2929">
        <v>2550</v>
      </c>
      <c r="U14" s="263">
        <f>T14/P14</f>
        <v>0.85</v>
      </c>
      <c r="V14" s="264" t="s">
        <v>1110</v>
      </c>
      <c r="W14" s="624">
        <f>X14/P14</f>
        <v>0.11866666666666667</v>
      </c>
      <c r="X14" s="2296">
        <v>356</v>
      </c>
      <c r="Y14" s="264" t="s">
        <v>1166</v>
      </c>
    </row>
    <row r="15" spans="1:26" x14ac:dyDescent="0.3">
      <c r="A15" s="3144"/>
      <c r="B15" s="2767"/>
      <c r="C15" s="513"/>
      <c r="D15" s="2768" t="s">
        <v>0</v>
      </c>
      <c r="E15" s="2769"/>
      <c r="F15" s="2769"/>
      <c r="G15" s="2769"/>
      <c r="H15" s="2770">
        <f>SUM(H12:H14)</f>
        <v>10704</v>
      </c>
      <c r="I15" s="2771"/>
      <c r="J15" s="2771"/>
      <c r="K15" s="2771"/>
      <c r="L15" s="2771"/>
      <c r="M15" s="2771">
        <f>SUM(M12:M14)</f>
        <v>10705</v>
      </c>
      <c r="N15" s="2772">
        <f>SUM(N12:N14)</f>
        <v>3600</v>
      </c>
      <c r="O15" s="2773"/>
      <c r="P15" s="2904">
        <f>SUM(P12:P14)</f>
        <v>25009</v>
      </c>
      <c r="Q15" s="2771"/>
      <c r="R15" s="2771">
        <f>SUM(R12:R14)</f>
        <v>7502.7</v>
      </c>
      <c r="S15" s="2774"/>
      <c r="T15" s="2930">
        <f>SUM(T12:T14)</f>
        <v>19488.080000000002</v>
      </c>
      <c r="U15" s="2775">
        <f t="shared" ref="U15:U20" si="2">T15/P15</f>
        <v>0.77924267263785041</v>
      </c>
      <c r="V15" s="513"/>
      <c r="W15" s="2775">
        <f t="shared" ref="W15:W20" si="3">X15/P15</f>
        <v>0.10264304850253908</v>
      </c>
      <c r="X15" s="2776">
        <f>SUM(X12:X14)</f>
        <v>2567</v>
      </c>
      <c r="Y15" s="513"/>
    </row>
    <row r="16" spans="1:26" ht="52" x14ac:dyDescent="0.3">
      <c r="A16" s="3144" t="s">
        <v>406</v>
      </c>
      <c r="B16" s="264" t="s">
        <v>407</v>
      </c>
      <c r="C16" s="267" t="s">
        <v>48</v>
      </c>
      <c r="D16" s="2157" t="s">
        <v>398</v>
      </c>
      <c r="E16" s="2777">
        <v>1</v>
      </c>
      <c r="F16" s="2778">
        <v>450</v>
      </c>
      <c r="G16" s="2778">
        <v>19</v>
      </c>
      <c r="H16" s="2763">
        <f t="shared" ref="H16:H20" si="4">E16*F16*G16</f>
        <v>8550</v>
      </c>
      <c r="I16" s="2162">
        <v>0.3</v>
      </c>
      <c r="J16" s="2777">
        <v>1</v>
      </c>
      <c r="K16" s="2778">
        <f>F16</f>
        <v>450</v>
      </c>
      <c r="L16" s="2778">
        <v>19</v>
      </c>
      <c r="M16" s="2162">
        <f>J16*K16*L16</f>
        <v>8550</v>
      </c>
      <c r="N16" s="2764">
        <v>3600</v>
      </c>
      <c r="O16" s="263">
        <v>0.3</v>
      </c>
      <c r="P16" s="2902">
        <f>+H16+M16+N16</f>
        <v>20700</v>
      </c>
      <c r="Q16" s="263">
        <v>0.3</v>
      </c>
      <c r="R16" s="2765">
        <f>P16*Q16</f>
        <v>6210</v>
      </c>
      <c r="S16" s="2762" t="s">
        <v>1167</v>
      </c>
      <c r="T16" s="2929">
        <v>18580.95</v>
      </c>
      <c r="U16" s="263">
        <f t="shared" si="2"/>
        <v>0.89763043478260873</v>
      </c>
      <c r="V16" s="264" t="s">
        <v>1111</v>
      </c>
      <c r="W16" s="263">
        <f t="shared" si="3"/>
        <v>9.9033816425120769E-2</v>
      </c>
      <c r="X16" s="2296">
        <v>2050</v>
      </c>
      <c r="Y16" s="264" t="s">
        <v>1168</v>
      </c>
    </row>
    <row r="17" spans="1:25" ht="52" x14ac:dyDescent="0.3">
      <c r="A17" s="3144"/>
      <c r="B17" s="264" t="s">
        <v>408</v>
      </c>
      <c r="C17" s="267" t="s">
        <v>47</v>
      </c>
      <c r="D17" s="2157" t="s">
        <v>398</v>
      </c>
      <c r="E17" s="2777">
        <v>1</v>
      </c>
      <c r="F17" s="2778">
        <v>3000</v>
      </c>
      <c r="G17" s="2778">
        <v>1</v>
      </c>
      <c r="H17" s="2763">
        <f t="shared" si="4"/>
        <v>3000</v>
      </c>
      <c r="I17" s="2162">
        <v>0.3</v>
      </c>
      <c r="J17" s="2777">
        <v>1</v>
      </c>
      <c r="K17" s="2778">
        <f>F17</f>
        <v>3000</v>
      </c>
      <c r="L17" s="2778">
        <v>1</v>
      </c>
      <c r="M17" s="2162">
        <f>J17*K17*L17</f>
        <v>3000</v>
      </c>
      <c r="N17" s="2764"/>
      <c r="O17" s="263">
        <v>0.3</v>
      </c>
      <c r="P17" s="2902">
        <f>+H17+M17+N17</f>
        <v>6000</v>
      </c>
      <c r="Q17" s="263">
        <v>0.3</v>
      </c>
      <c r="R17" s="2765">
        <f>P17*Q17</f>
        <v>1800</v>
      </c>
      <c r="S17" s="2762" t="s">
        <v>1169</v>
      </c>
      <c r="T17" s="2929">
        <v>6245</v>
      </c>
      <c r="U17" s="263">
        <f t="shared" si="2"/>
        <v>1.0408333333333333</v>
      </c>
      <c r="V17" s="264" t="s">
        <v>409</v>
      </c>
      <c r="W17" s="263">
        <f t="shared" si="3"/>
        <v>0.12</v>
      </c>
      <c r="X17" s="2296">
        <v>720</v>
      </c>
      <c r="Y17" s="264" t="s">
        <v>1170</v>
      </c>
    </row>
    <row r="18" spans="1:25" s="2190" customFormat="1" ht="75.75" customHeight="1" x14ac:dyDescent="0.3">
      <c r="A18" s="3144"/>
      <c r="B18" s="269" t="s">
        <v>410</v>
      </c>
      <c r="C18" s="267" t="s">
        <v>48</v>
      </c>
      <c r="D18" s="2157" t="s">
        <v>398</v>
      </c>
      <c r="E18" s="2777">
        <v>3</v>
      </c>
      <c r="F18" s="2778">
        <v>2000</v>
      </c>
      <c r="G18" s="2778">
        <v>1</v>
      </c>
      <c r="H18" s="2763">
        <f t="shared" si="4"/>
        <v>6000</v>
      </c>
      <c r="I18" s="2162">
        <v>0.3</v>
      </c>
      <c r="J18" s="2777">
        <v>3</v>
      </c>
      <c r="K18" s="2778">
        <f>F18</f>
        <v>2000</v>
      </c>
      <c r="L18" s="2778">
        <v>1</v>
      </c>
      <c r="M18" s="2162">
        <f>J18*K18*L18</f>
        <v>6000</v>
      </c>
      <c r="N18" s="2764"/>
      <c r="O18" s="263">
        <v>0.3</v>
      </c>
      <c r="P18" s="2902">
        <f>+H18+M18+N18</f>
        <v>12000</v>
      </c>
      <c r="Q18" s="263">
        <v>0.3</v>
      </c>
      <c r="R18" s="2765">
        <f>P18*Q18</f>
        <v>3600</v>
      </c>
      <c r="S18" s="2779" t="s">
        <v>1171</v>
      </c>
      <c r="T18" s="2929">
        <v>18682</v>
      </c>
      <c r="U18" s="263">
        <f>V3</f>
        <v>0</v>
      </c>
      <c r="V18" s="264" t="s">
        <v>1502</v>
      </c>
      <c r="W18" s="263">
        <f t="shared" si="3"/>
        <v>0.12083333333333333</v>
      </c>
      <c r="X18" s="2296">
        <v>1450</v>
      </c>
      <c r="Y18" s="264" t="s">
        <v>1502</v>
      </c>
    </row>
    <row r="19" spans="1:25" ht="26" x14ac:dyDescent="0.3">
      <c r="A19" s="3144"/>
      <c r="B19" s="264" t="s">
        <v>412</v>
      </c>
      <c r="C19" s="267" t="s">
        <v>48</v>
      </c>
      <c r="D19" s="2157" t="s">
        <v>398</v>
      </c>
      <c r="E19" s="2777">
        <v>3</v>
      </c>
      <c r="F19" s="2778">
        <v>75</v>
      </c>
      <c r="G19" s="2778">
        <v>9</v>
      </c>
      <c r="H19" s="2763">
        <f t="shared" si="4"/>
        <v>2025</v>
      </c>
      <c r="I19" s="2162">
        <v>0.3</v>
      </c>
      <c r="J19" s="2777">
        <v>3</v>
      </c>
      <c r="K19" s="2778">
        <f>F19</f>
        <v>75</v>
      </c>
      <c r="L19" s="2778">
        <v>12</v>
      </c>
      <c r="M19" s="2162">
        <f>J19*K19*L19</f>
        <v>2700</v>
      </c>
      <c r="N19" s="2764"/>
      <c r="O19" s="263">
        <v>0.3</v>
      </c>
      <c r="P19" s="2902">
        <f>+H19+M19+N19</f>
        <v>4725</v>
      </c>
      <c r="Q19" s="263">
        <v>0.3</v>
      </c>
      <c r="R19" s="2765">
        <f>P19*Q19</f>
        <v>1417.5</v>
      </c>
      <c r="S19" s="2762" t="s">
        <v>1173</v>
      </c>
      <c r="T19" s="2929">
        <v>2166</v>
      </c>
      <c r="U19" s="263">
        <f t="shared" si="2"/>
        <v>0.45841269841269844</v>
      </c>
      <c r="V19" s="264" t="s">
        <v>413</v>
      </c>
      <c r="W19" s="263">
        <f t="shared" si="3"/>
        <v>0.11851851851851852</v>
      </c>
      <c r="X19" s="2296">
        <v>560</v>
      </c>
      <c r="Y19" s="264" t="s">
        <v>1174</v>
      </c>
    </row>
    <row r="20" spans="1:25" ht="26" x14ac:dyDescent="0.3">
      <c r="A20" s="3144"/>
      <c r="B20" s="264" t="s">
        <v>414</v>
      </c>
      <c r="C20" s="267" t="s">
        <v>17</v>
      </c>
      <c r="D20" s="2157" t="s">
        <v>398</v>
      </c>
      <c r="E20" s="2777">
        <v>2</v>
      </c>
      <c r="F20" s="2778">
        <v>55</v>
      </c>
      <c r="G20" s="2778">
        <v>18</v>
      </c>
      <c r="H20" s="2763">
        <f t="shared" si="4"/>
        <v>1980</v>
      </c>
      <c r="I20" s="2162">
        <v>0.3</v>
      </c>
      <c r="J20" s="2777">
        <v>2</v>
      </c>
      <c r="K20" s="2778">
        <f>F20</f>
        <v>55</v>
      </c>
      <c r="L20" s="2778">
        <v>18</v>
      </c>
      <c r="M20" s="2162">
        <f>J20*K20*L20</f>
        <v>1980</v>
      </c>
      <c r="N20" s="2764">
        <v>2700</v>
      </c>
      <c r="O20" s="263">
        <v>0.3</v>
      </c>
      <c r="P20" s="2902">
        <f>+H20+M20+N20</f>
        <v>6660</v>
      </c>
      <c r="Q20" s="263">
        <v>0.3</v>
      </c>
      <c r="R20" s="2765">
        <f>P20*Q20</f>
        <v>1998</v>
      </c>
      <c r="S20" s="2779" t="s">
        <v>1175</v>
      </c>
      <c r="T20" s="2929">
        <v>4880.49</v>
      </c>
      <c r="U20" s="263">
        <f t="shared" si="2"/>
        <v>0.73280630630630628</v>
      </c>
      <c r="V20" s="264" t="s">
        <v>1672</v>
      </c>
      <c r="W20" s="263">
        <f t="shared" si="3"/>
        <v>6.9069069069069067E-2</v>
      </c>
      <c r="X20" s="2296">
        <v>460</v>
      </c>
      <c r="Y20" s="264" t="s">
        <v>1176</v>
      </c>
    </row>
    <row r="21" spans="1:25" x14ac:dyDescent="0.3">
      <c r="A21" s="3144"/>
      <c r="B21" s="2767"/>
      <c r="C21" s="513"/>
      <c r="D21" s="2768" t="s">
        <v>0</v>
      </c>
      <c r="E21" s="2769"/>
      <c r="F21" s="2769"/>
      <c r="G21" s="2769"/>
      <c r="H21" s="2770">
        <f>SUM(H16:H20)</f>
        <v>21555</v>
      </c>
      <c r="I21" s="2771"/>
      <c r="J21" s="2771"/>
      <c r="K21" s="2771"/>
      <c r="L21" s="2771"/>
      <c r="M21" s="2771">
        <f>SUM(M16:M20)</f>
        <v>22230</v>
      </c>
      <c r="N21" s="2772">
        <f>SUM(N16:N20)</f>
        <v>6300</v>
      </c>
      <c r="O21" s="2773"/>
      <c r="P21" s="2904">
        <f>SUM(P16:P20)</f>
        <v>50085</v>
      </c>
      <c r="Q21" s="2771"/>
      <c r="R21" s="2771">
        <f>SUM(R16:R20)</f>
        <v>15025.5</v>
      </c>
      <c r="S21" s="2774"/>
      <c r="T21" s="2930">
        <f>SUM(T16:T20)</f>
        <v>50554.439999999995</v>
      </c>
      <c r="U21" s="2775">
        <f>T21/P21</f>
        <v>1.0093728661275829</v>
      </c>
      <c r="V21" s="513"/>
      <c r="W21" s="2775">
        <f>X21/P21</f>
        <v>0.10462214235799142</v>
      </c>
      <c r="X21" s="2776">
        <f>SUM(X16:X20)</f>
        <v>5240</v>
      </c>
      <c r="Y21" s="513"/>
    </row>
    <row r="22" spans="1:25" ht="26" x14ac:dyDescent="0.3">
      <c r="A22" s="3144" t="s">
        <v>416</v>
      </c>
      <c r="B22" s="2170" t="s">
        <v>417</v>
      </c>
      <c r="C22" s="2544" t="s">
        <v>14</v>
      </c>
      <c r="D22" s="2157" t="s">
        <v>398</v>
      </c>
      <c r="E22" s="2780">
        <v>1</v>
      </c>
      <c r="F22" s="2781">
        <v>800</v>
      </c>
      <c r="G22" s="2781">
        <v>12</v>
      </c>
      <c r="H22" s="2763">
        <f>E22*F22*G22</f>
        <v>9600</v>
      </c>
      <c r="I22" s="2162">
        <v>0.3</v>
      </c>
      <c r="J22" s="2780">
        <v>1</v>
      </c>
      <c r="K22" s="2541">
        <f>F22</f>
        <v>800</v>
      </c>
      <c r="L22" s="2781">
        <v>12</v>
      </c>
      <c r="M22" s="2162">
        <f>J22*K22*L22</f>
        <v>9600</v>
      </c>
      <c r="N22" s="2764">
        <v>5808</v>
      </c>
      <c r="O22" s="263">
        <v>0.3</v>
      </c>
      <c r="P22" s="2902">
        <f>+H22+M22+N22</f>
        <v>25008</v>
      </c>
      <c r="Q22" s="263">
        <v>0.3</v>
      </c>
      <c r="R22" s="2765">
        <f>P22*Q22</f>
        <v>7502.4</v>
      </c>
      <c r="S22" s="2779" t="s">
        <v>1177</v>
      </c>
      <c r="T22" s="2929">
        <v>20139.770000000004</v>
      </c>
      <c r="U22" s="263">
        <f>T22/P22</f>
        <v>0.80533309341010895</v>
      </c>
      <c r="V22" s="264" t="s">
        <v>1482</v>
      </c>
      <c r="W22" s="263">
        <f>X22/P22</f>
        <v>9.1970569417786308E-2</v>
      </c>
      <c r="X22" s="2296">
        <v>2300</v>
      </c>
      <c r="Y22" s="264" t="s">
        <v>1178</v>
      </c>
    </row>
    <row r="23" spans="1:25" ht="39" x14ac:dyDescent="0.3">
      <c r="A23" s="3144"/>
      <c r="B23" s="2170" t="s">
        <v>419</v>
      </c>
      <c r="C23" s="2170" t="s">
        <v>14</v>
      </c>
      <c r="D23" s="2554" t="s">
        <v>398</v>
      </c>
      <c r="E23" s="2782">
        <v>0.14754999999999999</v>
      </c>
      <c r="F23" s="2543">
        <v>3500</v>
      </c>
      <c r="G23" s="2781">
        <v>12</v>
      </c>
      <c r="H23" s="2763">
        <f>E23*F23*G23</f>
        <v>6197.0999999999995</v>
      </c>
      <c r="I23" s="2162">
        <v>0.3</v>
      </c>
      <c r="J23" s="2782">
        <v>0.14799999999999999</v>
      </c>
      <c r="K23" s="2541">
        <f>F23</f>
        <v>3500</v>
      </c>
      <c r="L23" s="2781">
        <v>12</v>
      </c>
      <c r="M23" s="2162">
        <f>J23*K23*L23</f>
        <v>6216</v>
      </c>
      <c r="N23" s="2764"/>
      <c r="O23" s="263">
        <v>0.3</v>
      </c>
      <c r="P23" s="2902">
        <f>+H23+M23+N23</f>
        <v>12413.099999999999</v>
      </c>
      <c r="Q23" s="263">
        <v>0.3</v>
      </c>
      <c r="R23" s="2765">
        <f>P23*Q23</f>
        <v>3723.9299999999994</v>
      </c>
      <c r="S23" s="2779" t="s">
        <v>1179</v>
      </c>
      <c r="T23" s="2929">
        <v>13667.269999999997</v>
      </c>
      <c r="U23" s="263">
        <f>T23/P23</f>
        <v>1.1010360022879053</v>
      </c>
      <c r="V23" s="264" t="s">
        <v>420</v>
      </c>
      <c r="W23" s="263">
        <f>X23/P23</f>
        <v>0.12084008023781329</v>
      </c>
      <c r="X23" s="2296">
        <v>1500</v>
      </c>
      <c r="Y23" s="264" t="s">
        <v>421</v>
      </c>
    </row>
    <row r="24" spans="1:25" x14ac:dyDescent="0.3">
      <c r="A24" s="3144"/>
      <c r="B24" s="2170"/>
      <c r="C24" s="264"/>
      <c r="D24" s="2157"/>
      <c r="E24" s="264"/>
      <c r="F24" s="264"/>
      <c r="G24" s="264"/>
      <c r="H24" s="2763">
        <f>E24*F24*G24</f>
        <v>0</v>
      </c>
      <c r="I24" s="2162"/>
      <c r="J24" s="2162"/>
      <c r="K24" s="2162"/>
      <c r="L24" s="2162"/>
      <c r="M24" s="2162">
        <v>0</v>
      </c>
      <c r="N24" s="2783"/>
      <c r="O24" s="2784"/>
      <c r="P24" s="2902"/>
      <c r="Q24" s="267"/>
      <c r="R24" s="2765"/>
      <c r="S24" s="2765"/>
      <c r="T24" s="2929"/>
      <c r="U24" s="2785"/>
      <c r="V24" s="264"/>
      <c r="W24" s="2785"/>
      <c r="X24" s="2296"/>
      <c r="Y24" s="264"/>
    </row>
    <row r="25" spans="1:25" x14ac:dyDescent="0.3">
      <c r="A25" s="3144"/>
      <c r="B25" s="2767"/>
      <c r="C25" s="513"/>
      <c r="D25" s="2768" t="s">
        <v>0</v>
      </c>
      <c r="E25" s="2769"/>
      <c r="F25" s="2769"/>
      <c r="G25" s="2769"/>
      <c r="H25" s="2770">
        <f>SUM(H22:H24)</f>
        <v>15797.099999999999</v>
      </c>
      <c r="I25" s="2771"/>
      <c r="J25" s="2771"/>
      <c r="K25" s="2771"/>
      <c r="L25" s="2771"/>
      <c r="M25" s="2771">
        <f>SUM(M22:M24)</f>
        <v>15816</v>
      </c>
      <c r="N25" s="2771">
        <f>SUM(N22:N24)</f>
        <v>5808</v>
      </c>
      <c r="O25" s="2773"/>
      <c r="P25" s="2904">
        <f>SUM(P22:P24)</f>
        <v>37421.1</v>
      </c>
      <c r="Q25" s="2771"/>
      <c r="R25" s="2771">
        <f>SUM(R22:R24)</f>
        <v>11226.329999999998</v>
      </c>
      <c r="S25" s="2774"/>
      <c r="T25" s="2930">
        <f>SUM(T22:T24)</f>
        <v>33807.040000000001</v>
      </c>
      <c r="U25" s="2775">
        <f>T25/P25</f>
        <v>0.90342186627330578</v>
      </c>
      <c r="V25" s="513"/>
      <c r="W25" s="2775">
        <f>X25/P25</f>
        <v>0.10154698819649877</v>
      </c>
      <c r="X25" s="2776">
        <f>SUM(X22:X24)</f>
        <v>3800</v>
      </c>
      <c r="Y25" s="513"/>
    </row>
    <row r="26" spans="1:25" s="454" customFormat="1" x14ac:dyDescent="0.3">
      <c r="A26" s="3009" t="s">
        <v>43</v>
      </c>
      <c r="B26" s="3010"/>
      <c r="C26" s="2491"/>
      <c r="D26" s="456"/>
      <c r="E26" s="455"/>
      <c r="F26" s="455"/>
      <c r="G26" s="455"/>
      <c r="H26" s="2786">
        <f>H15+H21+H25</f>
        <v>48056.1</v>
      </c>
      <c r="I26" s="2787"/>
      <c r="J26" s="2787"/>
      <c r="K26" s="2787"/>
      <c r="L26" s="2787"/>
      <c r="M26" s="2787">
        <f>M15+M21+M25</f>
        <v>48751</v>
      </c>
      <c r="N26" s="2788">
        <f>N15+N21+N25</f>
        <v>15708</v>
      </c>
      <c r="O26" s="2789"/>
      <c r="P26" s="2905">
        <f>P15+P21+P25</f>
        <v>112515.1</v>
      </c>
      <c r="Q26" s="2787"/>
      <c r="R26" s="2787">
        <f>R15+R21+R25</f>
        <v>33754.53</v>
      </c>
      <c r="S26" s="2790"/>
      <c r="T26" s="2931">
        <f>T15+T21+T25</f>
        <v>103849.56</v>
      </c>
      <c r="U26" s="2792">
        <f>T26/P26</f>
        <v>0.9229833151283694</v>
      </c>
      <c r="V26" s="797"/>
      <c r="W26" s="2792">
        <f>X26/P26</f>
        <v>0.10315948703773982</v>
      </c>
      <c r="X26" s="2793">
        <f>X15+X21+X25</f>
        <v>11607</v>
      </c>
      <c r="Y26" s="517"/>
    </row>
    <row r="27" spans="1:25" x14ac:dyDescent="0.25">
      <c r="A27" s="2991" t="s">
        <v>422</v>
      </c>
      <c r="B27" s="2992"/>
      <c r="C27" s="2992"/>
      <c r="D27" s="2992"/>
      <c r="E27" s="2992"/>
      <c r="F27" s="2992"/>
      <c r="G27" s="2992"/>
      <c r="H27" s="2992"/>
      <c r="I27" s="2992"/>
      <c r="J27" s="2992"/>
      <c r="K27" s="2992"/>
      <c r="L27" s="2992"/>
      <c r="M27" s="2992"/>
      <c r="N27" s="2992"/>
      <c r="O27" s="2992"/>
      <c r="P27" s="2992"/>
      <c r="Q27" s="2992"/>
      <c r="R27" s="2992"/>
      <c r="S27" s="2992"/>
      <c r="T27" s="3140"/>
      <c r="U27" s="3140"/>
      <c r="V27" s="3140"/>
      <c r="W27" s="3140"/>
      <c r="X27" s="3140"/>
      <c r="Y27" s="3140"/>
    </row>
    <row r="28" spans="1:25" s="2805" customFormat="1" ht="65" x14ac:dyDescent="0.3">
      <c r="A28" s="2994" t="s">
        <v>1365</v>
      </c>
      <c r="B28" s="2794" t="s">
        <v>423</v>
      </c>
      <c r="C28" s="2545" t="s">
        <v>15</v>
      </c>
      <c r="D28" s="2795" t="s">
        <v>398</v>
      </c>
      <c r="E28" s="2796">
        <v>4</v>
      </c>
      <c r="F28" s="2797">
        <v>900</v>
      </c>
      <c r="G28" s="2797">
        <v>3</v>
      </c>
      <c r="H28" s="2798">
        <f t="shared" ref="H28:H30" si="5">E28*F28*G28</f>
        <v>10800</v>
      </c>
      <c r="I28" s="2799">
        <v>0.3</v>
      </c>
      <c r="J28" s="2796">
        <v>4</v>
      </c>
      <c r="K28" s="2800">
        <v>900</v>
      </c>
      <c r="L28" s="2797">
        <v>4</v>
      </c>
      <c r="M28" s="2799">
        <f>J28*K28*L28</f>
        <v>14400</v>
      </c>
      <c r="N28" s="2764">
        <v>15000</v>
      </c>
      <c r="O28" s="2801">
        <v>0.3</v>
      </c>
      <c r="P28" s="2902">
        <f>+H28+M28+N28</f>
        <v>40200</v>
      </c>
      <c r="Q28" s="2801">
        <v>0.3</v>
      </c>
      <c r="R28" s="2802">
        <f>P28*Q28</f>
        <v>12060</v>
      </c>
      <c r="S28" s="2803" t="s">
        <v>1180</v>
      </c>
      <c r="T28" s="2932">
        <v>0</v>
      </c>
      <c r="U28" s="2801">
        <f t="shared" ref="U28:U45" si="6">T28/P28</f>
        <v>0</v>
      </c>
      <c r="V28" s="427" t="s">
        <v>424</v>
      </c>
      <c r="W28" s="2801">
        <f t="shared" ref="W28:W45" si="7">X28/P28</f>
        <v>7.4626865671641784E-2</v>
      </c>
      <c r="X28" s="2804">
        <v>3000</v>
      </c>
      <c r="Y28" s="427" t="s">
        <v>1181</v>
      </c>
    </row>
    <row r="29" spans="1:25" ht="65" x14ac:dyDescent="0.3">
      <c r="A29" s="2995"/>
      <c r="B29" s="1371" t="s">
        <v>425</v>
      </c>
      <c r="C29" s="2334" t="s">
        <v>48</v>
      </c>
      <c r="D29" s="2157" t="s">
        <v>398</v>
      </c>
      <c r="E29" s="2540">
        <v>4</v>
      </c>
      <c r="F29" s="2541">
        <v>350</v>
      </c>
      <c r="G29" s="2541">
        <v>4</v>
      </c>
      <c r="H29" s="2763">
        <f t="shared" si="5"/>
        <v>5600</v>
      </c>
      <c r="I29" s="2162">
        <v>0.3</v>
      </c>
      <c r="J29" s="2540">
        <v>4</v>
      </c>
      <c r="K29" s="2158">
        <v>350</v>
      </c>
      <c r="L29" s="2541">
        <v>4</v>
      </c>
      <c r="M29" s="2162">
        <f>J29*K29*L29</f>
        <v>5600</v>
      </c>
      <c r="N29" s="2764">
        <v>6000</v>
      </c>
      <c r="O29" s="263">
        <v>0.3</v>
      </c>
      <c r="P29" s="2902">
        <f>+H29+M29+N29</f>
        <v>17200</v>
      </c>
      <c r="Q29" s="263">
        <v>0.3</v>
      </c>
      <c r="R29" s="2765">
        <f>P29*Q29</f>
        <v>5160</v>
      </c>
      <c r="S29" s="2779" t="s">
        <v>1180</v>
      </c>
      <c r="T29" s="2929">
        <v>8502</v>
      </c>
      <c r="U29" s="263">
        <f t="shared" si="6"/>
        <v>0.49430232558139536</v>
      </c>
      <c r="V29" s="264" t="s">
        <v>424</v>
      </c>
      <c r="W29" s="2801">
        <f t="shared" si="7"/>
        <v>7.8488372093023256E-2</v>
      </c>
      <c r="X29" s="2296">
        <v>1350</v>
      </c>
      <c r="Y29" s="264" t="s">
        <v>1182</v>
      </c>
    </row>
    <row r="30" spans="1:25" ht="26" x14ac:dyDescent="0.3">
      <c r="A30" s="2995"/>
      <c r="B30" s="1371" t="s">
        <v>426</v>
      </c>
      <c r="C30" s="2334" t="s">
        <v>15</v>
      </c>
      <c r="D30" s="2157" t="s">
        <v>398</v>
      </c>
      <c r="E30" s="2540">
        <v>1</v>
      </c>
      <c r="F30" s="2541">
        <v>3000</v>
      </c>
      <c r="G30" s="2541">
        <v>1</v>
      </c>
      <c r="H30" s="2763">
        <f t="shared" si="5"/>
        <v>3000</v>
      </c>
      <c r="I30" s="2162">
        <v>0.3</v>
      </c>
      <c r="J30" s="2540">
        <v>1</v>
      </c>
      <c r="K30" s="2158">
        <v>3000</v>
      </c>
      <c r="L30" s="2541">
        <v>0</v>
      </c>
      <c r="M30" s="2162">
        <f>J30*K30*L30</f>
        <v>0</v>
      </c>
      <c r="N30" s="2764"/>
      <c r="O30" s="263">
        <v>0.3</v>
      </c>
      <c r="P30" s="2902">
        <f>+H30+M30+N30</f>
        <v>3000</v>
      </c>
      <c r="Q30" s="263">
        <v>0.3</v>
      </c>
      <c r="R30" s="2765">
        <f>P30*Q30</f>
        <v>900</v>
      </c>
      <c r="S30" s="2779" t="s">
        <v>1180</v>
      </c>
      <c r="T30" s="2929">
        <v>3000</v>
      </c>
      <c r="U30" s="263">
        <f t="shared" si="6"/>
        <v>1</v>
      </c>
      <c r="V30" s="264"/>
      <c r="W30" s="2801">
        <f t="shared" si="7"/>
        <v>0.11666666666666667</v>
      </c>
      <c r="X30" s="2296">
        <v>350</v>
      </c>
      <c r="Y30" s="264" t="s">
        <v>427</v>
      </c>
    </row>
    <row r="31" spans="1:25" x14ac:dyDescent="0.3">
      <c r="A31" s="2996"/>
      <c r="B31" s="2170"/>
      <c r="C31" s="513"/>
      <c r="D31" s="2768" t="s">
        <v>0</v>
      </c>
      <c r="E31" s="2769"/>
      <c r="F31" s="2769"/>
      <c r="G31" s="2769"/>
      <c r="H31" s="2770">
        <f>SUM(H28:H30)</f>
        <v>19400</v>
      </c>
      <c r="I31" s="2771"/>
      <c r="J31" s="2771"/>
      <c r="K31" s="2771"/>
      <c r="L31" s="2771"/>
      <c r="M31" s="2771">
        <f>SUM(M28:M30)</f>
        <v>20000</v>
      </c>
      <c r="N31" s="2772">
        <f>SUM(N28:N30)</f>
        <v>21000</v>
      </c>
      <c r="O31" s="2773"/>
      <c r="P31" s="2904">
        <f>SUM(P28:P30)</f>
        <v>60400</v>
      </c>
      <c r="Q31" s="2771"/>
      <c r="R31" s="2771">
        <f>SUM(R28:R30)</f>
        <v>18120</v>
      </c>
      <c r="S31" s="2774"/>
      <c r="T31" s="2930">
        <f>SUM(T28:T30)</f>
        <v>11502</v>
      </c>
      <c r="U31" s="2775">
        <f t="shared" si="6"/>
        <v>0.19043046357615895</v>
      </c>
      <c r="V31" s="513"/>
      <c r="W31" s="2775">
        <f t="shared" si="7"/>
        <v>7.7814569536423836E-2</v>
      </c>
      <c r="X31" s="2776">
        <f>SUM(X28:X30)</f>
        <v>4700</v>
      </c>
      <c r="Y31" s="513"/>
    </row>
    <row r="32" spans="1:25" s="2190" customFormat="1" ht="117" x14ac:dyDescent="0.3">
      <c r="A32" s="3144" t="s">
        <v>1366</v>
      </c>
      <c r="B32" s="1314" t="s">
        <v>428</v>
      </c>
      <c r="C32" s="2334" t="s">
        <v>15</v>
      </c>
      <c r="D32" s="2157" t="s">
        <v>398</v>
      </c>
      <c r="E32" s="2541">
        <v>3</v>
      </c>
      <c r="F32" s="2541">
        <v>1700</v>
      </c>
      <c r="G32" s="2541">
        <v>1</v>
      </c>
      <c r="H32" s="2763">
        <f t="shared" ref="H32:H34" si="8">E32*F32*G32</f>
        <v>5100</v>
      </c>
      <c r="I32" s="2162">
        <v>0.3</v>
      </c>
      <c r="J32" s="2541">
        <v>1</v>
      </c>
      <c r="K32" s="2541">
        <f>F32</f>
        <v>1700</v>
      </c>
      <c r="L32" s="2541">
        <v>1</v>
      </c>
      <c r="M32" s="2162">
        <f>J32*K32*L32</f>
        <v>1700</v>
      </c>
      <c r="N32" s="2764">
        <v>2000</v>
      </c>
      <c r="O32" s="263">
        <v>0.3</v>
      </c>
      <c r="P32" s="2902">
        <f>+H32+M32+N32</f>
        <v>8800</v>
      </c>
      <c r="Q32" s="263">
        <v>0.3</v>
      </c>
      <c r="R32" s="2765">
        <f>P32*Q32</f>
        <v>2640</v>
      </c>
      <c r="S32" s="2779" t="s">
        <v>1503</v>
      </c>
      <c r="T32" s="2929">
        <v>9102</v>
      </c>
      <c r="U32" s="263">
        <f t="shared" si="6"/>
        <v>1.0343181818181819</v>
      </c>
      <c r="V32" s="264" t="s">
        <v>1504</v>
      </c>
      <c r="W32" s="263">
        <f t="shared" si="7"/>
        <v>9.3181818181818185E-2</v>
      </c>
      <c r="X32" s="2296">
        <v>820</v>
      </c>
      <c r="Y32" s="264" t="s">
        <v>1504</v>
      </c>
    </row>
    <row r="33" spans="1:25" ht="39" x14ac:dyDescent="0.3">
      <c r="A33" s="3144"/>
      <c r="B33" s="1371" t="s">
        <v>429</v>
      </c>
      <c r="C33" s="2170" t="s">
        <v>47</v>
      </c>
      <c r="D33" s="2157" t="s">
        <v>398</v>
      </c>
      <c r="E33" s="2541">
        <v>3</v>
      </c>
      <c r="F33" s="2541">
        <v>2000</v>
      </c>
      <c r="G33" s="2541">
        <v>1</v>
      </c>
      <c r="H33" s="2763">
        <f t="shared" si="8"/>
        <v>6000</v>
      </c>
      <c r="I33" s="2162">
        <v>0.3</v>
      </c>
      <c r="J33" s="2541">
        <v>1</v>
      </c>
      <c r="K33" s="2541">
        <f>F33</f>
        <v>2000</v>
      </c>
      <c r="L33" s="2541">
        <v>1</v>
      </c>
      <c r="M33" s="2162">
        <f>J33*K33*L33</f>
        <v>2000</v>
      </c>
      <c r="N33" s="2764">
        <v>6000</v>
      </c>
      <c r="O33" s="263">
        <v>0.3</v>
      </c>
      <c r="P33" s="2902">
        <f>+H33+M33+N33</f>
        <v>14000</v>
      </c>
      <c r="Q33" s="263">
        <v>0.3</v>
      </c>
      <c r="R33" s="2765">
        <f>P33*Q33</f>
        <v>4200</v>
      </c>
      <c r="S33" s="2779" t="s">
        <v>1185</v>
      </c>
      <c r="T33" s="2929">
        <v>11262.5</v>
      </c>
      <c r="U33" s="263">
        <f t="shared" si="6"/>
        <v>0.80446428571428574</v>
      </c>
      <c r="V33" s="264" t="s">
        <v>430</v>
      </c>
      <c r="W33" s="263">
        <f t="shared" si="7"/>
        <v>6.7857142857142852E-2</v>
      </c>
      <c r="X33" s="2296">
        <v>950</v>
      </c>
      <c r="Y33" s="264" t="s">
        <v>1186</v>
      </c>
    </row>
    <row r="34" spans="1:25" ht="52" x14ac:dyDescent="0.3">
      <c r="A34" s="3144"/>
      <c r="B34" s="1371" t="s">
        <v>431</v>
      </c>
      <c r="C34" s="2170" t="s">
        <v>48</v>
      </c>
      <c r="D34" s="2157" t="s">
        <v>398</v>
      </c>
      <c r="E34" s="2541">
        <v>3</v>
      </c>
      <c r="F34" s="2541">
        <v>50</v>
      </c>
      <c r="G34" s="2541">
        <v>9</v>
      </c>
      <c r="H34" s="2763">
        <f t="shared" si="8"/>
        <v>1350</v>
      </c>
      <c r="I34" s="2162">
        <v>0.3</v>
      </c>
      <c r="J34" s="2541">
        <v>4</v>
      </c>
      <c r="K34" s="2541">
        <f>F34</f>
        <v>50</v>
      </c>
      <c r="L34" s="2541">
        <v>9</v>
      </c>
      <c r="M34" s="2162">
        <f>J34*K34*L34</f>
        <v>1800</v>
      </c>
      <c r="N34" s="2764"/>
      <c r="O34" s="263">
        <v>0.3</v>
      </c>
      <c r="P34" s="2902">
        <f>+H34+M34+N34</f>
        <v>3150</v>
      </c>
      <c r="Q34" s="263">
        <v>0.3</v>
      </c>
      <c r="R34" s="2765">
        <f>P34*Q34</f>
        <v>945</v>
      </c>
      <c r="S34" s="2779" t="s">
        <v>1187</v>
      </c>
      <c r="T34" s="2929">
        <v>2858</v>
      </c>
      <c r="U34" s="263">
        <f t="shared" si="6"/>
        <v>0.90730158730158728</v>
      </c>
      <c r="V34" s="264" t="s">
        <v>432</v>
      </c>
      <c r="W34" s="263">
        <f t="shared" si="7"/>
        <v>0.12063492063492064</v>
      </c>
      <c r="X34" s="2296">
        <v>380</v>
      </c>
      <c r="Y34" s="264" t="s">
        <v>1188</v>
      </c>
    </row>
    <row r="35" spans="1:25" x14ac:dyDescent="0.3">
      <c r="A35" s="3144"/>
      <c r="B35" s="2170"/>
      <c r="C35" s="264"/>
      <c r="D35" s="2768" t="s">
        <v>0</v>
      </c>
      <c r="E35" s="2769"/>
      <c r="F35" s="2769"/>
      <c r="G35" s="2769"/>
      <c r="H35" s="2770">
        <f>SUM(H32:H34)</f>
        <v>12450</v>
      </c>
      <c r="I35" s="2771"/>
      <c r="J35" s="2771"/>
      <c r="K35" s="2771"/>
      <c r="L35" s="2771"/>
      <c r="M35" s="2771">
        <f>SUM(M32:M34)</f>
        <v>5500</v>
      </c>
      <c r="N35" s="2772">
        <f>SUM(N32:N34)</f>
        <v>8000</v>
      </c>
      <c r="O35" s="2773"/>
      <c r="P35" s="2904">
        <f>SUM(P32:P34)</f>
        <v>25950</v>
      </c>
      <c r="Q35" s="2771"/>
      <c r="R35" s="2771">
        <f>SUM(R32:R34)</f>
        <v>7785</v>
      </c>
      <c r="S35" s="2774"/>
      <c r="T35" s="2930">
        <f>SUM(T32:T34)</f>
        <v>23222.5</v>
      </c>
      <c r="U35" s="2775">
        <f t="shared" si="6"/>
        <v>0.8948940269749518</v>
      </c>
      <c r="V35" s="513"/>
      <c r="W35" s="2775">
        <f t="shared" si="7"/>
        <v>8.2851637764932567E-2</v>
      </c>
      <c r="X35" s="2776">
        <f>SUM(X32:X34)</f>
        <v>2150</v>
      </c>
      <c r="Y35" s="513"/>
    </row>
    <row r="36" spans="1:25" s="2190" customFormat="1" ht="79.5" customHeight="1" x14ac:dyDescent="0.3">
      <c r="A36" s="3145" t="s">
        <v>1367</v>
      </c>
      <c r="B36" s="1314" t="s">
        <v>433</v>
      </c>
      <c r="C36" s="2170" t="s">
        <v>48</v>
      </c>
      <c r="D36" s="2157" t="s">
        <v>398</v>
      </c>
      <c r="E36" s="2541">
        <v>3</v>
      </c>
      <c r="F36" s="2541">
        <v>300</v>
      </c>
      <c r="G36" s="2541">
        <v>3</v>
      </c>
      <c r="H36" s="2763">
        <f>E36*F36*G36</f>
        <v>2700</v>
      </c>
      <c r="I36" s="2162">
        <v>0.3</v>
      </c>
      <c r="J36" s="2541">
        <v>4</v>
      </c>
      <c r="K36" s="2541">
        <f>F36</f>
        <v>300</v>
      </c>
      <c r="L36" s="2541">
        <v>3</v>
      </c>
      <c r="M36" s="2162">
        <f>J36*K36*L36</f>
        <v>3600</v>
      </c>
      <c r="N36" s="2764">
        <v>4200</v>
      </c>
      <c r="O36" s="263">
        <v>0.3</v>
      </c>
      <c r="P36" s="2902">
        <f t="shared" ref="P36:P45" si="9">+H36+M36+N36</f>
        <v>10500</v>
      </c>
      <c r="Q36" s="263">
        <v>0.3</v>
      </c>
      <c r="R36" s="2765">
        <f>P36*Q36</f>
        <v>3150</v>
      </c>
      <c r="S36" s="264" t="s">
        <v>1189</v>
      </c>
      <c r="T36" s="2929">
        <v>13316</v>
      </c>
      <c r="U36" s="263">
        <f t="shared" si="6"/>
        <v>1.2681904761904761</v>
      </c>
      <c r="V36" s="264" t="s">
        <v>1524</v>
      </c>
      <c r="W36" s="263">
        <f t="shared" si="7"/>
        <v>7.2857142857142856E-2</v>
      </c>
      <c r="X36" s="2296">
        <v>765</v>
      </c>
      <c r="Y36" s="264" t="s">
        <v>1505</v>
      </c>
    </row>
    <row r="37" spans="1:25" ht="68.25" customHeight="1" x14ac:dyDescent="0.3">
      <c r="A37" s="3145"/>
      <c r="B37" s="1371" t="s">
        <v>434</v>
      </c>
      <c r="C37" s="2170" t="s">
        <v>48</v>
      </c>
      <c r="D37" s="2157" t="s">
        <v>398</v>
      </c>
      <c r="E37" s="2541">
        <v>3</v>
      </c>
      <c r="F37" s="2541">
        <v>250</v>
      </c>
      <c r="G37" s="2541">
        <v>6</v>
      </c>
      <c r="H37" s="2763">
        <f>E37*F37*G37</f>
        <v>4500</v>
      </c>
      <c r="I37" s="2162">
        <v>0.3</v>
      </c>
      <c r="J37" s="2541">
        <v>4</v>
      </c>
      <c r="K37" s="2541">
        <f>F37</f>
        <v>250</v>
      </c>
      <c r="L37" s="2541">
        <v>6</v>
      </c>
      <c r="M37" s="2162">
        <f>J37*K37*L37</f>
        <v>6000</v>
      </c>
      <c r="N37" s="2764">
        <v>7000</v>
      </c>
      <c r="O37" s="263">
        <v>0.3</v>
      </c>
      <c r="P37" s="2902">
        <f t="shared" si="9"/>
        <v>17500</v>
      </c>
      <c r="Q37" s="263">
        <v>0.3</v>
      </c>
      <c r="R37" s="2765">
        <f>P37*Q37</f>
        <v>5250</v>
      </c>
      <c r="S37" s="264" t="s">
        <v>1189</v>
      </c>
      <c r="T37" s="2929">
        <v>14117.16</v>
      </c>
      <c r="U37" s="263">
        <f t="shared" si="6"/>
        <v>0.80669485714285716</v>
      </c>
      <c r="V37" s="264" t="s">
        <v>424</v>
      </c>
      <c r="W37" s="263">
        <f t="shared" si="7"/>
        <v>7.2571428571428565E-2</v>
      </c>
      <c r="X37" s="2296">
        <v>1270</v>
      </c>
      <c r="Y37" s="264" t="s">
        <v>1191</v>
      </c>
    </row>
    <row r="38" spans="1:25" s="2190" customFormat="1" ht="65" x14ac:dyDescent="0.3">
      <c r="A38" s="3145"/>
      <c r="B38" s="1314" t="s">
        <v>435</v>
      </c>
      <c r="C38" s="2170" t="s">
        <v>48</v>
      </c>
      <c r="D38" s="2157" t="s">
        <v>398</v>
      </c>
      <c r="E38" s="2541">
        <v>3</v>
      </c>
      <c r="F38" s="2541">
        <v>150</v>
      </c>
      <c r="G38" s="2541">
        <v>3</v>
      </c>
      <c r="H38" s="2763">
        <f>E38*F38*G38</f>
        <v>1350</v>
      </c>
      <c r="I38" s="2162">
        <v>0.3</v>
      </c>
      <c r="J38" s="2541">
        <v>4</v>
      </c>
      <c r="K38" s="2541">
        <f>F38</f>
        <v>150</v>
      </c>
      <c r="L38" s="2541">
        <v>3</v>
      </c>
      <c r="M38" s="2162">
        <f>J38*K38*L38</f>
        <v>1800</v>
      </c>
      <c r="N38" s="2764">
        <v>7000</v>
      </c>
      <c r="O38" s="263">
        <v>0.3</v>
      </c>
      <c r="P38" s="2902">
        <f t="shared" si="9"/>
        <v>10150</v>
      </c>
      <c r="Q38" s="263">
        <v>0.3</v>
      </c>
      <c r="R38" s="2765">
        <f>P38*Q38</f>
        <v>3045</v>
      </c>
      <c r="S38" s="264" t="s">
        <v>1192</v>
      </c>
      <c r="T38" s="2929">
        <v>7043</v>
      </c>
      <c r="U38" s="263">
        <f t="shared" si="6"/>
        <v>0.69389162561576356</v>
      </c>
      <c r="V38" s="264" t="s">
        <v>1507</v>
      </c>
      <c r="W38" s="263">
        <f t="shared" si="7"/>
        <v>3.7438423645320199E-2</v>
      </c>
      <c r="X38" s="2296">
        <v>380</v>
      </c>
      <c r="Y38" s="264" t="s">
        <v>1193</v>
      </c>
    </row>
    <row r="39" spans="1:25" ht="65" x14ac:dyDescent="0.3">
      <c r="A39" s="3145"/>
      <c r="B39" s="1371" t="s">
        <v>437</v>
      </c>
      <c r="C39" s="2170" t="s">
        <v>48</v>
      </c>
      <c r="D39" s="2157" t="s">
        <v>398</v>
      </c>
      <c r="E39" s="2541">
        <v>3</v>
      </c>
      <c r="F39" s="2541">
        <v>150</v>
      </c>
      <c r="G39" s="2541">
        <v>1</v>
      </c>
      <c r="H39" s="2763">
        <f>E39*F39*G39</f>
        <v>450</v>
      </c>
      <c r="I39" s="2162">
        <v>0.3</v>
      </c>
      <c r="J39" s="2541">
        <v>4</v>
      </c>
      <c r="K39" s="2541">
        <f>F39</f>
        <v>150</v>
      </c>
      <c r="L39" s="2541">
        <v>1</v>
      </c>
      <c r="M39" s="2162">
        <f>J39*K39*L39</f>
        <v>600</v>
      </c>
      <c r="N39" s="2764">
        <v>8000</v>
      </c>
      <c r="O39" s="263">
        <v>0.3</v>
      </c>
      <c r="P39" s="2902">
        <f t="shared" si="9"/>
        <v>9050</v>
      </c>
      <c r="Q39" s="263">
        <v>0.3</v>
      </c>
      <c r="R39" s="2765">
        <f>P39*Q39</f>
        <v>2715</v>
      </c>
      <c r="S39" s="264" t="s">
        <v>1189</v>
      </c>
      <c r="T39" s="2929">
        <v>4065</v>
      </c>
      <c r="U39" s="263">
        <f t="shared" si="6"/>
        <v>0.44917127071823204</v>
      </c>
      <c r="V39" s="264" t="s">
        <v>438</v>
      </c>
      <c r="W39" s="263">
        <f t="shared" si="7"/>
        <v>1.3812154696132596E-2</v>
      </c>
      <c r="X39" s="2296">
        <v>125</v>
      </c>
      <c r="Y39" s="264" t="s">
        <v>1194</v>
      </c>
    </row>
    <row r="40" spans="1:25" x14ac:dyDescent="0.3">
      <c r="A40" s="3145"/>
      <c r="B40" s="2767"/>
      <c r="C40" s="513"/>
      <c r="D40" s="2768" t="s">
        <v>0</v>
      </c>
      <c r="E40" s="2769"/>
      <c r="F40" s="2769"/>
      <c r="G40" s="2769"/>
      <c r="H40" s="2770">
        <f>SUM(H36:H39)</f>
        <v>9000</v>
      </c>
      <c r="I40" s="2771"/>
      <c r="J40" s="2771"/>
      <c r="K40" s="2771"/>
      <c r="L40" s="2771"/>
      <c r="M40" s="2771">
        <f>SUM(M36:M39)</f>
        <v>12000</v>
      </c>
      <c r="N40" s="2772">
        <f>SUM(N36:N39)</f>
        <v>26200</v>
      </c>
      <c r="O40" s="2773"/>
      <c r="P40" s="2904">
        <f>SUM(P36:P39)</f>
        <v>47200</v>
      </c>
      <c r="Q40" s="2771"/>
      <c r="R40" s="2771">
        <f>SUM(R36:R39)</f>
        <v>14160</v>
      </c>
      <c r="S40" s="2774"/>
      <c r="T40" s="2930">
        <f>SUM(T36:T39)</f>
        <v>38541.160000000003</v>
      </c>
      <c r="U40" s="600">
        <f t="shared" si="6"/>
        <v>0.81655000000000011</v>
      </c>
      <c r="V40" s="513"/>
      <c r="W40" s="600">
        <f t="shared" si="7"/>
        <v>5.3813559322033896E-2</v>
      </c>
      <c r="X40" s="2776">
        <f>SUM(X36:X39)</f>
        <v>2540</v>
      </c>
      <c r="Y40" s="513"/>
    </row>
    <row r="41" spans="1:25" ht="26" x14ac:dyDescent="0.3">
      <c r="A41" s="3003" t="s">
        <v>439</v>
      </c>
      <c r="B41" s="1371" t="s">
        <v>440</v>
      </c>
      <c r="C41" s="2170" t="s">
        <v>48</v>
      </c>
      <c r="D41" s="2157" t="s">
        <v>398</v>
      </c>
      <c r="E41" s="2541">
        <v>3</v>
      </c>
      <c r="F41" s="2541">
        <v>2900</v>
      </c>
      <c r="G41" s="2541">
        <v>1</v>
      </c>
      <c r="H41" s="2763">
        <f t="shared" ref="H41:H46" si="10">E41*F41*G41</f>
        <v>8700</v>
      </c>
      <c r="I41" s="2162">
        <v>0.3</v>
      </c>
      <c r="J41" s="2541">
        <v>4</v>
      </c>
      <c r="K41" s="2158">
        <v>3000</v>
      </c>
      <c r="L41" s="2541">
        <v>1</v>
      </c>
      <c r="M41" s="2162">
        <f>J41*K41*L41</f>
        <v>12000</v>
      </c>
      <c r="N41" s="2764">
        <v>20000</v>
      </c>
      <c r="O41" s="263">
        <v>0.3</v>
      </c>
      <c r="P41" s="2902">
        <f t="shared" si="9"/>
        <v>40700</v>
      </c>
      <c r="Q41" s="263">
        <v>0.3</v>
      </c>
      <c r="R41" s="2765">
        <f>P41*Q41</f>
        <v>12210</v>
      </c>
      <c r="S41" s="264" t="s">
        <v>1195</v>
      </c>
      <c r="T41" s="2929">
        <v>35160</v>
      </c>
      <c r="U41" s="263">
        <f t="shared" si="6"/>
        <v>0.8638820638820639</v>
      </c>
      <c r="V41" s="264" t="s">
        <v>441</v>
      </c>
      <c r="W41" s="2806">
        <f t="shared" si="7"/>
        <v>5.8845208845208843E-2</v>
      </c>
      <c r="X41" s="2296">
        <v>2395</v>
      </c>
      <c r="Y41" s="264" t="s">
        <v>1186</v>
      </c>
    </row>
    <row r="42" spans="1:25" ht="26" x14ac:dyDescent="0.3">
      <c r="A42" s="3004"/>
      <c r="B42" s="1371" t="s">
        <v>442</v>
      </c>
      <c r="C42" s="2334" t="s">
        <v>15</v>
      </c>
      <c r="D42" s="2157" t="s">
        <v>398</v>
      </c>
      <c r="E42" s="2541">
        <v>4</v>
      </c>
      <c r="F42" s="2541">
        <v>1400</v>
      </c>
      <c r="G42" s="2541">
        <v>1</v>
      </c>
      <c r="H42" s="2763">
        <f t="shared" si="10"/>
        <v>5600</v>
      </c>
      <c r="I42" s="2162">
        <v>0.3</v>
      </c>
      <c r="J42" s="2541">
        <v>4</v>
      </c>
      <c r="K42" s="2158">
        <v>1400</v>
      </c>
      <c r="L42" s="2541">
        <v>0</v>
      </c>
      <c r="M42" s="2162">
        <f>J42*K42*L42</f>
        <v>0</v>
      </c>
      <c r="N42" s="2764"/>
      <c r="O42" s="263">
        <v>0.3</v>
      </c>
      <c r="P42" s="2902">
        <f t="shared" si="9"/>
        <v>5600</v>
      </c>
      <c r="Q42" s="263">
        <v>0.3</v>
      </c>
      <c r="R42" s="2765">
        <f>P42*Q42</f>
        <v>1680</v>
      </c>
      <c r="S42" s="2779" t="s">
        <v>1195</v>
      </c>
      <c r="T42" s="2929">
        <v>3127</v>
      </c>
      <c r="U42" s="263">
        <f t="shared" si="6"/>
        <v>0.55839285714285714</v>
      </c>
      <c r="V42" s="264" t="s">
        <v>443</v>
      </c>
      <c r="W42" s="2806">
        <f t="shared" si="7"/>
        <v>0.11696428571428572</v>
      </c>
      <c r="X42" s="2296">
        <v>655</v>
      </c>
      <c r="Y42" s="264" t="s">
        <v>1196</v>
      </c>
    </row>
    <row r="43" spans="1:25" s="2190" customFormat="1" ht="78" x14ac:dyDescent="0.3">
      <c r="A43" s="3004"/>
      <c r="B43" s="1314" t="s">
        <v>444</v>
      </c>
      <c r="C43" s="2170" t="s">
        <v>47</v>
      </c>
      <c r="D43" s="2157" t="s">
        <v>398</v>
      </c>
      <c r="E43" s="2541">
        <v>4</v>
      </c>
      <c r="F43" s="2541">
        <v>2000</v>
      </c>
      <c r="G43" s="2541">
        <v>1</v>
      </c>
      <c r="H43" s="2763">
        <f t="shared" si="10"/>
        <v>8000</v>
      </c>
      <c r="I43" s="2162">
        <v>0.3</v>
      </c>
      <c r="J43" s="2541">
        <v>4</v>
      </c>
      <c r="K43" s="2158">
        <v>2000</v>
      </c>
      <c r="L43" s="2541">
        <v>0</v>
      </c>
      <c r="M43" s="2162">
        <f>J43*K43*L43</f>
        <v>0</v>
      </c>
      <c r="N43" s="2764">
        <v>5000</v>
      </c>
      <c r="O43" s="263">
        <v>0.3</v>
      </c>
      <c r="P43" s="2902">
        <f t="shared" si="9"/>
        <v>13000</v>
      </c>
      <c r="Q43" s="263">
        <v>0.3</v>
      </c>
      <c r="R43" s="2765">
        <f>P43*Q43</f>
        <v>3900</v>
      </c>
      <c r="S43" s="2779" t="s">
        <v>1506</v>
      </c>
      <c r="T43" s="2929">
        <v>21810.510000000002</v>
      </c>
      <c r="U43" s="263">
        <f t="shared" si="6"/>
        <v>1.6777315384615386</v>
      </c>
      <c r="V43" s="264" t="s">
        <v>1509</v>
      </c>
      <c r="W43" s="2806">
        <f t="shared" si="7"/>
        <v>7.2307692307692309E-2</v>
      </c>
      <c r="X43" s="2296">
        <v>940</v>
      </c>
      <c r="Y43" s="264" t="s">
        <v>1508</v>
      </c>
    </row>
    <row r="44" spans="1:25" ht="39" x14ac:dyDescent="0.3">
      <c r="A44" s="3004"/>
      <c r="B44" s="1371" t="s">
        <v>446</v>
      </c>
      <c r="C44" s="2170" t="s">
        <v>48</v>
      </c>
      <c r="D44" s="2157" t="s">
        <v>398</v>
      </c>
      <c r="E44" s="2541">
        <v>4</v>
      </c>
      <c r="F44" s="2541">
        <v>50</v>
      </c>
      <c r="G44" s="2541">
        <v>9</v>
      </c>
      <c r="H44" s="2763">
        <f t="shared" si="10"/>
        <v>1800</v>
      </c>
      <c r="I44" s="2162">
        <v>0.3</v>
      </c>
      <c r="J44" s="2541">
        <v>4</v>
      </c>
      <c r="K44" s="2158">
        <v>110</v>
      </c>
      <c r="L44" s="2541">
        <v>12</v>
      </c>
      <c r="M44" s="2162">
        <f>J44*K44*L44</f>
        <v>5280</v>
      </c>
      <c r="N44" s="2764"/>
      <c r="O44" s="263">
        <v>0.3</v>
      </c>
      <c r="P44" s="2902">
        <f t="shared" si="9"/>
        <v>7080</v>
      </c>
      <c r="Q44" s="263">
        <v>0.3</v>
      </c>
      <c r="R44" s="2765">
        <f>P44*Q44</f>
        <v>2124</v>
      </c>
      <c r="S44" s="2779" t="s">
        <v>1198</v>
      </c>
      <c r="T44" s="2929">
        <v>3640</v>
      </c>
      <c r="U44" s="263">
        <f t="shared" si="6"/>
        <v>0.51412429378531077</v>
      </c>
      <c r="V44" s="264" t="s">
        <v>447</v>
      </c>
      <c r="W44" s="2806">
        <f t="shared" si="7"/>
        <v>0.1172316384180791</v>
      </c>
      <c r="X44" s="2296">
        <v>830</v>
      </c>
      <c r="Y44" s="264" t="s">
        <v>1199</v>
      </c>
    </row>
    <row r="45" spans="1:25" ht="39" x14ac:dyDescent="0.3">
      <c r="A45" s="3004"/>
      <c r="B45" s="2807" t="s">
        <v>448</v>
      </c>
      <c r="C45" s="2170" t="s">
        <v>48</v>
      </c>
      <c r="D45" s="2157" t="s">
        <v>398</v>
      </c>
      <c r="E45" s="2541">
        <v>4</v>
      </c>
      <c r="F45" s="2541">
        <v>50</v>
      </c>
      <c r="G45" s="2541">
        <v>18</v>
      </c>
      <c r="H45" s="2763">
        <f t="shared" si="10"/>
        <v>3600</v>
      </c>
      <c r="I45" s="2162">
        <v>0.3</v>
      </c>
      <c r="J45" s="2541">
        <v>4</v>
      </c>
      <c r="K45" s="2158">
        <v>50</v>
      </c>
      <c r="L45" s="2541">
        <v>18</v>
      </c>
      <c r="M45" s="2162">
        <f>J45*K45*L45</f>
        <v>3600</v>
      </c>
      <c r="N45" s="2764"/>
      <c r="O45" s="263">
        <v>0.3</v>
      </c>
      <c r="P45" s="2902">
        <f t="shared" si="9"/>
        <v>7200</v>
      </c>
      <c r="Q45" s="263">
        <v>0.3</v>
      </c>
      <c r="R45" s="2765">
        <f>P45*Q45</f>
        <v>2160</v>
      </c>
      <c r="S45" s="2779" t="s">
        <v>1200</v>
      </c>
      <c r="T45" s="2929">
        <v>4470</v>
      </c>
      <c r="U45" s="263">
        <f t="shared" si="6"/>
        <v>0.62083333333333335</v>
      </c>
      <c r="V45" s="264" t="s">
        <v>447</v>
      </c>
      <c r="W45" s="2806">
        <f t="shared" si="7"/>
        <v>0.11805555555555555</v>
      </c>
      <c r="X45" s="2296">
        <v>850</v>
      </c>
      <c r="Y45" s="264" t="s">
        <v>1201</v>
      </c>
    </row>
    <row r="46" spans="1:25" x14ac:dyDescent="0.3">
      <c r="A46" s="3004"/>
      <c r="B46" s="2170"/>
      <c r="C46" s="264"/>
      <c r="D46" s="2157"/>
      <c r="E46" s="264"/>
      <c r="F46" s="264"/>
      <c r="G46" s="264"/>
      <c r="H46" s="2763">
        <f t="shared" si="10"/>
        <v>0</v>
      </c>
      <c r="I46" s="2162"/>
      <c r="J46" s="2162"/>
      <c r="K46" s="2162"/>
      <c r="L46" s="2162"/>
      <c r="M46" s="2162">
        <v>0</v>
      </c>
      <c r="N46" s="2783"/>
      <c r="O46" s="2784"/>
      <c r="P46" s="2902"/>
      <c r="Q46" s="267"/>
      <c r="R46" s="2765"/>
      <c r="S46" s="2765"/>
      <c r="T46" s="2929"/>
      <c r="U46" s="2785"/>
      <c r="V46" s="264"/>
      <c r="W46" s="2806"/>
      <c r="X46" s="2296"/>
      <c r="Y46" s="264"/>
    </row>
    <row r="47" spans="1:25" x14ac:dyDescent="0.3">
      <c r="A47" s="3005"/>
      <c r="B47" s="2767"/>
      <c r="C47" s="513"/>
      <c r="D47" s="2768" t="s">
        <v>0</v>
      </c>
      <c r="E47" s="2769"/>
      <c r="F47" s="2769"/>
      <c r="G47" s="2769"/>
      <c r="H47" s="2770">
        <f>SUM(H41:H46)</f>
        <v>27700</v>
      </c>
      <c r="I47" s="2771"/>
      <c r="J47" s="2771"/>
      <c r="K47" s="2771"/>
      <c r="L47" s="2771"/>
      <c r="M47" s="2771">
        <f>SUM(M41:M46)</f>
        <v>20880</v>
      </c>
      <c r="N47" s="2772">
        <f>SUM(N41:N46)</f>
        <v>25000</v>
      </c>
      <c r="O47" s="2773"/>
      <c r="P47" s="2904">
        <f>SUM(P41:P46)</f>
        <v>73580</v>
      </c>
      <c r="Q47" s="2771"/>
      <c r="R47" s="2771">
        <f>SUM(R41:R46)</f>
        <v>22074</v>
      </c>
      <c r="S47" s="2774"/>
      <c r="T47" s="2930">
        <f>SUM(T41:T46)</f>
        <v>68207.510000000009</v>
      </c>
      <c r="U47" s="2775">
        <f t="shared" ref="U47:U52" si="11">T47/P47</f>
        <v>0.92698437075292217</v>
      </c>
      <c r="V47" s="513"/>
      <c r="W47" s="600">
        <f>X47/P47</f>
        <v>7.7058983419407451E-2</v>
      </c>
      <c r="X47" s="2776">
        <f>SUM(X41:X46)</f>
        <v>5670</v>
      </c>
      <c r="Y47" s="513"/>
    </row>
    <row r="48" spans="1:25" ht="78" x14ac:dyDescent="0.3">
      <c r="A48" s="3144" t="s">
        <v>449</v>
      </c>
      <c r="B48" s="2350" t="s">
        <v>450</v>
      </c>
      <c r="C48" s="2170" t="s">
        <v>14</v>
      </c>
      <c r="D48" s="2157" t="s">
        <v>398</v>
      </c>
      <c r="E48" s="2541">
        <v>0.5</v>
      </c>
      <c r="F48" s="2546">
        <v>1300</v>
      </c>
      <c r="G48" s="2540">
        <v>12</v>
      </c>
      <c r="H48" s="2763">
        <f t="shared" ref="H48:H50" si="12">E48*F48*G48</f>
        <v>7800</v>
      </c>
      <c r="I48" s="2162">
        <v>0.1</v>
      </c>
      <c r="J48" s="2547">
        <v>1</v>
      </c>
      <c r="K48" s="2541">
        <f>F48</f>
        <v>1300</v>
      </c>
      <c r="L48" s="2540">
        <v>12</v>
      </c>
      <c r="M48" s="2162">
        <f>J48*K48*L48</f>
        <v>15600</v>
      </c>
      <c r="N48" s="2764">
        <v>10824</v>
      </c>
      <c r="O48" s="263">
        <v>0.1</v>
      </c>
      <c r="P48" s="2902">
        <f>+H48+M48+N48</f>
        <v>34224</v>
      </c>
      <c r="Q48" s="263">
        <v>0.1</v>
      </c>
      <c r="R48" s="2765">
        <f>P48*Q48</f>
        <v>3422.4</v>
      </c>
      <c r="S48" s="2779" t="s">
        <v>1202</v>
      </c>
      <c r="T48" s="2929">
        <v>36168.089999999997</v>
      </c>
      <c r="U48" s="263">
        <f t="shared" si="11"/>
        <v>1.0568048737727909</v>
      </c>
      <c r="V48" s="264" t="s">
        <v>451</v>
      </c>
      <c r="W48" s="2806">
        <f>X48/P48</f>
        <v>2.6881720430107527E-2</v>
      </c>
      <c r="X48" s="2296">
        <v>920</v>
      </c>
      <c r="Y48" s="264" t="s">
        <v>1113</v>
      </c>
    </row>
    <row r="49" spans="1:25" ht="26" x14ac:dyDescent="0.3">
      <c r="A49" s="3144"/>
      <c r="B49" s="2350" t="s">
        <v>453</v>
      </c>
      <c r="C49" s="2170" t="s">
        <v>14</v>
      </c>
      <c r="D49" s="2157" t="s">
        <v>398</v>
      </c>
      <c r="E49" s="2548">
        <v>1</v>
      </c>
      <c r="F49" s="2549">
        <v>850</v>
      </c>
      <c r="G49" s="2540">
        <v>12</v>
      </c>
      <c r="H49" s="2763">
        <f t="shared" si="12"/>
        <v>10200</v>
      </c>
      <c r="I49" s="2162">
        <v>0.1</v>
      </c>
      <c r="J49" s="2547">
        <v>1</v>
      </c>
      <c r="K49" s="2541">
        <f>F49</f>
        <v>850</v>
      </c>
      <c r="L49" s="2540">
        <v>12</v>
      </c>
      <c r="M49" s="2162">
        <f>J49*K49*L49</f>
        <v>10200</v>
      </c>
      <c r="N49" s="2764">
        <v>5094</v>
      </c>
      <c r="O49" s="263">
        <v>0.1</v>
      </c>
      <c r="P49" s="2902">
        <f>+H49+M49+N49</f>
        <v>25494</v>
      </c>
      <c r="Q49" s="263">
        <v>0.1</v>
      </c>
      <c r="R49" s="2765">
        <f>P49*Q49</f>
        <v>2549.4</v>
      </c>
      <c r="S49" s="2779" t="s">
        <v>1203</v>
      </c>
      <c r="T49" s="2929">
        <v>18149.72</v>
      </c>
      <c r="U49" s="263">
        <f t="shared" si="11"/>
        <v>0.7119212363693419</v>
      </c>
      <c r="V49" s="264" t="s">
        <v>451</v>
      </c>
      <c r="W49" s="2806">
        <f t="shared" ref="W49:W51" si="13">X49/P49</f>
        <v>3.2164430846473677E-2</v>
      </c>
      <c r="X49" s="2296">
        <v>820</v>
      </c>
      <c r="Y49" s="264" t="s">
        <v>452</v>
      </c>
    </row>
    <row r="50" spans="1:25" ht="26" x14ac:dyDescent="0.3">
      <c r="A50" s="3144"/>
      <c r="B50" s="2350" t="s">
        <v>454</v>
      </c>
      <c r="C50" s="2170" t="s">
        <v>48</v>
      </c>
      <c r="D50" s="2157" t="s">
        <v>398</v>
      </c>
      <c r="E50" s="2548">
        <v>1</v>
      </c>
      <c r="F50" s="2549">
        <v>4100</v>
      </c>
      <c r="G50" s="2540">
        <v>12</v>
      </c>
      <c r="H50" s="2763">
        <f t="shared" si="12"/>
        <v>49200</v>
      </c>
      <c r="I50" s="2162">
        <v>0.1</v>
      </c>
      <c r="J50" s="2548">
        <v>1</v>
      </c>
      <c r="K50" s="2541">
        <f>F50</f>
        <v>4100</v>
      </c>
      <c r="L50" s="2540">
        <v>12</v>
      </c>
      <c r="M50" s="2162">
        <f>J50*K50*L50</f>
        <v>49200</v>
      </c>
      <c r="N50" s="2764"/>
      <c r="O50" s="263">
        <v>0.1</v>
      </c>
      <c r="P50" s="2902">
        <f>+H50+M50+N50</f>
        <v>98400</v>
      </c>
      <c r="Q50" s="263">
        <v>0.1</v>
      </c>
      <c r="R50" s="2765">
        <f>P50*Q50</f>
        <v>9840</v>
      </c>
      <c r="S50" s="2765"/>
      <c r="T50" s="2929">
        <v>96290.609999999986</v>
      </c>
      <c r="U50" s="263">
        <f t="shared" si="11"/>
        <v>0.97856310975609739</v>
      </c>
      <c r="V50" s="264" t="s">
        <v>455</v>
      </c>
      <c r="W50" s="2806">
        <f t="shared" si="13"/>
        <v>3.8617886178861791E-2</v>
      </c>
      <c r="X50" s="2296">
        <v>3800</v>
      </c>
      <c r="Y50" s="264" t="s">
        <v>1113</v>
      </c>
    </row>
    <row r="51" spans="1:25" s="454" customFormat="1" x14ac:dyDescent="0.3">
      <c r="A51" s="3144"/>
      <c r="B51" s="2767"/>
      <c r="C51" s="513"/>
      <c r="D51" s="2768" t="s">
        <v>0</v>
      </c>
      <c r="E51" s="2769"/>
      <c r="F51" s="2769"/>
      <c r="G51" s="2769"/>
      <c r="H51" s="2770">
        <f>SUM(H48:H50)</f>
        <v>67200</v>
      </c>
      <c r="I51" s="2771"/>
      <c r="J51" s="2771"/>
      <c r="K51" s="2771"/>
      <c r="L51" s="2771"/>
      <c r="M51" s="2771">
        <f>SUM(M48:M50)</f>
        <v>75000</v>
      </c>
      <c r="N51" s="2772">
        <f>SUM(N48:N50)</f>
        <v>15918</v>
      </c>
      <c r="O51" s="2773"/>
      <c r="P51" s="2904">
        <f>SUM(P48:P50)</f>
        <v>158118</v>
      </c>
      <c r="Q51" s="2771"/>
      <c r="R51" s="2771">
        <f>SUM(R48:R50)</f>
        <v>15811.8</v>
      </c>
      <c r="S51" s="2774"/>
      <c r="T51" s="2930">
        <f>SUM(T48:T50)</f>
        <v>150608.41999999998</v>
      </c>
      <c r="U51" s="2775">
        <f t="shared" si="11"/>
        <v>0.95250648250041103</v>
      </c>
      <c r="V51" s="513"/>
      <c r="W51" s="600">
        <f t="shared" si="13"/>
        <v>3.5037124173085923E-2</v>
      </c>
      <c r="X51" s="2776">
        <f>SUM(X48:X50)</f>
        <v>5540</v>
      </c>
      <c r="Y51" s="516"/>
    </row>
    <row r="52" spans="1:25" s="454" customFormat="1" x14ac:dyDescent="0.3">
      <c r="A52" s="3009" t="s">
        <v>456</v>
      </c>
      <c r="B52" s="3010"/>
      <c r="C52" s="2491"/>
      <c r="D52" s="456"/>
      <c r="E52" s="455"/>
      <c r="F52" s="455"/>
      <c r="G52" s="455"/>
      <c r="H52" s="2786">
        <f>H51+H47+H40+H35+H31</f>
        <v>135750</v>
      </c>
      <c r="I52" s="2787"/>
      <c r="J52" s="2787"/>
      <c r="K52" s="2787"/>
      <c r="L52" s="2787"/>
      <c r="M52" s="2787">
        <f>M51+M47+M40+M35+M31</f>
        <v>133380</v>
      </c>
      <c r="N52" s="2788">
        <f>N51+N47+N40+N35+N31</f>
        <v>96118</v>
      </c>
      <c r="O52" s="2808"/>
      <c r="P52" s="2905">
        <f>P51+P47+P40+P35+P31</f>
        <v>365248</v>
      </c>
      <c r="Q52" s="2787"/>
      <c r="R52" s="2787">
        <f>R51+R47+R40+R35+R31</f>
        <v>77950.8</v>
      </c>
      <c r="S52" s="2790"/>
      <c r="T52" s="2931">
        <f>T51+T47+T40+T35+T31</f>
        <v>292081.58999999997</v>
      </c>
      <c r="U52" s="2792">
        <f t="shared" si="11"/>
        <v>0.79968018989837031</v>
      </c>
      <c r="V52" s="797"/>
      <c r="W52" s="1056">
        <f>X52/P52</f>
        <v>5.6400035044681968E-2</v>
      </c>
      <c r="X52" s="2809">
        <f>X51+X47+X40+X35+X31</f>
        <v>20600</v>
      </c>
      <c r="Y52" s="517"/>
    </row>
    <row r="53" spans="1:25" x14ac:dyDescent="0.25">
      <c r="A53" s="2991" t="s">
        <v>457</v>
      </c>
      <c r="B53" s="2992"/>
      <c r="C53" s="2992"/>
      <c r="D53" s="2992"/>
      <c r="E53" s="2992"/>
      <c r="F53" s="2992"/>
      <c r="G53" s="2992"/>
      <c r="H53" s="2992"/>
      <c r="I53" s="2992"/>
      <c r="J53" s="2992"/>
      <c r="K53" s="2992"/>
      <c r="L53" s="2992"/>
      <c r="M53" s="2992"/>
      <c r="N53" s="2992"/>
      <c r="O53" s="2992"/>
      <c r="P53" s="2992"/>
      <c r="Q53" s="2992"/>
      <c r="R53" s="2992"/>
      <c r="S53" s="2992"/>
      <c r="T53" s="3140"/>
      <c r="U53" s="3140"/>
      <c r="V53" s="3140"/>
      <c r="W53" s="3140"/>
      <c r="X53" s="3140"/>
      <c r="Y53" s="3140"/>
    </row>
    <row r="54" spans="1:25" x14ac:dyDescent="0.3">
      <c r="A54" s="3144" t="s">
        <v>458</v>
      </c>
      <c r="B54" s="2170"/>
      <c r="C54" s="264"/>
      <c r="D54" s="2157"/>
      <c r="E54" s="2170"/>
      <c r="F54" s="2170"/>
      <c r="G54" s="2170"/>
      <c r="H54" s="2763">
        <v>0</v>
      </c>
      <c r="I54" s="2162"/>
      <c r="J54" s="2162"/>
      <c r="K54" s="2162"/>
      <c r="L54" s="2162"/>
      <c r="M54" s="2162">
        <v>0</v>
      </c>
      <c r="N54" s="2783"/>
      <c r="O54" s="2784"/>
      <c r="P54" s="2902"/>
      <c r="Q54" s="267"/>
      <c r="R54" s="2765"/>
      <c r="S54" s="2765"/>
      <c r="T54" s="2929"/>
      <c r="U54" s="2785"/>
      <c r="V54" s="264"/>
      <c r="W54" s="2785"/>
      <c r="X54" s="2296"/>
      <c r="Y54" s="264"/>
    </row>
    <row r="55" spans="1:25" x14ac:dyDescent="0.3">
      <c r="A55" s="3144"/>
      <c r="B55" s="2170"/>
      <c r="C55" s="264"/>
      <c r="D55" s="2157"/>
      <c r="E55" s="264"/>
      <c r="F55" s="264"/>
      <c r="G55" s="264"/>
      <c r="H55" s="2763">
        <v>0</v>
      </c>
      <c r="I55" s="2162"/>
      <c r="J55" s="2162"/>
      <c r="K55" s="2162"/>
      <c r="L55" s="2162"/>
      <c r="M55" s="2162">
        <v>0</v>
      </c>
      <c r="N55" s="2783"/>
      <c r="O55" s="2784"/>
      <c r="P55" s="2902"/>
      <c r="Q55" s="267"/>
      <c r="R55" s="2765"/>
      <c r="S55" s="2765"/>
      <c r="T55" s="2929"/>
      <c r="U55" s="2785"/>
      <c r="V55" s="264"/>
      <c r="W55" s="2785"/>
      <c r="X55" s="2296"/>
      <c r="Y55" s="264"/>
    </row>
    <row r="56" spans="1:25" x14ac:dyDescent="0.3">
      <c r="A56" s="3144"/>
      <c r="B56" s="2170"/>
      <c r="C56" s="264"/>
      <c r="D56" s="2157"/>
      <c r="E56" s="264"/>
      <c r="F56" s="264"/>
      <c r="G56" s="264"/>
      <c r="H56" s="2763">
        <v>0</v>
      </c>
      <c r="I56" s="2162"/>
      <c r="J56" s="2162"/>
      <c r="K56" s="2162"/>
      <c r="L56" s="2162"/>
      <c r="M56" s="2162">
        <v>0</v>
      </c>
      <c r="N56" s="2783"/>
      <c r="O56" s="2784"/>
      <c r="P56" s="2902"/>
      <c r="Q56" s="267"/>
      <c r="R56" s="2765"/>
      <c r="S56" s="2765"/>
      <c r="T56" s="2929"/>
      <c r="U56" s="2785"/>
      <c r="V56" s="264"/>
      <c r="W56" s="2785"/>
      <c r="X56" s="2296"/>
      <c r="Y56" s="264"/>
    </row>
    <row r="57" spans="1:25" x14ac:dyDescent="0.3">
      <c r="A57" s="3144"/>
      <c r="B57" s="2170"/>
      <c r="C57" s="264"/>
      <c r="D57" s="2157"/>
      <c r="E57" s="264"/>
      <c r="F57" s="264"/>
      <c r="G57" s="264"/>
      <c r="H57" s="2763">
        <v>0</v>
      </c>
      <c r="I57" s="2162"/>
      <c r="J57" s="2162"/>
      <c r="K57" s="2162"/>
      <c r="L57" s="2162"/>
      <c r="M57" s="2162">
        <v>0</v>
      </c>
      <c r="N57" s="2783"/>
      <c r="O57" s="2784"/>
      <c r="P57" s="2902"/>
      <c r="Q57" s="267"/>
      <c r="R57" s="2765"/>
      <c r="S57" s="2765"/>
      <c r="T57" s="2929"/>
      <c r="U57" s="2785"/>
      <c r="V57" s="264"/>
      <c r="W57" s="2785"/>
      <c r="X57" s="2296"/>
      <c r="Y57" s="264"/>
    </row>
    <row r="58" spans="1:25" x14ac:dyDescent="0.3">
      <c r="A58" s="3144"/>
      <c r="B58" s="2170"/>
      <c r="C58" s="264"/>
      <c r="D58" s="2157"/>
      <c r="E58" s="264"/>
      <c r="F58" s="264"/>
      <c r="G58" s="264"/>
      <c r="H58" s="2763">
        <v>0</v>
      </c>
      <c r="I58" s="2162"/>
      <c r="J58" s="2162"/>
      <c r="K58" s="2162"/>
      <c r="L58" s="2162"/>
      <c r="M58" s="2162">
        <v>0</v>
      </c>
      <c r="N58" s="2783"/>
      <c r="O58" s="2784"/>
      <c r="P58" s="2902"/>
      <c r="Q58" s="267"/>
      <c r="R58" s="2765"/>
      <c r="S58" s="2765"/>
      <c r="T58" s="2929"/>
      <c r="U58" s="2785"/>
      <c r="V58" s="264"/>
      <c r="W58" s="2785"/>
      <c r="X58" s="2296"/>
      <c r="Y58" s="264"/>
    </row>
    <row r="59" spans="1:25" x14ac:dyDescent="0.3">
      <c r="A59" s="3144"/>
      <c r="B59" s="2170"/>
      <c r="C59" s="264"/>
      <c r="D59" s="2157"/>
      <c r="E59" s="264"/>
      <c r="F59" s="264"/>
      <c r="G59" s="264"/>
      <c r="H59" s="2763">
        <v>0</v>
      </c>
      <c r="I59" s="2162"/>
      <c r="J59" s="2162"/>
      <c r="K59" s="2162"/>
      <c r="L59" s="2162"/>
      <c r="M59" s="2162">
        <v>0</v>
      </c>
      <c r="N59" s="2783"/>
      <c r="O59" s="2784"/>
      <c r="P59" s="2902"/>
      <c r="Q59" s="267"/>
      <c r="R59" s="2765"/>
      <c r="S59" s="2765"/>
      <c r="T59" s="2929"/>
      <c r="U59" s="2785"/>
      <c r="V59" s="264"/>
      <c r="W59" s="2785"/>
      <c r="X59" s="2296"/>
      <c r="Y59" s="264"/>
    </row>
    <row r="60" spans="1:25" x14ac:dyDescent="0.3">
      <c r="A60" s="3144"/>
      <c r="B60" s="2170"/>
      <c r="C60" s="264"/>
      <c r="D60" s="2157"/>
      <c r="E60" s="264"/>
      <c r="F60" s="264"/>
      <c r="G60" s="264"/>
      <c r="H60" s="2763">
        <v>0</v>
      </c>
      <c r="I60" s="2162"/>
      <c r="J60" s="2162"/>
      <c r="K60" s="2162"/>
      <c r="L60" s="2162"/>
      <c r="M60" s="2162">
        <v>0</v>
      </c>
      <c r="N60" s="2783"/>
      <c r="O60" s="2784"/>
      <c r="P60" s="2902"/>
      <c r="Q60" s="267"/>
      <c r="R60" s="2765"/>
      <c r="S60" s="2765"/>
      <c r="T60" s="2929"/>
      <c r="U60" s="2785"/>
      <c r="V60" s="264"/>
      <c r="W60" s="2785"/>
      <c r="X60" s="2296"/>
      <c r="Y60" s="264"/>
    </row>
    <row r="61" spans="1:25" x14ac:dyDescent="0.3">
      <c r="A61" s="3144"/>
      <c r="B61" s="2170"/>
      <c r="C61" s="264"/>
      <c r="D61" s="2768" t="s">
        <v>0</v>
      </c>
      <c r="E61" s="2769"/>
      <c r="F61" s="2769"/>
      <c r="G61" s="2769"/>
      <c r="H61" s="2770">
        <f>SUM(H54:H60)</f>
        <v>0</v>
      </c>
      <c r="I61" s="2771"/>
      <c r="J61" s="2771"/>
      <c r="K61" s="2771"/>
      <c r="L61" s="2771"/>
      <c r="M61" s="2771">
        <f>SUM(M54:M60)</f>
        <v>0</v>
      </c>
      <c r="N61" s="2810"/>
      <c r="O61" s="2773"/>
      <c r="P61" s="2904"/>
      <c r="Q61" s="2771"/>
      <c r="R61" s="2774"/>
      <c r="S61" s="2774"/>
      <c r="T61" s="2933"/>
      <c r="U61" s="2811"/>
      <c r="V61" s="513"/>
      <c r="W61" s="2811"/>
      <c r="X61" s="2812"/>
      <c r="Y61" s="513"/>
    </row>
    <row r="62" spans="1:25" x14ac:dyDescent="0.3">
      <c r="A62" s="3144" t="s">
        <v>459</v>
      </c>
      <c r="B62" s="2170"/>
      <c r="C62" s="264"/>
      <c r="D62" s="2157"/>
      <c r="E62" s="2170"/>
      <c r="F62" s="2170"/>
      <c r="G62" s="2170"/>
      <c r="H62" s="2763">
        <v>0</v>
      </c>
      <c r="I62" s="2162"/>
      <c r="J62" s="2162"/>
      <c r="K62" s="2162"/>
      <c r="L62" s="2162"/>
      <c r="M62" s="2162">
        <v>0</v>
      </c>
      <c r="N62" s="2783"/>
      <c r="O62" s="2784"/>
      <c r="P62" s="2902"/>
      <c r="Q62" s="267"/>
      <c r="R62" s="2765"/>
      <c r="S62" s="2765"/>
      <c r="T62" s="2929"/>
      <c r="U62" s="2785"/>
      <c r="V62" s="264"/>
      <c r="W62" s="2785"/>
      <c r="X62" s="2296"/>
      <c r="Y62" s="264"/>
    </row>
    <row r="63" spans="1:25" x14ac:dyDescent="0.3">
      <c r="A63" s="3144"/>
      <c r="B63" s="2170"/>
      <c r="C63" s="264"/>
      <c r="D63" s="2157"/>
      <c r="E63" s="264"/>
      <c r="F63" s="264"/>
      <c r="G63" s="264"/>
      <c r="H63" s="2763">
        <v>0</v>
      </c>
      <c r="I63" s="2162"/>
      <c r="J63" s="2162"/>
      <c r="K63" s="2162"/>
      <c r="L63" s="2162"/>
      <c r="M63" s="2162">
        <v>0</v>
      </c>
      <c r="N63" s="2783"/>
      <c r="O63" s="2784"/>
      <c r="P63" s="2902"/>
      <c r="Q63" s="267"/>
      <c r="R63" s="2765"/>
      <c r="S63" s="2765"/>
      <c r="T63" s="2929"/>
      <c r="U63" s="2785"/>
      <c r="V63" s="264"/>
      <c r="W63" s="2785"/>
      <c r="X63" s="2296"/>
      <c r="Y63" s="264"/>
    </row>
    <row r="64" spans="1:25" x14ac:dyDescent="0.3">
      <c r="A64" s="3144"/>
      <c r="B64" s="2170"/>
      <c r="C64" s="264"/>
      <c r="D64" s="2157"/>
      <c r="E64" s="264"/>
      <c r="F64" s="264"/>
      <c r="G64" s="264"/>
      <c r="H64" s="2763">
        <v>0</v>
      </c>
      <c r="I64" s="2162"/>
      <c r="J64" s="2162"/>
      <c r="K64" s="2162"/>
      <c r="L64" s="2162"/>
      <c r="M64" s="2162">
        <v>0</v>
      </c>
      <c r="N64" s="2783"/>
      <c r="O64" s="2784"/>
      <c r="P64" s="2902"/>
      <c r="Q64" s="267"/>
      <c r="R64" s="2765"/>
      <c r="S64" s="2765"/>
      <c r="T64" s="2929"/>
      <c r="U64" s="2785"/>
      <c r="V64" s="264"/>
      <c r="W64" s="2785"/>
      <c r="X64" s="2296"/>
      <c r="Y64" s="264"/>
    </row>
    <row r="65" spans="1:25" x14ac:dyDescent="0.3">
      <c r="A65" s="3144"/>
      <c r="B65" s="2170"/>
      <c r="C65" s="264"/>
      <c r="D65" s="2157"/>
      <c r="E65" s="264"/>
      <c r="F65" s="264"/>
      <c r="G65" s="264"/>
      <c r="H65" s="2763">
        <v>0</v>
      </c>
      <c r="I65" s="2162"/>
      <c r="J65" s="2162"/>
      <c r="K65" s="2162"/>
      <c r="L65" s="2162"/>
      <c r="M65" s="2162">
        <v>0</v>
      </c>
      <c r="N65" s="2783"/>
      <c r="O65" s="2784"/>
      <c r="P65" s="2902"/>
      <c r="Q65" s="267"/>
      <c r="R65" s="2765"/>
      <c r="S65" s="2765"/>
      <c r="T65" s="2929"/>
      <c r="U65" s="2785"/>
      <c r="V65" s="264"/>
      <c r="W65" s="2785"/>
      <c r="X65" s="2296"/>
      <c r="Y65" s="264"/>
    </row>
    <row r="66" spans="1:25" x14ac:dyDescent="0.3">
      <c r="A66" s="3144"/>
      <c r="B66" s="2170"/>
      <c r="C66" s="264"/>
      <c r="D66" s="2157"/>
      <c r="E66" s="264"/>
      <c r="F66" s="264"/>
      <c r="G66" s="264"/>
      <c r="H66" s="2763">
        <v>0</v>
      </c>
      <c r="I66" s="2162"/>
      <c r="J66" s="2162"/>
      <c r="K66" s="2162"/>
      <c r="L66" s="2162"/>
      <c r="M66" s="2162">
        <v>0</v>
      </c>
      <c r="N66" s="2783"/>
      <c r="O66" s="2784"/>
      <c r="P66" s="2902"/>
      <c r="Q66" s="267"/>
      <c r="R66" s="2765"/>
      <c r="S66" s="2765"/>
      <c r="T66" s="2929"/>
      <c r="U66" s="2785"/>
      <c r="V66" s="264"/>
      <c r="W66" s="2785"/>
      <c r="X66" s="2296"/>
      <c r="Y66" s="264"/>
    </row>
    <row r="67" spans="1:25" x14ac:dyDescent="0.3">
      <c r="A67" s="3144"/>
      <c r="B67" s="2170"/>
      <c r="C67" s="264"/>
      <c r="D67" s="2157"/>
      <c r="E67" s="264"/>
      <c r="F67" s="264"/>
      <c r="G67" s="264"/>
      <c r="H67" s="2763">
        <v>0</v>
      </c>
      <c r="I67" s="2162"/>
      <c r="J67" s="2162"/>
      <c r="K67" s="2162"/>
      <c r="L67" s="2162"/>
      <c r="M67" s="2162">
        <v>0</v>
      </c>
      <c r="N67" s="2783"/>
      <c r="O67" s="2784"/>
      <c r="P67" s="2902"/>
      <c r="Q67" s="267"/>
      <c r="R67" s="2765"/>
      <c r="S67" s="2765"/>
      <c r="T67" s="2929"/>
      <c r="U67" s="2785"/>
      <c r="V67" s="264"/>
      <c r="W67" s="2785"/>
      <c r="X67" s="2296"/>
      <c r="Y67" s="264"/>
    </row>
    <row r="68" spans="1:25" x14ac:dyDescent="0.3">
      <c r="A68" s="3144"/>
      <c r="B68" s="2170"/>
      <c r="C68" s="264"/>
      <c r="D68" s="2157"/>
      <c r="E68" s="264"/>
      <c r="F68" s="264"/>
      <c r="G68" s="264"/>
      <c r="H68" s="2763">
        <v>0</v>
      </c>
      <c r="I68" s="2162"/>
      <c r="J68" s="2162"/>
      <c r="K68" s="2162"/>
      <c r="L68" s="2162"/>
      <c r="M68" s="2162">
        <v>0</v>
      </c>
      <c r="N68" s="2783"/>
      <c r="O68" s="2784"/>
      <c r="P68" s="2902"/>
      <c r="Q68" s="267"/>
      <c r="R68" s="2765"/>
      <c r="S68" s="2765"/>
      <c r="T68" s="2929"/>
      <c r="U68" s="2785"/>
      <c r="V68" s="264"/>
      <c r="W68" s="2785"/>
      <c r="X68" s="2296"/>
      <c r="Y68" s="264"/>
    </row>
    <row r="69" spans="1:25" x14ac:dyDescent="0.3">
      <c r="A69" s="3144"/>
      <c r="B69" s="2170"/>
      <c r="C69" s="264"/>
      <c r="D69" s="2768" t="s">
        <v>0</v>
      </c>
      <c r="E69" s="2769"/>
      <c r="F69" s="2769"/>
      <c r="G69" s="2769"/>
      <c r="H69" s="2770">
        <f>SUM(H62:H68)</f>
        <v>0</v>
      </c>
      <c r="I69" s="2771"/>
      <c r="J69" s="2771"/>
      <c r="K69" s="2771"/>
      <c r="L69" s="2771"/>
      <c r="M69" s="2771">
        <f>SUM(M62:M68)</f>
        <v>0</v>
      </c>
      <c r="N69" s="2810"/>
      <c r="O69" s="2773"/>
      <c r="P69" s="2904"/>
      <c r="Q69" s="2771"/>
      <c r="R69" s="2774"/>
      <c r="S69" s="2774"/>
      <c r="T69" s="2933"/>
      <c r="U69" s="2811"/>
      <c r="V69" s="513"/>
      <c r="W69" s="2811"/>
      <c r="X69" s="2812"/>
      <c r="Y69" s="513"/>
    </row>
    <row r="70" spans="1:25" x14ac:dyDescent="0.3">
      <c r="A70" s="3144" t="s">
        <v>460</v>
      </c>
      <c r="B70" s="2170"/>
      <c r="C70" s="264"/>
      <c r="D70" s="2157"/>
      <c r="E70" s="2170"/>
      <c r="F70" s="2170"/>
      <c r="G70" s="2170"/>
      <c r="H70" s="2763">
        <v>0</v>
      </c>
      <c r="I70" s="2162"/>
      <c r="J70" s="2162"/>
      <c r="K70" s="2162"/>
      <c r="L70" s="2162"/>
      <c r="M70" s="2162">
        <v>0</v>
      </c>
      <c r="N70" s="2783"/>
      <c r="O70" s="2784"/>
      <c r="P70" s="2902"/>
      <c r="Q70" s="267"/>
      <c r="R70" s="2765"/>
      <c r="S70" s="2765"/>
      <c r="T70" s="2929"/>
      <c r="U70" s="2785"/>
      <c r="V70" s="264"/>
      <c r="W70" s="2785"/>
      <c r="X70" s="2296"/>
      <c r="Y70" s="264"/>
    </row>
    <row r="71" spans="1:25" x14ac:dyDescent="0.3">
      <c r="A71" s="3144"/>
      <c r="B71" s="2170"/>
      <c r="C71" s="264"/>
      <c r="D71" s="2157"/>
      <c r="E71" s="264"/>
      <c r="F71" s="264"/>
      <c r="G71" s="264"/>
      <c r="H71" s="2763">
        <v>0</v>
      </c>
      <c r="I71" s="2162"/>
      <c r="J71" s="2162"/>
      <c r="K71" s="2162"/>
      <c r="L71" s="2162"/>
      <c r="M71" s="2162">
        <v>0</v>
      </c>
      <c r="N71" s="2783"/>
      <c r="O71" s="2784"/>
      <c r="P71" s="2902"/>
      <c r="Q71" s="267"/>
      <c r="R71" s="2765"/>
      <c r="S71" s="2765"/>
      <c r="T71" s="2929"/>
      <c r="U71" s="2785"/>
      <c r="V71" s="264"/>
      <c r="W71" s="2785"/>
      <c r="X71" s="2296"/>
      <c r="Y71" s="264"/>
    </row>
    <row r="72" spans="1:25" x14ac:dyDescent="0.3">
      <c r="A72" s="3144"/>
      <c r="B72" s="2170"/>
      <c r="C72" s="264"/>
      <c r="D72" s="2157"/>
      <c r="E72" s="264"/>
      <c r="F72" s="264"/>
      <c r="G72" s="264"/>
      <c r="H72" s="2763">
        <v>0</v>
      </c>
      <c r="I72" s="2162"/>
      <c r="J72" s="2162"/>
      <c r="K72" s="2162"/>
      <c r="L72" s="2162"/>
      <c r="M72" s="2162">
        <v>0</v>
      </c>
      <c r="N72" s="2783"/>
      <c r="O72" s="2784"/>
      <c r="P72" s="2902"/>
      <c r="Q72" s="267"/>
      <c r="R72" s="2765"/>
      <c r="S72" s="2765"/>
      <c r="T72" s="2929"/>
      <c r="U72" s="2785"/>
      <c r="V72" s="264"/>
      <c r="W72" s="2785"/>
      <c r="X72" s="2296"/>
      <c r="Y72" s="264"/>
    </row>
    <row r="73" spans="1:25" x14ac:dyDescent="0.3">
      <c r="A73" s="3144"/>
      <c r="B73" s="2170"/>
      <c r="C73" s="264"/>
      <c r="D73" s="2157"/>
      <c r="E73" s="264"/>
      <c r="F73" s="264"/>
      <c r="G73" s="264"/>
      <c r="H73" s="2763">
        <v>0</v>
      </c>
      <c r="I73" s="2162"/>
      <c r="J73" s="2162"/>
      <c r="K73" s="2162"/>
      <c r="L73" s="2162"/>
      <c r="M73" s="2162">
        <v>0</v>
      </c>
      <c r="N73" s="2783"/>
      <c r="O73" s="2784"/>
      <c r="P73" s="2902"/>
      <c r="Q73" s="267"/>
      <c r="R73" s="2765"/>
      <c r="S73" s="2765"/>
      <c r="T73" s="2929"/>
      <c r="U73" s="2785"/>
      <c r="V73" s="264"/>
      <c r="W73" s="2785"/>
      <c r="X73" s="2296"/>
      <c r="Y73" s="264"/>
    </row>
    <row r="74" spans="1:25" x14ac:dyDescent="0.3">
      <c r="A74" s="3144"/>
      <c r="B74" s="2170"/>
      <c r="C74" s="264"/>
      <c r="D74" s="2157"/>
      <c r="E74" s="264"/>
      <c r="F74" s="264"/>
      <c r="G74" s="264"/>
      <c r="H74" s="2763">
        <v>0</v>
      </c>
      <c r="I74" s="2162"/>
      <c r="J74" s="2162"/>
      <c r="K74" s="2162"/>
      <c r="L74" s="2162"/>
      <c r="M74" s="2162">
        <v>0</v>
      </c>
      <c r="N74" s="2783"/>
      <c r="O74" s="2784"/>
      <c r="P74" s="2902"/>
      <c r="Q74" s="267"/>
      <c r="R74" s="2765"/>
      <c r="S74" s="2765"/>
      <c r="T74" s="2929"/>
      <c r="U74" s="2785"/>
      <c r="V74" s="264"/>
      <c r="W74" s="2785"/>
      <c r="X74" s="2296"/>
      <c r="Y74" s="264"/>
    </row>
    <row r="75" spans="1:25" x14ac:dyDescent="0.3">
      <c r="A75" s="3144"/>
      <c r="B75" s="2170"/>
      <c r="C75" s="264"/>
      <c r="D75" s="2157"/>
      <c r="E75" s="264"/>
      <c r="F75" s="264"/>
      <c r="G75" s="264"/>
      <c r="H75" s="2763">
        <v>0</v>
      </c>
      <c r="I75" s="2162"/>
      <c r="J75" s="2162"/>
      <c r="K75" s="2162"/>
      <c r="L75" s="2162"/>
      <c r="M75" s="2162">
        <v>0</v>
      </c>
      <c r="N75" s="2783"/>
      <c r="O75" s="2784"/>
      <c r="P75" s="2902"/>
      <c r="Q75" s="267"/>
      <c r="R75" s="2765"/>
      <c r="S75" s="2765"/>
      <c r="T75" s="2929"/>
      <c r="U75" s="2785"/>
      <c r="V75" s="264"/>
      <c r="W75" s="2785"/>
      <c r="X75" s="2296"/>
      <c r="Y75" s="264"/>
    </row>
    <row r="76" spans="1:25" x14ac:dyDescent="0.3">
      <c r="A76" s="3144"/>
      <c r="B76" s="2170"/>
      <c r="C76" s="264"/>
      <c r="D76" s="2768" t="s">
        <v>0</v>
      </c>
      <c r="E76" s="2769"/>
      <c r="F76" s="2769"/>
      <c r="G76" s="2769"/>
      <c r="H76" s="2770">
        <f>SUM(H70:H75)</f>
        <v>0</v>
      </c>
      <c r="I76" s="2771"/>
      <c r="J76" s="2771"/>
      <c r="K76" s="2771"/>
      <c r="L76" s="2771"/>
      <c r="M76" s="2771">
        <f>SUM(M70:M75)</f>
        <v>0</v>
      </c>
      <c r="N76" s="2810"/>
      <c r="O76" s="2773"/>
      <c r="P76" s="2904"/>
      <c r="Q76" s="2771"/>
      <c r="R76" s="2774"/>
      <c r="S76" s="2774"/>
      <c r="T76" s="2933"/>
      <c r="U76" s="2811"/>
      <c r="V76" s="513"/>
      <c r="W76" s="2811"/>
      <c r="X76" s="2812"/>
      <c r="Y76" s="513"/>
    </row>
    <row r="77" spans="1:25" x14ac:dyDescent="0.3">
      <c r="A77" s="3144" t="s">
        <v>461</v>
      </c>
      <c r="B77" s="2170"/>
      <c r="C77" s="264"/>
      <c r="D77" s="2157"/>
      <c r="E77" s="2170"/>
      <c r="F77" s="2170"/>
      <c r="G77" s="2170"/>
      <c r="H77" s="2763">
        <v>0</v>
      </c>
      <c r="I77" s="2162"/>
      <c r="J77" s="2162"/>
      <c r="K77" s="2162"/>
      <c r="L77" s="2162"/>
      <c r="M77" s="2162">
        <v>0</v>
      </c>
      <c r="N77" s="2783"/>
      <c r="O77" s="2784"/>
      <c r="P77" s="2902"/>
      <c r="Q77" s="267"/>
      <c r="R77" s="2765"/>
      <c r="S77" s="2765"/>
      <c r="T77" s="2929"/>
      <c r="U77" s="2785"/>
      <c r="V77" s="264"/>
      <c r="W77" s="2785"/>
      <c r="X77" s="2296"/>
      <c r="Y77" s="264"/>
    </row>
    <row r="78" spans="1:25" x14ac:dyDescent="0.3">
      <c r="A78" s="3144"/>
      <c r="B78" s="2170"/>
      <c r="C78" s="264"/>
      <c r="D78" s="2157"/>
      <c r="E78" s="264"/>
      <c r="F78" s="264"/>
      <c r="G78" s="264"/>
      <c r="H78" s="2763">
        <v>0</v>
      </c>
      <c r="I78" s="2162"/>
      <c r="J78" s="2162"/>
      <c r="K78" s="2162"/>
      <c r="L78" s="2162"/>
      <c r="M78" s="2162">
        <v>0</v>
      </c>
      <c r="N78" s="2783"/>
      <c r="O78" s="2784"/>
      <c r="P78" s="2902"/>
      <c r="Q78" s="267"/>
      <c r="R78" s="2765"/>
      <c r="S78" s="2765"/>
      <c r="T78" s="2929"/>
      <c r="U78" s="2785"/>
      <c r="V78" s="264"/>
      <c r="W78" s="2785"/>
      <c r="X78" s="2296"/>
      <c r="Y78" s="264"/>
    </row>
    <row r="79" spans="1:25" x14ac:dyDescent="0.3">
      <c r="A79" s="3144"/>
      <c r="B79" s="2170"/>
      <c r="C79" s="264"/>
      <c r="D79" s="2157"/>
      <c r="E79" s="264"/>
      <c r="F79" s="264"/>
      <c r="G79" s="264"/>
      <c r="H79" s="2763">
        <v>0</v>
      </c>
      <c r="I79" s="2162"/>
      <c r="J79" s="2162"/>
      <c r="K79" s="2162"/>
      <c r="L79" s="2162"/>
      <c r="M79" s="2162">
        <v>0</v>
      </c>
      <c r="N79" s="2783"/>
      <c r="O79" s="2784"/>
      <c r="P79" s="2902"/>
      <c r="Q79" s="267"/>
      <c r="R79" s="2765"/>
      <c r="S79" s="2765"/>
      <c r="T79" s="2929"/>
      <c r="U79" s="2785"/>
      <c r="V79" s="264"/>
      <c r="W79" s="2785"/>
      <c r="X79" s="2296"/>
      <c r="Y79" s="264"/>
    </row>
    <row r="80" spans="1:25" x14ac:dyDescent="0.3">
      <c r="A80" s="3144"/>
      <c r="B80" s="2170"/>
      <c r="C80" s="264"/>
      <c r="D80" s="2157"/>
      <c r="E80" s="264"/>
      <c r="F80" s="264"/>
      <c r="G80" s="264"/>
      <c r="H80" s="2763">
        <v>0</v>
      </c>
      <c r="I80" s="2162"/>
      <c r="J80" s="2162"/>
      <c r="K80" s="2162"/>
      <c r="L80" s="2162"/>
      <c r="M80" s="2162">
        <v>0</v>
      </c>
      <c r="N80" s="2783"/>
      <c r="O80" s="2784"/>
      <c r="P80" s="2902"/>
      <c r="Q80" s="267"/>
      <c r="R80" s="2765"/>
      <c r="S80" s="2765"/>
      <c r="T80" s="2929"/>
      <c r="U80" s="2785"/>
      <c r="V80" s="264"/>
      <c r="W80" s="2785"/>
      <c r="X80" s="2296"/>
      <c r="Y80" s="264"/>
    </row>
    <row r="81" spans="1:25" x14ac:dyDescent="0.3">
      <c r="A81" s="3144"/>
      <c r="B81" s="2170"/>
      <c r="C81" s="264"/>
      <c r="D81" s="2157"/>
      <c r="E81" s="264"/>
      <c r="F81" s="264"/>
      <c r="G81" s="264"/>
      <c r="H81" s="2763">
        <v>0</v>
      </c>
      <c r="I81" s="2162"/>
      <c r="J81" s="2162"/>
      <c r="K81" s="2162"/>
      <c r="L81" s="2162"/>
      <c r="M81" s="2162">
        <v>0</v>
      </c>
      <c r="N81" s="2783"/>
      <c r="O81" s="2784"/>
      <c r="P81" s="2902"/>
      <c r="Q81" s="267"/>
      <c r="R81" s="2765"/>
      <c r="S81" s="2765"/>
      <c r="T81" s="2929"/>
      <c r="U81" s="2785"/>
      <c r="V81" s="264"/>
      <c r="W81" s="2785"/>
      <c r="X81" s="2296"/>
      <c r="Y81" s="264"/>
    </row>
    <row r="82" spans="1:25" x14ac:dyDescent="0.3">
      <c r="A82" s="3144"/>
      <c r="B82" s="2170"/>
      <c r="C82" s="264"/>
      <c r="D82" s="2157"/>
      <c r="E82" s="264"/>
      <c r="F82" s="264"/>
      <c r="G82" s="264"/>
      <c r="H82" s="2763">
        <v>0</v>
      </c>
      <c r="I82" s="2162"/>
      <c r="J82" s="2162"/>
      <c r="K82" s="2162"/>
      <c r="L82" s="2162"/>
      <c r="M82" s="2162">
        <v>0</v>
      </c>
      <c r="N82" s="2783"/>
      <c r="O82" s="2784"/>
      <c r="P82" s="2902"/>
      <c r="Q82" s="267"/>
      <c r="R82" s="2765"/>
      <c r="S82" s="2765"/>
      <c r="T82" s="2929"/>
      <c r="U82" s="2785"/>
      <c r="V82" s="264"/>
      <c r="W82" s="2785"/>
      <c r="X82" s="2296"/>
      <c r="Y82" s="264"/>
    </row>
    <row r="83" spans="1:25" x14ac:dyDescent="0.3">
      <c r="A83" s="3144"/>
      <c r="B83" s="2170"/>
      <c r="C83" s="264"/>
      <c r="D83" s="2157"/>
      <c r="E83" s="264"/>
      <c r="F83" s="264"/>
      <c r="G83" s="264"/>
      <c r="H83" s="2763">
        <v>0</v>
      </c>
      <c r="I83" s="2162"/>
      <c r="J83" s="2162"/>
      <c r="K83" s="2162"/>
      <c r="L83" s="2162"/>
      <c r="M83" s="2162">
        <v>0</v>
      </c>
      <c r="N83" s="2783"/>
      <c r="O83" s="2784"/>
      <c r="P83" s="2902"/>
      <c r="Q83" s="267"/>
      <c r="R83" s="2765"/>
      <c r="S83" s="2765"/>
      <c r="T83" s="2929"/>
      <c r="U83" s="2785"/>
      <c r="V83" s="264"/>
      <c r="W83" s="2785"/>
      <c r="X83" s="2296"/>
      <c r="Y83" s="264"/>
    </row>
    <row r="84" spans="1:25" s="454" customFormat="1" x14ac:dyDescent="0.3">
      <c r="A84" s="3144"/>
      <c r="B84" s="2170"/>
      <c r="C84" s="264"/>
      <c r="D84" s="2768" t="s">
        <v>0</v>
      </c>
      <c r="E84" s="2769"/>
      <c r="F84" s="2769"/>
      <c r="G84" s="2769"/>
      <c r="H84" s="2770">
        <f>SUM(H77:H83)</f>
        <v>0</v>
      </c>
      <c r="I84" s="2771"/>
      <c r="J84" s="2771"/>
      <c r="K84" s="2771"/>
      <c r="L84" s="2771"/>
      <c r="M84" s="2771">
        <f>SUM(M77:M83)</f>
        <v>0</v>
      </c>
      <c r="N84" s="2810"/>
      <c r="O84" s="2773"/>
      <c r="P84" s="2904"/>
      <c r="Q84" s="2771"/>
      <c r="R84" s="2774"/>
      <c r="S84" s="2774"/>
      <c r="T84" s="2934"/>
      <c r="U84" s="2775"/>
      <c r="V84" s="513"/>
      <c r="W84" s="2775"/>
      <c r="X84" s="2813"/>
      <c r="Y84" s="516"/>
    </row>
    <row r="85" spans="1:25" s="1132" customFormat="1" x14ac:dyDescent="0.3">
      <c r="A85" s="3009" t="s">
        <v>259</v>
      </c>
      <c r="B85" s="3010"/>
      <c r="C85" s="280"/>
      <c r="D85" s="456"/>
      <c r="E85" s="2814"/>
      <c r="F85" s="2814"/>
      <c r="G85" s="2814"/>
      <c r="H85" s="2815">
        <f>H61+H69+H76+H84</f>
        <v>0</v>
      </c>
      <c r="I85" s="2816"/>
      <c r="J85" s="2816"/>
      <c r="K85" s="2816"/>
      <c r="L85" s="2816"/>
      <c r="M85" s="2816">
        <f>M61+M69+M76+M84</f>
        <v>0</v>
      </c>
      <c r="N85" s="2810"/>
      <c r="O85" s="2817"/>
      <c r="P85" s="2905"/>
      <c r="Q85" s="2816"/>
      <c r="R85" s="2818"/>
      <c r="S85" s="2818"/>
      <c r="T85" s="2935"/>
      <c r="U85" s="2819"/>
      <c r="V85" s="514"/>
      <c r="W85" s="2819"/>
      <c r="X85" s="2820"/>
      <c r="Y85" s="518"/>
    </row>
    <row r="86" spans="1:25" s="1132" customFormat="1" x14ac:dyDescent="0.3">
      <c r="A86" s="3009" t="s">
        <v>53</v>
      </c>
      <c r="B86" s="3010"/>
      <c r="C86" s="3146"/>
      <c r="D86" s="456"/>
      <c r="E86" s="2814"/>
      <c r="F86" s="2814"/>
      <c r="G86" s="2814"/>
      <c r="H86" s="2815">
        <f>+H52+H26</f>
        <v>183806.1</v>
      </c>
      <c r="I86" s="2816"/>
      <c r="J86" s="2816"/>
      <c r="K86" s="2816"/>
      <c r="L86" s="2816"/>
      <c r="M86" s="2816">
        <f>+M52+M26</f>
        <v>182131</v>
      </c>
      <c r="N86" s="2772">
        <f>+N52+N26</f>
        <v>111826</v>
      </c>
      <c r="O86" s="2821"/>
      <c r="P86" s="2905">
        <f>+P52+P26</f>
        <v>477763.1</v>
      </c>
      <c r="Q86" s="2816"/>
      <c r="R86" s="2816">
        <f>+R52+R26</f>
        <v>111705.33</v>
      </c>
      <c r="S86" s="2818"/>
      <c r="T86" s="2931">
        <f>+T52+T26</f>
        <v>395931.14999999997</v>
      </c>
      <c r="U86" s="2819">
        <f>T86/P86</f>
        <v>0.82871856365633922</v>
      </c>
      <c r="V86" s="514"/>
      <c r="W86" s="2792">
        <f>X86/P86</f>
        <v>6.7412070961528847E-2</v>
      </c>
      <c r="X86" s="2822">
        <f>+X52+X26</f>
        <v>32207</v>
      </c>
      <c r="Y86" s="518"/>
    </row>
    <row r="87" spans="1:25" s="669" customFormat="1" x14ac:dyDescent="0.25">
      <c r="A87" s="2988" t="s">
        <v>85</v>
      </c>
      <c r="B87" s="2989"/>
      <c r="C87" s="2989"/>
      <c r="D87" s="3139"/>
      <c r="E87" s="3139"/>
      <c r="F87" s="3139"/>
      <c r="G87" s="3139"/>
      <c r="H87" s="3139"/>
      <c r="I87" s="3139"/>
      <c r="J87" s="3139"/>
      <c r="K87" s="3139"/>
      <c r="L87" s="3139"/>
      <c r="M87" s="3139"/>
      <c r="N87" s="3139"/>
      <c r="O87" s="3139"/>
      <c r="P87" s="3139"/>
      <c r="Q87" s="3139"/>
      <c r="R87" s="3139"/>
      <c r="S87" s="3139"/>
      <c r="T87" s="3139"/>
      <c r="U87" s="3139"/>
      <c r="V87" s="3139"/>
      <c r="W87" s="3139"/>
      <c r="X87" s="3139"/>
      <c r="Y87" s="3139"/>
    </row>
    <row r="88" spans="1:25" s="669" customFormat="1" x14ac:dyDescent="0.3">
      <c r="A88" s="3141" t="s">
        <v>54</v>
      </c>
      <c r="B88" s="3142"/>
      <c r="C88" s="282"/>
      <c r="D88" s="685"/>
      <c r="E88" s="283"/>
      <c r="F88" s="283"/>
      <c r="G88" s="283"/>
      <c r="H88" s="2750"/>
      <c r="I88" s="283"/>
      <c r="J88" s="283"/>
      <c r="K88" s="283"/>
      <c r="L88" s="283"/>
      <c r="M88" s="283"/>
      <c r="N88" s="2400"/>
      <c r="O88" s="687"/>
      <c r="P88" s="2906"/>
      <c r="Q88" s="283"/>
      <c r="R88" s="283"/>
      <c r="S88" s="283"/>
      <c r="T88" s="2936"/>
      <c r="U88" s="510"/>
      <c r="V88" s="299"/>
      <c r="W88" s="510"/>
      <c r="X88" s="667"/>
      <c r="Y88" s="283"/>
    </row>
    <row r="89" spans="1:25" s="454" customFormat="1" ht="104" x14ac:dyDescent="0.3">
      <c r="A89" s="2200"/>
      <c r="B89" s="2201" t="s">
        <v>462</v>
      </c>
      <c r="C89" s="2334" t="s">
        <v>14</v>
      </c>
      <c r="D89" s="2157" t="s">
        <v>398</v>
      </c>
      <c r="E89" s="2550">
        <v>2.1499999999999998E-2</v>
      </c>
      <c r="F89" s="2551">
        <v>4500</v>
      </c>
      <c r="G89" s="2551">
        <v>11</v>
      </c>
      <c r="H89" s="2763">
        <f t="shared" ref="H89:H100" si="14">E89*F89*G89</f>
        <v>1064.2499999999998</v>
      </c>
      <c r="I89" s="2181"/>
      <c r="J89" s="2550">
        <v>2.1499999999999998E-2</v>
      </c>
      <c r="K89" s="2541">
        <f>F89</f>
        <v>4500</v>
      </c>
      <c r="L89" s="2551">
        <v>11</v>
      </c>
      <c r="M89" s="2162">
        <f t="shared" ref="M89:M100" si="15">J89*K89*L89</f>
        <v>1064.2499999999998</v>
      </c>
      <c r="N89" s="2810"/>
      <c r="O89" s="2823"/>
      <c r="P89" s="2902">
        <f t="shared" ref="P89:P100" si="16">+H89+M89+N89</f>
        <v>2128.4999999999995</v>
      </c>
      <c r="Q89" s="2181"/>
      <c r="R89" s="2765">
        <f t="shared" ref="R89:R100" si="17">P89*Q89</f>
        <v>0</v>
      </c>
      <c r="S89" s="2824" t="s">
        <v>1204</v>
      </c>
      <c r="T89" s="2937">
        <v>5667.09</v>
      </c>
      <c r="U89" s="263">
        <f t="shared" ref="U89:U100" si="18">T89/P89</f>
        <v>2.6624806201550393</v>
      </c>
      <c r="V89" s="264" t="s">
        <v>463</v>
      </c>
      <c r="W89" s="2825"/>
      <c r="X89" s="2826"/>
      <c r="Y89" s="717"/>
    </row>
    <row r="90" spans="1:25" s="454" customFormat="1" ht="104" x14ac:dyDescent="0.3">
      <c r="A90" s="2200"/>
      <c r="B90" s="2201" t="s">
        <v>464</v>
      </c>
      <c r="C90" s="2334" t="s">
        <v>14</v>
      </c>
      <c r="D90" s="2157" t="s">
        <v>398</v>
      </c>
      <c r="E90" s="2550">
        <v>0.02</v>
      </c>
      <c r="F90" s="2551">
        <v>4000</v>
      </c>
      <c r="G90" s="2551">
        <v>11</v>
      </c>
      <c r="H90" s="2763">
        <f t="shared" si="14"/>
        <v>880</v>
      </c>
      <c r="I90" s="2181"/>
      <c r="J90" s="2550">
        <v>0.02</v>
      </c>
      <c r="K90" s="2541">
        <f>F90</f>
        <v>4000</v>
      </c>
      <c r="L90" s="2551">
        <v>11</v>
      </c>
      <c r="M90" s="2162">
        <f t="shared" si="15"/>
        <v>880</v>
      </c>
      <c r="N90" s="2810"/>
      <c r="O90" s="2823"/>
      <c r="P90" s="2902">
        <f t="shared" si="16"/>
        <v>1760</v>
      </c>
      <c r="Q90" s="2181"/>
      <c r="R90" s="2765">
        <f t="shared" si="17"/>
        <v>0</v>
      </c>
      <c r="S90" s="2824" t="s">
        <v>1204</v>
      </c>
      <c r="T90" s="2937">
        <v>4294.53</v>
      </c>
      <c r="U90" s="263">
        <f t="shared" si="18"/>
        <v>2.4400738636363637</v>
      </c>
      <c r="V90" s="264" t="s">
        <v>465</v>
      </c>
      <c r="W90" s="2825"/>
      <c r="X90" s="2826"/>
      <c r="Y90" s="717"/>
    </row>
    <row r="91" spans="1:25" s="454" customFormat="1" ht="26" x14ac:dyDescent="0.3">
      <c r="A91" s="2200"/>
      <c r="B91" s="2201" t="s">
        <v>466</v>
      </c>
      <c r="C91" s="2334" t="s">
        <v>14</v>
      </c>
      <c r="D91" s="2157" t="s">
        <v>398</v>
      </c>
      <c r="E91" s="2550">
        <v>0.02</v>
      </c>
      <c r="F91" s="2551">
        <v>7000</v>
      </c>
      <c r="G91" s="2551">
        <v>11</v>
      </c>
      <c r="H91" s="2763">
        <f t="shared" si="14"/>
        <v>1540</v>
      </c>
      <c r="I91" s="2181"/>
      <c r="J91" s="2550">
        <v>0.02</v>
      </c>
      <c r="K91" s="2541">
        <v>7500</v>
      </c>
      <c r="L91" s="2551">
        <v>11</v>
      </c>
      <c r="M91" s="2162">
        <f t="shared" si="15"/>
        <v>1650</v>
      </c>
      <c r="N91" s="2810"/>
      <c r="O91" s="2823"/>
      <c r="P91" s="2902">
        <f t="shared" si="16"/>
        <v>3190</v>
      </c>
      <c r="Q91" s="2181"/>
      <c r="R91" s="2765">
        <f t="shared" si="17"/>
        <v>0</v>
      </c>
      <c r="S91" s="2824"/>
      <c r="T91" s="2937">
        <v>9265.9599999999991</v>
      </c>
      <c r="U91" s="263">
        <f t="shared" si="18"/>
        <v>2.9046896551724135</v>
      </c>
      <c r="V91" s="264" t="s">
        <v>465</v>
      </c>
      <c r="W91" s="2825"/>
      <c r="X91" s="2826"/>
      <c r="Y91" s="717"/>
    </row>
    <row r="92" spans="1:25" s="454" customFormat="1" ht="39" x14ac:dyDescent="0.3">
      <c r="A92" s="2200"/>
      <c r="B92" s="2201" t="s">
        <v>467</v>
      </c>
      <c r="C92" s="2334" t="s">
        <v>14</v>
      </c>
      <c r="D92" s="2157" t="s">
        <v>398</v>
      </c>
      <c r="E92" s="2550">
        <v>0.02</v>
      </c>
      <c r="F92" s="2551">
        <v>4000</v>
      </c>
      <c r="G92" s="2551">
        <v>11</v>
      </c>
      <c r="H92" s="2763">
        <f t="shared" si="14"/>
        <v>880</v>
      </c>
      <c r="I92" s="2181"/>
      <c r="J92" s="2550">
        <v>0.02</v>
      </c>
      <c r="K92" s="2541">
        <f t="shared" ref="K92:K100" si="19">F92</f>
        <v>4000</v>
      </c>
      <c r="L92" s="2551">
        <v>11</v>
      </c>
      <c r="M92" s="2162">
        <f t="shared" si="15"/>
        <v>880</v>
      </c>
      <c r="N92" s="2810"/>
      <c r="O92" s="2823"/>
      <c r="P92" s="2902">
        <f t="shared" si="16"/>
        <v>1760</v>
      </c>
      <c r="Q92" s="2181"/>
      <c r="R92" s="2765">
        <f t="shared" si="17"/>
        <v>0</v>
      </c>
      <c r="S92" s="2824" t="s">
        <v>1205</v>
      </c>
      <c r="T92" s="2937">
        <v>685.17</v>
      </c>
      <c r="U92" s="263">
        <f t="shared" si="18"/>
        <v>0.38930113636363634</v>
      </c>
      <c r="V92" s="264" t="s">
        <v>468</v>
      </c>
      <c r="W92" s="2825"/>
      <c r="X92" s="2826"/>
      <c r="Y92" s="717"/>
    </row>
    <row r="93" spans="1:25" s="454" customFormat="1" ht="130" x14ac:dyDescent="0.3">
      <c r="A93" s="2200"/>
      <c r="B93" s="2201" t="s">
        <v>469</v>
      </c>
      <c r="C93" s="2334" t="s">
        <v>14</v>
      </c>
      <c r="D93" s="2157" t="s">
        <v>398</v>
      </c>
      <c r="E93" s="2550">
        <v>0.02</v>
      </c>
      <c r="F93" s="2551">
        <v>5000</v>
      </c>
      <c r="G93" s="2551">
        <v>11</v>
      </c>
      <c r="H93" s="2763">
        <f t="shared" si="14"/>
        <v>1100</v>
      </c>
      <c r="I93" s="2181"/>
      <c r="J93" s="2550">
        <v>0.02</v>
      </c>
      <c r="K93" s="2541">
        <f t="shared" si="19"/>
        <v>5000</v>
      </c>
      <c r="L93" s="2551">
        <v>11</v>
      </c>
      <c r="M93" s="2162">
        <f t="shared" si="15"/>
        <v>1100</v>
      </c>
      <c r="N93" s="2810"/>
      <c r="O93" s="2823"/>
      <c r="P93" s="2902">
        <f t="shared" si="16"/>
        <v>2200</v>
      </c>
      <c r="Q93" s="2181"/>
      <c r="R93" s="2765">
        <f t="shared" si="17"/>
        <v>0</v>
      </c>
      <c r="S93" s="2824" t="s">
        <v>1206</v>
      </c>
      <c r="T93" s="2937">
        <v>0</v>
      </c>
      <c r="U93" s="263">
        <f t="shared" si="18"/>
        <v>0</v>
      </c>
      <c r="V93" s="264" t="s">
        <v>468</v>
      </c>
      <c r="W93" s="2825"/>
      <c r="X93" s="2826"/>
      <c r="Y93" s="717"/>
    </row>
    <row r="94" spans="1:25" s="2226" customFormat="1" ht="120.75" customHeight="1" x14ac:dyDescent="0.3">
      <c r="A94" s="2827"/>
      <c r="B94" s="2219" t="s">
        <v>470</v>
      </c>
      <c r="C94" s="2170" t="s">
        <v>14</v>
      </c>
      <c r="D94" s="2157" t="s">
        <v>398</v>
      </c>
      <c r="E94" s="2548">
        <v>0.1</v>
      </c>
      <c r="F94" s="2549">
        <v>3500</v>
      </c>
      <c r="G94" s="2540">
        <v>11</v>
      </c>
      <c r="H94" s="2763">
        <f t="shared" si="14"/>
        <v>3850</v>
      </c>
      <c r="I94" s="2181"/>
      <c r="J94" s="2548">
        <v>0.15</v>
      </c>
      <c r="K94" s="2541">
        <f t="shared" si="19"/>
        <v>3500</v>
      </c>
      <c r="L94" s="2540">
        <v>11</v>
      </c>
      <c r="M94" s="2162">
        <f t="shared" si="15"/>
        <v>5775</v>
      </c>
      <c r="N94" s="2810"/>
      <c r="O94" s="2823"/>
      <c r="P94" s="2902">
        <f t="shared" si="16"/>
        <v>9625</v>
      </c>
      <c r="Q94" s="2181"/>
      <c r="R94" s="2765">
        <f t="shared" si="17"/>
        <v>0</v>
      </c>
      <c r="S94" s="2779" t="s">
        <v>1510</v>
      </c>
      <c r="T94" s="2937">
        <v>387.54</v>
      </c>
      <c r="U94" s="263">
        <f t="shared" si="18"/>
        <v>4.0263896103896107E-2</v>
      </c>
      <c r="V94" s="2779" t="s">
        <v>1511</v>
      </c>
      <c r="W94" s="2825"/>
      <c r="X94" s="2826"/>
      <c r="Y94" s="717"/>
    </row>
    <row r="95" spans="1:25" s="2226" customFormat="1" ht="48.75" customHeight="1" x14ac:dyDescent="0.3">
      <c r="A95" s="2827"/>
      <c r="B95" s="2219" t="s">
        <v>471</v>
      </c>
      <c r="C95" s="2170" t="s">
        <v>14</v>
      </c>
      <c r="D95" s="2157" t="s">
        <v>398</v>
      </c>
      <c r="E95" s="2548">
        <v>0.25</v>
      </c>
      <c r="F95" s="2549">
        <v>850</v>
      </c>
      <c r="G95" s="2540">
        <v>12</v>
      </c>
      <c r="H95" s="2763">
        <f t="shared" si="14"/>
        <v>2550</v>
      </c>
      <c r="I95" s="2181"/>
      <c r="J95" s="2548">
        <v>0.25</v>
      </c>
      <c r="K95" s="2541">
        <f t="shared" si="19"/>
        <v>850</v>
      </c>
      <c r="L95" s="2540">
        <v>11</v>
      </c>
      <c r="M95" s="2162">
        <f t="shared" si="15"/>
        <v>2337.5</v>
      </c>
      <c r="N95" s="2810"/>
      <c r="O95" s="2823"/>
      <c r="P95" s="2902">
        <f t="shared" si="16"/>
        <v>4887.5</v>
      </c>
      <c r="Q95" s="2181"/>
      <c r="R95" s="2765">
        <f t="shared" si="17"/>
        <v>0</v>
      </c>
      <c r="S95" s="2779" t="s">
        <v>1208</v>
      </c>
      <c r="T95" s="2937">
        <v>8923.82</v>
      </c>
      <c r="U95" s="263">
        <f t="shared" si="18"/>
        <v>1.8258455242966751</v>
      </c>
      <c r="V95" s="264" t="s">
        <v>1512</v>
      </c>
      <c r="W95" s="2825"/>
      <c r="X95" s="2826"/>
      <c r="Y95" s="264" t="s">
        <v>1512</v>
      </c>
    </row>
    <row r="96" spans="1:25" s="454" customFormat="1" ht="130" x14ac:dyDescent="0.3">
      <c r="A96" s="2200"/>
      <c r="B96" s="2201" t="s">
        <v>472</v>
      </c>
      <c r="C96" s="2334" t="s">
        <v>14</v>
      </c>
      <c r="D96" s="2157" t="s">
        <v>398</v>
      </c>
      <c r="E96" s="2550">
        <v>0.05</v>
      </c>
      <c r="F96" s="2551">
        <v>5000</v>
      </c>
      <c r="G96" s="2551">
        <v>12</v>
      </c>
      <c r="H96" s="2763">
        <f t="shared" si="14"/>
        <v>3000</v>
      </c>
      <c r="I96" s="2181"/>
      <c r="J96" s="2550">
        <v>0.05</v>
      </c>
      <c r="K96" s="2541">
        <f t="shared" si="19"/>
        <v>5000</v>
      </c>
      <c r="L96" s="2551">
        <v>12</v>
      </c>
      <c r="M96" s="2162">
        <f t="shared" si="15"/>
        <v>3000</v>
      </c>
      <c r="N96" s="2810"/>
      <c r="O96" s="2823"/>
      <c r="P96" s="2902">
        <f t="shared" si="16"/>
        <v>6000</v>
      </c>
      <c r="Q96" s="2181"/>
      <c r="R96" s="2765">
        <f t="shared" si="17"/>
        <v>0</v>
      </c>
      <c r="S96" s="2824" t="s">
        <v>1206</v>
      </c>
      <c r="T96" s="2937">
        <v>14654.86</v>
      </c>
      <c r="U96" s="263">
        <f t="shared" si="18"/>
        <v>2.4424766666666669</v>
      </c>
      <c r="V96" s="264"/>
      <c r="W96" s="2825"/>
      <c r="X96" s="2826"/>
      <c r="Y96" s="717"/>
    </row>
    <row r="97" spans="1:25" s="454" customFormat="1" ht="78" x14ac:dyDescent="0.3">
      <c r="A97" s="2200"/>
      <c r="B97" s="2201" t="s">
        <v>473</v>
      </c>
      <c r="C97" s="2334" t="s">
        <v>14</v>
      </c>
      <c r="D97" s="2157" t="s">
        <v>398</v>
      </c>
      <c r="E97" s="2550">
        <v>0.1</v>
      </c>
      <c r="F97" s="2551">
        <v>1400</v>
      </c>
      <c r="G97" s="2551">
        <v>12</v>
      </c>
      <c r="H97" s="2763">
        <f t="shared" si="14"/>
        <v>1680</v>
      </c>
      <c r="I97" s="2181"/>
      <c r="J97" s="2550">
        <v>0.1</v>
      </c>
      <c r="K97" s="2541">
        <f t="shared" si="19"/>
        <v>1400</v>
      </c>
      <c r="L97" s="2551">
        <v>12</v>
      </c>
      <c r="M97" s="2162">
        <f t="shared" si="15"/>
        <v>1680</v>
      </c>
      <c r="N97" s="2810"/>
      <c r="O97" s="2823"/>
      <c r="P97" s="2902">
        <f t="shared" si="16"/>
        <v>3360</v>
      </c>
      <c r="Q97" s="2181"/>
      <c r="R97" s="2765">
        <f t="shared" si="17"/>
        <v>0</v>
      </c>
      <c r="S97" s="2824" t="s">
        <v>1209</v>
      </c>
      <c r="T97" s="2937">
        <v>3338.76</v>
      </c>
      <c r="U97" s="263">
        <f t="shared" si="18"/>
        <v>0.99367857142857152</v>
      </c>
      <c r="V97" s="264"/>
      <c r="W97" s="2825"/>
      <c r="X97" s="2826"/>
      <c r="Y97" s="717"/>
    </row>
    <row r="98" spans="1:25" s="454" customFormat="1" ht="78" x14ac:dyDescent="0.3">
      <c r="A98" s="2200"/>
      <c r="B98" s="2201" t="s">
        <v>474</v>
      </c>
      <c r="C98" s="2334" t="s">
        <v>14</v>
      </c>
      <c r="D98" s="2157" t="s">
        <v>398</v>
      </c>
      <c r="E98" s="2550">
        <v>0.5</v>
      </c>
      <c r="F98" s="2551">
        <v>850</v>
      </c>
      <c r="G98" s="2551">
        <v>12</v>
      </c>
      <c r="H98" s="2763">
        <f t="shared" si="14"/>
        <v>5100</v>
      </c>
      <c r="I98" s="2181"/>
      <c r="J98" s="2550">
        <v>0.5</v>
      </c>
      <c r="K98" s="2541">
        <f t="shared" si="19"/>
        <v>850</v>
      </c>
      <c r="L98" s="2551">
        <v>12</v>
      </c>
      <c r="M98" s="2162">
        <f t="shared" si="15"/>
        <v>5100</v>
      </c>
      <c r="N98" s="2810">
        <v>8892</v>
      </c>
      <c r="O98" s="2823"/>
      <c r="P98" s="2902">
        <f t="shared" si="16"/>
        <v>19092</v>
      </c>
      <c r="Q98" s="2181"/>
      <c r="R98" s="2765">
        <f t="shared" si="17"/>
        <v>0</v>
      </c>
      <c r="S98" s="2824" t="s">
        <v>1209</v>
      </c>
      <c r="T98" s="2937">
        <v>15768.880000000001</v>
      </c>
      <c r="U98" s="263">
        <f t="shared" si="18"/>
        <v>0.82594175570919759</v>
      </c>
      <c r="V98" s="264"/>
      <c r="W98" s="2825"/>
      <c r="X98" s="2826"/>
      <c r="Y98" s="717"/>
    </row>
    <row r="99" spans="1:25" s="454" customFormat="1" ht="78" x14ac:dyDescent="0.3">
      <c r="A99" s="2200"/>
      <c r="B99" s="2201" t="s">
        <v>475</v>
      </c>
      <c r="C99" s="2334" t="s">
        <v>14</v>
      </c>
      <c r="D99" s="2157" t="s">
        <v>398</v>
      </c>
      <c r="E99" s="2550">
        <v>0.5</v>
      </c>
      <c r="F99" s="2551">
        <v>650</v>
      </c>
      <c r="G99" s="2551">
        <v>12</v>
      </c>
      <c r="H99" s="2763">
        <f t="shared" si="14"/>
        <v>3900</v>
      </c>
      <c r="I99" s="2181"/>
      <c r="J99" s="2550">
        <v>0.5</v>
      </c>
      <c r="K99" s="2541">
        <f t="shared" si="19"/>
        <v>650</v>
      </c>
      <c r="L99" s="2551">
        <v>12</v>
      </c>
      <c r="M99" s="2162">
        <f t="shared" si="15"/>
        <v>3900</v>
      </c>
      <c r="N99" s="2810">
        <v>5310</v>
      </c>
      <c r="O99" s="2823"/>
      <c r="P99" s="2902">
        <f t="shared" si="16"/>
        <v>13110</v>
      </c>
      <c r="Q99" s="2181"/>
      <c r="R99" s="2765">
        <f t="shared" si="17"/>
        <v>0</v>
      </c>
      <c r="S99" s="2824" t="s">
        <v>1209</v>
      </c>
      <c r="T99" s="2937">
        <v>11826.169999999998</v>
      </c>
      <c r="U99" s="263">
        <f t="shared" si="18"/>
        <v>0.90207246376811578</v>
      </c>
      <c r="V99" s="264"/>
      <c r="W99" s="2825"/>
      <c r="X99" s="2826"/>
      <c r="Y99" s="717"/>
    </row>
    <row r="100" spans="1:25" s="454" customFormat="1" ht="39" x14ac:dyDescent="0.3">
      <c r="A100" s="2200"/>
      <c r="B100" s="2201" t="s">
        <v>476</v>
      </c>
      <c r="C100" s="2334" t="s">
        <v>14</v>
      </c>
      <c r="D100" s="2157" t="s">
        <v>398</v>
      </c>
      <c r="E100" s="2550">
        <v>0.5</v>
      </c>
      <c r="F100" s="2551">
        <v>600</v>
      </c>
      <c r="G100" s="2551">
        <v>12</v>
      </c>
      <c r="H100" s="2763">
        <f t="shared" si="14"/>
        <v>3600</v>
      </c>
      <c r="I100" s="2181"/>
      <c r="J100" s="2550">
        <v>0.5</v>
      </c>
      <c r="K100" s="2541">
        <f t="shared" si="19"/>
        <v>600</v>
      </c>
      <c r="L100" s="2551">
        <v>12</v>
      </c>
      <c r="M100" s="2162">
        <f t="shared" si="15"/>
        <v>3600</v>
      </c>
      <c r="N100" s="2810">
        <v>4500</v>
      </c>
      <c r="O100" s="2823"/>
      <c r="P100" s="2902">
        <f t="shared" si="16"/>
        <v>11700</v>
      </c>
      <c r="Q100" s="2181"/>
      <c r="R100" s="2765">
        <f t="shared" si="17"/>
        <v>0</v>
      </c>
      <c r="S100" s="2824" t="s">
        <v>1210</v>
      </c>
      <c r="T100" s="2937">
        <v>3370.46</v>
      </c>
      <c r="U100" s="263">
        <f t="shared" si="18"/>
        <v>0.28807350427350426</v>
      </c>
      <c r="V100" s="264" t="s">
        <v>477</v>
      </c>
      <c r="W100" s="2825"/>
      <c r="X100" s="2826"/>
      <c r="Y100" s="717"/>
    </row>
    <row r="101" spans="1:25" s="454" customFormat="1" x14ac:dyDescent="0.3">
      <c r="A101" s="2200"/>
      <c r="B101" s="2352"/>
      <c r="C101" s="2206"/>
      <c r="D101" s="2828"/>
      <c r="E101" s="2171"/>
      <c r="F101" s="2171"/>
      <c r="G101" s="2171"/>
      <c r="H101" s="2829"/>
      <c r="I101" s="2181"/>
      <c r="J101" s="2181"/>
      <c r="K101" s="2181"/>
      <c r="L101" s="2181"/>
      <c r="M101" s="2181"/>
      <c r="N101" s="2810"/>
      <c r="O101" s="2823"/>
      <c r="P101" s="2907"/>
      <c r="Q101" s="2181"/>
      <c r="R101" s="2830"/>
      <c r="S101" s="2830"/>
      <c r="T101" s="2937"/>
      <c r="U101" s="2825"/>
      <c r="V101" s="264"/>
      <c r="W101" s="2825"/>
      <c r="X101" s="2826"/>
      <c r="Y101" s="717"/>
    </row>
    <row r="102" spans="1:25" s="454" customFormat="1" x14ac:dyDescent="0.3">
      <c r="A102" s="2204"/>
      <c r="B102" s="2352"/>
      <c r="C102" s="2206"/>
      <c r="D102" s="2768" t="s">
        <v>0</v>
      </c>
      <c r="E102" s="2769"/>
      <c r="F102" s="2769"/>
      <c r="G102" s="2769"/>
      <c r="H102" s="2770">
        <f>SUM(H89:H101)</f>
        <v>29144.25</v>
      </c>
      <c r="I102" s="2771"/>
      <c r="J102" s="2771"/>
      <c r="K102" s="2771"/>
      <c r="L102" s="2771"/>
      <c r="M102" s="2771">
        <f>SUM(M89:M101)</f>
        <v>30966.75</v>
      </c>
      <c r="N102" s="2772">
        <f>SUM(N89:N101)</f>
        <v>18702</v>
      </c>
      <c r="O102" s="2773"/>
      <c r="P102" s="2904">
        <f>SUM(P89:P101)</f>
        <v>78813</v>
      </c>
      <c r="Q102" s="2771"/>
      <c r="R102" s="2771">
        <f>SUM(R89:R101)</f>
        <v>0</v>
      </c>
      <c r="S102" s="2774"/>
      <c r="T102" s="2930">
        <f>SUM(T89:T101)</f>
        <v>78183.240000000005</v>
      </c>
      <c r="U102" s="2775">
        <f>T102/P102</f>
        <v>0.9920094400669941</v>
      </c>
      <c r="V102" s="513"/>
      <c r="W102" s="2775"/>
      <c r="X102" s="2776">
        <f>SUM(X89:X100)</f>
        <v>0</v>
      </c>
      <c r="Y102" s="516"/>
    </row>
    <row r="103" spans="1:25" s="454" customFormat="1" x14ac:dyDescent="0.25">
      <c r="A103" s="3036" t="s">
        <v>55</v>
      </c>
      <c r="B103" s="3037"/>
      <c r="C103" s="3037"/>
      <c r="D103" s="3037"/>
      <c r="E103" s="3037"/>
      <c r="F103" s="3037"/>
      <c r="G103" s="3037"/>
      <c r="H103" s="3037"/>
      <c r="I103" s="3037"/>
      <c r="J103" s="3037"/>
      <c r="K103" s="3037"/>
      <c r="L103" s="3037"/>
      <c r="M103" s="3037"/>
      <c r="N103" s="3037"/>
      <c r="O103" s="3037"/>
      <c r="P103" s="3037"/>
      <c r="Q103" s="3037"/>
      <c r="R103" s="3037"/>
      <c r="S103" s="3037"/>
      <c r="T103" s="3143"/>
      <c r="U103" s="3143"/>
      <c r="V103" s="3143"/>
      <c r="W103" s="3143"/>
      <c r="X103" s="3143"/>
      <c r="Y103" s="3143"/>
    </row>
    <row r="104" spans="1:25" s="454" customFormat="1" ht="26" x14ac:dyDescent="0.3">
      <c r="A104" s="2204"/>
      <c r="B104" s="2201" t="s">
        <v>478</v>
      </c>
      <c r="C104" s="2334" t="s">
        <v>15</v>
      </c>
      <c r="D104" s="2157" t="s">
        <v>398</v>
      </c>
      <c r="E104" s="2540">
        <v>1</v>
      </c>
      <c r="F104" s="2552">
        <v>1800</v>
      </c>
      <c r="G104" s="2540">
        <v>1</v>
      </c>
      <c r="H104" s="2763">
        <f>E104*F104*G104</f>
        <v>1800</v>
      </c>
      <c r="I104" s="2181"/>
      <c r="J104" s="2831">
        <v>1</v>
      </c>
      <c r="K104" s="2541">
        <f>F104</f>
        <v>1800</v>
      </c>
      <c r="L104" s="2540">
        <v>0</v>
      </c>
      <c r="M104" s="2162">
        <f>J104*K104*L104</f>
        <v>0</v>
      </c>
      <c r="N104" s="2810">
        <v>3000</v>
      </c>
      <c r="O104" s="2823"/>
      <c r="P104" s="2902">
        <f>+H104+M104+N104</f>
        <v>4800</v>
      </c>
      <c r="Q104" s="2181"/>
      <c r="R104" s="2765">
        <f>P104*Q104</f>
        <v>0</v>
      </c>
      <c r="S104" s="2824" t="s">
        <v>1211</v>
      </c>
      <c r="T104" s="2937">
        <v>1286.9100000000001</v>
      </c>
      <c r="U104" s="263">
        <f>T104/P104</f>
        <v>0.26810624999999999</v>
      </c>
      <c r="V104" s="264" t="s">
        <v>479</v>
      </c>
      <c r="W104" s="2825"/>
      <c r="X104" s="2826"/>
      <c r="Y104" s="717"/>
    </row>
    <row r="105" spans="1:25" s="454" customFormat="1" x14ac:dyDescent="0.3">
      <c r="A105" s="2204"/>
      <c r="B105" s="2201" t="s">
        <v>480</v>
      </c>
      <c r="C105" s="2334" t="s">
        <v>15</v>
      </c>
      <c r="D105" s="2157" t="s">
        <v>398</v>
      </c>
      <c r="E105" s="2540">
        <v>0.5</v>
      </c>
      <c r="F105" s="2552">
        <v>500</v>
      </c>
      <c r="G105" s="2540">
        <v>12</v>
      </c>
      <c r="H105" s="2763">
        <f>E105*F105*G105</f>
        <v>3000</v>
      </c>
      <c r="I105" s="2181"/>
      <c r="J105" s="2831">
        <v>0.5</v>
      </c>
      <c r="K105" s="2541">
        <f>F105</f>
        <v>500</v>
      </c>
      <c r="L105" s="2540">
        <v>12</v>
      </c>
      <c r="M105" s="2162">
        <f>J105*K105*L105</f>
        <v>3000</v>
      </c>
      <c r="N105" s="2810"/>
      <c r="O105" s="2823"/>
      <c r="P105" s="2902">
        <f>+H105+M105+N105</f>
        <v>6000</v>
      </c>
      <c r="Q105" s="2181"/>
      <c r="R105" s="2765">
        <f>P105*Q105</f>
        <v>0</v>
      </c>
      <c r="S105" s="2824" t="s">
        <v>1212</v>
      </c>
      <c r="T105" s="2937">
        <v>9154.4</v>
      </c>
      <c r="U105" s="263">
        <f>T105/P105</f>
        <v>1.5257333333333332</v>
      </c>
      <c r="V105" s="264" t="s">
        <v>481</v>
      </c>
      <c r="W105" s="2825"/>
      <c r="X105" s="2826"/>
      <c r="Y105" s="717"/>
    </row>
    <row r="106" spans="1:25" s="454" customFormat="1" x14ac:dyDescent="0.3">
      <c r="A106" s="2204"/>
      <c r="B106" s="2352"/>
      <c r="C106" s="2206"/>
      <c r="D106" s="2768" t="s">
        <v>0</v>
      </c>
      <c r="E106" s="2769"/>
      <c r="F106" s="2769"/>
      <c r="G106" s="2769"/>
      <c r="H106" s="2770">
        <f>SUM(H104:H105)</f>
        <v>4800</v>
      </c>
      <c r="I106" s="2771"/>
      <c r="J106" s="2771"/>
      <c r="K106" s="2771"/>
      <c r="L106" s="2771"/>
      <c r="M106" s="2771">
        <f>SUM(M104:M105)</f>
        <v>3000</v>
      </c>
      <c r="N106" s="2772">
        <f>SUM(N104:N105)</f>
        <v>3000</v>
      </c>
      <c r="O106" s="2773"/>
      <c r="P106" s="2904">
        <f>SUM(P104:P105)</f>
        <v>10800</v>
      </c>
      <c r="Q106" s="2771"/>
      <c r="R106" s="2771">
        <f>SUM(R104:R105)</f>
        <v>0</v>
      </c>
      <c r="S106" s="2774"/>
      <c r="T106" s="2930">
        <f>SUM(T104:T105)</f>
        <v>10441.31</v>
      </c>
      <c r="U106" s="2775">
        <f>T106/P106</f>
        <v>0.96678796296296288</v>
      </c>
      <c r="V106" s="513"/>
      <c r="W106" s="2775"/>
      <c r="X106" s="2776">
        <f>SUM(X104:X105)</f>
        <v>0</v>
      </c>
      <c r="Y106" s="516"/>
    </row>
    <row r="107" spans="1:25" s="454" customFormat="1" x14ac:dyDescent="0.25">
      <c r="A107" s="3036" t="s">
        <v>56</v>
      </c>
      <c r="B107" s="3037"/>
      <c r="C107" s="3037"/>
      <c r="D107" s="3037"/>
      <c r="E107" s="3037"/>
      <c r="F107" s="3037"/>
      <c r="G107" s="3037"/>
      <c r="H107" s="3037"/>
      <c r="I107" s="3037"/>
      <c r="J107" s="3037"/>
      <c r="K107" s="3037"/>
      <c r="L107" s="3037"/>
      <c r="M107" s="3037"/>
      <c r="N107" s="3037"/>
      <c r="O107" s="3037"/>
      <c r="P107" s="3037"/>
      <c r="Q107" s="3037"/>
      <c r="R107" s="3037"/>
      <c r="S107" s="3037"/>
      <c r="T107" s="3140"/>
      <c r="U107" s="3140"/>
      <c r="V107" s="3140"/>
      <c r="W107" s="3140"/>
      <c r="X107" s="3140"/>
      <c r="Y107" s="3140"/>
    </row>
    <row r="108" spans="1:25" s="454" customFormat="1" ht="26" x14ac:dyDescent="0.3">
      <c r="A108" s="2204"/>
      <c r="B108" s="2201" t="s">
        <v>482</v>
      </c>
      <c r="C108" s="2334" t="s">
        <v>36</v>
      </c>
      <c r="D108" s="2157" t="s">
        <v>398</v>
      </c>
      <c r="E108" s="2540">
        <v>0.5</v>
      </c>
      <c r="F108" s="2552">
        <v>700</v>
      </c>
      <c r="G108" s="2540">
        <v>12</v>
      </c>
      <c r="H108" s="2763">
        <f>E108*F108*G108</f>
        <v>4200</v>
      </c>
      <c r="I108" s="2181"/>
      <c r="J108" s="2553">
        <v>0.5</v>
      </c>
      <c r="K108" s="2541">
        <f>F108</f>
        <v>700</v>
      </c>
      <c r="L108" s="2540">
        <v>12</v>
      </c>
      <c r="M108" s="2162">
        <f>J108*K108*L108</f>
        <v>4200</v>
      </c>
      <c r="N108" s="2810">
        <v>1800</v>
      </c>
      <c r="O108" s="2823"/>
      <c r="P108" s="2902">
        <f>+H108+M108+N108</f>
        <v>10200</v>
      </c>
      <c r="Q108" s="2181"/>
      <c r="R108" s="2765">
        <f>P108*Q108</f>
        <v>0</v>
      </c>
      <c r="S108" s="2824" t="s">
        <v>1213</v>
      </c>
      <c r="T108" s="2937">
        <v>22015.05</v>
      </c>
      <c r="U108" s="263">
        <f>T108/P108</f>
        <v>2.1583382352941176</v>
      </c>
      <c r="V108" s="264" t="s">
        <v>483</v>
      </c>
      <c r="W108" s="2825"/>
      <c r="X108" s="2826"/>
      <c r="Y108" s="717"/>
    </row>
    <row r="109" spans="1:25" s="454" customFormat="1" x14ac:dyDescent="0.3">
      <c r="A109" s="2204"/>
      <c r="B109" s="2352"/>
      <c r="C109" s="2206"/>
      <c r="D109" s="2828"/>
      <c r="E109" s="2171"/>
      <c r="F109" s="2171"/>
      <c r="G109" s="2171"/>
      <c r="H109" s="2763">
        <f>E109*F109*G109</f>
        <v>0</v>
      </c>
      <c r="I109" s="2181"/>
      <c r="J109" s="2181"/>
      <c r="K109" s="2181"/>
      <c r="L109" s="2181"/>
      <c r="M109" s="2181"/>
      <c r="N109" s="2810"/>
      <c r="O109" s="2823"/>
      <c r="P109" s="2907"/>
      <c r="Q109" s="2181"/>
      <c r="R109" s="2830"/>
      <c r="S109" s="2830"/>
      <c r="T109" s="2937"/>
      <c r="U109" s="2825"/>
      <c r="V109" s="264"/>
      <c r="W109" s="2825"/>
      <c r="X109" s="2826"/>
      <c r="Y109" s="717"/>
    </row>
    <row r="110" spans="1:25" s="454" customFormat="1" x14ac:dyDescent="0.3">
      <c r="A110" s="2204"/>
      <c r="B110" s="2353"/>
      <c r="C110" s="2204"/>
      <c r="D110" s="2768" t="s">
        <v>0</v>
      </c>
      <c r="E110" s="2769"/>
      <c r="F110" s="2769"/>
      <c r="G110" s="2769"/>
      <c r="H110" s="2770">
        <f>SUM(H108:H109)</f>
        <v>4200</v>
      </c>
      <c r="I110" s="2771"/>
      <c r="J110" s="2771"/>
      <c r="K110" s="2771"/>
      <c r="L110" s="2771"/>
      <c r="M110" s="2771">
        <f>SUM(M108:M109)</f>
        <v>4200</v>
      </c>
      <c r="N110" s="2772">
        <f>SUM(N108:N109)</f>
        <v>1800</v>
      </c>
      <c r="O110" s="2773"/>
      <c r="P110" s="2904">
        <f>SUM(P108:P109)</f>
        <v>10200</v>
      </c>
      <c r="Q110" s="2771"/>
      <c r="R110" s="2771">
        <f>SUM(R108:R109)</f>
        <v>0</v>
      </c>
      <c r="S110" s="2774"/>
      <c r="T110" s="2930">
        <f>SUM(T108:T109)</f>
        <v>22015.05</v>
      </c>
      <c r="U110" s="2775">
        <f>T110/P110</f>
        <v>2.1583382352941176</v>
      </c>
      <c r="V110" s="513"/>
      <c r="W110" s="2775"/>
      <c r="X110" s="2776">
        <f>SUM(X108:X109)</f>
        <v>0</v>
      </c>
      <c r="Y110" s="516"/>
    </row>
    <row r="111" spans="1:25" s="454" customFormat="1" x14ac:dyDescent="0.25">
      <c r="A111" s="3036" t="s">
        <v>57</v>
      </c>
      <c r="B111" s="3037"/>
      <c r="C111" s="3037"/>
      <c r="D111" s="3037"/>
      <c r="E111" s="3037"/>
      <c r="F111" s="3037"/>
      <c r="G111" s="3037"/>
      <c r="H111" s="3037"/>
      <c r="I111" s="3037"/>
      <c r="J111" s="3037"/>
      <c r="K111" s="3037"/>
      <c r="L111" s="3037"/>
      <c r="M111" s="3037"/>
      <c r="N111" s="3037"/>
      <c r="O111" s="3037"/>
      <c r="P111" s="3037"/>
      <c r="Q111" s="3037"/>
      <c r="R111" s="3037"/>
      <c r="S111" s="3037"/>
      <c r="T111" s="3140"/>
      <c r="U111" s="3140"/>
      <c r="V111" s="3140"/>
      <c r="W111" s="3140"/>
      <c r="X111" s="3140"/>
      <c r="Y111" s="3140"/>
    </row>
    <row r="112" spans="1:25" s="2226" customFormat="1" ht="91" x14ac:dyDescent="0.3">
      <c r="A112" s="1098"/>
      <c r="B112" s="2219" t="s">
        <v>484</v>
      </c>
      <c r="C112" s="2334" t="s">
        <v>47</v>
      </c>
      <c r="D112" s="2554" t="s">
        <v>398</v>
      </c>
      <c r="E112" s="2541">
        <v>0.5</v>
      </c>
      <c r="F112" s="2354">
        <v>550</v>
      </c>
      <c r="G112" s="2551">
        <v>12</v>
      </c>
      <c r="H112" s="2763">
        <f>E112*F112*G112</f>
        <v>3300</v>
      </c>
      <c r="I112" s="2181"/>
      <c r="J112" s="2541">
        <v>0.5</v>
      </c>
      <c r="K112" s="2541">
        <f>F112</f>
        <v>550</v>
      </c>
      <c r="L112" s="2551">
        <v>12</v>
      </c>
      <c r="M112" s="2162">
        <f>J112*K112*L112</f>
        <v>3300</v>
      </c>
      <c r="N112" s="2810">
        <v>3600</v>
      </c>
      <c r="O112" s="2823"/>
      <c r="P112" s="2902">
        <f>+H112+M112+N112</f>
        <v>10200</v>
      </c>
      <c r="Q112" s="2181"/>
      <c r="R112" s="2765">
        <f>P112*Q112</f>
        <v>0</v>
      </c>
      <c r="S112" s="2824" t="s">
        <v>1214</v>
      </c>
      <c r="T112" s="2937">
        <v>20273.77</v>
      </c>
      <c r="U112" s="263">
        <f>T112/P112</f>
        <v>1.9876245098039216</v>
      </c>
      <c r="V112" s="264" t="s">
        <v>1514</v>
      </c>
      <c r="W112" s="2825"/>
      <c r="X112" s="2826"/>
      <c r="Y112" s="264" t="s">
        <v>1513</v>
      </c>
    </row>
    <row r="113" spans="1:25" s="454" customFormat="1" ht="26" x14ac:dyDescent="0.3">
      <c r="A113" s="2204"/>
      <c r="B113" s="2201" t="s">
        <v>485</v>
      </c>
      <c r="C113" s="2334" t="s">
        <v>19</v>
      </c>
      <c r="D113" s="2554" t="s">
        <v>398</v>
      </c>
      <c r="E113" s="2541">
        <v>0.5</v>
      </c>
      <c r="F113" s="2354">
        <v>150</v>
      </c>
      <c r="G113" s="2551">
        <v>12</v>
      </c>
      <c r="H113" s="2763">
        <f>E113*F113*G113</f>
        <v>900</v>
      </c>
      <c r="I113" s="2181"/>
      <c r="J113" s="2541">
        <v>0.5</v>
      </c>
      <c r="K113" s="2541">
        <f>F113</f>
        <v>150</v>
      </c>
      <c r="L113" s="2551">
        <v>12</v>
      </c>
      <c r="M113" s="2162">
        <f>J113*K113*L113</f>
        <v>900</v>
      </c>
      <c r="N113" s="2810">
        <v>3600</v>
      </c>
      <c r="O113" s="2823"/>
      <c r="P113" s="2902">
        <f>+H113+M113+N113</f>
        <v>5400</v>
      </c>
      <c r="Q113" s="2181"/>
      <c r="R113" s="2765">
        <f>P113*Q113</f>
        <v>0</v>
      </c>
      <c r="S113" s="2824" t="s">
        <v>1215</v>
      </c>
      <c r="T113" s="2937">
        <v>-449.00999999999857</v>
      </c>
      <c r="U113" s="263">
        <f>T113/P113</f>
        <v>-8.3149999999999738E-2</v>
      </c>
      <c r="V113" s="264"/>
      <c r="W113" s="2825"/>
      <c r="X113" s="2826"/>
      <c r="Y113" s="717" t="s">
        <v>1115</v>
      </c>
    </row>
    <row r="114" spans="1:25" s="454" customFormat="1" x14ac:dyDescent="0.3">
      <c r="A114" s="2204"/>
      <c r="B114" s="2353"/>
      <c r="C114" s="2204"/>
      <c r="D114" s="2768" t="s">
        <v>0</v>
      </c>
      <c r="E114" s="2769"/>
      <c r="F114" s="2769"/>
      <c r="G114" s="2769"/>
      <c r="H114" s="2770">
        <f>SUM(H112:H113)</f>
        <v>4200</v>
      </c>
      <c r="I114" s="2771"/>
      <c r="J114" s="2771"/>
      <c r="K114" s="2771"/>
      <c r="L114" s="2771"/>
      <c r="M114" s="2771">
        <f>SUM(M112:M113)</f>
        <v>4200</v>
      </c>
      <c r="N114" s="2772">
        <f>SUM(N112:N113)</f>
        <v>7200</v>
      </c>
      <c r="O114" s="2773"/>
      <c r="P114" s="2904">
        <f>SUM(P112:P113)</f>
        <v>15600</v>
      </c>
      <c r="Q114" s="2771"/>
      <c r="R114" s="2771">
        <f>SUM(R112:R113)</f>
        <v>0</v>
      </c>
      <c r="S114" s="2774"/>
      <c r="T114" s="2930">
        <f>SUM(T112:T113)</f>
        <v>19824.760000000002</v>
      </c>
      <c r="U114" s="2775">
        <f>T114/P114</f>
        <v>1.270817948717949</v>
      </c>
      <c r="V114" s="513"/>
      <c r="W114" s="2775"/>
      <c r="X114" s="2776">
        <f>SUM(X112:X113)</f>
        <v>0</v>
      </c>
      <c r="Y114" s="516"/>
    </row>
    <row r="115" spans="1:25" s="454" customFormat="1" x14ac:dyDescent="0.25">
      <c r="A115" s="3036" t="s">
        <v>59</v>
      </c>
      <c r="B115" s="3037"/>
      <c r="C115" s="3037"/>
      <c r="D115" s="3037"/>
      <c r="E115" s="3037"/>
      <c r="F115" s="3037"/>
      <c r="G115" s="3037"/>
      <c r="H115" s="3037"/>
      <c r="I115" s="3037"/>
      <c r="J115" s="3037"/>
      <c r="K115" s="3037"/>
      <c r="L115" s="3037"/>
      <c r="M115" s="3037"/>
      <c r="N115" s="3037"/>
      <c r="O115" s="3037"/>
      <c r="P115" s="3037"/>
      <c r="Q115" s="3037"/>
      <c r="R115" s="3037"/>
      <c r="S115" s="3037"/>
      <c r="T115" s="3140"/>
      <c r="U115" s="3140"/>
      <c r="V115" s="3140"/>
      <c r="W115" s="3140"/>
      <c r="X115" s="3140"/>
      <c r="Y115" s="3140"/>
    </row>
    <row r="116" spans="1:25" s="2226" customFormat="1" ht="78" x14ac:dyDescent="0.3">
      <c r="A116" s="1098"/>
      <c r="B116" s="2219" t="s">
        <v>486</v>
      </c>
      <c r="C116" s="2334" t="s">
        <v>17</v>
      </c>
      <c r="D116" s="2554" t="s">
        <v>398</v>
      </c>
      <c r="E116" s="2551">
        <v>5</v>
      </c>
      <c r="F116" s="2354">
        <v>45</v>
      </c>
      <c r="G116" s="2541">
        <v>40</v>
      </c>
      <c r="H116" s="2763">
        <f>E116*F116*G116</f>
        <v>9000</v>
      </c>
      <c r="I116" s="2181"/>
      <c r="J116" s="2551">
        <v>5</v>
      </c>
      <c r="K116" s="2541">
        <f>F116</f>
        <v>45</v>
      </c>
      <c r="L116" s="2541">
        <v>40</v>
      </c>
      <c r="M116" s="2162">
        <f>J116*K116*L116</f>
        <v>9000</v>
      </c>
      <c r="N116" s="2810">
        <v>4410</v>
      </c>
      <c r="O116" s="2823"/>
      <c r="P116" s="2902">
        <f>+H116+M116+N116</f>
        <v>22410</v>
      </c>
      <c r="Q116" s="2181"/>
      <c r="R116" s="2765">
        <f>P116*Q116</f>
        <v>0</v>
      </c>
      <c r="S116" s="2824" t="s">
        <v>1216</v>
      </c>
      <c r="T116" s="2937">
        <v>28356.5</v>
      </c>
      <c r="U116" s="263">
        <f>T116/P116</f>
        <v>1.2653502900490852</v>
      </c>
      <c r="V116" s="264" t="s">
        <v>1515</v>
      </c>
      <c r="W116" s="2825"/>
      <c r="X116" s="2826"/>
      <c r="Y116" s="264" t="s">
        <v>1516</v>
      </c>
    </row>
    <row r="117" spans="1:25" s="454" customFormat="1" ht="26" x14ac:dyDescent="0.3">
      <c r="A117" s="2204"/>
      <c r="B117" s="2201" t="s">
        <v>488</v>
      </c>
      <c r="C117" s="2334" t="s">
        <v>17</v>
      </c>
      <c r="D117" s="2554" t="s">
        <v>398</v>
      </c>
      <c r="E117" s="2551">
        <v>10</v>
      </c>
      <c r="F117" s="2354">
        <v>250</v>
      </c>
      <c r="G117" s="2541">
        <v>1</v>
      </c>
      <c r="H117" s="2763">
        <f>E117*F117*G117</f>
        <v>2500</v>
      </c>
      <c r="I117" s="2181"/>
      <c r="J117" s="2551">
        <v>10</v>
      </c>
      <c r="K117" s="2541">
        <f>F117</f>
        <v>250</v>
      </c>
      <c r="L117" s="2541">
        <v>1</v>
      </c>
      <c r="M117" s="2162">
        <f>J117*K117*L117</f>
        <v>2500</v>
      </c>
      <c r="N117" s="2810">
        <v>2160</v>
      </c>
      <c r="O117" s="2823"/>
      <c r="P117" s="2902">
        <f>+H117+M117+N117</f>
        <v>7160</v>
      </c>
      <c r="Q117" s="2181"/>
      <c r="R117" s="2765">
        <f>P117*Q117</f>
        <v>0</v>
      </c>
      <c r="S117" s="2824" t="s">
        <v>1217</v>
      </c>
      <c r="T117" s="2937">
        <v>13795.180000000002</v>
      </c>
      <c r="U117" s="263">
        <f>T117/P117</f>
        <v>1.9267011173184361</v>
      </c>
      <c r="V117" s="264" t="s">
        <v>487</v>
      </c>
      <c r="W117" s="2825"/>
      <c r="X117" s="2826"/>
      <c r="Y117" s="264" t="s">
        <v>1115</v>
      </c>
    </row>
    <row r="118" spans="1:25" s="454" customFormat="1" x14ac:dyDescent="0.3">
      <c r="A118" s="2204"/>
      <c r="B118" s="2353"/>
      <c r="C118" s="2204"/>
      <c r="D118" s="2768" t="s">
        <v>0</v>
      </c>
      <c r="E118" s="2769"/>
      <c r="F118" s="2769"/>
      <c r="G118" s="2769"/>
      <c r="H118" s="2770">
        <f>SUM(H116:H117)</f>
        <v>11500</v>
      </c>
      <c r="I118" s="2771"/>
      <c r="J118" s="2771"/>
      <c r="K118" s="2771"/>
      <c r="L118" s="2771"/>
      <c r="M118" s="2771">
        <f>SUM(M116:M117)</f>
        <v>11500</v>
      </c>
      <c r="N118" s="2772">
        <f>SUM(N116:N117)</f>
        <v>6570</v>
      </c>
      <c r="O118" s="2773"/>
      <c r="P118" s="2904">
        <f>SUM(P116:P117)</f>
        <v>29570</v>
      </c>
      <c r="Q118" s="2771"/>
      <c r="R118" s="2771">
        <f>SUM(R116:R117)</f>
        <v>0</v>
      </c>
      <c r="S118" s="2774"/>
      <c r="T118" s="2930">
        <f>SUM(T116:T117)</f>
        <v>42151.68</v>
      </c>
      <c r="U118" s="2775">
        <f>T118/P118</f>
        <v>1.4254879945891106</v>
      </c>
      <c r="V118" s="513"/>
      <c r="W118" s="2775"/>
      <c r="X118" s="2776">
        <f>SUM(X116:X117)</f>
        <v>0</v>
      </c>
      <c r="Y118" s="516"/>
    </row>
    <row r="119" spans="1:25" s="454" customFormat="1" x14ac:dyDescent="0.25">
      <c r="A119" s="3036" t="s">
        <v>60</v>
      </c>
      <c r="B119" s="3037"/>
      <c r="C119" s="3037"/>
      <c r="D119" s="3037"/>
      <c r="E119" s="3037"/>
      <c r="F119" s="3037"/>
      <c r="G119" s="3037"/>
      <c r="H119" s="3037"/>
      <c r="I119" s="3037"/>
      <c r="J119" s="3037"/>
      <c r="K119" s="3037"/>
      <c r="L119" s="3037"/>
      <c r="M119" s="3037"/>
      <c r="N119" s="3037"/>
      <c r="O119" s="3037"/>
      <c r="P119" s="3037"/>
      <c r="Q119" s="3037"/>
      <c r="R119" s="3037"/>
      <c r="S119" s="3037"/>
      <c r="T119" s="3140"/>
      <c r="U119" s="3140"/>
      <c r="V119" s="3140"/>
      <c r="W119" s="3140"/>
      <c r="X119" s="3140"/>
      <c r="Y119" s="3140"/>
    </row>
    <row r="120" spans="1:25" s="454" customFormat="1" x14ac:dyDescent="0.3">
      <c r="A120" s="2204"/>
      <c r="B120" s="2352"/>
      <c r="C120" s="2206"/>
      <c r="D120" s="2828"/>
      <c r="E120" s="2171"/>
      <c r="F120" s="2171"/>
      <c r="G120" s="2171"/>
      <c r="H120" s="2829"/>
      <c r="I120" s="2181"/>
      <c r="J120" s="2181"/>
      <c r="K120" s="2181"/>
      <c r="L120" s="2181"/>
      <c r="M120" s="2181"/>
      <c r="N120" s="2810"/>
      <c r="O120" s="2823"/>
      <c r="P120" s="2907"/>
      <c r="Q120" s="2181"/>
      <c r="R120" s="2830"/>
      <c r="S120" s="2830"/>
      <c r="T120" s="2937"/>
      <c r="U120" s="2825"/>
      <c r="V120" s="264"/>
      <c r="W120" s="2825"/>
      <c r="X120" s="2826"/>
      <c r="Y120" s="717"/>
    </row>
    <row r="121" spans="1:25" s="454" customFormat="1" x14ac:dyDescent="0.3">
      <c r="A121" s="2204"/>
      <c r="B121" s="2352"/>
      <c r="C121" s="2206"/>
      <c r="D121" s="2828"/>
      <c r="E121" s="2171"/>
      <c r="F121" s="2171"/>
      <c r="G121" s="2171"/>
      <c r="H121" s="2829"/>
      <c r="I121" s="2181"/>
      <c r="J121" s="2181"/>
      <c r="K121" s="2181"/>
      <c r="L121" s="2181"/>
      <c r="M121" s="2181"/>
      <c r="N121" s="2810"/>
      <c r="O121" s="2823"/>
      <c r="P121" s="2907"/>
      <c r="Q121" s="2181"/>
      <c r="R121" s="2830"/>
      <c r="S121" s="2830"/>
      <c r="T121" s="2937"/>
      <c r="U121" s="2825"/>
      <c r="V121" s="264"/>
      <c r="W121" s="2825"/>
      <c r="X121" s="2826"/>
      <c r="Y121" s="717"/>
    </row>
    <row r="122" spans="1:25" s="454" customFormat="1" x14ac:dyDescent="0.3">
      <c r="A122" s="2204"/>
      <c r="B122" s="2353"/>
      <c r="C122" s="2204"/>
      <c r="D122" s="2768" t="s">
        <v>0</v>
      </c>
      <c r="E122" s="2769"/>
      <c r="F122" s="2769"/>
      <c r="G122" s="2769"/>
      <c r="H122" s="2770">
        <v>0</v>
      </c>
      <c r="I122" s="2771"/>
      <c r="J122" s="2771"/>
      <c r="K122" s="2771"/>
      <c r="L122" s="2771"/>
      <c r="M122" s="2771">
        <v>0</v>
      </c>
      <c r="N122" s="2772">
        <v>0</v>
      </c>
      <c r="O122" s="2773"/>
      <c r="P122" s="2904">
        <v>0</v>
      </c>
      <c r="Q122" s="2771"/>
      <c r="R122" s="2774"/>
      <c r="S122" s="2774"/>
      <c r="T122" s="2934"/>
      <c r="U122" s="2775"/>
      <c r="V122" s="513"/>
      <c r="W122" s="2775"/>
      <c r="X122" s="2813"/>
      <c r="Y122" s="516"/>
    </row>
    <row r="123" spans="1:25" s="454" customFormat="1" x14ac:dyDescent="0.25">
      <c r="A123" s="3036" t="s">
        <v>58</v>
      </c>
      <c r="B123" s="3037"/>
      <c r="C123" s="3037"/>
      <c r="D123" s="3037"/>
      <c r="E123" s="3037"/>
      <c r="F123" s="3037"/>
      <c r="G123" s="3037"/>
      <c r="H123" s="3037"/>
      <c r="I123" s="3037"/>
      <c r="J123" s="3037"/>
      <c r="K123" s="3037"/>
      <c r="L123" s="3037"/>
      <c r="M123" s="3037"/>
      <c r="N123" s="3037"/>
      <c r="O123" s="3037"/>
      <c r="P123" s="3037"/>
      <c r="Q123" s="3037"/>
      <c r="R123" s="3037"/>
      <c r="S123" s="3037"/>
      <c r="T123" s="3140"/>
      <c r="U123" s="3140"/>
      <c r="V123" s="3140"/>
      <c r="W123" s="3140"/>
      <c r="X123" s="3140"/>
      <c r="Y123" s="3140"/>
    </row>
    <row r="124" spans="1:25" s="2226" customFormat="1" ht="65" x14ac:dyDescent="0.3">
      <c r="A124" s="1098"/>
      <c r="B124" s="2219" t="s">
        <v>489</v>
      </c>
      <c r="C124" s="2170" t="s">
        <v>19</v>
      </c>
      <c r="D124" s="2157" t="s">
        <v>398</v>
      </c>
      <c r="E124" s="2541">
        <v>0.5</v>
      </c>
      <c r="F124" s="2541">
        <v>500</v>
      </c>
      <c r="G124" s="2541">
        <v>12</v>
      </c>
      <c r="H124" s="2763">
        <f t="shared" ref="H124:H130" si="20">E124*F124*G124</f>
        <v>3000</v>
      </c>
      <c r="I124" s="2181"/>
      <c r="J124" s="2541">
        <v>0.5</v>
      </c>
      <c r="K124" s="2541">
        <f>F124</f>
        <v>500</v>
      </c>
      <c r="L124" s="2541">
        <v>12</v>
      </c>
      <c r="M124" s="2162">
        <f t="shared" ref="M124:M130" si="21">J124*K124*L124</f>
        <v>3000</v>
      </c>
      <c r="N124" s="2810">
        <v>2100</v>
      </c>
      <c r="O124" s="2823"/>
      <c r="P124" s="2902">
        <f t="shared" ref="P124:P130" si="22">+H124+M124+N124</f>
        <v>8100</v>
      </c>
      <c r="Q124" s="2181"/>
      <c r="R124" s="2765">
        <f t="shared" ref="R124:R130" si="23">P124*Q124</f>
        <v>0</v>
      </c>
      <c r="S124" s="2824" t="s">
        <v>1218</v>
      </c>
      <c r="T124" s="2937">
        <v>11259.25</v>
      </c>
      <c r="U124" s="263">
        <f>T124/P124</f>
        <v>1.390030864197531</v>
      </c>
      <c r="V124" s="264" t="s">
        <v>1517</v>
      </c>
      <c r="W124" s="2825"/>
      <c r="X124" s="2826"/>
      <c r="Y124" s="264" t="s">
        <v>1517</v>
      </c>
    </row>
    <row r="125" spans="1:25" s="454" customFormat="1" x14ac:dyDescent="0.3">
      <c r="A125" s="2204"/>
      <c r="B125" s="2201" t="s">
        <v>490</v>
      </c>
      <c r="C125" s="2334" t="s">
        <v>19</v>
      </c>
      <c r="D125" s="2554" t="s">
        <v>398</v>
      </c>
      <c r="E125" s="2541">
        <v>0.5</v>
      </c>
      <c r="F125" s="2354">
        <v>900</v>
      </c>
      <c r="G125" s="2551">
        <v>12</v>
      </c>
      <c r="H125" s="2763">
        <f t="shared" si="20"/>
        <v>5400</v>
      </c>
      <c r="I125" s="2181"/>
      <c r="J125" s="2541">
        <v>0.5</v>
      </c>
      <c r="K125" s="2541">
        <f>F125</f>
        <v>900</v>
      </c>
      <c r="L125" s="2551">
        <v>12</v>
      </c>
      <c r="M125" s="2162">
        <f t="shared" si="21"/>
        <v>5400</v>
      </c>
      <c r="N125" s="2810">
        <v>7200</v>
      </c>
      <c r="O125" s="2823"/>
      <c r="P125" s="2902">
        <f t="shared" si="22"/>
        <v>18000</v>
      </c>
      <c r="Q125" s="2181"/>
      <c r="R125" s="2765">
        <f t="shared" si="23"/>
        <v>0</v>
      </c>
      <c r="S125" s="2824" t="s">
        <v>1219</v>
      </c>
      <c r="T125" s="2937">
        <v>7499.5</v>
      </c>
      <c r="U125" s="263">
        <f t="shared" ref="U125:U130" si="24">T125/P125</f>
        <v>0.41663888888888889</v>
      </c>
      <c r="V125" s="264" t="s">
        <v>491</v>
      </c>
      <c r="W125" s="2825"/>
      <c r="X125" s="2826"/>
      <c r="Y125" s="717"/>
    </row>
    <row r="126" spans="1:25" s="454" customFormat="1" ht="39" x14ac:dyDescent="0.3">
      <c r="A126" s="2204"/>
      <c r="B126" s="2201" t="s">
        <v>492</v>
      </c>
      <c r="C126" s="2334" t="s">
        <v>19</v>
      </c>
      <c r="D126" s="2554" t="s">
        <v>398</v>
      </c>
      <c r="E126" s="2551">
        <v>7.0000000000000007E-2</v>
      </c>
      <c r="F126" s="2354">
        <v>4800</v>
      </c>
      <c r="G126" s="2551">
        <v>12</v>
      </c>
      <c r="H126" s="2763">
        <f t="shared" si="20"/>
        <v>4032.0000000000009</v>
      </c>
      <c r="I126" s="2181"/>
      <c r="J126" s="2551">
        <v>7.0000000000000007E-2</v>
      </c>
      <c r="K126" s="2541">
        <f>F126</f>
        <v>4800</v>
      </c>
      <c r="L126" s="2551">
        <v>12</v>
      </c>
      <c r="M126" s="2162">
        <f t="shared" si="21"/>
        <v>4032.0000000000009</v>
      </c>
      <c r="N126" s="2810"/>
      <c r="O126" s="2823"/>
      <c r="P126" s="2902">
        <f t="shared" si="22"/>
        <v>8064.0000000000018</v>
      </c>
      <c r="Q126" s="2181"/>
      <c r="R126" s="2765">
        <f t="shared" si="23"/>
        <v>0</v>
      </c>
      <c r="S126" s="2824" t="s">
        <v>1220</v>
      </c>
      <c r="T126" s="2937">
        <v>8098.5199999999986</v>
      </c>
      <c r="U126" s="263">
        <f t="shared" si="24"/>
        <v>1.0042807539682537</v>
      </c>
      <c r="V126" s="264" t="s">
        <v>491</v>
      </c>
      <c r="W126" s="2825"/>
      <c r="X126" s="2826"/>
      <c r="Y126" s="717"/>
    </row>
    <row r="127" spans="1:25" s="454" customFormat="1" ht="26" x14ac:dyDescent="0.3">
      <c r="A127" s="2204"/>
      <c r="B127" s="2201" t="s">
        <v>493</v>
      </c>
      <c r="C127" s="2334" t="s">
        <v>19</v>
      </c>
      <c r="D127" s="2554" t="s">
        <v>398</v>
      </c>
      <c r="E127" s="2541">
        <v>0.5</v>
      </c>
      <c r="F127" s="2354">
        <v>500</v>
      </c>
      <c r="G127" s="2551">
        <v>12</v>
      </c>
      <c r="H127" s="2763">
        <f t="shared" si="20"/>
        <v>3000</v>
      </c>
      <c r="I127" s="2181"/>
      <c r="J127" s="2158">
        <v>0.5</v>
      </c>
      <c r="K127" s="2541">
        <f>F127</f>
        <v>500</v>
      </c>
      <c r="L127" s="2551">
        <v>12</v>
      </c>
      <c r="M127" s="2162">
        <f t="shared" si="21"/>
        <v>3000</v>
      </c>
      <c r="N127" s="2810">
        <v>540</v>
      </c>
      <c r="O127" s="2823"/>
      <c r="P127" s="2902">
        <f t="shared" si="22"/>
        <v>6540</v>
      </c>
      <c r="Q127" s="2181"/>
      <c r="R127" s="2765">
        <f t="shared" si="23"/>
        <v>0</v>
      </c>
      <c r="S127" s="2824" t="s">
        <v>1221</v>
      </c>
      <c r="T127" s="2937">
        <v>7550.4499999999989</v>
      </c>
      <c r="U127" s="263">
        <f t="shared" si="24"/>
        <v>1.1545030581039755</v>
      </c>
      <c r="V127" s="264" t="s">
        <v>494</v>
      </c>
      <c r="W127" s="2825"/>
      <c r="X127" s="2826"/>
      <c r="Y127" s="717"/>
    </row>
    <row r="128" spans="1:25" s="454" customFormat="1" ht="26" x14ac:dyDescent="0.3">
      <c r="A128" s="2204"/>
      <c r="B128" s="2201" t="s">
        <v>495</v>
      </c>
      <c r="C128" s="2334" t="s">
        <v>19</v>
      </c>
      <c r="D128" s="2554" t="s">
        <v>398</v>
      </c>
      <c r="E128" s="2541">
        <v>0.5</v>
      </c>
      <c r="F128" s="2354">
        <v>900</v>
      </c>
      <c r="G128" s="2551">
        <v>12</v>
      </c>
      <c r="H128" s="2763">
        <f t="shared" si="20"/>
        <v>5400</v>
      </c>
      <c r="I128" s="2181"/>
      <c r="J128" s="2541">
        <v>0.5</v>
      </c>
      <c r="K128" s="2541">
        <f>F128</f>
        <v>900</v>
      </c>
      <c r="L128" s="2551">
        <v>12</v>
      </c>
      <c r="M128" s="2162">
        <f t="shared" si="21"/>
        <v>5400</v>
      </c>
      <c r="N128" s="2810">
        <v>1200</v>
      </c>
      <c r="O128" s="2823"/>
      <c r="P128" s="2902">
        <f t="shared" si="22"/>
        <v>12000</v>
      </c>
      <c r="Q128" s="2181"/>
      <c r="R128" s="2765">
        <f t="shared" si="23"/>
        <v>0</v>
      </c>
      <c r="S128" s="2824" t="s">
        <v>1222</v>
      </c>
      <c r="T128" s="2937">
        <v>14508.42</v>
      </c>
      <c r="U128" s="263">
        <f t="shared" si="24"/>
        <v>1.2090350000000001</v>
      </c>
      <c r="V128" s="264" t="s">
        <v>491</v>
      </c>
      <c r="W128" s="2825"/>
      <c r="X128" s="2826"/>
      <c r="Y128" s="717"/>
    </row>
    <row r="129" spans="1:25" s="454" customFormat="1" ht="69" customHeight="1" x14ac:dyDescent="0.3">
      <c r="A129" s="2204"/>
      <c r="B129" s="2201" t="s">
        <v>496</v>
      </c>
      <c r="C129" s="2334" t="s">
        <v>19</v>
      </c>
      <c r="D129" s="2157" t="s">
        <v>398</v>
      </c>
      <c r="E129" s="2550">
        <v>1</v>
      </c>
      <c r="F129" s="2551">
        <v>645</v>
      </c>
      <c r="G129" s="2551">
        <v>12</v>
      </c>
      <c r="H129" s="2763">
        <f t="shared" si="20"/>
        <v>7740</v>
      </c>
      <c r="I129" s="2181"/>
      <c r="J129" s="2550">
        <v>1</v>
      </c>
      <c r="K129" s="2551">
        <v>460</v>
      </c>
      <c r="L129" s="2551">
        <v>12</v>
      </c>
      <c r="M129" s="2162">
        <f t="shared" si="21"/>
        <v>5520</v>
      </c>
      <c r="N129" s="2810"/>
      <c r="O129" s="2823"/>
      <c r="P129" s="2902">
        <f t="shared" si="22"/>
        <v>13260</v>
      </c>
      <c r="Q129" s="2181"/>
      <c r="R129" s="2765">
        <f t="shared" si="23"/>
        <v>0</v>
      </c>
      <c r="S129" s="2824" t="s">
        <v>1223</v>
      </c>
      <c r="T129" s="2937">
        <v>19651.299999999996</v>
      </c>
      <c r="U129" s="263">
        <f t="shared" si="24"/>
        <v>1.4819984917043738</v>
      </c>
      <c r="V129" s="264" t="s">
        <v>491</v>
      </c>
      <c r="W129" s="2825"/>
      <c r="X129" s="2826"/>
      <c r="Y129" s="717"/>
    </row>
    <row r="130" spans="1:25" s="454" customFormat="1" ht="96.65" customHeight="1" x14ac:dyDescent="0.3">
      <c r="A130" s="2204"/>
      <c r="B130" s="2201" t="s">
        <v>497</v>
      </c>
      <c r="C130" s="2334" t="s">
        <v>19</v>
      </c>
      <c r="D130" s="2157" t="s">
        <v>398</v>
      </c>
      <c r="E130" s="2550">
        <v>1</v>
      </c>
      <c r="F130" s="2551">
        <v>188</v>
      </c>
      <c r="G130" s="2551">
        <v>12</v>
      </c>
      <c r="H130" s="2763">
        <f t="shared" si="20"/>
        <v>2256</v>
      </c>
      <c r="I130" s="2181"/>
      <c r="J130" s="2550">
        <v>1</v>
      </c>
      <c r="K130" s="2541">
        <f>F130</f>
        <v>188</v>
      </c>
      <c r="L130" s="2551">
        <v>12</v>
      </c>
      <c r="M130" s="2162">
        <f t="shared" si="21"/>
        <v>2256</v>
      </c>
      <c r="N130" s="2810"/>
      <c r="O130" s="2823"/>
      <c r="P130" s="2902">
        <f t="shared" si="22"/>
        <v>4512</v>
      </c>
      <c r="Q130" s="2181"/>
      <c r="R130" s="2765">
        <f t="shared" si="23"/>
        <v>0</v>
      </c>
      <c r="S130" s="2824" t="s">
        <v>1224</v>
      </c>
      <c r="T130" s="2937">
        <v>5983.8499999999995</v>
      </c>
      <c r="U130" s="263">
        <f t="shared" si="24"/>
        <v>1.3262078900709218</v>
      </c>
      <c r="V130" s="264" t="s">
        <v>498</v>
      </c>
      <c r="W130" s="2825"/>
      <c r="X130" s="2826"/>
      <c r="Y130" s="717"/>
    </row>
    <row r="131" spans="1:25" s="454" customFormat="1" x14ac:dyDescent="0.3">
      <c r="A131" s="2204"/>
      <c r="B131" s="2352"/>
      <c r="C131" s="2206"/>
      <c r="D131" s="2768" t="s">
        <v>0</v>
      </c>
      <c r="E131" s="2769"/>
      <c r="F131" s="2769"/>
      <c r="G131" s="2769"/>
      <c r="H131" s="2770">
        <f>SUM(H124:H130)</f>
        <v>30828</v>
      </c>
      <c r="I131" s="2771"/>
      <c r="J131" s="2771"/>
      <c r="K131" s="2771"/>
      <c r="L131" s="2771"/>
      <c r="M131" s="2771">
        <f>SUM(M124:M130)</f>
        <v>28608</v>
      </c>
      <c r="N131" s="2771">
        <f>SUM(N124:N130)</f>
        <v>11040</v>
      </c>
      <c r="O131" s="2773"/>
      <c r="P131" s="2904">
        <f>SUM(P124:P130)</f>
        <v>70476</v>
      </c>
      <c r="Q131" s="2771"/>
      <c r="R131" s="2771">
        <f>SUM(R124:R130)</f>
        <v>0</v>
      </c>
      <c r="S131" s="2774"/>
      <c r="T131" s="2930">
        <f>SUM(T124:T130)</f>
        <v>74551.289999999994</v>
      </c>
      <c r="U131" s="2775">
        <f>T131/P131</f>
        <v>1.0578252170951812</v>
      </c>
      <c r="V131" s="513"/>
      <c r="W131" s="2775"/>
      <c r="X131" s="2776">
        <f>SUM(X124:X130)</f>
        <v>0</v>
      </c>
      <c r="Y131" s="516"/>
    </row>
    <row r="132" spans="1:25" s="480" customFormat="1" x14ac:dyDescent="0.3">
      <c r="A132" s="3009" t="s">
        <v>51</v>
      </c>
      <c r="B132" s="3010"/>
      <c r="C132" s="3146"/>
      <c r="D132" s="456"/>
      <c r="E132" s="455"/>
      <c r="F132" s="455"/>
      <c r="G132" s="455"/>
      <c r="H132" s="2832">
        <f>+H131+H118+H114+H110+H106+H102</f>
        <v>84672.25</v>
      </c>
      <c r="I132" s="2787"/>
      <c r="J132" s="2787"/>
      <c r="K132" s="2787"/>
      <c r="L132" s="2787"/>
      <c r="M132" s="457">
        <f>+M131+M118+M114+M110+M106+M102</f>
        <v>82474.75</v>
      </c>
      <c r="N132" s="457">
        <f>+N131+N118+N114+N110+N106+N102</f>
        <v>48312</v>
      </c>
      <c r="O132" s="2789"/>
      <c r="P132" s="2905">
        <f>+P131+P118+P114+P110+P106+P102</f>
        <v>215459</v>
      </c>
      <c r="Q132" s="2787"/>
      <c r="R132" s="457">
        <f>+R131+R118+R114+R110+R106+R102</f>
        <v>0</v>
      </c>
      <c r="S132" s="2790"/>
      <c r="T132" s="2931">
        <f>+T131+T118+T114+T110+T106+T102</f>
        <v>247167.33000000002</v>
      </c>
      <c r="U132" s="2792">
        <f>T132/P132</f>
        <v>1.1471664214537338</v>
      </c>
      <c r="V132" s="797"/>
      <c r="W132" s="2833"/>
      <c r="X132" s="2809">
        <f>+X131+X118+X114+X110+X106+X102</f>
        <v>0</v>
      </c>
      <c r="Y132" s="517"/>
    </row>
    <row r="133" spans="1:25" x14ac:dyDescent="0.3">
      <c r="A133" s="3147" t="s">
        <v>394</v>
      </c>
      <c r="B133" s="3148"/>
      <c r="C133" s="3148"/>
      <c r="D133" s="3149"/>
      <c r="E133" s="287"/>
      <c r="F133" s="287"/>
      <c r="G133" s="287"/>
      <c r="H133" s="2752" t="s">
        <v>3</v>
      </c>
      <c r="I133" s="288"/>
      <c r="J133" s="288"/>
      <c r="K133" s="288"/>
      <c r="L133" s="288"/>
      <c r="M133" s="289" t="s">
        <v>4</v>
      </c>
      <c r="N133" s="290"/>
      <c r="O133" s="2399"/>
      <c r="P133" s="2903"/>
      <c r="Q133" s="289"/>
      <c r="R133" s="290"/>
      <c r="S133" s="290"/>
      <c r="T133" s="2938"/>
      <c r="U133" s="798"/>
      <c r="V133" s="799"/>
      <c r="W133" s="798"/>
      <c r="X133" s="800"/>
      <c r="Y133" s="290"/>
    </row>
    <row r="134" spans="1:25" x14ac:dyDescent="0.3">
      <c r="A134" s="3150"/>
      <c r="B134" s="3151"/>
      <c r="C134" s="3151"/>
      <c r="D134" s="3152"/>
      <c r="E134" s="287"/>
      <c r="F134" s="287"/>
      <c r="G134" s="287"/>
      <c r="H134" s="2751">
        <f>+H132+H86</f>
        <v>268478.34999999998</v>
      </c>
      <c r="I134" s="288"/>
      <c r="J134" s="288"/>
      <c r="K134" s="288"/>
      <c r="L134" s="288"/>
      <c r="M134" s="291">
        <f>+M132+M86</f>
        <v>264605.75</v>
      </c>
      <c r="N134" s="291">
        <f>+N132+N86</f>
        <v>160138</v>
      </c>
      <c r="O134" s="2399"/>
      <c r="P134" s="2908">
        <f>+P132+P86</f>
        <v>693222.1</v>
      </c>
      <c r="Q134" s="289"/>
      <c r="R134" s="291">
        <f>+R132+R86</f>
        <v>111705.33</v>
      </c>
      <c r="S134" s="290"/>
      <c r="T134" s="2939">
        <f>+T132+T86</f>
        <v>643098.48</v>
      </c>
      <c r="U134" s="801">
        <f>T134/P134</f>
        <v>0.92769471717650087</v>
      </c>
      <c r="V134" s="799"/>
      <c r="W134" s="801">
        <f>X134/P134</f>
        <v>4.6459857526181002E-2</v>
      </c>
      <c r="X134" s="668">
        <f>+X132+X86</f>
        <v>32207</v>
      </c>
      <c r="Y134" s="290"/>
    </row>
    <row r="135" spans="1:25" x14ac:dyDescent="0.3">
      <c r="A135" s="3045"/>
      <c r="B135" s="3046"/>
      <c r="C135" s="3046"/>
      <c r="D135" s="425" t="s">
        <v>61</v>
      </c>
      <c r="E135" s="424"/>
      <c r="F135" s="424"/>
      <c r="G135" s="424"/>
      <c r="H135" s="2834">
        <f>H134*0.07</f>
        <v>18793.484499999999</v>
      </c>
      <c r="I135" s="2835"/>
      <c r="J135" s="2835"/>
      <c r="K135" s="2835"/>
      <c r="L135" s="2835"/>
      <c r="M135" s="2835">
        <f>M134*0.07</f>
        <v>18522.4025</v>
      </c>
      <c r="N135" s="2835">
        <f>N134*0.07</f>
        <v>11209.660000000002</v>
      </c>
      <c r="O135" s="1154"/>
      <c r="P135" s="2909">
        <f>P134*0.07</f>
        <v>48525.547000000006</v>
      </c>
      <c r="Q135" s="2835"/>
      <c r="R135" s="1156"/>
      <c r="S135" s="1156"/>
      <c r="T135" s="2940">
        <f>T134*0.07</f>
        <v>45016.893600000003</v>
      </c>
      <c r="U135" s="1154"/>
      <c r="V135" s="515"/>
      <c r="W135" s="2837"/>
      <c r="X135" s="2838">
        <f>X134*0.07</f>
        <v>2254.4900000000002</v>
      </c>
      <c r="Y135" s="519"/>
    </row>
    <row r="136" spans="1:25" x14ac:dyDescent="0.3">
      <c r="A136" s="3045"/>
      <c r="B136" s="3046"/>
      <c r="C136" s="3046"/>
      <c r="D136" s="694" t="s">
        <v>26</v>
      </c>
      <c r="E136" s="294"/>
      <c r="F136" s="294"/>
      <c r="G136" s="294"/>
      <c r="H136" s="2834">
        <f>+H134+H135</f>
        <v>287271.8345</v>
      </c>
      <c r="I136" s="2835"/>
      <c r="J136" s="2835"/>
      <c r="K136" s="2835"/>
      <c r="L136" s="2835"/>
      <c r="M136" s="2835">
        <f>+M134+M135</f>
        <v>283128.15250000003</v>
      </c>
      <c r="N136" s="2835">
        <f>+N134+N135</f>
        <v>171347.66</v>
      </c>
      <c r="O136" s="1154"/>
      <c r="P136" s="2909">
        <f>+P134+P135</f>
        <v>741747.647</v>
      </c>
      <c r="Q136" s="2835"/>
      <c r="R136" s="2835">
        <f>+R134+R135</f>
        <v>111705.33</v>
      </c>
      <c r="S136" s="1156"/>
      <c r="T136" s="2940">
        <f>+T134+T135</f>
        <v>688115.37359999993</v>
      </c>
      <c r="U136" s="2837">
        <f>T136/P136</f>
        <v>0.92769471717650076</v>
      </c>
      <c r="V136" s="515"/>
      <c r="W136" s="2837">
        <f>X136/P136</f>
        <v>4.6459857526181002E-2</v>
      </c>
      <c r="X136" s="2838">
        <f>+X134+X135</f>
        <v>34461.49</v>
      </c>
      <c r="Y136" s="519"/>
    </row>
    <row r="137" spans="1:25" ht="15.65" customHeight="1" x14ac:dyDescent="0.3">
      <c r="A137" s="454"/>
      <c r="S137" s="249"/>
    </row>
    <row r="138" spans="1:25" x14ac:dyDescent="0.3">
      <c r="A138" s="496"/>
      <c r="B138" s="1162"/>
      <c r="C138" s="497"/>
      <c r="D138" s="2839"/>
      <c r="E138" s="2840"/>
      <c r="F138" s="454"/>
      <c r="G138" s="454"/>
      <c r="H138" s="2841"/>
      <c r="I138" s="454"/>
      <c r="J138" s="454"/>
      <c r="K138" s="454"/>
      <c r="L138" s="454"/>
    </row>
    <row r="139" spans="1:25" x14ac:dyDescent="0.3">
      <c r="A139" s="503"/>
      <c r="E139" s="2842"/>
      <c r="F139" s="454"/>
      <c r="G139" s="454"/>
      <c r="H139" s="2841"/>
      <c r="I139" s="454"/>
      <c r="J139" s="454"/>
      <c r="K139" s="454"/>
      <c r="L139" s="454"/>
    </row>
    <row r="140" spans="1:25" x14ac:dyDescent="0.3">
      <c r="A140" s="3020"/>
      <c r="B140" s="3153"/>
      <c r="C140" s="3153"/>
      <c r="D140" s="3153"/>
      <c r="E140" s="3022"/>
      <c r="N140" s="2843"/>
    </row>
    <row r="141" spans="1:25" x14ac:dyDescent="0.3">
      <c r="A141" s="503"/>
      <c r="D141" s="499"/>
      <c r="E141" s="2842"/>
      <c r="M141" s="2844"/>
      <c r="Q141" s="2844"/>
    </row>
    <row r="142" spans="1:25" x14ac:dyDescent="0.3">
      <c r="A142" s="503"/>
      <c r="E142" s="2842"/>
    </row>
    <row r="143" spans="1:25" x14ac:dyDescent="0.3">
      <c r="A143" s="503"/>
      <c r="E143" s="2842"/>
    </row>
    <row r="144" spans="1:25" x14ac:dyDescent="0.3">
      <c r="A144" s="3033"/>
      <c r="B144" s="3034"/>
      <c r="C144" s="3034"/>
      <c r="D144" s="3034"/>
      <c r="E144" s="3035"/>
    </row>
    <row r="146" spans="1:5" x14ac:dyDescent="0.3">
      <c r="A146" s="497"/>
      <c r="B146" s="2845"/>
      <c r="C146" s="506"/>
      <c r="D146" s="1163"/>
      <c r="E146" s="2846"/>
    </row>
    <row r="147" spans="1:5" x14ac:dyDescent="0.3">
      <c r="E147" s="2842"/>
    </row>
    <row r="148" spans="1:5" x14ac:dyDescent="0.3">
      <c r="E148" s="2842"/>
    </row>
    <row r="149" spans="1:5" x14ac:dyDescent="0.3">
      <c r="E149" s="2842"/>
    </row>
    <row r="150" spans="1:5" x14ac:dyDescent="0.3">
      <c r="E150" s="2842"/>
    </row>
    <row r="151" spans="1:5" x14ac:dyDescent="0.3">
      <c r="E151" s="2842"/>
    </row>
    <row r="152" spans="1:5" x14ac:dyDescent="0.3">
      <c r="E152" s="2842"/>
    </row>
    <row r="153" spans="1:5" x14ac:dyDescent="0.3">
      <c r="A153" s="508"/>
      <c r="B153" s="2847"/>
      <c r="C153" s="508"/>
      <c r="D153" s="1178"/>
      <c r="E153" s="2848"/>
    </row>
  </sheetData>
  <autoFilter ref="A9:Y136" xr:uid="{00000000-0009-0000-0000-000003000000}"/>
  <mergeCells count="35">
    <mergeCell ref="A144:E144"/>
    <mergeCell ref="A53:Y53"/>
    <mergeCell ref="A54:A61"/>
    <mergeCell ref="A62:A69"/>
    <mergeCell ref="A70:A76"/>
    <mergeCell ref="A77:A84"/>
    <mergeCell ref="A115:Y115"/>
    <mergeCell ref="A119:Y119"/>
    <mergeCell ref="A123:Y123"/>
    <mergeCell ref="A132:C132"/>
    <mergeCell ref="A133:D134"/>
    <mergeCell ref="A135:C135"/>
    <mergeCell ref="A136:C136"/>
    <mergeCell ref="A140:E140"/>
    <mergeCell ref="A85:B85"/>
    <mergeCell ref="A86:C86"/>
    <mergeCell ref="A88:B88"/>
    <mergeCell ref="A103:Y103"/>
    <mergeCell ref="A107:Y107"/>
    <mergeCell ref="A111:Y111"/>
    <mergeCell ref="A12:A15"/>
    <mergeCell ref="A16:A21"/>
    <mergeCell ref="A22:A25"/>
    <mergeCell ref="A26:B26"/>
    <mergeCell ref="A27:Y27"/>
    <mergeCell ref="A32:A35"/>
    <mergeCell ref="A36:A40"/>
    <mergeCell ref="A41:A47"/>
    <mergeCell ref="A48:A51"/>
    <mergeCell ref="A52:B52"/>
    <mergeCell ref="T8:Y8"/>
    <mergeCell ref="A10:Y10"/>
    <mergeCell ref="A11:Y11"/>
    <mergeCell ref="A28:A31"/>
    <mergeCell ref="A87:Y87"/>
  </mergeCells>
  <phoneticPr fontId="111"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E41318-6DFB-4590-A5B4-B601AC62DB23}">
          <x14:formula1>
            <xm:f>categories</xm:f>
          </x14:formula1>
          <xm:sqref>C65581:C65585 IX65581:IX65585 ST65581:ST65585 ACP65581:ACP65585 AML65581:AML65585 AWH65581:AWH65585 BGD65581:BGD65585 BPZ65581:BPZ65585 BZV65581:BZV65585 CJR65581:CJR65585 CTN65581:CTN65585 DDJ65581:DDJ65585 DNF65581:DNF65585 DXB65581:DXB65585 EGX65581:EGX65585 EQT65581:EQT65585 FAP65581:FAP65585 FKL65581:FKL65585 FUH65581:FUH65585 GED65581:GED65585 GNZ65581:GNZ65585 GXV65581:GXV65585 HHR65581:HHR65585 HRN65581:HRN65585 IBJ65581:IBJ65585 ILF65581:ILF65585 IVB65581:IVB65585 JEX65581:JEX65585 JOT65581:JOT65585 JYP65581:JYP65585 KIL65581:KIL65585 KSH65581:KSH65585 LCD65581:LCD65585 LLZ65581:LLZ65585 LVV65581:LVV65585 MFR65581:MFR65585 MPN65581:MPN65585 MZJ65581:MZJ65585 NJF65581:NJF65585 NTB65581:NTB65585 OCX65581:OCX65585 OMT65581:OMT65585 OWP65581:OWP65585 PGL65581:PGL65585 PQH65581:PQH65585 QAD65581:QAD65585 QJZ65581:QJZ65585 QTV65581:QTV65585 RDR65581:RDR65585 RNN65581:RNN65585 RXJ65581:RXJ65585 SHF65581:SHF65585 SRB65581:SRB65585 TAX65581:TAX65585 TKT65581:TKT65585 TUP65581:TUP65585 UEL65581:UEL65585 UOH65581:UOH65585 UYD65581:UYD65585 VHZ65581:VHZ65585 VRV65581:VRV65585 WBR65581:WBR65585 WLN65581:WLN65585 WVJ65581:WVJ65585 C131117:C131121 IX131117:IX131121 ST131117:ST131121 ACP131117:ACP131121 AML131117:AML131121 AWH131117:AWH131121 BGD131117:BGD131121 BPZ131117:BPZ131121 BZV131117:BZV131121 CJR131117:CJR131121 CTN131117:CTN131121 DDJ131117:DDJ131121 DNF131117:DNF131121 DXB131117:DXB131121 EGX131117:EGX131121 EQT131117:EQT131121 FAP131117:FAP131121 FKL131117:FKL131121 FUH131117:FUH131121 GED131117:GED131121 GNZ131117:GNZ131121 GXV131117:GXV131121 HHR131117:HHR131121 HRN131117:HRN131121 IBJ131117:IBJ131121 ILF131117:ILF131121 IVB131117:IVB131121 JEX131117:JEX131121 JOT131117:JOT131121 JYP131117:JYP131121 KIL131117:KIL131121 KSH131117:KSH131121 LCD131117:LCD131121 LLZ131117:LLZ131121 LVV131117:LVV131121 MFR131117:MFR131121 MPN131117:MPN131121 MZJ131117:MZJ131121 NJF131117:NJF131121 NTB131117:NTB131121 OCX131117:OCX131121 OMT131117:OMT131121 OWP131117:OWP131121 PGL131117:PGL131121 PQH131117:PQH131121 QAD131117:QAD131121 QJZ131117:QJZ131121 QTV131117:QTV131121 RDR131117:RDR131121 RNN131117:RNN131121 RXJ131117:RXJ131121 SHF131117:SHF131121 SRB131117:SRB131121 TAX131117:TAX131121 TKT131117:TKT131121 TUP131117:TUP131121 UEL131117:UEL131121 UOH131117:UOH131121 UYD131117:UYD131121 VHZ131117:VHZ131121 VRV131117:VRV131121 WBR131117:WBR131121 WLN131117:WLN131121 WVJ131117:WVJ131121 C196653:C196657 IX196653:IX196657 ST196653:ST196657 ACP196653:ACP196657 AML196653:AML196657 AWH196653:AWH196657 BGD196653:BGD196657 BPZ196653:BPZ196657 BZV196653:BZV196657 CJR196653:CJR196657 CTN196653:CTN196657 DDJ196653:DDJ196657 DNF196653:DNF196657 DXB196653:DXB196657 EGX196653:EGX196657 EQT196653:EQT196657 FAP196653:FAP196657 FKL196653:FKL196657 FUH196653:FUH196657 GED196653:GED196657 GNZ196653:GNZ196657 GXV196653:GXV196657 HHR196653:HHR196657 HRN196653:HRN196657 IBJ196653:IBJ196657 ILF196653:ILF196657 IVB196653:IVB196657 JEX196653:JEX196657 JOT196653:JOT196657 JYP196653:JYP196657 KIL196653:KIL196657 KSH196653:KSH196657 LCD196653:LCD196657 LLZ196653:LLZ196657 LVV196653:LVV196657 MFR196653:MFR196657 MPN196653:MPN196657 MZJ196653:MZJ196657 NJF196653:NJF196657 NTB196653:NTB196657 OCX196653:OCX196657 OMT196653:OMT196657 OWP196653:OWP196657 PGL196653:PGL196657 PQH196653:PQH196657 QAD196653:QAD196657 QJZ196653:QJZ196657 QTV196653:QTV196657 RDR196653:RDR196657 RNN196653:RNN196657 RXJ196653:RXJ196657 SHF196653:SHF196657 SRB196653:SRB196657 TAX196653:TAX196657 TKT196653:TKT196657 TUP196653:TUP196657 UEL196653:UEL196657 UOH196653:UOH196657 UYD196653:UYD196657 VHZ196653:VHZ196657 VRV196653:VRV196657 WBR196653:WBR196657 WLN196653:WLN196657 WVJ196653:WVJ196657 C262189:C262193 IX262189:IX262193 ST262189:ST262193 ACP262189:ACP262193 AML262189:AML262193 AWH262189:AWH262193 BGD262189:BGD262193 BPZ262189:BPZ262193 BZV262189:BZV262193 CJR262189:CJR262193 CTN262189:CTN262193 DDJ262189:DDJ262193 DNF262189:DNF262193 DXB262189:DXB262193 EGX262189:EGX262193 EQT262189:EQT262193 FAP262189:FAP262193 FKL262189:FKL262193 FUH262189:FUH262193 GED262189:GED262193 GNZ262189:GNZ262193 GXV262189:GXV262193 HHR262189:HHR262193 HRN262189:HRN262193 IBJ262189:IBJ262193 ILF262189:ILF262193 IVB262189:IVB262193 JEX262189:JEX262193 JOT262189:JOT262193 JYP262189:JYP262193 KIL262189:KIL262193 KSH262189:KSH262193 LCD262189:LCD262193 LLZ262189:LLZ262193 LVV262189:LVV262193 MFR262189:MFR262193 MPN262189:MPN262193 MZJ262189:MZJ262193 NJF262189:NJF262193 NTB262189:NTB262193 OCX262189:OCX262193 OMT262189:OMT262193 OWP262189:OWP262193 PGL262189:PGL262193 PQH262189:PQH262193 QAD262189:QAD262193 QJZ262189:QJZ262193 QTV262189:QTV262193 RDR262189:RDR262193 RNN262189:RNN262193 RXJ262189:RXJ262193 SHF262189:SHF262193 SRB262189:SRB262193 TAX262189:TAX262193 TKT262189:TKT262193 TUP262189:TUP262193 UEL262189:UEL262193 UOH262189:UOH262193 UYD262189:UYD262193 VHZ262189:VHZ262193 VRV262189:VRV262193 WBR262189:WBR262193 WLN262189:WLN262193 WVJ262189:WVJ262193 C327725:C327729 IX327725:IX327729 ST327725:ST327729 ACP327725:ACP327729 AML327725:AML327729 AWH327725:AWH327729 BGD327725:BGD327729 BPZ327725:BPZ327729 BZV327725:BZV327729 CJR327725:CJR327729 CTN327725:CTN327729 DDJ327725:DDJ327729 DNF327725:DNF327729 DXB327725:DXB327729 EGX327725:EGX327729 EQT327725:EQT327729 FAP327725:FAP327729 FKL327725:FKL327729 FUH327725:FUH327729 GED327725:GED327729 GNZ327725:GNZ327729 GXV327725:GXV327729 HHR327725:HHR327729 HRN327725:HRN327729 IBJ327725:IBJ327729 ILF327725:ILF327729 IVB327725:IVB327729 JEX327725:JEX327729 JOT327725:JOT327729 JYP327725:JYP327729 KIL327725:KIL327729 KSH327725:KSH327729 LCD327725:LCD327729 LLZ327725:LLZ327729 LVV327725:LVV327729 MFR327725:MFR327729 MPN327725:MPN327729 MZJ327725:MZJ327729 NJF327725:NJF327729 NTB327725:NTB327729 OCX327725:OCX327729 OMT327725:OMT327729 OWP327725:OWP327729 PGL327725:PGL327729 PQH327725:PQH327729 QAD327725:QAD327729 QJZ327725:QJZ327729 QTV327725:QTV327729 RDR327725:RDR327729 RNN327725:RNN327729 RXJ327725:RXJ327729 SHF327725:SHF327729 SRB327725:SRB327729 TAX327725:TAX327729 TKT327725:TKT327729 TUP327725:TUP327729 UEL327725:UEL327729 UOH327725:UOH327729 UYD327725:UYD327729 VHZ327725:VHZ327729 VRV327725:VRV327729 WBR327725:WBR327729 WLN327725:WLN327729 WVJ327725:WVJ327729 C393261:C393265 IX393261:IX393265 ST393261:ST393265 ACP393261:ACP393265 AML393261:AML393265 AWH393261:AWH393265 BGD393261:BGD393265 BPZ393261:BPZ393265 BZV393261:BZV393265 CJR393261:CJR393265 CTN393261:CTN393265 DDJ393261:DDJ393265 DNF393261:DNF393265 DXB393261:DXB393265 EGX393261:EGX393265 EQT393261:EQT393265 FAP393261:FAP393265 FKL393261:FKL393265 FUH393261:FUH393265 GED393261:GED393265 GNZ393261:GNZ393265 GXV393261:GXV393265 HHR393261:HHR393265 HRN393261:HRN393265 IBJ393261:IBJ393265 ILF393261:ILF393265 IVB393261:IVB393265 JEX393261:JEX393265 JOT393261:JOT393265 JYP393261:JYP393265 KIL393261:KIL393265 KSH393261:KSH393265 LCD393261:LCD393265 LLZ393261:LLZ393265 LVV393261:LVV393265 MFR393261:MFR393265 MPN393261:MPN393265 MZJ393261:MZJ393265 NJF393261:NJF393265 NTB393261:NTB393265 OCX393261:OCX393265 OMT393261:OMT393265 OWP393261:OWP393265 PGL393261:PGL393265 PQH393261:PQH393265 QAD393261:QAD393265 QJZ393261:QJZ393265 QTV393261:QTV393265 RDR393261:RDR393265 RNN393261:RNN393265 RXJ393261:RXJ393265 SHF393261:SHF393265 SRB393261:SRB393265 TAX393261:TAX393265 TKT393261:TKT393265 TUP393261:TUP393265 UEL393261:UEL393265 UOH393261:UOH393265 UYD393261:UYD393265 VHZ393261:VHZ393265 VRV393261:VRV393265 WBR393261:WBR393265 WLN393261:WLN393265 WVJ393261:WVJ393265 C458797:C458801 IX458797:IX458801 ST458797:ST458801 ACP458797:ACP458801 AML458797:AML458801 AWH458797:AWH458801 BGD458797:BGD458801 BPZ458797:BPZ458801 BZV458797:BZV458801 CJR458797:CJR458801 CTN458797:CTN458801 DDJ458797:DDJ458801 DNF458797:DNF458801 DXB458797:DXB458801 EGX458797:EGX458801 EQT458797:EQT458801 FAP458797:FAP458801 FKL458797:FKL458801 FUH458797:FUH458801 GED458797:GED458801 GNZ458797:GNZ458801 GXV458797:GXV458801 HHR458797:HHR458801 HRN458797:HRN458801 IBJ458797:IBJ458801 ILF458797:ILF458801 IVB458797:IVB458801 JEX458797:JEX458801 JOT458797:JOT458801 JYP458797:JYP458801 KIL458797:KIL458801 KSH458797:KSH458801 LCD458797:LCD458801 LLZ458797:LLZ458801 LVV458797:LVV458801 MFR458797:MFR458801 MPN458797:MPN458801 MZJ458797:MZJ458801 NJF458797:NJF458801 NTB458797:NTB458801 OCX458797:OCX458801 OMT458797:OMT458801 OWP458797:OWP458801 PGL458797:PGL458801 PQH458797:PQH458801 QAD458797:QAD458801 QJZ458797:QJZ458801 QTV458797:QTV458801 RDR458797:RDR458801 RNN458797:RNN458801 RXJ458797:RXJ458801 SHF458797:SHF458801 SRB458797:SRB458801 TAX458797:TAX458801 TKT458797:TKT458801 TUP458797:TUP458801 UEL458797:UEL458801 UOH458797:UOH458801 UYD458797:UYD458801 VHZ458797:VHZ458801 VRV458797:VRV458801 WBR458797:WBR458801 WLN458797:WLN458801 WVJ458797:WVJ458801 C524333:C524337 IX524333:IX524337 ST524333:ST524337 ACP524333:ACP524337 AML524333:AML524337 AWH524333:AWH524337 BGD524333:BGD524337 BPZ524333:BPZ524337 BZV524333:BZV524337 CJR524333:CJR524337 CTN524333:CTN524337 DDJ524333:DDJ524337 DNF524333:DNF524337 DXB524333:DXB524337 EGX524333:EGX524337 EQT524333:EQT524337 FAP524333:FAP524337 FKL524333:FKL524337 FUH524333:FUH524337 GED524333:GED524337 GNZ524333:GNZ524337 GXV524333:GXV524337 HHR524333:HHR524337 HRN524333:HRN524337 IBJ524333:IBJ524337 ILF524333:ILF524337 IVB524333:IVB524337 JEX524333:JEX524337 JOT524333:JOT524337 JYP524333:JYP524337 KIL524333:KIL524337 KSH524333:KSH524337 LCD524333:LCD524337 LLZ524333:LLZ524337 LVV524333:LVV524337 MFR524333:MFR524337 MPN524333:MPN524337 MZJ524333:MZJ524337 NJF524333:NJF524337 NTB524333:NTB524337 OCX524333:OCX524337 OMT524333:OMT524337 OWP524333:OWP524337 PGL524333:PGL524337 PQH524333:PQH524337 QAD524333:QAD524337 QJZ524333:QJZ524337 QTV524333:QTV524337 RDR524333:RDR524337 RNN524333:RNN524337 RXJ524333:RXJ524337 SHF524333:SHF524337 SRB524333:SRB524337 TAX524333:TAX524337 TKT524333:TKT524337 TUP524333:TUP524337 UEL524333:UEL524337 UOH524333:UOH524337 UYD524333:UYD524337 VHZ524333:VHZ524337 VRV524333:VRV524337 WBR524333:WBR524337 WLN524333:WLN524337 WVJ524333:WVJ524337 C589869:C589873 IX589869:IX589873 ST589869:ST589873 ACP589869:ACP589873 AML589869:AML589873 AWH589869:AWH589873 BGD589869:BGD589873 BPZ589869:BPZ589873 BZV589869:BZV589873 CJR589869:CJR589873 CTN589869:CTN589873 DDJ589869:DDJ589873 DNF589869:DNF589873 DXB589869:DXB589873 EGX589869:EGX589873 EQT589869:EQT589873 FAP589869:FAP589873 FKL589869:FKL589873 FUH589869:FUH589873 GED589869:GED589873 GNZ589869:GNZ589873 GXV589869:GXV589873 HHR589869:HHR589873 HRN589869:HRN589873 IBJ589869:IBJ589873 ILF589869:ILF589873 IVB589869:IVB589873 JEX589869:JEX589873 JOT589869:JOT589873 JYP589869:JYP589873 KIL589869:KIL589873 KSH589869:KSH589873 LCD589869:LCD589873 LLZ589869:LLZ589873 LVV589869:LVV589873 MFR589869:MFR589873 MPN589869:MPN589873 MZJ589869:MZJ589873 NJF589869:NJF589873 NTB589869:NTB589873 OCX589869:OCX589873 OMT589869:OMT589873 OWP589869:OWP589873 PGL589869:PGL589873 PQH589869:PQH589873 QAD589869:QAD589873 QJZ589869:QJZ589873 QTV589869:QTV589873 RDR589869:RDR589873 RNN589869:RNN589873 RXJ589869:RXJ589873 SHF589869:SHF589873 SRB589869:SRB589873 TAX589869:TAX589873 TKT589869:TKT589873 TUP589869:TUP589873 UEL589869:UEL589873 UOH589869:UOH589873 UYD589869:UYD589873 VHZ589869:VHZ589873 VRV589869:VRV589873 WBR589869:WBR589873 WLN589869:WLN589873 WVJ589869:WVJ589873 C655405:C655409 IX655405:IX655409 ST655405:ST655409 ACP655405:ACP655409 AML655405:AML655409 AWH655405:AWH655409 BGD655405:BGD655409 BPZ655405:BPZ655409 BZV655405:BZV655409 CJR655405:CJR655409 CTN655405:CTN655409 DDJ655405:DDJ655409 DNF655405:DNF655409 DXB655405:DXB655409 EGX655405:EGX655409 EQT655405:EQT655409 FAP655405:FAP655409 FKL655405:FKL655409 FUH655405:FUH655409 GED655405:GED655409 GNZ655405:GNZ655409 GXV655405:GXV655409 HHR655405:HHR655409 HRN655405:HRN655409 IBJ655405:IBJ655409 ILF655405:ILF655409 IVB655405:IVB655409 JEX655405:JEX655409 JOT655405:JOT655409 JYP655405:JYP655409 KIL655405:KIL655409 KSH655405:KSH655409 LCD655405:LCD655409 LLZ655405:LLZ655409 LVV655405:LVV655409 MFR655405:MFR655409 MPN655405:MPN655409 MZJ655405:MZJ655409 NJF655405:NJF655409 NTB655405:NTB655409 OCX655405:OCX655409 OMT655405:OMT655409 OWP655405:OWP655409 PGL655405:PGL655409 PQH655405:PQH655409 QAD655405:QAD655409 QJZ655405:QJZ655409 QTV655405:QTV655409 RDR655405:RDR655409 RNN655405:RNN655409 RXJ655405:RXJ655409 SHF655405:SHF655409 SRB655405:SRB655409 TAX655405:TAX655409 TKT655405:TKT655409 TUP655405:TUP655409 UEL655405:UEL655409 UOH655405:UOH655409 UYD655405:UYD655409 VHZ655405:VHZ655409 VRV655405:VRV655409 WBR655405:WBR655409 WLN655405:WLN655409 WVJ655405:WVJ655409 C720941:C720945 IX720941:IX720945 ST720941:ST720945 ACP720941:ACP720945 AML720941:AML720945 AWH720941:AWH720945 BGD720941:BGD720945 BPZ720941:BPZ720945 BZV720941:BZV720945 CJR720941:CJR720945 CTN720941:CTN720945 DDJ720941:DDJ720945 DNF720941:DNF720945 DXB720941:DXB720945 EGX720941:EGX720945 EQT720941:EQT720945 FAP720941:FAP720945 FKL720941:FKL720945 FUH720941:FUH720945 GED720941:GED720945 GNZ720941:GNZ720945 GXV720941:GXV720945 HHR720941:HHR720945 HRN720941:HRN720945 IBJ720941:IBJ720945 ILF720941:ILF720945 IVB720941:IVB720945 JEX720941:JEX720945 JOT720941:JOT720945 JYP720941:JYP720945 KIL720941:KIL720945 KSH720941:KSH720945 LCD720941:LCD720945 LLZ720941:LLZ720945 LVV720941:LVV720945 MFR720941:MFR720945 MPN720941:MPN720945 MZJ720941:MZJ720945 NJF720941:NJF720945 NTB720941:NTB720945 OCX720941:OCX720945 OMT720941:OMT720945 OWP720941:OWP720945 PGL720941:PGL720945 PQH720941:PQH720945 QAD720941:QAD720945 QJZ720941:QJZ720945 QTV720941:QTV720945 RDR720941:RDR720945 RNN720941:RNN720945 RXJ720941:RXJ720945 SHF720941:SHF720945 SRB720941:SRB720945 TAX720941:TAX720945 TKT720941:TKT720945 TUP720941:TUP720945 UEL720941:UEL720945 UOH720941:UOH720945 UYD720941:UYD720945 VHZ720941:VHZ720945 VRV720941:VRV720945 WBR720941:WBR720945 WLN720941:WLN720945 WVJ720941:WVJ720945 C786477:C786481 IX786477:IX786481 ST786477:ST786481 ACP786477:ACP786481 AML786477:AML786481 AWH786477:AWH786481 BGD786477:BGD786481 BPZ786477:BPZ786481 BZV786477:BZV786481 CJR786477:CJR786481 CTN786477:CTN786481 DDJ786477:DDJ786481 DNF786477:DNF786481 DXB786477:DXB786481 EGX786477:EGX786481 EQT786477:EQT786481 FAP786477:FAP786481 FKL786477:FKL786481 FUH786477:FUH786481 GED786477:GED786481 GNZ786477:GNZ786481 GXV786477:GXV786481 HHR786477:HHR786481 HRN786477:HRN786481 IBJ786477:IBJ786481 ILF786477:ILF786481 IVB786477:IVB786481 JEX786477:JEX786481 JOT786477:JOT786481 JYP786477:JYP786481 KIL786477:KIL786481 KSH786477:KSH786481 LCD786477:LCD786481 LLZ786477:LLZ786481 LVV786477:LVV786481 MFR786477:MFR786481 MPN786477:MPN786481 MZJ786477:MZJ786481 NJF786477:NJF786481 NTB786477:NTB786481 OCX786477:OCX786481 OMT786477:OMT786481 OWP786477:OWP786481 PGL786477:PGL786481 PQH786477:PQH786481 QAD786477:QAD786481 QJZ786477:QJZ786481 QTV786477:QTV786481 RDR786477:RDR786481 RNN786477:RNN786481 RXJ786477:RXJ786481 SHF786477:SHF786481 SRB786477:SRB786481 TAX786477:TAX786481 TKT786477:TKT786481 TUP786477:TUP786481 UEL786477:UEL786481 UOH786477:UOH786481 UYD786477:UYD786481 VHZ786477:VHZ786481 VRV786477:VRV786481 WBR786477:WBR786481 WLN786477:WLN786481 WVJ786477:WVJ786481 C852013:C852017 IX852013:IX852017 ST852013:ST852017 ACP852013:ACP852017 AML852013:AML852017 AWH852013:AWH852017 BGD852013:BGD852017 BPZ852013:BPZ852017 BZV852013:BZV852017 CJR852013:CJR852017 CTN852013:CTN852017 DDJ852013:DDJ852017 DNF852013:DNF852017 DXB852013:DXB852017 EGX852013:EGX852017 EQT852013:EQT852017 FAP852013:FAP852017 FKL852013:FKL852017 FUH852013:FUH852017 GED852013:GED852017 GNZ852013:GNZ852017 GXV852013:GXV852017 HHR852013:HHR852017 HRN852013:HRN852017 IBJ852013:IBJ852017 ILF852013:ILF852017 IVB852013:IVB852017 JEX852013:JEX852017 JOT852013:JOT852017 JYP852013:JYP852017 KIL852013:KIL852017 KSH852013:KSH852017 LCD852013:LCD852017 LLZ852013:LLZ852017 LVV852013:LVV852017 MFR852013:MFR852017 MPN852013:MPN852017 MZJ852013:MZJ852017 NJF852013:NJF852017 NTB852013:NTB852017 OCX852013:OCX852017 OMT852013:OMT852017 OWP852013:OWP852017 PGL852013:PGL852017 PQH852013:PQH852017 QAD852013:QAD852017 QJZ852013:QJZ852017 QTV852013:QTV852017 RDR852013:RDR852017 RNN852013:RNN852017 RXJ852013:RXJ852017 SHF852013:SHF852017 SRB852013:SRB852017 TAX852013:TAX852017 TKT852013:TKT852017 TUP852013:TUP852017 UEL852013:UEL852017 UOH852013:UOH852017 UYD852013:UYD852017 VHZ852013:VHZ852017 VRV852013:VRV852017 WBR852013:WBR852017 WLN852013:WLN852017 WVJ852013:WVJ852017 C917549:C917553 IX917549:IX917553 ST917549:ST917553 ACP917549:ACP917553 AML917549:AML917553 AWH917549:AWH917553 BGD917549:BGD917553 BPZ917549:BPZ917553 BZV917549:BZV917553 CJR917549:CJR917553 CTN917549:CTN917553 DDJ917549:DDJ917553 DNF917549:DNF917553 DXB917549:DXB917553 EGX917549:EGX917553 EQT917549:EQT917553 FAP917549:FAP917553 FKL917549:FKL917553 FUH917549:FUH917553 GED917549:GED917553 GNZ917549:GNZ917553 GXV917549:GXV917553 HHR917549:HHR917553 HRN917549:HRN917553 IBJ917549:IBJ917553 ILF917549:ILF917553 IVB917549:IVB917553 JEX917549:JEX917553 JOT917549:JOT917553 JYP917549:JYP917553 KIL917549:KIL917553 KSH917549:KSH917553 LCD917549:LCD917553 LLZ917549:LLZ917553 LVV917549:LVV917553 MFR917549:MFR917553 MPN917549:MPN917553 MZJ917549:MZJ917553 NJF917549:NJF917553 NTB917549:NTB917553 OCX917549:OCX917553 OMT917549:OMT917553 OWP917549:OWP917553 PGL917549:PGL917553 PQH917549:PQH917553 QAD917549:QAD917553 QJZ917549:QJZ917553 QTV917549:QTV917553 RDR917549:RDR917553 RNN917549:RNN917553 RXJ917549:RXJ917553 SHF917549:SHF917553 SRB917549:SRB917553 TAX917549:TAX917553 TKT917549:TKT917553 TUP917549:TUP917553 UEL917549:UEL917553 UOH917549:UOH917553 UYD917549:UYD917553 VHZ917549:VHZ917553 VRV917549:VRV917553 WBR917549:WBR917553 WLN917549:WLN917553 WVJ917549:WVJ917553 C983085:C983089 IX983085:IX983089 ST983085:ST983089 ACP983085:ACP983089 AML983085:AML983089 AWH983085:AWH983089 BGD983085:BGD983089 BPZ983085:BPZ983089 BZV983085:BZV983089 CJR983085:CJR983089 CTN983085:CTN983089 DDJ983085:DDJ983089 DNF983085:DNF983089 DXB983085:DXB983089 EGX983085:EGX983089 EQT983085:EQT983089 FAP983085:FAP983089 FKL983085:FKL983089 FUH983085:FUH983089 GED983085:GED983089 GNZ983085:GNZ983089 GXV983085:GXV983089 HHR983085:HHR983089 HRN983085:HRN983089 IBJ983085:IBJ983089 ILF983085:ILF983089 IVB983085:IVB983089 JEX983085:JEX983089 JOT983085:JOT983089 JYP983085:JYP983089 KIL983085:KIL983089 KSH983085:KSH983089 LCD983085:LCD983089 LLZ983085:LLZ983089 LVV983085:LVV983089 MFR983085:MFR983089 MPN983085:MPN983089 MZJ983085:MZJ983089 NJF983085:NJF983089 NTB983085:NTB983089 OCX983085:OCX983089 OMT983085:OMT983089 OWP983085:OWP983089 PGL983085:PGL983089 PQH983085:PQH983089 QAD983085:QAD983089 QJZ983085:QJZ983089 QTV983085:QTV983089 RDR983085:RDR983089 RNN983085:RNN983089 RXJ983085:RXJ983089 SHF983085:SHF983089 SRB983085:SRB983089 TAX983085:TAX983089 TKT983085:TKT983089 TUP983085:TUP983089 UEL983085:UEL983089 UOH983085:UOH983089 UYD983085:UYD983089 VHZ983085:VHZ983089 VRV983085:VRV983089 WBR983085:WBR983089 WLN983085:WLN983089 WVJ983085:WVJ983089 C54:C84 IX54:IX84 ST54:ST84 ACP54:ACP84 AML54:AML84 AWH54:AWH84 BGD54:BGD84 BPZ54:BPZ84 BZV54:BZV84 CJR54:CJR84 CTN54:CTN84 DDJ54:DDJ84 DNF54:DNF84 DXB54:DXB84 EGX54:EGX84 EQT54:EQT84 FAP54:FAP84 FKL54:FKL84 FUH54:FUH84 GED54:GED84 GNZ54:GNZ84 GXV54:GXV84 HHR54:HHR84 HRN54:HRN84 IBJ54:IBJ84 ILF54:ILF84 IVB54:IVB84 JEX54:JEX84 JOT54:JOT84 JYP54:JYP84 KIL54:KIL84 KSH54:KSH84 LCD54:LCD84 LLZ54:LLZ84 LVV54:LVV84 MFR54:MFR84 MPN54:MPN84 MZJ54:MZJ84 NJF54:NJF84 NTB54:NTB84 OCX54:OCX84 OMT54:OMT84 OWP54:OWP84 PGL54:PGL84 PQH54:PQH84 QAD54:QAD84 QJZ54:QJZ84 QTV54:QTV84 RDR54:RDR84 RNN54:RNN84 RXJ54:RXJ84 SHF54:SHF84 SRB54:SRB84 TAX54:TAX84 TKT54:TKT84 TUP54:TUP84 UEL54:UEL84 UOH54:UOH84 UYD54:UYD84 VHZ54:VHZ84 VRV54:VRV84 WBR54:WBR84 WLN54:WLN84 WVJ54:WVJ84 C65588:C65618 IX65588:IX65618 ST65588:ST65618 ACP65588:ACP65618 AML65588:AML65618 AWH65588:AWH65618 BGD65588:BGD65618 BPZ65588:BPZ65618 BZV65588:BZV65618 CJR65588:CJR65618 CTN65588:CTN65618 DDJ65588:DDJ65618 DNF65588:DNF65618 DXB65588:DXB65618 EGX65588:EGX65618 EQT65588:EQT65618 FAP65588:FAP65618 FKL65588:FKL65618 FUH65588:FUH65618 GED65588:GED65618 GNZ65588:GNZ65618 GXV65588:GXV65618 HHR65588:HHR65618 HRN65588:HRN65618 IBJ65588:IBJ65618 ILF65588:ILF65618 IVB65588:IVB65618 JEX65588:JEX65618 JOT65588:JOT65618 JYP65588:JYP65618 KIL65588:KIL65618 KSH65588:KSH65618 LCD65588:LCD65618 LLZ65588:LLZ65618 LVV65588:LVV65618 MFR65588:MFR65618 MPN65588:MPN65618 MZJ65588:MZJ65618 NJF65588:NJF65618 NTB65588:NTB65618 OCX65588:OCX65618 OMT65588:OMT65618 OWP65588:OWP65618 PGL65588:PGL65618 PQH65588:PQH65618 QAD65588:QAD65618 QJZ65588:QJZ65618 QTV65588:QTV65618 RDR65588:RDR65618 RNN65588:RNN65618 RXJ65588:RXJ65618 SHF65588:SHF65618 SRB65588:SRB65618 TAX65588:TAX65618 TKT65588:TKT65618 TUP65588:TUP65618 UEL65588:UEL65618 UOH65588:UOH65618 UYD65588:UYD65618 VHZ65588:VHZ65618 VRV65588:VRV65618 WBR65588:WBR65618 WLN65588:WLN65618 WVJ65588:WVJ65618 C131124:C131154 IX131124:IX131154 ST131124:ST131154 ACP131124:ACP131154 AML131124:AML131154 AWH131124:AWH131154 BGD131124:BGD131154 BPZ131124:BPZ131154 BZV131124:BZV131154 CJR131124:CJR131154 CTN131124:CTN131154 DDJ131124:DDJ131154 DNF131124:DNF131154 DXB131124:DXB131154 EGX131124:EGX131154 EQT131124:EQT131154 FAP131124:FAP131154 FKL131124:FKL131154 FUH131124:FUH131154 GED131124:GED131154 GNZ131124:GNZ131154 GXV131124:GXV131154 HHR131124:HHR131154 HRN131124:HRN131154 IBJ131124:IBJ131154 ILF131124:ILF131154 IVB131124:IVB131154 JEX131124:JEX131154 JOT131124:JOT131154 JYP131124:JYP131154 KIL131124:KIL131154 KSH131124:KSH131154 LCD131124:LCD131154 LLZ131124:LLZ131154 LVV131124:LVV131154 MFR131124:MFR131154 MPN131124:MPN131154 MZJ131124:MZJ131154 NJF131124:NJF131154 NTB131124:NTB131154 OCX131124:OCX131154 OMT131124:OMT131154 OWP131124:OWP131154 PGL131124:PGL131154 PQH131124:PQH131154 QAD131124:QAD131154 QJZ131124:QJZ131154 QTV131124:QTV131154 RDR131124:RDR131154 RNN131124:RNN131154 RXJ131124:RXJ131154 SHF131124:SHF131154 SRB131124:SRB131154 TAX131124:TAX131154 TKT131124:TKT131154 TUP131124:TUP131154 UEL131124:UEL131154 UOH131124:UOH131154 UYD131124:UYD131154 VHZ131124:VHZ131154 VRV131124:VRV131154 WBR131124:WBR131154 WLN131124:WLN131154 WVJ131124:WVJ131154 C196660:C196690 IX196660:IX196690 ST196660:ST196690 ACP196660:ACP196690 AML196660:AML196690 AWH196660:AWH196690 BGD196660:BGD196690 BPZ196660:BPZ196690 BZV196660:BZV196690 CJR196660:CJR196690 CTN196660:CTN196690 DDJ196660:DDJ196690 DNF196660:DNF196690 DXB196660:DXB196690 EGX196660:EGX196690 EQT196660:EQT196690 FAP196660:FAP196690 FKL196660:FKL196690 FUH196660:FUH196690 GED196660:GED196690 GNZ196660:GNZ196690 GXV196660:GXV196690 HHR196660:HHR196690 HRN196660:HRN196690 IBJ196660:IBJ196690 ILF196660:ILF196690 IVB196660:IVB196690 JEX196660:JEX196690 JOT196660:JOT196690 JYP196660:JYP196690 KIL196660:KIL196690 KSH196660:KSH196690 LCD196660:LCD196690 LLZ196660:LLZ196690 LVV196660:LVV196690 MFR196660:MFR196690 MPN196660:MPN196690 MZJ196660:MZJ196690 NJF196660:NJF196690 NTB196660:NTB196690 OCX196660:OCX196690 OMT196660:OMT196690 OWP196660:OWP196690 PGL196660:PGL196690 PQH196660:PQH196690 QAD196660:QAD196690 QJZ196660:QJZ196690 QTV196660:QTV196690 RDR196660:RDR196690 RNN196660:RNN196690 RXJ196660:RXJ196690 SHF196660:SHF196690 SRB196660:SRB196690 TAX196660:TAX196690 TKT196660:TKT196690 TUP196660:TUP196690 UEL196660:UEL196690 UOH196660:UOH196690 UYD196660:UYD196690 VHZ196660:VHZ196690 VRV196660:VRV196690 WBR196660:WBR196690 WLN196660:WLN196690 WVJ196660:WVJ196690 C262196:C262226 IX262196:IX262226 ST262196:ST262226 ACP262196:ACP262226 AML262196:AML262226 AWH262196:AWH262226 BGD262196:BGD262226 BPZ262196:BPZ262226 BZV262196:BZV262226 CJR262196:CJR262226 CTN262196:CTN262226 DDJ262196:DDJ262226 DNF262196:DNF262226 DXB262196:DXB262226 EGX262196:EGX262226 EQT262196:EQT262226 FAP262196:FAP262226 FKL262196:FKL262226 FUH262196:FUH262226 GED262196:GED262226 GNZ262196:GNZ262226 GXV262196:GXV262226 HHR262196:HHR262226 HRN262196:HRN262226 IBJ262196:IBJ262226 ILF262196:ILF262226 IVB262196:IVB262226 JEX262196:JEX262226 JOT262196:JOT262226 JYP262196:JYP262226 KIL262196:KIL262226 KSH262196:KSH262226 LCD262196:LCD262226 LLZ262196:LLZ262226 LVV262196:LVV262226 MFR262196:MFR262226 MPN262196:MPN262226 MZJ262196:MZJ262226 NJF262196:NJF262226 NTB262196:NTB262226 OCX262196:OCX262226 OMT262196:OMT262226 OWP262196:OWP262226 PGL262196:PGL262226 PQH262196:PQH262226 QAD262196:QAD262226 QJZ262196:QJZ262226 QTV262196:QTV262226 RDR262196:RDR262226 RNN262196:RNN262226 RXJ262196:RXJ262226 SHF262196:SHF262226 SRB262196:SRB262226 TAX262196:TAX262226 TKT262196:TKT262226 TUP262196:TUP262226 UEL262196:UEL262226 UOH262196:UOH262226 UYD262196:UYD262226 VHZ262196:VHZ262226 VRV262196:VRV262226 WBR262196:WBR262226 WLN262196:WLN262226 WVJ262196:WVJ262226 C327732:C327762 IX327732:IX327762 ST327732:ST327762 ACP327732:ACP327762 AML327732:AML327762 AWH327732:AWH327762 BGD327732:BGD327762 BPZ327732:BPZ327762 BZV327732:BZV327762 CJR327732:CJR327762 CTN327732:CTN327762 DDJ327732:DDJ327762 DNF327732:DNF327762 DXB327732:DXB327762 EGX327732:EGX327762 EQT327732:EQT327762 FAP327732:FAP327762 FKL327732:FKL327762 FUH327732:FUH327762 GED327732:GED327762 GNZ327732:GNZ327762 GXV327732:GXV327762 HHR327732:HHR327762 HRN327732:HRN327762 IBJ327732:IBJ327762 ILF327732:ILF327762 IVB327732:IVB327762 JEX327732:JEX327762 JOT327732:JOT327762 JYP327732:JYP327762 KIL327732:KIL327762 KSH327732:KSH327762 LCD327732:LCD327762 LLZ327732:LLZ327762 LVV327732:LVV327762 MFR327732:MFR327762 MPN327732:MPN327762 MZJ327732:MZJ327762 NJF327732:NJF327762 NTB327732:NTB327762 OCX327732:OCX327762 OMT327732:OMT327762 OWP327732:OWP327762 PGL327732:PGL327762 PQH327732:PQH327762 QAD327732:QAD327762 QJZ327732:QJZ327762 QTV327732:QTV327762 RDR327732:RDR327762 RNN327732:RNN327762 RXJ327732:RXJ327762 SHF327732:SHF327762 SRB327732:SRB327762 TAX327732:TAX327762 TKT327732:TKT327762 TUP327732:TUP327762 UEL327732:UEL327762 UOH327732:UOH327762 UYD327732:UYD327762 VHZ327732:VHZ327762 VRV327732:VRV327762 WBR327732:WBR327762 WLN327732:WLN327762 WVJ327732:WVJ327762 C393268:C393298 IX393268:IX393298 ST393268:ST393298 ACP393268:ACP393298 AML393268:AML393298 AWH393268:AWH393298 BGD393268:BGD393298 BPZ393268:BPZ393298 BZV393268:BZV393298 CJR393268:CJR393298 CTN393268:CTN393298 DDJ393268:DDJ393298 DNF393268:DNF393298 DXB393268:DXB393298 EGX393268:EGX393298 EQT393268:EQT393298 FAP393268:FAP393298 FKL393268:FKL393298 FUH393268:FUH393298 GED393268:GED393298 GNZ393268:GNZ393298 GXV393268:GXV393298 HHR393268:HHR393298 HRN393268:HRN393298 IBJ393268:IBJ393298 ILF393268:ILF393298 IVB393268:IVB393298 JEX393268:JEX393298 JOT393268:JOT393298 JYP393268:JYP393298 KIL393268:KIL393298 KSH393268:KSH393298 LCD393268:LCD393298 LLZ393268:LLZ393298 LVV393268:LVV393298 MFR393268:MFR393298 MPN393268:MPN393298 MZJ393268:MZJ393298 NJF393268:NJF393298 NTB393268:NTB393298 OCX393268:OCX393298 OMT393268:OMT393298 OWP393268:OWP393298 PGL393268:PGL393298 PQH393268:PQH393298 QAD393268:QAD393298 QJZ393268:QJZ393298 QTV393268:QTV393298 RDR393268:RDR393298 RNN393268:RNN393298 RXJ393268:RXJ393298 SHF393268:SHF393298 SRB393268:SRB393298 TAX393268:TAX393298 TKT393268:TKT393298 TUP393268:TUP393298 UEL393268:UEL393298 UOH393268:UOH393298 UYD393268:UYD393298 VHZ393268:VHZ393298 VRV393268:VRV393298 WBR393268:WBR393298 WLN393268:WLN393298 WVJ393268:WVJ393298 C458804:C458834 IX458804:IX458834 ST458804:ST458834 ACP458804:ACP458834 AML458804:AML458834 AWH458804:AWH458834 BGD458804:BGD458834 BPZ458804:BPZ458834 BZV458804:BZV458834 CJR458804:CJR458834 CTN458804:CTN458834 DDJ458804:DDJ458834 DNF458804:DNF458834 DXB458804:DXB458834 EGX458804:EGX458834 EQT458804:EQT458834 FAP458804:FAP458834 FKL458804:FKL458834 FUH458804:FUH458834 GED458804:GED458834 GNZ458804:GNZ458834 GXV458804:GXV458834 HHR458804:HHR458834 HRN458804:HRN458834 IBJ458804:IBJ458834 ILF458804:ILF458834 IVB458804:IVB458834 JEX458804:JEX458834 JOT458804:JOT458834 JYP458804:JYP458834 KIL458804:KIL458834 KSH458804:KSH458834 LCD458804:LCD458834 LLZ458804:LLZ458834 LVV458804:LVV458834 MFR458804:MFR458834 MPN458804:MPN458834 MZJ458804:MZJ458834 NJF458804:NJF458834 NTB458804:NTB458834 OCX458804:OCX458834 OMT458804:OMT458834 OWP458804:OWP458834 PGL458804:PGL458834 PQH458804:PQH458834 QAD458804:QAD458834 QJZ458804:QJZ458834 QTV458804:QTV458834 RDR458804:RDR458834 RNN458804:RNN458834 RXJ458804:RXJ458834 SHF458804:SHF458834 SRB458804:SRB458834 TAX458804:TAX458834 TKT458804:TKT458834 TUP458804:TUP458834 UEL458804:UEL458834 UOH458804:UOH458834 UYD458804:UYD458834 VHZ458804:VHZ458834 VRV458804:VRV458834 WBR458804:WBR458834 WLN458804:WLN458834 WVJ458804:WVJ458834 C524340:C524370 IX524340:IX524370 ST524340:ST524370 ACP524340:ACP524370 AML524340:AML524370 AWH524340:AWH524370 BGD524340:BGD524370 BPZ524340:BPZ524370 BZV524340:BZV524370 CJR524340:CJR524370 CTN524340:CTN524370 DDJ524340:DDJ524370 DNF524340:DNF524370 DXB524340:DXB524370 EGX524340:EGX524370 EQT524340:EQT524370 FAP524340:FAP524370 FKL524340:FKL524370 FUH524340:FUH524370 GED524340:GED524370 GNZ524340:GNZ524370 GXV524340:GXV524370 HHR524340:HHR524370 HRN524340:HRN524370 IBJ524340:IBJ524370 ILF524340:ILF524370 IVB524340:IVB524370 JEX524340:JEX524370 JOT524340:JOT524370 JYP524340:JYP524370 KIL524340:KIL524370 KSH524340:KSH524370 LCD524340:LCD524370 LLZ524340:LLZ524370 LVV524340:LVV524370 MFR524340:MFR524370 MPN524340:MPN524370 MZJ524340:MZJ524370 NJF524340:NJF524370 NTB524340:NTB524370 OCX524340:OCX524370 OMT524340:OMT524370 OWP524340:OWP524370 PGL524340:PGL524370 PQH524340:PQH524370 QAD524340:QAD524370 QJZ524340:QJZ524370 QTV524340:QTV524370 RDR524340:RDR524370 RNN524340:RNN524370 RXJ524340:RXJ524370 SHF524340:SHF524370 SRB524340:SRB524370 TAX524340:TAX524370 TKT524340:TKT524370 TUP524340:TUP524370 UEL524340:UEL524370 UOH524340:UOH524370 UYD524340:UYD524370 VHZ524340:VHZ524370 VRV524340:VRV524370 WBR524340:WBR524370 WLN524340:WLN524370 WVJ524340:WVJ524370 C589876:C589906 IX589876:IX589906 ST589876:ST589906 ACP589876:ACP589906 AML589876:AML589906 AWH589876:AWH589906 BGD589876:BGD589906 BPZ589876:BPZ589906 BZV589876:BZV589906 CJR589876:CJR589906 CTN589876:CTN589906 DDJ589876:DDJ589906 DNF589876:DNF589906 DXB589876:DXB589906 EGX589876:EGX589906 EQT589876:EQT589906 FAP589876:FAP589906 FKL589876:FKL589906 FUH589876:FUH589906 GED589876:GED589906 GNZ589876:GNZ589906 GXV589876:GXV589906 HHR589876:HHR589906 HRN589876:HRN589906 IBJ589876:IBJ589906 ILF589876:ILF589906 IVB589876:IVB589906 JEX589876:JEX589906 JOT589876:JOT589906 JYP589876:JYP589906 KIL589876:KIL589906 KSH589876:KSH589906 LCD589876:LCD589906 LLZ589876:LLZ589906 LVV589876:LVV589906 MFR589876:MFR589906 MPN589876:MPN589906 MZJ589876:MZJ589906 NJF589876:NJF589906 NTB589876:NTB589906 OCX589876:OCX589906 OMT589876:OMT589906 OWP589876:OWP589906 PGL589876:PGL589906 PQH589876:PQH589906 QAD589876:QAD589906 QJZ589876:QJZ589906 QTV589876:QTV589906 RDR589876:RDR589906 RNN589876:RNN589906 RXJ589876:RXJ589906 SHF589876:SHF589906 SRB589876:SRB589906 TAX589876:TAX589906 TKT589876:TKT589906 TUP589876:TUP589906 UEL589876:UEL589906 UOH589876:UOH589906 UYD589876:UYD589906 VHZ589876:VHZ589906 VRV589876:VRV589906 WBR589876:WBR589906 WLN589876:WLN589906 WVJ589876:WVJ589906 C655412:C655442 IX655412:IX655442 ST655412:ST655442 ACP655412:ACP655442 AML655412:AML655442 AWH655412:AWH655442 BGD655412:BGD655442 BPZ655412:BPZ655442 BZV655412:BZV655442 CJR655412:CJR655442 CTN655412:CTN655442 DDJ655412:DDJ655442 DNF655412:DNF655442 DXB655412:DXB655442 EGX655412:EGX655442 EQT655412:EQT655442 FAP655412:FAP655442 FKL655412:FKL655442 FUH655412:FUH655442 GED655412:GED655442 GNZ655412:GNZ655442 GXV655412:GXV655442 HHR655412:HHR655442 HRN655412:HRN655442 IBJ655412:IBJ655442 ILF655412:ILF655442 IVB655412:IVB655442 JEX655412:JEX655442 JOT655412:JOT655442 JYP655412:JYP655442 KIL655412:KIL655442 KSH655412:KSH655442 LCD655412:LCD655442 LLZ655412:LLZ655442 LVV655412:LVV655442 MFR655412:MFR655442 MPN655412:MPN655442 MZJ655412:MZJ655442 NJF655412:NJF655442 NTB655412:NTB655442 OCX655412:OCX655442 OMT655412:OMT655442 OWP655412:OWP655442 PGL655412:PGL655442 PQH655412:PQH655442 QAD655412:QAD655442 QJZ655412:QJZ655442 QTV655412:QTV655442 RDR655412:RDR655442 RNN655412:RNN655442 RXJ655412:RXJ655442 SHF655412:SHF655442 SRB655412:SRB655442 TAX655412:TAX655442 TKT655412:TKT655442 TUP655412:TUP655442 UEL655412:UEL655442 UOH655412:UOH655442 UYD655412:UYD655442 VHZ655412:VHZ655442 VRV655412:VRV655442 WBR655412:WBR655442 WLN655412:WLN655442 WVJ655412:WVJ655442 C720948:C720978 IX720948:IX720978 ST720948:ST720978 ACP720948:ACP720978 AML720948:AML720978 AWH720948:AWH720978 BGD720948:BGD720978 BPZ720948:BPZ720978 BZV720948:BZV720978 CJR720948:CJR720978 CTN720948:CTN720978 DDJ720948:DDJ720978 DNF720948:DNF720978 DXB720948:DXB720978 EGX720948:EGX720978 EQT720948:EQT720978 FAP720948:FAP720978 FKL720948:FKL720978 FUH720948:FUH720978 GED720948:GED720978 GNZ720948:GNZ720978 GXV720948:GXV720978 HHR720948:HHR720978 HRN720948:HRN720978 IBJ720948:IBJ720978 ILF720948:ILF720978 IVB720948:IVB720978 JEX720948:JEX720978 JOT720948:JOT720978 JYP720948:JYP720978 KIL720948:KIL720978 KSH720948:KSH720978 LCD720948:LCD720978 LLZ720948:LLZ720978 LVV720948:LVV720978 MFR720948:MFR720978 MPN720948:MPN720978 MZJ720948:MZJ720978 NJF720948:NJF720978 NTB720948:NTB720978 OCX720948:OCX720978 OMT720948:OMT720978 OWP720948:OWP720978 PGL720948:PGL720978 PQH720948:PQH720978 QAD720948:QAD720978 QJZ720948:QJZ720978 QTV720948:QTV720978 RDR720948:RDR720978 RNN720948:RNN720978 RXJ720948:RXJ720978 SHF720948:SHF720978 SRB720948:SRB720978 TAX720948:TAX720978 TKT720948:TKT720978 TUP720948:TUP720978 UEL720948:UEL720978 UOH720948:UOH720978 UYD720948:UYD720978 VHZ720948:VHZ720978 VRV720948:VRV720978 WBR720948:WBR720978 WLN720948:WLN720978 WVJ720948:WVJ720978 C786484:C786514 IX786484:IX786514 ST786484:ST786514 ACP786484:ACP786514 AML786484:AML786514 AWH786484:AWH786514 BGD786484:BGD786514 BPZ786484:BPZ786514 BZV786484:BZV786514 CJR786484:CJR786514 CTN786484:CTN786514 DDJ786484:DDJ786514 DNF786484:DNF786514 DXB786484:DXB786514 EGX786484:EGX786514 EQT786484:EQT786514 FAP786484:FAP786514 FKL786484:FKL786514 FUH786484:FUH786514 GED786484:GED786514 GNZ786484:GNZ786514 GXV786484:GXV786514 HHR786484:HHR786514 HRN786484:HRN786514 IBJ786484:IBJ786514 ILF786484:ILF786514 IVB786484:IVB786514 JEX786484:JEX786514 JOT786484:JOT786514 JYP786484:JYP786514 KIL786484:KIL786514 KSH786484:KSH786514 LCD786484:LCD786514 LLZ786484:LLZ786514 LVV786484:LVV786514 MFR786484:MFR786514 MPN786484:MPN786514 MZJ786484:MZJ786514 NJF786484:NJF786514 NTB786484:NTB786514 OCX786484:OCX786514 OMT786484:OMT786514 OWP786484:OWP786514 PGL786484:PGL786514 PQH786484:PQH786514 QAD786484:QAD786514 QJZ786484:QJZ786514 QTV786484:QTV786514 RDR786484:RDR786514 RNN786484:RNN786514 RXJ786484:RXJ786514 SHF786484:SHF786514 SRB786484:SRB786514 TAX786484:TAX786514 TKT786484:TKT786514 TUP786484:TUP786514 UEL786484:UEL786514 UOH786484:UOH786514 UYD786484:UYD786514 VHZ786484:VHZ786514 VRV786484:VRV786514 WBR786484:WBR786514 WLN786484:WLN786514 WVJ786484:WVJ786514 C852020:C852050 IX852020:IX852050 ST852020:ST852050 ACP852020:ACP852050 AML852020:AML852050 AWH852020:AWH852050 BGD852020:BGD852050 BPZ852020:BPZ852050 BZV852020:BZV852050 CJR852020:CJR852050 CTN852020:CTN852050 DDJ852020:DDJ852050 DNF852020:DNF852050 DXB852020:DXB852050 EGX852020:EGX852050 EQT852020:EQT852050 FAP852020:FAP852050 FKL852020:FKL852050 FUH852020:FUH852050 GED852020:GED852050 GNZ852020:GNZ852050 GXV852020:GXV852050 HHR852020:HHR852050 HRN852020:HRN852050 IBJ852020:IBJ852050 ILF852020:ILF852050 IVB852020:IVB852050 JEX852020:JEX852050 JOT852020:JOT852050 JYP852020:JYP852050 KIL852020:KIL852050 KSH852020:KSH852050 LCD852020:LCD852050 LLZ852020:LLZ852050 LVV852020:LVV852050 MFR852020:MFR852050 MPN852020:MPN852050 MZJ852020:MZJ852050 NJF852020:NJF852050 NTB852020:NTB852050 OCX852020:OCX852050 OMT852020:OMT852050 OWP852020:OWP852050 PGL852020:PGL852050 PQH852020:PQH852050 QAD852020:QAD852050 QJZ852020:QJZ852050 QTV852020:QTV852050 RDR852020:RDR852050 RNN852020:RNN852050 RXJ852020:RXJ852050 SHF852020:SHF852050 SRB852020:SRB852050 TAX852020:TAX852050 TKT852020:TKT852050 TUP852020:TUP852050 UEL852020:UEL852050 UOH852020:UOH852050 UYD852020:UYD852050 VHZ852020:VHZ852050 VRV852020:VRV852050 WBR852020:WBR852050 WLN852020:WLN852050 WVJ852020:WVJ852050 C917556:C917586 IX917556:IX917586 ST917556:ST917586 ACP917556:ACP917586 AML917556:AML917586 AWH917556:AWH917586 BGD917556:BGD917586 BPZ917556:BPZ917586 BZV917556:BZV917586 CJR917556:CJR917586 CTN917556:CTN917586 DDJ917556:DDJ917586 DNF917556:DNF917586 DXB917556:DXB917586 EGX917556:EGX917586 EQT917556:EQT917586 FAP917556:FAP917586 FKL917556:FKL917586 FUH917556:FUH917586 GED917556:GED917586 GNZ917556:GNZ917586 GXV917556:GXV917586 HHR917556:HHR917586 HRN917556:HRN917586 IBJ917556:IBJ917586 ILF917556:ILF917586 IVB917556:IVB917586 JEX917556:JEX917586 JOT917556:JOT917586 JYP917556:JYP917586 KIL917556:KIL917586 KSH917556:KSH917586 LCD917556:LCD917586 LLZ917556:LLZ917586 LVV917556:LVV917586 MFR917556:MFR917586 MPN917556:MPN917586 MZJ917556:MZJ917586 NJF917556:NJF917586 NTB917556:NTB917586 OCX917556:OCX917586 OMT917556:OMT917586 OWP917556:OWP917586 PGL917556:PGL917586 PQH917556:PQH917586 QAD917556:QAD917586 QJZ917556:QJZ917586 QTV917556:QTV917586 RDR917556:RDR917586 RNN917556:RNN917586 RXJ917556:RXJ917586 SHF917556:SHF917586 SRB917556:SRB917586 TAX917556:TAX917586 TKT917556:TKT917586 TUP917556:TUP917586 UEL917556:UEL917586 UOH917556:UOH917586 UYD917556:UYD917586 VHZ917556:VHZ917586 VRV917556:VRV917586 WBR917556:WBR917586 WLN917556:WLN917586 WVJ917556:WVJ917586 C983092:C983122 IX983092:IX983122 ST983092:ST983122 ACP983092:ACP983122 AML983092:AML983122 AWH983092:AWH983122 BGD983092:BGD983122 BPZ983092:BPZ983122 BZV983092:BZV983122 CJR983092:CJR983122 CTN983092:CTN983122 DDJ983092:DDJ983122 DNF983092:DNF983122 DXB983092:DXB983122 EGX983092:EGX983122 EQT983092:EQT983122 FAP983092:FAP983122 FKL983092:FKL983122 FUH983092:FUH983122 GED983092:GED983122 GNZ983092:GNZ983122 GXV983092:GXV983122 HHR983092:HHR983122 HRN983092:HRN983122 IBJ983092:IBJ983122 ILF983092:ILF983122 IVB983092:IVB983122 JEX983092:JEX983122 JOT983092:JOT983122 JYP983092:JYP983122 KIL983092:KIL983122 KSH983092:KSH983122 LCD983092:LCD983122 LLZ983092:LLZ983122 LVV983092:LVV983122 MFR983092:MFR983122 MPN983092:MPN983122 MZJ983092:MZJ983122 NJF983092:NJF983122 NTB983092:NTB983122 OCX983092:OCX983122 OMT983092:OMT983122 OWP983092:OWP983122 PGL983092:PGL983122 PQH983092:PQH983122 QAD983092:QAD983122 QJZ983092:QJZ983122 QTV983092:QTV983122 RDR983092:RDR983122 RNN983092:RNN983122 RXJ983092:RXJ983122 SHF983092:SHF983122 SRB983092:SRB983122 TAX983092:TAX983122 TKT983092:TKT983122 TUP983092:TUP983122 UEL983092:UEL983122 UOH983092:UOH983122 UYD983092:UYD983122 VHZ983092:VHZ983122 VRV983092:VRV983122 WBR983092:WBR983122 WLN983092:WLN983122 WVJ983092:WVJ983122 C118 IX118 ST118 ACP118 AML118 AWH118 BGD118 BPZ118 BZV118 CJR118 CTN118 DDJ118 DNF118 DXB118 EGX118 EQT118 FAP118 FKL118 FUH118 GED118 GNZ118 GXV118 HHR118 HRN118 IBJ118 ILF118 IVB118 JEX118 JOT118 JYP118 KIL118 KSH118 LCD118 LLZ118 LVV118 MFR118 MPN118 MZJ118 NJF118 NTB118 OCX118 OMT118 OWP118 PGL118 PQH118 QAD118 QJZ118 QTV118 RDR118 RNN118 RXJ118 SHF118 SRB118 TAX118 TKT118 TUP118 UEL118 UOH118 UYD118 VHZ118 VRV118 WBR118 WLN118 WVJ118 C65652 IX65652 ST65652 ACP65652 AML65652 AWH65652 BGD65652 BPZ65652 BZV65652 CJR65652 CTN65652 DDJ65652 DNF65652 DXB65652 EGX65652 EQT65652 FAP65652 FKL65652 FUH65652 GED65652 GNZ65652 GXV65652 HHR65652 HRN65652 IBJ65652 ILF65652 IVB65652 JEX65652 JOT65652 JYP65652 KIL65652 KSH65652 LCD65652 LLZ65652 LVV65652 MFR65652 MPN65652 MZJ65652 NJF65652 NTB65652 OCX65652 OMT65652 OWP65652 PGL65652 PQH65652 QAD65652 QJZ65652 QTV65652 RDR65652 RNN65652 RXJ65652 SHF65652 SRB65652 TAX65652 TKT65652 TUP65652 UEL65652 UOH65652 UYD65652 VHZ65652 VRV65652 WBR65652 WLN65652 WVJ65652 C131188 IX131188 ST131188 ACP131188 AML131188 AWH131188 BGD131188 BPZ131188 BZV131188 CJR131188 CTN131188 DDJ131188 DNF131188 DXB131188 EGX131188 EQT131188 FAP131188 FKL131188 FUH131188 GED131188 GNZ131188 GXV131188 HHR131188 HRN131188 IBJ131188 ILF131188 IVB131188 JEX131188 JOT131188 JYP131188 KIL131188 KSH131188 LCD131188 LLZ131188 LVV131188 MFR131188 MPN131188 MZJ131188 NJF131188 NTB131188 OCX131188 OMT131188 OWP131188 PGL131188 PQH131188 QAD131188 QJZ131188 QTV131188 RDR131188 RNN131188 RXJ131188 SHF131188 SRB131188 TAX131188 TKT131188 TUP131188 UEL131188 UOH131188 UYD131188 VHZ131188 VRV131188 WBR131188 WLN131188 WVJ131188 C196724 IX196724 ST196724 ACP196724 AML196724 AWH196724 BGD196724 BPZ196724 BZV196724 CJR196724 CTN196724 DDJ196724 DNF196724 DXB196724 EGX196724 EQT196724 FAP196724 FKL196724 FUH196724 GED196724 GNZ196724 GXV196724 HHR196724 HRN196724 IBJ196724 ILF196724 IVB196724 JEX196724 JOT196724 JYP196724 KIL196724 KSH196724 LCD196724 LLZ196724 LVV196724 MFR196724 MPN196724 MZJ196724 NJF196724 NTB196724 OCX196724 OMT196724 OWP196724 PGL196724 PQH196724 QAD196724 QJZ196724 QTV196724 RDR196724 RNN196724 RXJ196724 SHF196724 SRB196724 TAX196724 TKT196724 TUP196724 UEL196724 UOH196724 UYD196724 VHZ196724 VRV196724 WBR196724 WLN196724 WVJ196724 C262260 IX262260 ST262260 ACP262260 AML262260 AWH262260 BGD262260 BPZ262260 BZV262260 CJR262260 CTN262260 DDJ262260 DNF262260 DXB262260 EGX262260 EQT262260 FAP262260 FKL262260 FUH262260 GED262260 GNZ262260 GXV262260 HHR262260 HRN262260 IBJ262260 ILF262260 IVB262260 JEX262260 JOT262260 JYP262260 KIL262260 KSH262260 LCD262260 LLZ262260 LVV262260 MFR262260 MPN262260 MZJ262260 NJF262260 NTB262260 OCX262260 OMT262260 OWP262260 PGL262260 PQH262260 QAD262260 QJZ262260 QTV262260 RDR262260 RNN262260 RXJ262260 SHF262260 SRB262260 TAX262260 TKT262260 TUP262260 UEL262260 UOH262260 UYD262260 VHZ262260 VRV262260 WBR262260 WLN262260 WVJ262260 C327796 IX327796 ST327796 ACP327796 AML327796 AWH327796 BGD327796 BPZ327796 BZV327796 CJR327796 CTN327796 DDJ327796 DNF327796 DXB327796 EGX327796 EQT327796 FAP327796 FKL327796 FUH327796 GED327796 GNZ327796 GXV327796 HHR327796 HRN327796 IBJ327796 ILF327796 IVB327796 JEX327796 JOT327796 JYP327796 KIL327796 KSH327796 LCD327796 LLZ327796 LVV327796 MFR327796 MPN327796 MZJ327796 NJF327796 NTB327796 OCX327796 OMT327796 OWP327796 PGL327796 PQH327796 QAD327796 QJZ327796 QTV327796 RDR327796 RNN327796 RXJ327796 SHF327796 SRB327796 TAX327796 TKT327796 TUP327796 UEL327796 UOH327796 UYD327796 VHZ327796 VRV327796 WBR327796 WLN327796 WVJ327796 C393332 IX393332 ST393332 ACP393332 AML393332 AWH393332 BGD393332 BPZ393332 BZV393332 CJR393332 CTN393332 DDJ393332 DNF393332 DXB393332 EGX393332 EQT393332 FAP393332 FKL393332 FUH393332 GED393332 GNZ393332 GXV393332 HHR393332 HRN393332 IBJ393332 ILF393332 IVB393332 JEX393332 JOT393332 JYP393332 KIL393332 KSH393332 LCD393332 LLZ393332 LVV393332 MFR393332 MPN393332 MZJ393332 NJF393332 NTB393332 OCX393332 OMT393332 OWP393332 PGL393332 PQH393332 QAD393332 QJZ393332 QTV393332 RDR393332 RNN393332 RXJ393332 SHF393332 SRB393332 TAX393332 TKT393332 TUP393332 UEL393332 UOH393332 UYD393332 VHZ393332 VRV393332 WBR393332 WLN393332 WVJ393332 C458868 IX458868 ST458868 ACP458868 AML458868 AWH458868 BGD458868 BPZ458868 BZV458868 CJR458868 CTN458868 DDJ458868 DNF458868 DXB458868 EGX458868 EQT458868 FAP458868 FKL458868 FUH458868 GED458868 GNZ458868 GXV458868 HHR458868 HRN458868 IBJ458868 ILF458868 IVB458868 JEX458868 JOT458868 JYP458868 KIL458868 KSH458868 LCD458868 LLZ458868 LVV458868 MFR458868 MPN458868 MZJ458868 NJF458868 NTB458868 OCX458868 OMT458868 OWP458868 PGL458868 PQH458868 QAD458868 QJZ458868 QTV458868 RDR458868 RNN458868 RXJ458868 SHF458868 SRB458868 TAX458868 TKT458868 TUP458868 UEL458868 UOH458868 UYD458868 VHZ458868 VRV458868 WBR458868 WLN458868 WVJ458868 C524404 IX524404 ST524404 ACP524404 AML524404 AWH524404 BGD524404 BPZ524404 BZV524404 CJR524404 CTN524404 DDJ524404 DNF524404 DXB524404 EGX524404 EQT524404 FAP524404 FKL524404 FUH524404 GED524404 GNZ524404 GXV524404 HHR524404 HRN524404 IBJ524404 ILF524404 IVB524404 JEX524404 JOT524404 JYP524404 KIL524404 KSH524404 LCD524404 LLZ524404 LVV524404 MFR524404 MPN524404 MZJ524404 NJF524404 NTB524404 OCX524404 OMT524404 OWP524404 PGL524404 PQH524404 QAD524404 QJZ524404 QTV524404 RDR524404 RNN524404 RXJ524404 SHF524404 SRB524404 TAX524404 TKT524404 TUP524404 UEL524404 UOH524404 UYD524404 VHZ524404 VRV524404 WBR524404 WLN524404 WVJ524404 C589940 IX589940 ST589940 ACP589940 AML589940 AWH589940 BGD589940 BPZ589940 BZV589940 CJR589940 CTN589940 DDJ589940 DNF589940 DXB589940 EGX589940 EQT589940 FAP589940 FKL589940 FUH589940 GED589940 GNZ589940 GXV589940 HHR589940 HRN589940 IBJ589940 ILF589940 IVB589940 JEX589940 JOT589940 JYP589940 KIL589940 KSH589940 LCD589940 LLZ589940 LVV589940 MFR589940 MPN589940 MZJ589940 NJF589940 NTB589940 OCX589940 OMT589940 OWP589940 PGL589940 PQH589940 QAD589940 QJZ589940 QTV589940 RDR589940 RNN589940 RXJ589940 SHF589940 SRB589940 TAX589940 TKT589940 TUP589940 UEL589940 UOH589940 UYD589940 VHZ589940 VRV589940 WBR589940 WLN589940 WVJ589940 C655476 IX655476 ST655476 ACP655476 AML655476 AWH655476 BGD655476 BPZ655476 BZV655476 CJR655476 CTN655476 DDJ655476 DNF655476 DXB655476 EGX655476 EQT655476 FAP655476 FKL655476 FUH655476 GED655476 GNZ655476 GXV655476 HHR655476 HRN655476 IBJ655476 ILF655476 IVB655476 JEX655476 JOT655476 JYP655476 KIL655476 KSH655476 LCD655476 LLZ655476 LVV655476 MFR655476 MPN655476 MZJ655476 NJF655476 NTB655476 OCX655476 OMT655476 OWP655476 PGL655476 PQH655476 QAD655476 QJZ655476 QTV655476 RDR655476 RNN655476 RXJ655476 SHF655476 SRB655476 TAX655476 TKT655476 TUP655476 UEL655476 UOH655476 UYD655476 VHZ655476 VRV655476 WBR655476 WLN655476 WVJ655476 C721012 IX721012 ST721012 ACP721012 AML721012 AWH721012 BGD721012 BPZ721012 BZV721012 CJR721012 CTN721012 DDJ721012 DNF721012 DXB721012 EGX721012 EQT721012 FAP721012 FKL721012 FUH721012 GED721012 GNZ721012 GXV721012 HHR721012 HRN721012 IBJ721012 ILF721012 IVB721012 JEX721012 JOT721012 JYP721012 KIL721012 KSH721012 LCD721012 LLZ721012 LVV721012 MFR721012 MPN721012 MZJ721012 NJF721012 NTB721012 OCX721012 OMT721012 OWP721012 PGL721012 PQH721012 QAD721012 QJZ721012 QTV721012 RDR721012 RNN721012 RXJ721012 SHF721012 SRB721012 TAX721012 TKT721012 TUP721012 UEL721012 UOH721012 UYD721012 VHZ721012 VRV721012 WBR721012 WLN721012 WVJ721012 C786548 IX786548 ST786548 ACP786548 AML786548 AWH786548 BGD786548 BPZ786548 BZV786548 CJR786548 CTN786548 DDJ786548 DNF786548 DXB786548 EGX786548 EQT786548 FAP786548 FKL786548 FUH786548 GED786548 GNZ786548 GXV786548 HHR786548 HRN786548 IBJ786548 ILF786548 IVB786548 JEX786548 JOT786548 JYP786548 KIL786548 KSH786548 LCD786548 LLZ786548 LVV786548 MFR786548 MPN786548 MZJ786548 NJF786548 NTB786548 OCX786548 OMT786548 OWP786548 PGL786548 PQH786548 QAD786548 QJZ786548 QTV786548 RDR786548 RNN786548 RXJ786548 SHF786548 SRB786548 TAX786548 TKT786548 TUP786548 UEL786548 UOH786548 UYD786548 VHZ786548 VRV786548 WBR786548 WLN786548 WVJ786548 C852084 IX852084 ST852084 ACP852084 AML852084 AWH852084 BGD852084 BPZ852084 BZV852084 CJR852084 CTN852084 DDJ852084 DNF852084 DXB852084 EGX852084 EQT852084 FAP852084 FKL852084 FUH852084 GED852084 GNZ852084 GXV852084 HHR852084 HRN852084 IBJ852084 ILF852084 IVB852084 JEX852084 JOT852084 JYP852084 KIL852084 KSH852084 LCD852084 LLZ852084 LVV852084 MFR852084 MPN852084 MZJ852084 NJF852084 NTB852084 OCX852084 OMT852084 OWP852084 PGL852084 PQH852084 QAD852084 QJZ852084 QTV852084 RDR852084 RNN852084 RXJ852084 SHF852084 SRB852084 TAX852084 TKT852084 TUP852084 UEL852084 UOH852084 UYD852084 VHZ852084 VRV852084 WBR852084 WLN852084 WVJ852084 C917620 IX917620 ST917620 ACP917620 AML917620 AWH917620 BGD917620 BPZ917620 BZV917620 CJR917620 CTN917620 DDJ917620 DNF917620 DXB917620 EGX917620 EQT917620 FAP917620 FKL917620 FUH917620 GED917620 GNZ917620 GXV917620 HHR917620 HRN917620 IBJ917620 ILF917620 IVB917620 JEX917620 JOT917620 JYP917620 KIL917620 KSH917620 LCD917620 LLZ917620 LVV917620 MFR917620 MPN917620 MZJ917620 NJF917620 NTB917620 OCX917620 OMT917620 OWP917620 PGL917620 PQH917620 QAD917620 QJZ917620 QTV917620 RDR917620 RNN917620 RXJ917620 SHF917620 SRB917620 TAX917620 TKT917620 TUP917620 UEL917620 UOH917620 UYD917620 VHZ917620 VRV917620 WBR917620 WLN917620 WVJ917620 C983156 IX983156 ST983156 ACP983156 AML983156 AWH983156 BGD983156 BPZ983156 BZV983156 CJR983156 CTN983156 DDJ983156 DNF983156 DXB983156 EGX983156 EQT983156 FAP983156 FKL983156 FUH983156 GED983156 GNZ983156 GXV983156 HHR983156 HRN983156 IBJ983156 ILF983156 IVB983156 JEX983156 JOT983156 JYP983156 KIL983156 KSH983156 LCD983156 LLZ983156 LVV983156 MFR983156 MPN983156 MZJ983156 NJF983156 NTB983156 OCX983156 OMT983156 OWP983156 PGL983156 PQH983156 QAD983156 QJZ983156 QTV983156 RDR983156 RNN983156 RXJ983156 SHF983156 SRB983156 TAX983156 TKT983156 TUP983156 UEL983156 UOH983156 UYD983156 VHZ983156 VRV983156 WBR983156 WLN983156 WVJ983156 C101:C102 IX101:IX102 ST101:ST102 ACP101:ACP102 AML101:AML102 AWH101:AWH102 BGD101:BGD102 BPZ101:BPZ102 BZV101:BZV102 CJR101:CJR102 CTN101:CTN102 DDJ101:DDJ102 DNF101:DNF102 DXB101:DXB102 EGX101:EGX102 EQT101:EQT102 FAP101:FAP102 FKL101:FKL102 FUH101:FUH102 GED101:GED102 GNZ101:GNZ102 GXV101:GXV102 HHR101:HHR102 HRN101:HRN102 IBJ101:IBJ102 ILF101:ILF102 IVB101:IVB102 JEX101:JEX102 JOT101:JOT102 JYP101:JYP102 KIL101:KIL102 KSH101:KSH102 LCD101:LCD102 LLZ101:LLZ102 LVV101:LVV102 MFR101:MFR102 MPN101:MPN102 MZJ101:MZJ102 NJF101:NJF102 NTB101:NTB102 OCX101:OCX102 OMT101:OMT102 OWP101:OWP102 PGL101:PGL102 PQH101:PQH102 QAD101:QAD102 QJZ101:QJZ102 QTV101:QTV102 RDR101:RDR102 RNN101:RNN102 RXJ101:RXJ102 SHF101:SHF102 SRB101:SRB102 TAX101:TAX102 TKT101:TKT102 TUP101:TUP102 UEL101:UEL102 UOH101:UOH102 UYD101:UYD102 VHZ101:VHZ102 VRV101:VRV102 WBR101:WBR102 WLN101:WLN102 WVJ101:WVJ102 C65635:C65636 IX65635:IX65636 ST65635:ST65636 ACP65635:ACP65636 AML65635:AML65636 AWH65635:AWH65636 BGD65635:BGD65636 BPZ65635:BPZ65636 BZV65635:BZV65636 CJR65635:CJR65636 CTN65635:CTN65636 DDJ65635:DDJ65636 DNF65635:DNF65636 DXB65635:DXB65636 EGX65635:EGX65636 EQT65635:EQT65636 FAP65635:FAP65636 FKL65635:FKL65636 FUH65635:FUH65636 GED65635:GED65636 GNZ65635:GNZ65636 GXV65635:GXV65636 HHR65635:HHR65636 HRN65635:HRN65636 IBJ65635:IBJ65636 ILF65635:ILF65636 IVB65635:IVB65636 JEX65635:JEX65636 JOT65635:JOT65636 JYP65635:JYP65636 KIL65635:KIL65636 KSH65635:KSH65636 LCD65635:LCD65636 LLZ65635:LLZ65636 LVV65635:LVV65636 MFR65635:MFR65636 MPN65635:MPN65636 MZJ65635:MZJ65636 NJF65635:NJF65636 NTB65635:NTB65636 OCX65635:OCX65636 OMT65635:OMT65636 OWP65635:OWP65636 PGL65635:PGL65636 PQH65635:PQH65636 QAD65635:QAD65636 QJZ65635:QJZ65636 QTV65635:QTV65636 RDR65635:RDR65636 RNN65635:RNN65636 RXJ65635:RXJ65636 SHF65635:SHF65636 SRB65635:SRB65636 TAX65635:TAX65636 TKT65635:TKT65636 TUP65635:TUP65636 UEL65635:UEL65636 UOH65635:UOH65636 UYD65635:UYD65636 VHZ65635:VHZ65636 VRV65635:VRV65636 WBR65635:WBR65636 WLN65635:WLN65636 WVJ65635:WVJ65636 C131171:C131172 IX131171:IX131172 ST131171:ST131172 ACP131171:ACP131172 AML131171:AML131172 AWH131171:AWH131172 BGD131171:BGD131172 BPZ131171:BPZ131172 BZV131171:BZV131172 CJR131171:CJR131172 CTN131171:CTN131172 DDJ131171:DDJ131172 DNF131171:DNF131172 DXB131171:DXB131172 EGX131171:EGX131172 EQT131171:EQT131172 FAP131171:FAP131172 FKL131171:FKL131172 FUH131171:FUH131172 GED131171:GED131172 GNZ131171:GNZ131172 GXV131171:GXV131172 HHR131171:HHR131172 HRN131171:HRN131172 IBJ131171:IBJ131172 ILF131171:ILF131172 IVB131171:IVB131172 JEX131171:JEX131172 JOT131171:JOT131172 JYP131171:JYP131172 KIL131171:KIL131172 KSH131171:KSH131172 LCD131171:LCD131172 LLZ131171:LLZ131172 LVV131171:LVV131172 MFR131171:MFR131172 MPN131171:MPN131172 MZJ131171:MZJ131172 NJF131171:NJF131172 NTB131171:NTB131172 OCX131171:OCX131172 OMT131171:OMT131172 OWP131171:OWP131172 PGL131171:PGL131172 PQH131171:PQH131172 QAD131171:QAD131172 QJZ131171:QJZ131172 QTV131171:QTV131172 RDR131171:RDR131172 RNN131171:RNN131172 RXJ131171:RXJ131172 SHF131171:SHF131172 SRB131171:SRB131172 TAX131171:TAX131172 TKT131171:TKT131172 TUP131171:TUP131172 UEL131171:UEL131172 UOH131171:UOH131172 UYD131171:UYD131172 VHZ131171:VHZ131172 VRV131171:VRV131172 WBR131171:WBR131172 WLN131171:WLN131172 WVJ131171:WVJ131172 C196707:C196708 IX196707:IX196708 ST196707:ST196708 ACP196707:ACP196708 AML196707:AML196708 AWH196707:AWH196708 BGD196707:BGD196708 BPZ196707:BPZ196708 BZV196707:BZV196708 CJR196707:CJR196708 CTN196707:CTN196708 DDJ196707:DDJ196708 DNF196707:DNF196708 DXB196707:DXB196708 EGX196707:EGX196708 EQT196707:EQT196708 FAP196707:FAP196708 FKL196707:FKL196708 FUH196707:FUH196708 GED196707:GED196708 GNZ196707:GNZ196708 GXV196707:GXV196708 HHR196707:HHR196708 HRN196707:HRN196708 IBJ196707:IBJ196708 ILF196707:ILF196708 IVB196707:IVB196708 JEX196707:JEX196708 JOT196707:JOT196708 JYP196707:JYP196708 KIL196707:KIL196708 KSH196707:KSH196708 LCD196707:LCD196708 LLZ196707:LLZ196708 LVV196707:LVV196708 MFR196707:MFR196708 MPN196707:MPN196708 MZJ196707:MZJ196708 NJF196707:NJF196708 NTB196707:NTB196708 OCX196707:OCX196708 OMT196707:OMT196708 OWP196707:OWP196708 PGL196707:PGL196708 PQH196707:PQH196708 QAD196707:QAD196708 QJZ196707:QJZ196708 QTV196707:QTV196708 RDR196707:RDR196708 RNN196707:RNN196708 RXJ196707:RXJ196708 SHF196707:SHF196708 SRB196707:SRB196708 TAX196707:TAX196708 TKT196707:TKT196708 TUP196707:TUP196708 UEL196707:UEL196708 UOH196707:UOH196708 UYD196707:UYD196708 VHZ196707:VHZ196708 VRV196707:VRV196708 WBR196707:WBR196708 WLN196707:WLN196708 WVJ196707:WVJ196708 C262243:C262244 IX262243:IX262244 ST262243:ST262244 ACP262243:ACP262244 AML262243:AML262244 AWH262243:AWH262244 BGD262243:BGD262244 BPZ262243:BPZ262244 BZV262243:BZV262244 CJR262243:CJR262244 CTN262243:CTN262244 DDJ262243:DDJ262244 DNF262243:DNF262244 DXB262243:DXB262244 EGX262243:EGX262244 EQT262243:EQT262244 FAP262243:FAP262244 FKL262243:FKL262244 FUH262243:FUH262244 GED262243:GED262244 GNZ262243:GNZ262244 GXV262243:GXV262244 HHR262243:HHR262244 HRN262243:HRN262244 IBJ262243:IBJ262244 ILF262243:ILF262244 IVB262243:IVB262244 JEX262243:JEX262244 JOT262243:JOT262244 JYP262243:JYP262244 KIL262243:KIL262244 KSH262243:KSH262244 LCD262243:LCD262244 LLZ262243:LLZ262244 LVV262243:LVV262244 MFR262243:MFR262244 MPN262243:MPN262244 MZJ262243:MZJ262244 NJF262243:NJF262244 NTB262243:NTB262244 OCX262243:OCX262244 OMT262243:OMT262244 OWP262243:OWP262244 PGL262243:PGL262244 PQH262243:PQH262244 QAD262243:QAD262244 QJZ262243:QJZ262244 QTV262243:QTV262244 RDR262243:RDR262244 RNN262243:RNN262244 RXJ262243:RXJ262244 SHF262243:SHF262244 SRB262243:SRB262244 TAX262243:TAX262244 TKT262243:TKT262244 TUP262243:TUP262244 UEL262243:UEL262244 UOH262243:UOH262244 UYD262243:UYD262244 VHZ262243:VHZ262244 VRV262243:VRV262244 WBR262243:WBR262244 WLN262243:WLN262244 WVJ262243:WVJ262244 C327779:C327780 IX327779:IX327780 ST327779:ST327780 ACP327779:ACP327780 AML327779:AML327780 AWH327779:AWH327780 BGD327779:BGD327780 BPZ327779:BPZ327780 BZV327779:BZV327780 CJR327779:CJR327780 CTN327779:CTN327780 DDJ327779:DDJ327780 DNF327779:DNF327780 DXB327779:DXB327780 EGX327779:EGX327780 EQT327779:EQT327780 FAP327779:FAP327780 FKL327779:FKL327780 FUH327779:FUH327780 GED327779:GED327780 GNZ327779:GNZ327780 GXV327779:GXV327780 HHR327779:HHR327780 HRN327779:HRN327780 IBJ327779:IBJ327780 ILF327779:ILF327780 IVB327779:IVB327780 JEX327779:JEX327780 JOT327779:JOT327780 JYP327779:JYP327780 KIL327779:KIL327780 KSH327779:KSH327780 LCD327779:LCD327780 LLZ327779:LLZ327780 LVV327779:LVV327780 MFR327779:MFR327780 MPN327779:MPN327780 MZJ327779:MZJ327780 NJF327779:NJF327780 NTB327779:NTB327780 OCX327779:OCX327780 OMT327779:OMT327780 OWP327779:OWP327780 PGL327779:PGL327780 PQH327779:PQH327780 QAD327779:QAD327780 QJZ327779:QJZ327780 QTV327779:QTV327780 RDR327779:RDR327780 RNN327779:RNN327780 RXJ327779:RXJ327780 SHF327779:SHF327780 SRB327779:SRB327780 TAX327779:TAX327780 TKT327779:TKT327780 TUP327779:TUP327780 UEL327779:UEL327780 UOH327779:UOH327780 UYD327779:UYD327780 VHZ327779:VHZ327780 VRV327779:VRV327780 WBR327779:WBR327780 WLN327779:WLN327780 WVJ327779:WVJ327780 C393315:C393316 IX393315:IX393316 ST393315:ST393316 ACP393315:ACP393316 AML393315:AML393316 AWH393315:AWH393316 BGD393315:BGD393316 BPZ393315:BPZ393316 BZV393315:BZV393316 CJR393315:CJR393316 CTN393315:CTN393316 DDJ393315:DDJ393316 DNF393315:DNF393316 DXB393315:DXB393316 EGX393315:EGX393316 EQT393315:EQT393316 FAP393315:FAP393316 FKL393315:FKL393316 FUH393315:FUH393316 GED393315:GED393316 GNZ393315:GNZ393316 GXV393315:GXV393316 HHR393315:HHR393316 HRN393315:HRN393316 IBJ393315:IBJ393316 ILF393315:ILF393316 IVB393315:IVB393316 JEX393315:JEX393316 JOT393315:JOT393316 JYP393315:JYP393316 KIL393315:KIL393316 KSH393315:KSH393316 LCD393315:LCD393316 LLZ393315:LLZ393316 LVV393315:LVV393316 MFR393315:MFR393316 MPN393315:MPN393316 MZJ393315:MZJ393316 NJF393315:NJF393316 NTB393315:NTB393316 OCX393315:OCX393316 OMT393315:OMT393316 OWP393315:OWP393316 PGL393315:PGL393316 PQH393315:PQH393316 QAD393315:QAD393316 QJZ393315:QJZ393316 QTV393315:QTV393316 RDR393315:RDR393316 RNN393315:RNN393316 RXJ393315:RXJ393316 SHF393315:SHF393316 SRB393315:SRB393316 TAX393315:TAX393316 TKT393315:TKT393316 TUP393315:TUP393316 UEL393315:UEL393316 UOH393315:UOH393316 UYD393315:UYD393316 VHZ393315:VHZ393316 VRV393315:VRV393316 WBR393315:WBR393316 WLN393315:WLN393316 WVJ393315:WVJ393316 C458851:C458852 IX458851:IX458852 ST458851:ST458852 ACP458851:ACP458852 AML458851:AML458852 AWH458851:AWH458852 BGD458851:BGD458852 BPZ458851:BPZ458852 BZV458851:BZV458852 CJR458851:CJR458852 CTN458851:CTN458852 DDJ458851:DDJ458852 DNF458851:DNF458852 DXB458851:DXB458852 EGX458851:EGX458852 EQT458851:EQT458852 FAP458851:FAP458852 FKL458851:FKL458852 FUH458851:FUH458852 GED458851:GED458852 GNZ458851:GNZ458852 GXV458851:GXV458852 HHR458851:HHR458852 HRN458851:HRN458852 IBJ458851:IBJ458852 ILF458851:ILF458852 IVB458851:IVB458852 JEX458851:JEX458852 JOT458851:JOT458852 JYP458851:JYP458852 KIL458851:KIL458852 KSH458851:KSH458852 LCD458851:LCD458852 LLZ458851:LLZ458852 LVV458851:LVV458852 MFR458851:MFR458852 MPN458851:MPN458852 MZJ458851:MZJ458852 NJF458851:NJF458852 NTB458851:NTB458852 OCX458851:OCX458852 OMT458851:OMT458852 OWP458851:OWP458852 PGL458851:PGL458852 PQH458851:PQH458852 QAD458851:QAD458852 QJZ458851:QJZ458852 QTV458851:QTV458852 RDR458851:RDR458852 RNN458851:RNN458852 RXJ458851:RXJ458852 SHF458851:SHF458852 SRB458851:SRB458852 TAX458851:TAX458852 TKT458851:TKT458852 TUP458851:TUP458852 UEL458851:UEL458852 UOH458851:UOH458852 UYD458851:UYD458852 VHZ458851:VHZ458852 VRV458851:VRV458852 WBR458851:WBR458852 WLN458851:WLN458852 WVJ458851:WVJ458852 C524387:C524388 IX524387:IX524388 ST524387:ST524388 ACP524387:ACP524388 AML524387:AML524388 AWH524387:AWH524388 BGD524387:BGD524388 BPZ524387:BPZ524388 BZV524387:BZV524388 CJR524387:CJR524388 CTN524387:CTN524388 DDJ524387:DDJ524388 DNF524387:DNF524388 DXB524387:DXB524388 EGX524387:EGX524388 EQT524387:EQT524388 FAP524387:FAP524388 FKL524387:FKL524388 FUH524387:FUH524388 GED524387:GED524388 GNZ524387:GNZ524388 GXV524387:GXV524388 HHR524387:HHR524388 HRN524387:HRN524388 IBJ524387:IBJ524388 ILF524387:ILF524388 IVB524387:IVB524388 JEX524387:JEX524388 JOT524387:JOT524388 JYP524387:JYP524388 KIL524387:KIL524388 KSH524387:KSH524388 LCD524387:LCD524388 LLZ524387:LLZ524388 LVV524387:LVV524388 MFR524387:MFR524388 MPN524387:MPN524388 MZJ524387:MZJ524388 NJF524387:NJF524388 NTB524387:NTB524388 OCX524387:OCX524388 OMT524387:OMT524388 OWP524387:OWP524388 PGL524387:PGL524388 PQH524387:PQH524388 QAD524387:QAD524388 QJZ524387:QJZ524388 QTV524387:QTV524388 RDR524387:RDR524388 RNN524387:RNN524388 RXJ524387:RXJ524388 SHF524387:SHF524388 SRB524387:SRB524388 TAX524387:TAX524388 TKT524387:TKT524388 TUP524387:TUP524388 UEL524387:UEL524388 UOH524387:UOH524388 UYD524387:UYD524388 VHZ524387:VHZ524388 VRV524387:VRV524388 WBR524387:WBR524388 WLN524387:WLN524388 WVJ524387:WVJ524388 C589923:C589924 IX589923:IX589924 ST589923:ST589924 ACP589923:ACP589924 AML589923:AML589924 AWH589923:AWH589924 BGD589923:BGD589924 BPZ589923:BPZ589924 BZV589923:BZV589924 CJR589923:CJR589924 CTN589923:CTN589924 DDJ589923:DDJ589924 DNF589923:DNF589924 DXB589923:DXB589924 EGX589923:EGX589924 EQT589923:EQT589924 FAP589923:FAP589924 FKL589923:FKL589924 FUH589923:FUH589924 GED589923:GED589924 GNZ589923:GNZ589924 GXV589923:GXV589924 HHR589923:HHR589924 HRN589923:HRN589924 IBJ589923:IBJ589924 ILF589923:ILF589924 IVB589923:IVB589924 JEX589923:JEX589924 JOT589923:JOT589924 JYP589923:JYP589924 KIL589923:KIL589924 KSH589923:KSH589924 LCD589923:LCD589924 LLZ589923:LLZ589924 LVV589923:LVV589924 MFR589923:MFR589924 MPN589923:MPN589924 MZJ589923:MZJ589924 NJF589923:NJF589924 NTB589923:NTB589924 OCX589923:OCX589924 OMT589923:OMT589924 OWP589923:OWP589924 PGL589923:PGL589924 PQH589923:PQH589924 QAD589923:QAD589924 QJZ589923:QJZ589924 QTV589923:QTV589924 RDR589923:RDR589924 RNN589923:RNN589924 RXJ589923:RXJ589924 SHF589923:SHF589924 SRB589923:SRB589924 TAX589923:TAX589924 TKT589923:TKT589924 TUP589923:TUP589924 UEL589923:UEL589924 UOH589923:UOH589924 UYD589923:UYD589924 VHZ589923:VHZ589924 VRV589923:VRV589924 WBR589923:WBR589924 WLN589923:WLN589924 WVJ589923:WVJ589924 C655459:C655460 IX655459:IX655460 ST655459:ST655460 ACP655459:ACP655460 AML655459:AML655460 AWH655459:AWH655460 BGD655459:BGD655460 BPZ655459:BPZ655460 BZV655459:BZV655460 CJR655459:CJR655460 CTN655459:CTN655460 DDJ655459:DDJ655460 DNF655459:DNF655460 DXB655459:DXB655460 EGX655459:EGX655460 EQT655459:EQT655460 FAP655459:FAP655460 FKL655459:FKL655460 FUH655459:FUH655460 GED655459:GED655460 GNZ655459:GNZ655460 GXV655459:GXV655460 HHR655459:HHR655460 HRN655459:HRN655460 IBJ655459:IBJ655460 ILF655459:ILF655460 IVB655459:IVB655460 JEX655459:JEX655460 JOT655459:JOT655460 JYP655459:JYP655460 KIL655459:KIL655460 KSH655459:KSH655460 LCD655459:LCD655460 LLZ655459:LLZ655460 LVV655459:LVV655460 MFR655459:MFR655460 MPN655459:MPN655460 MZJ655459:MZJ655460 NJF655459:NJF655460 NTB655459:NTB655460 OCX655459:OCX655460 OMT655459:OMT655460 OWP655459:OWP655460 PGL655459:PGL655460 PQH655459:PQH655460 QAD655459:QAD655460 QJZ655459:QJZ655460 QTV655459:QTV655460 RDR655459:RDR655460 RNN655459:RNN655460 RXJ655459:RXJ655460 SHF655459:SHF655460 SRB655459:SRB655460 TAX655459:TAX655460 TKT655459:TKT655460 TUP655459:TUP655460 UEL655459:UEL655460 UOH655459:UOH655460 UYD655459:UYD655460 VHZ655459:VHZ655460 VRV655459:VRV655460 WBR655459:WBR655460 WLN655459:WLN655460 WVJ655459:WVJ655460 C720995:C720996 IX720995:IX720996 ST720995:ST720996 ACP720995:ACP720996 AML720995:AML720996 AWH720995:AWH720996 BGD720995:BGD720996 BPZ720995:BPZ720996 BZV720995:BZV720996 CJR720995:CJR720996 CTN720995:CTN720996 DDJ720995:DDJ720996 DNF720995:DNF720996 DXB720995:DXB720996 EGX720995:EGX720996 EQT720995:EQT720996 FAP720995:FAP720996 FKL720995:FKL720996 FUH720995:FUH720996 GED720995:GED720996 GNZ720995:GNZ720996 GXV720995:GXV720996 HHR720995:HHR720996 HRN720995:HRN720996 IBJ720995:IBJ720996 ILF720995:ILF720996 IVB720995:IVB720996 JEX720995:JEX720996 JOT720995:JOT720996 JYP720995:JYP720996 KIL720995:KIL720996 KSH720995:KSH720996 LCD720995:LCD720996 LLZ720995:LLZ720996 LVV720995:LVV720996 MFR720995:MFR720996 MPN720995:MPN720996 MZJ720995:MZJ720996 NJF720995:NJF720996 NTB720995:NTB720996 OCX720995:OCX720996 OMT720995:OMT720996 OWP720995:OWP720996 PGL720995:PGL720996 PQH720995:PQH720996 QAD720995:QAD720996 QJZ720995:QJZ720996 QTV720995:QTV720996 RDR720995:RDR720996 RNN720995:RNN720996 RXJ720995:RXJ720996 SHF720995:SHF720996 SRB720995:SRB720996 TAX720995:TAX720996 TKT720995:TKT720996 TUP720995:TUP720996 UEL720995:UEL720996 UOH720995:UOH720996 UYD720995:UYD720996 VHZ720995:VHZ720996 VRV720995:VRV720996 WBR720995:WBR720996 WLN720995:WLN720996 WVJ720995:WVJ720996 C786531:C786532 IX786531:IX786532 ST786531:ST786532 ACP786531:ACP786532 AML786531:AML786532 AWH786531:AWH786532 BGD786531:BGD786532 BPZ786531:BPZ786532 BZV786531:BZV786532 CJR786531:CJR786532 CTN786531:CTN786532 DDJ786531:DDJ786532 DNF786531:DNF786532 DXB786531:DXB786532 EGX786531:EGX786532 EQT786531:EQT786532 FAP786531:FAP786532 FKL786531:FKL786532 FUH786531:FUH786532 GED786531:GED786532 GNZ786531:GNZ786532 GXV786531:GXV786532 HHR786531:HHR786532 HRN786531:HRN786532 IBJ786531:IBJ786532 ILF786531:ILF786532 IVB786531:IVB786532 JEX786531:JEX786532 JOT786531:JOT786532 JYP786531:JYP786532 KIL786531:KIL786532 KSH786531:KSH786532 LCD786531:LCD786532 LLZ786531:LLZ786532 LVV786531:LVV786532 MFR786531:MFR786532 MPN786531:MPN786532 MZJ786531:MZJ786532 NJF786531:NJF786532 NTB786531:NTB786532 OCX786531:OCX786532 OMT786531:OMT786532 OWP786531:OWP786532 PGL786531:PGL786532 PQH786531:PQH786532 QAD786531:QAD786532 QJZ786531:QJZ786532 QTV786531:QTV786532 RDR786531:RDR786532 RNN786531:RNN786532 RXJ786531:RXJ786532 SHF786531:SHF786532 SRB786531:SRB786532 TAX786531:TAX786532 TKT786531:TKT786532 TUP786531:TUP786532 UEL786531:UEL786532 UOH786531:UOH786532 UYD786531:UYD786532 VHZ786531:VHZ786532 VRV786531:VRV786532 WBR786531:WBR786532 WLN786531:WLN786532 WVJ786531:WVJ786532 C852067:C852068 IX852067:IX852068 ST852067:ST852068 ACP852067:ACP852068 AML852067:AML852068 AWH852067:AWH852068 BGD852067:BGD852068 BPZ852067:BPZ852068 BZV852067:BZV852068 CJR852067:CJR852068 CTN852067:CTN852068 DDJ852067:DDJ852068 DNF852067:DNF852068 DXB852067:DXB852068 EGX852067:EGX852068 EQT852067:EQT852068 FAP852067:FAP852068 FKL852067:FKL852068 FUH852067:FUH852068 GED852067:GED852068 GNZ852067:GNZ852068 GXV852067:GXV852068 HHR852067:HHR852068 HRN852067:HRN852068 IBJ852067:IBJ852068 ILF852067:ILF852068 IVB852067:IVB852068 JEX852067:JEX852068 JOT852067:JOT852068 JYP852067:JYP852068 KIL852067:KIL852068 KSH852067:KSH852068 LCD852067:LCD852068 LLZ852067:LLZ852068 LVV852067:LVV852068 MFR852067:MFR852068 MPN852067:MPN852068 MZJ852067:MZJ852068 NJF852067:NJF852068 NTB852067:NTB852068 OCX852067:OCX852068 OMT852067:OMT852068 OWP852067:OWP852068 PGL852067:PGL852068 PQH852067:PQH852068 QAD852067:QAD852068 QJZ852067:QJZ852068 QTV852067:QTV852068 RDR852067:RDR852068 RNN852067:RNN852068 RXJ852067:RXJ852068 SHF852067:SHF852068 SRB852067:SRB852068 TAX852067:TAX852068 TKT852067:TKT852068 TUP852067:TUP852068 UEL852067:UEL852068 UOH852067:UOH852068 UYD852067:UYD852068 VHZ852067:VHZ852068 VRV852067:VRV852068 WBR852067:WBR852068 WLN852067:WLN852068 WVJ852067:WVJ852068 C917603:C917604 IX917603:IX917604 ST917603:ST917604 ACP917603:ACP917604 AML917603:AML917604 AWH917603:AWH917604 BGD917603:BGD917604 BPZ917603:BPZ917604 BZV917603:BZV917604 CJR917603:CJR917604 CTN917603:CTN917604 DDJ917603:DDJ917604 DNF917603:DNF917604 DXB917603:DXB917604 EGX917603:EGX917604 EQT917603:EQT917604 FAP917603:FAP917604 FKL917603:FKL917604 FUH917603:FUH917604 GED917603:GED917604 GNZ917603:GNZ917604 GXV917603:GXV917604 HHR917603:HHR917604 HRN917603:HRN917604 IBJ917603:IBJ917604 ILF917603:ILF917604 IVB917603:IVB917604 JEX917603:JEX917604 JOT917603:JOT917604 JYP917603:JYP917604 KIL917603:KIL917604 KSH917603:KSH917604 LCD917603:LCD917604 LLZ917603:LLZ917604 LVV917603:LVV917604 MFR917603:MFR917604 MPN917603:MPN917604 MZJ917603:MZJ917604 NJF917603:NJF917604 NTB917603:NTB917604 OCX917603:OCX917604 OMT917603:OMT917604 OWP917603:OWP917604 PGL917603:PGL917604 PQH917603:PQH917604 QAD917603:QAD917604 QJZ917603:QJZ917604 QTV917603:QTV917604 RDR917603:RDR917604 RNN917603:RNN917604 RXJ917603:RXJ917604 SHF917603:SHF917604 SRB917603:SRB917604 TAX917603:TAX917604 TKT917603:TKT917604 TUP917603:TUP917604 UEL917603:UEL917604 UOH917603:UOH917604 UYD917603:UYD917604 VHZ917603:VHZ917604 VRV917603:VRV917604 WBR917603:WBR917604 WLN917603:WLN917604 WVJ917603:WVJ917604 C983139:C983140 IX983139:IX983140 ST983139:ST983140 ACP983139:ACP983140 AML983139:AML983140 AWH983139:AWH983140 BGD983139:BGD983140 BPZ983139:BPZ983140 BZV983139:BZV983140 CJR983139:CJR983140 CTN983139:CTN983140 DDJ983139:DDJ983140 DNF983139:DNF983140 DXB983139:DXB983140 EGX983139:EGX983140 EQT983139:EQT983140 FAP983139:FAP983140 FKL983139:FKL983140 FUH983139:FUH983140 GED983139:GED983140 GNZ983139:GNZ983140 GXV983139:GXV983140 HHR983139:HHR983140 HRN983139:HRN983140 IBJ983139:IBJ983140 ILF983139:ILF983140 IVB983139:IVB983140 JEX983139:JEX983140 JOT983139:JOT983140 JYP983139:JYP983140 KIL983139:KIL983140 KSH983139:KSH983140 LCD983139:LCD983140 LLZ983139:LLZ983140 LVV983139:LVV983140 MFR983139:MFR983140 MPN983139:MPN983140 MZJ983139:MZJ983140 NJF983139:NJF983140 NTB983139:NTB983140 OCX983139:OCX983140 OMT983139:OMT983140 OWP983139:OWP983140 PGL983139:PGL983140 PQH983139:PQH983140 QAD983139:QAD983140 QJZ983139:QJZ983140 QTV983139:QTV983140 RDR983139:RDR983140 RNN983139:RNN983140 RXJ983139:RXJ983140 SHF983139:SHF983140 SRB983139:SRB983140 TAX983139:TAX983140 TKT983139:TKT983140 TUP983139:TUP983140 UEL983139:UEL983140 UOH983139:UOH983140 UYD983139:UYD983140 VHZ983139:VHZ983140 VRV983139:VRV983140 WBR983139:WBR983140 WLN983139:WLN983140 WVJ983139:WVJ983140 C106 IX106 ST106 ACP106 AML106 AWH106 BGD106 BPZ106 BZV106 CJR106 CTN106 DDJ106 DNF106 DXB106 EGX106 EQT106 FAP106 FKL106 FUH106 GED106 GNZ106 GXV106 HHR106 HRN106 IBJ106 ILF106 IVB106 JEX106 JOT106 JYP106 KIL106 KSH106 LCD106 LLZ106 LVV106 MFR106 MPN106 MZJ106 NJF106 NTB106 OCX106 OMT106 OWP106 PGL106 PQH106 QAD106 QJZ106 QTV106 RDR106 RNN106 RXJ106 SHF106 SRB106 TAX106 TKT106 TUP106 UEL106 UOH106 UYD106 VHZ106 VRV106 WBR106 WLN106 WVJ106 C65640 IX65640 ST65640 ACP65640 AML65640 AWH65640 BGD65640 BPZ65640 BZV65640 CJR65640 CTN65640 DDJ65640 DNF65640 DXB65640 EGX65640 EQT65640 FAP65640 FKL65640 FUH65640 GED65640 GNZ65640 GXV65640 HHR65640 HRN65640 IBJ65640 ILF65640 IVB65640 JEX65640 JOT65640 JYP65640 KIL65640 KSH65640 LCD65640 LLZ65640 LVV65640 MFR65640 MPN65640 MZJ65640 NJF65640 NTB65640 OCX65640 OMT65640 OWP65640 PGL65640 PQH65640 QAD65640 QJZ65640 QTV65640 RDR65640 RNN65640 RXJ65640 SHF65640 SRB65640 TAX65640 TKT65640 TUP65640 UEL65640 UOH65640 UYD65640 VHZ65640 VRV65640 WBR65640 WLN65640 WVJ65640 C131176 IX131176 ST131176 ACP131176 AML131176 AWH131176 BGD131176 BPZ131176 BZV131176 CJR131176 CTN131176 DDJ131176 DNF131176 DXB131176 EGX131176 EQT131176 FAP131176 FKL131176 FUH131176 GED131176 GNZ131176 GXV131176 HHR131176 HRN131176 IBJ131176 ILF131176 IVB131176 JEX131176 JOT131176 JYP131176 KIL131176 KSH131176 LCD131176 LLZ131176 LVV131176 MFR131176 MPN131176 MZJ131176 NJF131176 NTB131176 OCX131176 OMT131176 OWP131176 PGL131176 PQH131176 QAD131176 QJZ131176 QTV131176 RDR131176 RNN131176 RXJ131176 SHF131176 SRB131176 TAX131176 TKT131176 TUP131176 UEL131176 UOH131176 UYD131176 VHZ131176 VRV131176 WBR131176 WLN131176 WVJ131176 C196712 IX196712 ST196712 ACP196712 AML196712 AWH196712 BGD196712 BPZ196712 BZV196712 CJR196712 CTN196712 DDJ196712 DNF196712 DXB196712 EGX196712 EQT196712 FAP196712 FKL196712 FUH196712 GED196712 GNZ196712 GXV196712 HHR196712 HRN196712 IBJ196712 ILF196712 IVB196712 JEX196712 JOT196712 JYP196712 KIL196712 KSH196712 LCD196712 LLZ196712 LVV196712 MFR196712 MPN196712 MZJ196712 NJF196712 NTB196712 OCX196712 OMT196712 OWP196712 PGL196712 PQH196712 QAD196712 QJZ196712 QTV196712 RDR196712 RNN196712 RXJ196712 SHF196712 SRB196712 TAX196712 TKT196712 TUP196712 UEL196712 UOH196712 UYD196712 VHZ196712 VRV196712 WBR196712 WLN196712 WVJ196712 C262248 IX262248 ST262248 ACP262248 AML262248 AWH262248 BGD262248 BPZ262248 BZV262248 CJR262248 CTN262248 DDJ262248 DNF262248 DXB262248 EGX262248 EQT262248 FAP262248 FKL262248 FUH262248 GED262248 GNZ262248 GXV262248 HHR262248 HRN262248 IBJ262248 ILF262248 IVB262248 JEX262248 JOT262248 JYP262248 KIL262248 KSH262248 LCD262248 LLZ262248 LVV262248 MFR262248 MPN262248 MZJ262248 NJF262248 NTB262248 OCX262248 OMT262248 OWP262248 PGL262248 PQH262248 QAD262248 QJZ262248 QTV262248 RDR262248 RNN262248 RXJ262248 SHF262248 SRB262248 TAX262248 TKT262248 TUP262248 UEL262248 UOH262248 UYD262248 VHZ262248 VRV262248 WBR262248 WLN262248 WVJ262248 C327784 IX327784 ST327784 ACP327784 AML327784 AWH327784 BGD327784 BPZ327784 BZV327784 CJR327784 CTN327784 DDJ327784 DNF327784 DXB327784 EGX327784 EQT327784 FAP327784 FKL327784 FUH327784 GED327784 GNZ327784 GXV327784 HHR327784 HRN327784 IBJ327784 ILF327784 IVB327784 JEX327784 JOT327784 JYP327784 KIL327784 KSH327784 LCD327784 LLZ327784 LVV327784 MFR327784 MPN327784 MZJ327784 NJF327784 NTB327784 OCX327784 OMT327784 OWP327784 PGL327784 PQH327784 QAD327784 QJZ327784 QTV327784 RDR327784 RNN327784 RXJ327784 SHF327784 SRB327784 TAX327784 TKT327784 TUP327784 UEL327784 UOH327784 UYD327784 VHZ327784 VRV327784 WBR327784 WLN327784 WVJ327784 C393320 IX393320 ST393320 ACP393320 AML393320 AWH393320 BGD393320 BPZ393320 BZV393320 CJR393320 CTN393320 DDJ393320 DNF393320 DXB393320 EGX393320 EQT393320 FAP393320 FKL393320 FUH393320 GED393320 GNZ393320 GXV393320 HHR393320 HRN393320 IBJ393320 ILF393320 IVB393320 JEX393320 JOT393320 JYP393320 KIL393320 KSH393320 LCD393320 LLZ393320 LVV393320 MFR393320 MPN393320 MZJ393320 NJF393320 NTB393320 OCX393320 OMT393320 OWP393320 PGL393320 PQH393320 QAD393320 QJZ393320 QTV393320 RDR393320 RNN393320 RXJ393320 SHF393320 SRB393320 TAX393320 TKT393320 TUP393320 UEL393320 UOH393320 UYD393320 VHZ393320 VRV393320 WBR393320 WLN393320 WVJ393320 C458856 IX458856 ST458856 ACP458856 AML458856 AWH458856 BGD458856 BPZ458856 BZV458856 CJR458856 CTN458856 DDJ458856 DNF458856 DXB458856 EGX458856 EQT458856 FAP458856 FKL458856 FUH458856 GED458856 GNZ458856 GXV458856 HHR458856 HRN458856 IBJ458856 ILF458856 IVB458856 JEX458856 JOT458856 JYP458856 KIL458856 KSH458856 LCD458856 LLZ458856 LVV458856 MFR458856 MPN458856 MZJ458856 NJF458856 NTB458856 OCX458856 OMT458856 OWP458856 PGL458856 PQH458856 QAD458856 QJZ458856 QTV458856 RDR458856 RNN458856 RXJ458856 SHF458856 SRB458856 TAX458856 TKT458856 TUP458856 UEL458856 UOH458856 UYD458856 VHZ458856 VRV458856 WBR458856 WLN458856 WVJ458856 C524392 IX524392 ST524392 ACP524392 AML524392 AWH524392 BGD524392 BPZ524392 BZV524392 CJR524392 CTN524392 DDJ524392 DNF524392 DXB524392 EGX524392 EQT524392 FAP524392 FKL524392 FUH524392 GED524392 GNZ524392 GXV524392 HHR524392 HRN524392 IBJ524392 ILF524392 IVB524392 JEX524392 JOT524392 JYP524392 KIL524392 KSH524392 LCD524392 LLZ524392 LVV524392 MFR524392 MPN524392 MZJ524392 NJF524392 NTB524392 OCX524392 OMT524392 OWP524392 PGL524392 PQH524392 QAD524392 QJZ524392 QTV524392 RDR524392 RNN524392 RXJ524392 SHF524392 SRB524392 TAX524392 TKT524392 TUP524392 UEL524392 UOH524392 UYD524392 VHZ524392 VRV524392 WBR524392 WLN524392 WVJ524392 C589928 IX589928 ST589928 ACP589928 AML589928 AWH589928 BGD589928 BPZ589928 BZV589928 CJR589928 CTN589928 DDJ589928 DNF589928 DXB589928 EGX589928 EQT589928 FAP589928 FKL589928 FUH589928 GED589928 GNZ589928 GXV589928 HHR589928 HRN589928 IBJ589928 ILF589928 IVB589928 JEX589928 JOT589928 JYP589928 KIL589928 KSH589928 LCD589928 LLZ589928 LVV589928 MFR589928 MPN589928 MZJ589928 NJF589928 NTB589928 OCX589928 OMT589928 OWP589928 PGL589928 PQH589928 QAD589928 QJZ589928 QTV589928 RDR589928 RNN589928 RXJ589928 SHF589928 SRB589928 TAX589928 TKT589928 TUP589928 UEL589928 UOH589928 UYD589928 VHZ589928 VRV589928 WBR589928 WLN589928 WVJ589928 C655464 IX655464 ST655464 ACP655464 AML655464 AWH655464 BGD655464 BPZ655464 BZV655464 CJR655464 CTN655464 DDJ655464 DNF655464 DXB655464 EGX655464 EQT655464 FAP655464 FKL655464 FUH655464 GED655464 GNZ655464 GXV655464 HHR655464 HRN655464 IBJ655464 ILF655464 IVB655464 JEX655464 JOT655464 JYP655464 KIL655464 KSH655464 LCD655464 LLZ655464 LVV655464 MFR655464 MPN655464 MZJ655464 NJF655464 NTB655464 OCX655464 OMT655464 OWP655464 PGL655464 PQH655464 QAD655464 QJZ655464 QTV655464 RDR655464 RNN655464 RXJ655464 SHF655464 SRB655464 TAX655464 TKT655464 TUP655464 UEL655464 UOH655464 UYD655464 VHZ655464 VRV655464 WBR655464 WLN655464 WVJ655464 C721000 IX721000 ST721000 ACP721000 AML721000 AWH721000 BGD721000 BPZ721000 BZV721000 CJR721000 CTN721000 DDJ721000 DNF721000 DXB721000 EGX721000 EQT721000 FAP721000 FKL721000 FUH721000 GED721000 GNZ721000 GXV721000 HHR721000 HRN721000 IBJ721000 ILF721000 IVB721000 JEX721000 JOT721000 JYP721000 KIL721000 KSH721000 LCD721000 LLZ721000 LVV721000 MFR721000 MPN721000 MZJ721000 NJF721000 NTB721000 OCX721000 OMT721000 OWP721000 PGL721000 PQH721000 QAD721000 QJZ721000 QTV721000 RDR721000 RNN721000 RXJ721000 SHF721000 SRB721000 TAX721000 TKT721000 TUP721000 UEL721000 UOH721000 UYD721000 VHZ721000 VRV721000 WBR721000 WLN721000 WVJ721000 C786536 IX786536 ST786536 ACP786536 AML786536 AWH786536 BGD786536 BPZ786536 BZV786536 CJR786536 CTN786536 DDJ786536 DNF786536 DXB786536 EGX786536 EQT786536 FAP786536 FKL786536 FUH786536 GED786536 GNZ786536 GXV786536 HHR786536 HRN786536 IBJ786536 ILF786536 IVB786536 JEX786536 JOT786536 JYP786536 KIL786536 KSH786536 LCD786536 LLZ786536 LVV786536 MFR786536 MPN786536 MZJ786536 NJF786536 NTB786536 OCX786536 OMT786536 OWP786536 PGL786536 PQH786536 QAD786536 QJZ786536 QTV786536 RDR786536 RNN786536 RXJ786536 SHF786536 SRB786536 TAX786536 TKT786536 TUP786536 UEL786536 UOH786536 UYD786536 VHZ786536 VRV786536 WBR786536 WLN786536 WVJ786536 C852072 IX852072 ST852072 ACP852072 AML852072 AWH852072 BGD852072 BPZ852072 BZV852072 CJR852072 CTN852072 DDJ852072 DNF852072 DXB852072 EGX852072 EQT852072 FAP852072 FKL852072 FUH852072 GED852072 GNZ852072 GXV852072 HHR852072 HRN852072 IBJ852072 ILF852072 IVB852072 JEX852072 JOT852072 JYP852072 KIL852072 KSH852072 LCD852072 LLZ852072 LVV852072 MFR852072 MPN852072 MZJ852072 NJF852072 NTB852072 OCX852072 OMT852072 OWP852072 PGL852072 PQH852072 QAD852072 QJZ852072 QTV852072 RDR852072 RNN852072 RXJ852072 SHF852072 SRB852072 TAX852072 TKT852072 TUP852072 UEL852072 UOH852072 UYD852072 VHZ852072 VRV852072 WBR852072 WLN852072 WVJ852072 C917608 IX917608 ST917608 ACP917608 AML917608 AWH917608 BGD917608 BPZ917608 BZV917608 CJR917608 CTN917608 DDJ917608 DNF917608 DXB917608 EGX917608 EQT917608 FAP917608 FKL917608 FUH917608 GED917608 GNZ917608 GXV917608 HHR917608 HRN917608 IBJ917608 ILF917608 IVB917608 JEX917608 JOT917608 JYP917608 KIL917608 KSH917608 LCD917608 LLZ917608 LVV917608 MFR917608 MPN917608 MZJ917608 NJF917608 NTB917608 OCX917608 OMT917608 OWP917608 PGL917608 PQH917608 QAD917608 QJZ917608 QTV917608 RDR917608 RNN917608 RXJ917608 SHF917608 SRB917608 TAX917608 TKT917608 TUP917608 UEL917608 UOH917608 UYD917608 VHZ917608 VRV917608 WBR917608 WLN917608 WVJ917608 C983144 IX983144 ST983144 ACP983144 AML983144 AWH983144 BGD983144 BPZ983144 BZV983144 CJR983144 CTN983144 DDJ983144 DNF983144 DXB983144 EGX983144 EQT983144 FAP983144 FKL983144 FUH983144 GED983144 GNZ983144 GXV983144 HHR983144 HRN983144 IBJ983144 ILF983144 IVB983144 JEX983144 JOT983144 JYP983144 KIL983144 KSH983144 LCD983144 LLZ983144 LVV983144 MFR983144 MPN983144 MZJ983144 NJF983144 NTB983144 OCX983144 OMT983144 OWP983144 PGL983144 PQH983144 QAD983144 QJZ983144 QTV983144 RDR983144 RNN983144 RXJ983144 SHF983144 SRB983144 TAX983144 TKT983144 TUP983144 UEL983144 UOH983144 UYD983144 VHZ983144 VRV983144 WBR983144 WLN983144 WVJ983144 C109:C110 IX109:IX110 ST109:ST110 ACP109:ACP110 AML109:AML110 AWH109:AWH110 BGD109:BGD110 BPZ109:BPZ110 BZV109:BZV110 CJR109:CJR110 CTN109:CTN110 DDJ109:DDJ110 DNF109:DNF110 DXB109:DXB110 EGX109:EGX110 EQT109:EQT110 FAP109:FAP110 FKL109:FKL110 FUH109:FUH110 GED109:GED110 GNZ109:GNZ110 GXV109:GXV110 HHR109:HHR110 HRN109:HRN110 IBJ109:IBJ110 ILF109:ILF110 IVB109:IVB110 JEX109:JEX110 JOT109:JOT110 JYP109:JYP110 KIL109:KIL110 KSH109:KSH110 LCD109:LCD110 LLZ109:LLZ110 LVV109:LVV110 MFR109:MFR110 MPN109:MPN110 MZJ109:MZJ110 NJF109:NJF110 NTB109:NTB110 OCX109:OCX110 OMT109:OMT110 OWP109:OWP110 PGL109:PGL110 PQH109:PQH110 QAD109:QAD110 QJZ109:QJZ110 QTV109:QTV110 RDR109:RDR110 RNN109:RNN110 RXJ109:RXJ110 SHF109:SHF110 SRB109:SRB110 TAX109:TAX110 TKT109:TKT110 TUP109:TUP110 UEL109:UEL110 UOH109:UOH110 UYD109:UYD110 VHZ109:VHZ110 VRV109:VRV110 WBR109:WBR110 WLN109:WLN110 WVJ109:WVJ110 C65643:C65644 IX65643:IX65644 ST65643:ST65644 ACP65643:ACP65644 AML65643:AML65644 AWH65643:AWH65644 BGD65643:BGD65644 BPZ65643:BPZ65644 BZV65643:BZV65644 CJR65643:CJR65644 CTN65643:CTN65644 DDJ65643:DDJ65644 DNF65643:DNF65644 DXB65643:DXB65644 EGX65643:EGX65644 EQT65643:EQT65644 FAP65643:FAP65644 FKL65643:FKL65644 FUH65643:FUH65644 GED65643:GED65644 GNZ65643:GNZ65644 GXV65643:GXV65644 HHR65643:HHR65644 HRN65643:HRN65644 IBJ65643:IBJ65644 ILF65643:ILF65644 IVB65643:IVB65644 JEX65643:JEX65644 JOT65643:JOT65644 JYP65643:JYP65644 KIL65643:KIL65644 KSH65643:KSH65644 LCD65643:LCD65644 LLZ65643:LLZ65644 LVV65643:LVV65644 MFR65643:MFR65644 MPN65643:MPN65644 MZJ65643:MZJ65644 NJF65643:NJF65644 NTB65643:NTB65644 OCX65643:OCX65644 OMT65643:OMT65644 OWP65643:OWP65644 PGL65643:PGL65644 PQH65643:PQH65644 QAD65643:QAD65644 QJZ65643:QJZ65644 QTV65643:QTV65644 RDR65643:RDR65644 RNN65643:RNN65644 RXJ65643:RXJ65644 SHF65643:SHF65644 SRB65643:SRB65644 TAX65643:TAX65644 TKT65643:TKT65644 TUP65643:TUP65644 UEL65643:UEL65644 UOH65643:UOH65644 UYD65643:UYD65644 VHZ65643:VHZ65644 VRV65643:VRV65644 WBR65643:WBR65644 WLN65643:WLN65644 WVJ65643:WVJ65644 C131179:C131180 IX131179:IX131180 ST131179:ST131180 ACP131179:ACP131180 AML131179:AML131180 AWH131179:AWH131180 BGD131179:BGD131180 BPZ131179:BPZ131180 BZV131179:BZV131180 CJR131179:CJR131180 CTN131179:CTN131180 DDJ131179:DDJ131180 DNF131179:DNF131180 DXB131179:DXB131180 EGX131179:EGX131180 EQT131179:EQT131180 FAP131179:FAP131180 FKL131179:FKL131180 FUH131179:FUH131180 GED131179:GED131180 GNZ131179:GNZ131180 GXV131179:GXV131180 HHR131179:HHR131180 HRN131179:HRN131180 IBJ131179:IBJ131180 ILF131179:ILF131180 IVB131179:IVB131180 JEX131179:JEX131180 JOT131179:JOT131180 JYP131179:JYP131180 KIL131179:KIL131180 KSH131179:KSH131180 LCD131179:LCD131180 LLZ131179:LLZ131180 LVV131179:LVV131180 MFR131179:MFR131180 MPN131179:MPN131180 MZJ131179:MZJ131180 NJF131179:NJF131180 NTB131179:NTB131180 OCX131179:OCX131180 OMT131179:OMT131180 OWP131179:OWP131180 PGL131179:PGL131180 PQH131179:PQH131180 QAD131179:QAD131180 QJZ131179:QJZ131180 QTV131179:QTV131180 RDR131179:RDR131180 RNN131179:RNN131180 RXJ131179:RXJ131180 SHF131179:SHF131180 SRB131179:SRB131180 TAX131179:TAX131180 TKT131179:TKT131180 TUP131179:TUP131180 UEL131179:UEL131180 UOH131179:UOH131180 UYD131179:UYD131180 VHZ131179:VHZ131180 VRV131179:VRV131180 WBR131179:WBR131180 WLN131179:WLN131180 WVJ131179:WVJ131180 C196715:C196716 IX196715:IX196716 ST196715:ST196716 ACP196715:ACP196716 AML196715:AML196716 AWH196715:AWH196716 BGD196715:BGD196716 BPZ196715:BPZ196716 BZV196715:BZV196716 CJR196715:CJR196716 CTN196715:CTN196716 DDJ196715:DDJ196716 DNF196715:DNF196716 DXB196715:DXB196716 EGX196715:EGX196716 EQT196715:EQT196716 FAP196715:FAP196716 FKL196715:FKL196716 FUH196715:FUH196716 GED196715:GED196716 GNZ196715:GNZ196716 GXV196715:GXV196716 HHR196715:HHR196716 HRN196715:HRN196716 IBJ196715:IBJ196716 ILF196715:ILF196716 IVB196715:IVB196716 JEX196715:JEX196716 JOT196715:JOT196716 JYP196715:JYP196716 KIL196715:KIL196716 KSH196715:KSH196716 LCD196715:LCD196716 LLZ196715:LLZ196716 LVV196715:LVV196716 MFR196715:MFR196716 MPN196715:MPN196716 MZJ196715:MZJ196716 NJF196715:NJF196716 NTB196715:NTB196716 OCX196715:OCX196716 OMT196715:OMT196716 OWP196715:OWP196716 PGL196715:PGL196716 PQH196715:PQH196716 QAD196715:QAD196716 QJZ196715:QJZ196716 QTV196715:QTV196716 RDR196715:RDR196716 RNN196715:RNN196716 RXJ196715:RXJ196716 SHF196715:SHF196716 SRB196715:SRB196716 TAX196715:TAX196716 TKT196715:TKT196716 TUP196715:TUP196716 UEL196715:UEL196716 UOH196715:UOH196716 UYD196715:UYD196716 VHZ196715:VHZ196716 VRV196715:VRV196716 WBR196715:WBR196716 WLN196715:WLN196716 WVJ196715:WVJ196716 C262251:C262252 IX262251:IX262252 ST262251:ST262252 ACP262251:ACP262252 AML262251:AML262252 AWH262251:AWH262252 BGD262251:BGD262252 BPZ262251:BPZ262252 BZV262251:BZV262252 CJR262251:CJR262252 CTN262251:CTN262252 DDJ262251:DDJ262252 DNF262251:DNF262252 DXB262251:DXB262252 EGX262251:EGX262252 EQT262251:EQT262252 FAP262251:FAP262252 FKL262251:FKL262252 FUH262251:FUH262252 GED262251:GED262252 GNZ262251:GNZ262252 GXV262251:GXV262252 HHR262251:HHR262252 HRN262251:HRN262252 IBJ262251:IBJ262252 ILF262251:ILF262252 IVB262251:IVB262252 JEX262251:JEX262252 JOT262251:JOT262252 JYP262251:JYP262252 KIL262251:KIL262252 KSH262251:KSH262252 LCD262251:LCD262252 LLZ262251:LLZ262252 LVV262251:LVV262252 MFR262251:MFR262252 MPN262251:MPN262252 MZJ262251:MZJ262252 NJF262251:NJF262252 NTB262251:NTB262252 OCX262251:OCX262252 OMT262251:OMT262252 OWP262251:OWP262252 PGL262251:PGL262252 PQH262251:PQH262252 QAD262251:QAD262252 QJZ262251:QJZ262252 QTV262251:QTV262252 RDR262251:RDR262252 RNN262251:RNN262252 RXJ262251:RXJ262252 SHF262251:SHF262252 SRB262251:SRB262252 TAX262251:TAX262252 TKT262251:TKT262252 TUP262251:TUP262252 UEL262251:UEL262252 UOH262251:UOH262252 UYD262251:UYD262252 VHZ262251:VHZ262252 VRV262251:VRV262252 WBR262251:WBR262252 WLN262251:WLN262252 WVJ262251:WVJ262252 C327787:C327788 IX327787:IX327788 ST327787:ST327788 ACP327787:ACP327788 AML327787:AML327788 AWH327787:AWH327788 BGD327787:BGD327788 BPZ327787:BPZ327788 BZV327787:BZV327788 CJR327787:CJR327788 CTN327787:CTN327788 DDJ327787:DDJ327788 DNF327787:DNF327788 DXB327787:DXB327788 EGX327787:EGX327788 EQT327787:EQT327788 FAP327787:FAP327788 FKL327787:FKL327788 FUH327787:FUH327788 GED327787:GED327788 GNZ327787:GNZ327788 GXV327787:GXV327788 HHR327787:HHR327788 HRN327787:HRN327788 IBJ327787:IBJ327788 ILF327787:ILF327788 IVB327787:IVB327788 JEX327787:JEX327788 JOT327787:JOT327788 JYP327787:JYP327788 KIL327787:KIL327788 KSH327787:KSH327788 LCD327787:LCD327788 LLZ327787:LLZ327788 LVV327787:LVV327788 MFR327787:MFR327788 MPN327787:MPN327788 MZJ327787:MZJ327788 NJF327787:NJF327788 NTB327787:NTB327788 OCX327787:OCX327788 OMT327787:OMT327788 OWP327787:OWP327788 PGL327787:PGL327788 PQH327787:PQH327788 QAD327787:QAD327788 QJZ327787:QJZ327788 QTV327787:QTV327788 RDR327787:RDR327788 RNN327787:RNN327788 RXJ327787:RXJ327788 SHF327787:SHF327788 SRB327787:SRB327788 TAX327787:TAX327788 TKT327787:TKT327788 TUP327787:TUP327788 UEL327787:UEL327788 UOH327787:UOH327788 UYD327787:UYD327788 VHZ327787:VHZ327788 VRV327787:VRV327788 WBR327787:WBR327788 WLN327787:WLN327788 WVJ327787:WVJ327788 C393323:C393324 IX393323:IX393324 ST393323:ST393324 ACP393323:ACP393324 AML393323:AML393324 AWH393323:AWH393324 BGD393323:BGD393324 BPZ393323:BPZ393324 BZV393323:BZV393324 CJR393323:CJR393324 CTN393323:CTN393324 DDJ393323:DDJ393324 DNF393323:DNF393324 DXB393323:DXB393324 EGX393323:EGX393324 EQT393323:EQT393324 FAP393323:FAP393324 FKL393323:FKL393324 FUH393323:FUH393324 GED393323:GED393324 GNZ393323:GNZ393324 GXV393323:GXV393324 HHR393323:HHR393324 HRN393323:HRN393324 IBJ393323:IBJ393324 ILF393323:ILF393324 IVB393323:IVB393324 JEX393323:JEX393324 JOT393323:JOT393324 JYP393323:JYP393324 KIL393323:KIL393324 KSH393323:KSH393324 LCD393323:LCD393324 LLZ393323:LLZ393324 LVV393323:LVV393324 MFR393323:MFR393324 MPN393323:MPN393324 MZJ393323:MZJ393324 NJF393323:NJF393324 NTB393323:NTB393324 OCX393323:OCX393324 OMT393323:OMT393324 OWP393323:OWP393324 PGL393323:PGL393324 PQH393323:PQH393324 QAD393323:QAD393324 QJZ393323:QJZ393324 QTV393323:QTV393324 RDR393323:RDR393324 RNN393323:RNN393324 RXJ393323:RXJ393324 SHF393323:SHF393324 SRB393323:SRB393324 TAX393323:TAX393324 TKT393323:TKT393324 TUP393323:TUP393324 UEL393323:UEL393324 UOH393323:UOH393324 UYD393323:UYD393324 VHZ393323:VHZ393324 VRV393323:VRV393324 WBR393323:WBR393324 WLN393323:WLN393324 WVJ393323:WVJ393324 C458859:C458860 IX458859:IX458860 ST458859:ST458860 ACP458859:ACP458860 AML458859:AML458860 AWH458859:AWH458860 BGD458859:BGD458860 BPZ458859:BPZ458860 BZV458859:BZV458860 CJR458859:CJR458860 CTN458859:CTN458860 DDJ458859:DDJ458860 DNF458859:DNF458860 DXB458859:DXB458860 EGX458859:EGX458860 EQT458859:EQT458860 FAP458859:FAP458860 FKL458859:FKL458860 FUH458859:FUH458860 GED458859:GED458860 GNZ458859:GNZ458860 GXV458859:GXV458860 HHR458859:HHR458860 HRN458859:HRN458860 IBJ458859:IBJ458860 ILF458859:ILF458860 IVB458859:IVB458860 JEX458859:JEX458860 JOT458859:JOT458860 JYP458859:JYP458860 KIL458859:KIL458860 KSH458859:KSH458860 LCD458859:LCD458860 LLZ458859:LLZ458860 LVV458859:LVV458860 MFR458859:MFR458860 MPN458859:MPN458860 MZJ458859:MZJ458860 NJF458859:NJF458860 NTB458859:NTB458860 OCX458859:OCX458860 OMT458859:OMT458860 OWP458859:OWP458860 PGL458859:PGL458860 PQH458859:PQH458860 QAD458859:QAD458860 QJZ458859:QJZ458860 QTV458859:QTV458860 RDR458859:RDR458860 RNN458859:RNN458860 RXJ458859:RXJ458860 SHF458859:SHF458860 SRB458859:SRB458860 TAX458859:TAX458860 TKT458859:TKT458860 TUP458859:TUP458860 UEL458859:UEL458860 UOH458859:UOH458860 UYD458859:UYD458860 VHZ458859:VHZ458860 VRV458859:VRV458860 WBR458859:WBR458860 WLN458859:WLN458860 WVJ458859:WVJ458860 C524395:C524396 IX524395:IX524396 ST524395:ST524396 ACP524395:ACP524396 AML524395:AML524396 AWH524395:AWH524396 BGD524395:BGD524396 BPZ524395:BPZ524396 BZV524395:BZV524396 CJR524395:CJR524396 CTN524395:CTN524396 DDJ524395:DDJ524396 DNF524395:DNF524396 DXB524395:DXB524396 EGX524395:EGX524396 EQT524395:EQT524396 FAP524395:FAP524396 FKL524395:FKL524396 FUH524395:FUH524396 GED524395:GED524396 GNZ524395:GNZ524396 GXV524395:GXV524396 HHR524395:HHR524396 HRN524395:HRN524396 IBJ524395:IBJ524396 ILF524395:ILF524396 IVB524395:IVB524396 JEX524395:JEX524396 JOT524395:JOT524396 JYP524395:JYP524396 KIL524395:KIL524396 KSH524395:KSH524396 LCD524395:LCD524396 LLZ524395:LLZ524396 LVV524395:LVV524396 MFR524395:MFR524396 MPN524395:MPN524396 MZJ524395:MZJ524396 NJF524395:NJF524396 NTB524395:NTB524396 OCX524395:OCX524396 OMT524395:OMT524396 OWP524395:OWP524396 PGL524395:PGL524396 PQH524395:PQH524396 QAD524395:QAD524396 QJZ524395:QJZ524396 QTV524395:QTV524396 RDR524395:RDR524396 RNN524395:RNN524396 RXJ524395:RXJ524396 SHF524395:SHF524396 SRB524395:SRB524396 TAX524395:TAX524396 TKT524395:TKT524396 TUP524395:TUP524396 UEL524395:UEL524396 UOH524395:UOH524396 UYD524395:UYD524396 VHZ524395:VHZ524396 VRV524395:VRV524396 WBR524395:WBR524396 WLN524395:WLN524396 WVJ524395:WVJ524396 C589931:C589932 IX589931:IX589932 ST589931:ST589932 ACP589931:ACP589932 AML589931:AML589932 AWH589931:AWH589932 BGD589931:BGD589932 BPZ589931:BPZ589932 BZV589931:BZV589932 CJR589931:CJR589932 CTN589931:CTN589932 DDJ589931:DDJ589932 DNF589931:DNF589932 DXB589931:DXB589932 EGX589931:EGX589932 EQT589931:EQT589932 FAP589931:FAP589932 FKL589931:FKL589932 FUH589931:FUH589932 GED589931:GED589932 GNZ589931:GNZ589932 GXV589931:GXV589932 HHR589931:HHR589932 HRN589931:HRN589932 IBJ589931:IBJ589932 ILF589931:ILF589932 IVB589931:IVB589932 JEX589931:JEX589932 JOT589931:JOT589932 JYP589931:JYP589932 KIL589931:KIL589932 KSH589931:KSH589932 LCD589931:LCD589932 LLZ589931:LLZ589932 LVV589931:LVV589932 MFR589931:MFR589932 MPN589931:MPN589932 MZJ589931:MZJ589932 NJF589931:NJF589932 NTB589931:NTB589932 OCX589931:OCX589932 OMT589931:OMT589932 OWP589931:OWP589932 PGL589931:PGL589932 PQH589931:PQH589932 QAD589931:QAD589932 QJZ589931:QJZ589932 QTV589931:QTV589932 RDR589931:RDR589932 RNN589931:RNN589932 RXJ589931:RXJ589932 SHF589931:SHF589932 SRB589931:SRB589932 TAX589931:TAX589932 TKT589931:TKT589932 TUP589931:TUP589932 UEL589931:UEL589932 UOH589931:UOH589932 UYD589931:UYD589932 VHZ589931:VHZ589932 VRV589931:VRV589932 WBR589931:WBR589932 WLN589931:WLN589932 WVJ589931:WVJ589932 C655467:C655468 IX655467:IX655468 ST655467:ST655468 ACP655467:ACP655468 AML655467:AML655468 AWH655467:AWH655468 BGD655467:BGD655468 BPZ655467:BPZ655468 BZV655467:BZV655468 CJR655467:CJR655468 CTN655467:CTN655468 DDJ655467:DDJ655468 DNF655467:DNF655468 DXB655467:DXB655468 EGX655467:EGX655468 EQT655467:EQT655468 FAP655467:FAP655468 FKL655467:FKL655468 FUH655467:FUH655468 GED655467:GED655468 GNZ655467:GNZ655468 GXV655467:GXV655468 HHR655467:HHR655468 HRN655467:HRN655468 IBJ655467:IBJ655468 ILF655467:ILF655468 IVB655467:IVB655468 JEX655467:JEX655468 JOT655467:JOT655468 JYP655467:JYP655468 KIL655467:KIL655468 KSH655467:KSH655468 LCD655467:LCD655468 LLZ655467:LLZ655468 LVV655467:LVV655468 MFR655467:MFR655468 MPN655467:MPN655468 MZJ655467:MZJ655468 NJF655467:NJF655468 NTB655467:NTB655468 OCX655467:OCX655468 OMT655467:OMT655468 OWP655467:OWP655468 PGL655467:PGL655468 PQH655467:PQH655468 QAD655467:QAD655468 QJZ655467:QJZ655468 QTV655467:QTV655468 RDR655467:RDR655468 RNN655467:RNN655468 RXJ655467:RXJ655468 SHF655467:SHF655468 SRB655467:SRB655468 TAX655467:TAX655468 TKT655467:TKT655468 TUP655467:TUP655468 UEL655467:UEL655468 UOH655467:UOH655468 UYD655467:UYD655468 VHZ655467:VHZ655468 VRV655467:VRV655468 WBR655467:WBR655468 WLN655467:WLN655468 WVJ655467:WVJ655468 C721003:C721004 IX721003:IX721004 ST721003:ST721004 ACP721003:ACP721004 AML721003:AML721004 AWH721003:AWH721004 BGD721003:BGD721004 BPZ721003:BPZ721004 BZV721003:BZV721004 CJR721003:CJR721004 CTN721003:CTN721004 DDJ721003:DDJ721004 DNF721003:DNF721004 DXB721003:DXB721004 EGX721003:EGX721004 EQT721003:EQT721004 FAP721003:FAP721004 FKL721003:FKL721004 FUH721003:FUH721004 GED721003:GED721004 GNZ721003:GNZ721004 GXV721003:GXV721004 HHR721003:HHR721004 HRN721003:HRN721004 IBJ721003:IBJ721004 ILF721003:ILF721004 IVB721003:IVB721004 JEX721003:JEX721004 JOT721003:JOT721004 JYP721003:JYP721004 KIL721003:KIL721004 KSH721003:KSH721004 LCD721003:LCD721004 LLZ721003:LLZ721004 LVV721003:LVV721004 MFR721003:MFR721004 MPN721003:MPN721004 MZJ721003:MZJ721004 NJF721003:NJF721004 NTB721003:NTB721004 OCX721003:OCX721004 OMT721003:OMT721004 OWP721003:OWP721004 PGL721003:PGL721004 PQH721003:PQH721004 QAD721003:QAD721004 QJZ721003:QJZ721004 QTV721003:QTV721004 RDR721003:RDR721004 RNN721003:RNN721004 RXJ721003:RXJ721004 SHF721003:SHF721004 SRB721003:SRB721004 TAX721003:TAX721004 TKT721003:TKT721004 TUP721003:TUP721004 UEL721003:UEL721004 UOH721003:UOH721004 UYD721003:UYD721004 VHZ721003:VHZ721004 VRV721003:VRV721004 WBR721003:WBR721004 WLN721003:WLN721004 WVJ721003:WVJ721004 C786539:C786540 IX786539:IX786540 ST786539:ST786540 ACP786539:ACP786540 AML786539:AML786540 AWH786539:AWH786540 BGD786539:BGD786540 BPZ786539:BPZ786540 BZV786539:BZV786540 CJR786539:CJR786540 CTN786539:CTN786540 DDJ786539:DDJ786540 DNF786539:DNF786540 DXB786539:DXB786540 EGX786539:EGX786540 EQT786539:EQT786540 FAP786539:FAP786540 FKL786539:FKL786540 FUH786539:FUH786540 GED786539:GED786540 GNZ786539:GNZ786540 GXV786539:GXV786540 HHR786539:HHR786540 HRN786539:HRN786540 IBJ786539:IBJ786540 ILF786539:ILF786540 IVB786539:IVB786540 JEX786539:JEX786540 JOT786539:JOT786540 JYP786539:JYP786540 KIL786539:KIL786540 KSH786539:KSH786540 LCD786539:LCD786540 LLZ786539:LLZ786540 LVV786539:LVV786540 MFR786539:MFR786540 MPN786539:MPN786540 MZJ786539:MZJ786540 NJF786539:NJF786540 NTB786539:NTB786540 OCX786539:OCX786540 OMT786539:OMT786540 OWP786539:OWP786540 PGL786539:PGL786540 PQH786539:PQH786540 QAD786539:QAD786540 QJZ786539:QJZ786540 QTV786539:QTV786540 RDR786539:RDR786540 RNN786539:RNN786540 RXJ786539:RXJ786540 SHF786539:SHF786540 SRB786539:SRB786540 TAX786539:TAX786540 TKT786539:TKT786540 TUP786539:TUP786540 UEL786539:UEL786540 UOH786539:UOH786540 UYD786539:UYD786540 VHZ786539:VHZ786540 VRV786539:VRV786540 WBR786539:WBR786540 WLN786539:WLN786540 WVJ786539:WVJ786540 C852075:C852076 IX852075:IX852076 ST852075:ST852076 ACP852075:ACP852076 AML852075:AML852076 AWH852075:AWH852076 BGD852075:BGD852076 BPZ852075:BPZ852076 BZV852075:BZV852076 CJR852075:CJR852076 CTN852075:CTN852076 DDJ852075:DDJ852076 DNF852075:DNF852076 DXB852075:DXB852076 EGX852075:EGX852076 EQT852075:EQT852076 FAP852075:FAP852076 FKL852075:FKL852076 FUH852075:FUH852076 GED852075:GED852076 GNZ852075:GNZ852076 GXV852075:GXV852076 HHR852075:HHR852076 HRN852075:HRN852076 IBJ852075:IBJ852076 ILF852075:ILF852076 IVB852075:IVB852076 JEX852075:JEX852076 JOT852075:JOT852076 JYP852075:JYP852076 KIL852075:KIL852076 KSH852075:KSH852076 LCD852075:LCD852076 LLZ852075:LLZ852076 LVV852075:LVV852076 MFR852075:MFR852076 MPN852075:MPN852076 MZJ852075:MZJ852076 NJF852075:NJF852076 NTB852075:NTB852076 OCX852075:OCX852076 OMT852075:OMT852076 OWP852075:OWP852076 PGL852075:PGL852076 PQH852075:PQH852076 QAD852075:QAD852076 QJZ852075:QJZ852076 QTV852075:QTV852076 RDR852075:RDR852076 RNN852075:RNN852076 RXJ852075:RXJ852076 SHF852075:SHF852076 SRB852075:SRB852076 TAX852075:TAX852076 TKT852075:TKT852076 TUP852075:TUP852076 UEL852075:UEL852076 UOH852075:UOH852076 UYD852075:UYD852076 VHZ852075:VHZ852076 VRV852075:VRV852076 WBR852075:WBR852076 WLN852075:WLN852076 WVJ852075:WVJ852076 C917611:C917612 IX917611:IX917612 ST917611:ST917612 ACP917611:ACP917612 AML917611:AML917612 AWH917611:AWH917612 BGD917611:BGD917612 BPZ917611:BPZ917612 BZV917611:BZV917612 CJR917611:CJR917612 CTN917611:CTN917612 DDJ917611:DDJ917612 DNF917611:DNF917612 DXB917611:DXB917612 EGX917611:EGX917612 EQT917611:EQT917612 FAP917611:FAP917612 FKL917611:FKL917612 FUH917611:FUH917612 GED917611:GED917612 GNZ917611:GNZ917612 GXV917611:GXV917612 HHR917611:HHR917612 HRN917611:HRN917612 IBJ917611:IBJ917612 ILF917611:ILF917612 IVB917611:IVB917612 JEX917611:JEX917612 JOT917611:JOT917612 JYP917611:JYP917612 KIL917611:KIL917612 KSH917611:KSH917612 LCD917611:LCD917612 LLZ917611:LLZ917612 LVV917611:LVV917612 MFR917611:MFR917612 MPN917611:MPN917612 MZJ917611:MZJ917612 NJF917611:NJF917612 NTB917611:NTB917612 OCX917611:OCX917612 OMT917611:OMT917612 OWP917611:OWP917612 PGL917611:PGL917612 PQH917611:PQH917612 QAD917611:QAD917612 QJZ917611:QJZ917612 QTV917611:QTV917612 RDR917611:RDR917612 RNN917611:RNN917612 RXJ917611:RXJ917612 SHF917611:SHF917612 SRB917611:SRB917612 TAX917611:TAX917612 TKT917611:TKT917612 TUP917611:TUP917612 UEL917611:UEL917612 UOH917611:UOH917612 UYD917611:UYD917612 VHZ917611:VHZ917612 VRV917611:VRV917612 WBR917611:WBR917612 WLN917611:WLN917612 WVJ917611:WVJ917612 C983147:C983148 IX983147:IX983148 ST983147:ST983148 ACP983147:ACP983148 AML983147:AML983148 AWH983147:AWH983148 BGD983147:BGD983148 BPZ983147:BPZ983148 BZV983147:BZV983148 CJR983147:CJR983148 CTN983147:CTN983148 DDJ983147:DDJ983148 DNF983147:DNF983148 DXB983147:DXB983148 EGX983147:EGX983148 EQT983147:EQT983148 FAP983147:FAP983148 FKL983147:FKL983148 FUH983147:FUH983148 GED983147:GED983148 GNZ983147:GNZ983148 GXV983147:GXV983148 HHR983147:HHR983148 HRN983147:HRN983148 IBJ983147:IBJ983148 ILF983147:ILF983148 IVB983147:IVB983148 JEX983147:JEX983148 JOT983147:JOT983148 JYP983147:JYP983148 KIL983147:KIL983148 KSH983147:KSH983148 LCD983147:LCD983148 LLZ983147:LLZ983148 LVV983147:LVV983148 MFR983147:MFR983148 MPN983147:MPN983148 MZJ983147:MZJ983148 NJF983147:NJF983148 NTB983147:NTB983148 OCX983147:OCX983148 OMT983147:OMT983148 OWP983147:OWP983148 PGL983147:PGL983148 PQH983147:PQH983148 QAD983147:QAD983148 QJZ983147:QJZ983148 QTV983147:QTV983148 RDR983147:RDR983148 RNN983147:RNN983148 RXJ983147:RXJ983148 SHF983147:SHF983148 SRB983147:SRB983148 TAX983147:TAX983148 TKT983147:TKT983148 TUP983147:TUP983148 UEL983147:UEL983148 UOH983147:UOH983148 UYD983147:UYD983148 VHZ983147:VHZ983148 VRV983147:VRV983148 WBR983147:WBR983148 WLN983147:WLN983148 WVJ983147:WVJ983148 C114 IX114 ST114 ACP114 AML114 AWH114 BGD114 BPZ114 BZV114 CJR114 CTN114 DDJ114 DNF114 DXB114 EGX114 EQT114 FAP114 FKL114 FUH114 GED114 GNZ114 GXV114 HHR114 HRN114 IBJ114 ILF114 IVB114 JEX114 JOT114 JYP114 KIL114 KSH114 LCD114 LLZ114 LVV114 MFR114 MPN114 MZJ114 NJF114 NTB114 OCX114 OMT114 OWP114 PGL114 PQH114 QAD114 QJZ114 QTV114 RDR114 RNN114 RXJ114 SHF114 SRB114 TAX114 TKT114 TUP114 UEL114 UOH114 UYD114 VHZ114 VRV114 WBR114 WLN114 WVJ114 C65648 IX65648 ST65648 ACP65648 AML65648 AWH65648 BGD65648 BPZ65648 BZV65648 CJR65648 CTN65648 DDJ65648 DNF65648 DXB65648 EGX65648 EQT65648 FAP65648 FKL65648 FUH65648 GED65648 GNZ65648 GXV65648 HHR65648 HRN65648 IBJ65648 ILF65648 IVB65648 JEX65648 JOT65648 JYP65648 KIL65648 KSH65648 LCD65648 LLZ65648 LVV65648 MFR65648 MPN65648 MZJ65648 NJF65648 NTB65648 OCX65648 OMT65648 OWP65648 PGL65648 PQH65648 QAD65648 QJZ65648 QTV65648 RDR65648 RNN65648 RXJ65648 SHF65648 SRB65648 TAX65648 TKT65648 TUP65648 UEL65648 UOH65648 UYD65648 VHZ65648 VRV65648 WBR65648 WLN65648 WVJ65648 C131184 IX131184 ST131184 ACP131184 AML131184 AWH131184 BGD131184 BPZ131184 BZV131184 CJR131184 CTN131184 DDJ131184 DNF131184 DXB131184 EGX131184 EQT131184 FAP131184 FKL131184 FUH131184 GED131184 GNZ131184 GXV131184 HHR131184 HRN131184 IBJ131184 ILF131184 IVB131184 JEX131184 JOT131184 JYP131184 KIL131184 KSH131184 LCD131184 LLZ131184 LVV131184 MFR131184 MPN131184 MZJ131184 NJF131184 NTB131184 OCX131184 OMT131184 OWP131184 PGL131184 PQH131184 QAD131184 QJZ131184 QTV131184 RDR131184 RNN131184 RXJ131184 SHF131184 SRB131184 TAX131184 TKT131184 TUP131184 UEL131184 UOH131184 UYD131184 VHZ131184 VRV131184 WBR131184 WLN131184 WVJ131184 C196720 IX196720 ST196720 ACP196720 AML196720 AWH196720 BGD196720 BPZ196720 BZV196720 CJR196720 CTN196720 DDJ196720 DNF196720 DXB196720 EGX196720 EQT196720 FAP196720 FKL196720 FUH196720 GED196720 GNZ196720 GXV196720 HHR196720 HRN196720 IBJ196720 ILF196720 IVB196720 JEX196720 JOT196720 JYP196720 KIL196720 KSH196720 LCD196720 LLZ196720 LVV196720 MFR196720 MPN196720 MZJ196720 NJF196720 NTB196720 OCX196720 OMT196720 OWP196720 PGL196720 PQH196720 QAD196720 QJZ196720 QTV196720 RDR196720 RNN196720 RXJ196720 SHF196720 SRB196720 TAX196720 TKT196720 TUP196720 UEL196720 UOH196720 UYD196720 VHZ196720 VRV196720 WBR196720 WLN196720 WVJ196720 C262256 IX262256 ST262256 ACP262256 AML262256 AWH262256 BGD262256 BPZ262256 BZV262256 CJR262256 CTN262256 DDJ262256 DNF262256 DXB262256 EGX262256 EQT262256 FAP262256 FKL262256 FUH262256 GED262256 GNZ262256 GXV262256 HHR262256 HRN262256 IBJ262256 ILF262256 IVB262256 JEX262256 JOT262256 JYP262256 KIL262256 KSH262256 LCD262256 LLZ262256 LVV262256 MFR262256 MPN262256 MZJ262256 NJF262256 NTB262256 OCX262256 OMT262256 OWP262256 PGL262256 PQH262256 QAD262256 QJZ262256 QTV262256 RDR262256 RNN262256 RXJ262256 SHF262256 SRB262256 TAX262256 TKT262256 TUP262256 UEL262256 UOH262256 UYD262256 VHZ262256 VRV262256 WBR262256 WLN262256 WVJ262256 C327792 IX327792 ST327792 ACP327792 AML327792 AWH327792 BGD327792 BPZ327792 BZV327792 CJR327792 CTN327792 DDJ327792 DNF327792 DXB327792 EGX327792 EQT327792 FAP327792 FKL327792 FUH327792 GED327792 GNZ327792 GXV327792 HHR327792 HRN327792 IBJ327792 ILF327792 IVB327792 JEX327792 JOT327792 JYP327792 KIL327792 KSH327792 LCD327792 LLZ327792 LVV327792 MFR327792 MPN327792 MZJ327792 NJF327792 NTB327792 OCX327792 OMT327792 OWP327792 PGL327792 PQH327792 QAD327792 QJZ327792 QTV327792 RDR327792 RNN327792 RXJ327792 SHF327792 SRB327792 TAX327792 TKT327792 TUP327792 UEL327792 UOH327792 UYD327792 VHZ327792 VRV327792 WBR327792 WLN327792 WVJ327792 C393328 IX393328 ST393328 ACP393328 AML393328 AWH393328 BGD393328 BPZ393328 BZV393328 CJR393328 CTN393328 DDJ393328 DNF393328 DXB393328 EGX393328 EQT393328 FAP393328 FKL393328 FUH393328 GED393328 GNZ393328 GXV393328 HHR393328 HRN393328 IBJ393328 ILF393328 IVB393328 JEX393328 JOT393328 JYP393328 KIL393328 KSH393328 LCD393328 LLZ393328 LVV393328 MFR393328 MPN393328 MZJ393328 NJF393328 NTB393328 OCX393328 OMT393328 OWP393328 PGL393328 PQH393328 QAD393328 QJZ393328 QTV393328 RDR393328 RNN393328 RXJ393328 SHF393328 SRB393328 TAX393328 TKT393328 TUP393328 UEL393328 UOH393328 UYD393328 VHZ393328 VRV393328 WBR393328 WLN393328 WVJ393328 C458864 IX458864 ST458864 ACP458864 AML458864 AWH458864 BGD458864 BPZ458864 BZV458864 CJR458864 CTN458864 DDJ458864 DNF458864 DXB458864 EGX458864 EQT458864 FAP458864 FKL458864 FUH458864 GED458864 GNZ458864 GXV458864 HHR458864 HRN458864 IBJ458864 ILF458864 IVB458864 JEX458864 JOT458864 JYP458864 KIL458864 KSH458864 LCD458864 LLZ458864 LVV458864 MFR458864 MPN458864 MZJ458864 NJF458864 NTB458864 OCX458864 OMT458864 OWP458864 PGL458864 PQH458864 QAD458864 QJZ458864 QTV458864 RDR458864 RNN458864 RXJ458864 SHF458864 SRB458864 TAX458864 TKT458864 TUP458864 UEL458864 UOH458864 UYD458864 VHZ458864 VRV458864 WBR458864 WLN458864 WVJ458864 C524400 IX524400 ST524400 ACP524400 AML524400 AWH524400 BGD524400 BPZ524400 BZV524400 CJR524400 CTN524400 DDJ524400 DNF524400 DXB524400 EGX524400 EQT524400 FAP524400 FKL524400 FUH524400 GED524400 GNZ524400 GXV524400 HHR524400 HRN524400 IBJ524400 ILF524400 IVB524400 JEX524400 JOT524400 JYP524400 KIL524400 KSH524400 LCD524400 LLZ524400 LVV524400 MFR524400 MPN524400 MZJ524400 NJF524400 NTB524400 OCX524400 OMT524400 OWP524400 PGL524400 PQH524400 QAD524400 QJZ524400 QTV524400 RDR524400 RNN524400 RXJ524400 SHF524400 SRB524400 TAX524400 TKT524400 TUP524400 UEL524400 UOH524400 UYD524400 VHZ524400 VRV524400 WBR524400 WLN524400 WVJ524400 C589936 IX589936 ST589936 ACP589936 AML589936 AWH589936 BGD589936 BPZ589936 BZV589936 CJR589936 CTN589936 DDJ589936 DNF589936 DXB589936 EGX589936 EQT589936 FAP589936 FKL589936 FUH589936 GED589936 GNZ589936 GXV589936 HHR589936 HRN589936 IBJ589936 ILF589936 IVB589936 JEX589936 JOT589936 JYP589936 KIL589936 KSH589936 LCD589936 LLZ589936 LVV589936 MFR589936 MPN589936 MZJ589936 NJF589936 NTB589936 OCX589936 OMT589936 OWP589936 PGL589936 PQH589936 QAD589936 QJZ589936 QTV589936 RDR589936 RNN589936 RXJ589936 SHF589936 SRB589936 TAX589936 TKT589936 TUP589936 UEL589936 UOH589936 UYD589936 VHZ589936 VRV589936 WBR589936 WLN589936 WVJ589936 C655472 IX655472 ST655472 ACP655472 AML655472 AWH655472 BGD655472 BPZ655472 BZV655472 CJR655472 CTN655472 DDJ655472 DNF655472 DXB655472 EGX655472 EQT655472 FAP655472 FKL655472 FUH655472 GED655472 GNZ655472 GXV655472 HHR655472 HRN655472 IBJ655472 ILF655472 IVB655472 JEX655472 JOT655472 JYP655472 KIL655472 KSH655472 LCD655472 LLZ655472 LVV655472 MFR655472 MPN655472 MZJ655472 NJF655472 NTB655472 OCX655472 OMT655472 OWP655472 PGL655472 PQH655472 QAD655472 QJZ655472 QTV655472 RDR655472 RNN655472 RXJ655472 SHF655472 SRB655472 TAX655472 TKT655472 TUP655472 UEL655472 UOH655472 UYD655472 VHZ655472 VRV655472 WBR655472 WLN655472 WVJ655472 C721008 IX721008 ST721008 ACP721008 AML721008 AWH721008 BGD721008 BPZ721008 BZV721008 CJR721008 CTN721008 DDJ721008 DNF721008 DXB721008 EGX721008 EQT721008 FAP721008 FKL721008 FUH721008 GED721008 GNZ721008 GXV721008 HHR721008 HRN721008 IBJ721008 ILF721008 IVB721008 JEX721008 JOT721008 JYP721008 KIL721008 KSH721008 LCD721008 LLZ721008 LVV721008 MFR721008 MPN721008 MZJ721008 NJF721008 NTB721008 OCX721008 OMT721008 OWP721008 PGL721008 PQH721008 QAD721008 QJZ721008 QTV721008 RDR721008 RNN721008 RXJ721008 SHF721008 SRB721008 TAX721008 TKT721008 TUP721008 UEL721008 UOH721008 UYD721008 VHZ721008 VRV721008 WBR721008 WLN721008 WVJ721008 C786544 IX786544 ST786544 ACP786544 AML786544 AWH786544 BGD786544 BPZ786544 BZV786544 CJR786544 CTN786544 DDJ786544 DNF786544 DXB786544 EGX786544 EQT786544 FAP786544 FKL786544 FUH786544 GED786544 GNZ786544 GXV786544 HHR786544 HRN786544 IBJ786544 ILF786544 IVB786544 JEX786544 JOT786544 JYP786544 KIL786544 KSH786544 LCD786544 LLZ786544 LVV786544 MFR786544 MPN786544 MZJ786544 NJF786544 NTB786544 OCX786544 OMT786544 OWP786544 PGL786544 PQH786544 QAD786544 QJZ786544 QTV786544 RDR786544 RNN786544 RXJ786544 SHF786544 SRB786544 TAX786544 TKT786544 TUP786544 UEL786544 UOH786544 UYD786544 VHZ786544 VRV786544 WBR786544 WLN786544 WVJ786544 C852080 IX852080 ST852080 ACP852080 AML852080 AWH852080 BGD852080 BPZ852080 BZV852080 CJR852080 CTN852080 DDJ852080 DNF852080 DXB852080 EGX852080 EQT852080 FAP852080 FKL852080 FUH852080 GED852080 GNZ852080 GXV852080 HHR852080 HRN852080 IBJ852080 ILF852080 IVB852080 JEX852080 JOT852080 JYP852080 KIL852080 KSH852080 LCD852080 LLZ852080 LVV852080 MFR852080 MPN852080 MZJ852080 NJF852080 NTB852080 OCX852080 OMT852080 OWP852080 PGL852080 PQH852080 QAD852080 QJZ852080 QTV852080 RDR852080 RNN852080 RXJ852080 SHF852080 SRB852080 TAX852080 TKT852080 TUP852080 UEL852080 UOH852080 UYD852080 VHZ852080 VRV852080 WBR852080 WLN852080 WVJ852080 C917616 IX917616 ST917616 ACP917616 AML917616 AWH917616 BGD917616 BPZ917616 BZV917616 CJR917616 CTN917616 DDJ917616 DNF917616 DXB917616 EGX917616 EQT917616 FAP917616 FKL917616 FUH917616 GED917616 GNZ917616 GXV917616 HHR917616 HRN917616 IBJ917616 ILF917616 IVB917616 JEX917616 JOT917616 JYP917616 KIL917616 KSH917616 LCD917616 LLZ917616 LVV917616 MFR917616 MPN917616 MZJ917616 NJF917616 NTB917616 OCX917616 OMT917616 OWP917616 PGL917616 PQH917616 QAD917616 QJZ917616 QTV917616 RDR917616 RNN917616 RXJ917616 SHF917616 SRB917616 TAX917616 TKT917616 TUP917616 UEL917616 UOH917616 UYD917616 VHZ917616 VRV917616 WBR917616 WLN917616 WVJ917616 C983152 IX983152 ST983152 ACP983152 AML983152 AWH983152 BGD983152 BPZ983152 BZV983152 CJR983152 CTN983152 DDJ983152 DNF983152 DXB983152 EGX983152 EQT983152 FAP983152 FKL983152 FUH983152 GED983152 GNZ983152 GXV983152 HHR983152 HRN983152 IBJ983152 ILF983152 IVB983152 JEX983152 JOT983152 JYP983152 KIL983152 KSH983152 LCD983152 LLZ983152 LVV983152 MFR983152 MPN983152 MZJ983152 NJF983152 NTB983152 OCX983152 OMT983152 OWP983152 PGL983152 PQH983152 QAD983152 QJZ983152 QTV983152 RDR983152 RNN983152 RXJ983152 SHF983152 SRB983152 TAX983152 TKT983152 TUP983152 UEL983152 UOH983152 UYD983152 VHZ983152 VRV983152 WBR983152 WLN983152 WVJ983152 C120:C122 IX120:IX122 ST120:ST122 ACP120:ACP122 AML120:AML122 AWH120:AWH122 BGD120:BGD122 BPZ120:BPZ122 BZV120:BZV122 CJR120:CJR122 CTN120:CTN122 DDJ120:DDJ122 DNF120:DNF122 DXB120:DXB122 EGX120:EGX122 EQT120:EQT122 FAP120:FAP122 FKL120:FKL122 FUH120:FUH122 GED120:GED122 GNZ120:GNZ122 GXV120:GXV122 HHR120:HHR122 HRN120:HRN122 IBJ120:IBJ122 ILF120:ILF122 IVB120:IVB122 JEX120:JEX122 JOT120:JOT122 JYP120:JYP122 KIL120:KIL122 KSH120:KSH122 LCD120:LCD122 LLZ120:LLZ122 LVV120:LVV122 MFR120:MFR122 MPN120:MPN122 MZJ120:MZJ122 NJF120:NJF122 NTB120:NTB122 OCX120:OCX122 OMT120:OMT122 OWP120:OWP122 PGL120:PGL122 PQH120:PQH122 QAD120:QAD122 QJZ120:QJZ122 QTV120:QTV122 RDR120:RDR122 RNN120:RNN122 RXJ120:RXJ122 SHF120:SHF122 SRB120:SRB122 TAX120:TAX122 TKT120:TKT122 TUP120:TUP122 UEL120:UEL122 UOH120:UOH122 UYD120:UYD122 VHZ120:VHZ122 VRV120:VRV122 WBR120:WBR122 WLN120:WLN122 WVJ120:WVJ122 C65654:C65656 IX65654:IX65656 ST65654:ST65656 ACP65654:ACP65656 AML65654:AML65656 AWH65654:AWH65656 BGD65654:BGD65656 BPZ65654:BPZ65656 BZV65654:BZV65656 CJR65654:CJR65656 CTN65654:CTN65656 DDJ65654:DDJ65656 DNF65654:DNF65656 DXB65654:DXB65656 EGX65654:EGX65656 EQT65654:EQT65656 FAP65654:FAP65656 FKL65654:FKL65656 FUH65654:FUH65656 GED65654:GED65656 GNZ65654:GNZ65656 GXV65654:GXV65656 HHR65654:HHR65656 HRN65654:HRN65656 IBJ65654:IBJ65656 ILF65654:ILF65656 IVB65654:IVB65656 JEX65654:JEX65656 JOT65654:JOT65656 JYP65654:JYP65656 KIL65654:KIL65656 KSH65654:KSH65656 LCD65654:LCD65656 LLZ65654:LLZ65656 LVV65654:LVV65656 MFR65654:MFR65656 MPN65654:MPN65656 MZJ65654:MZJ65656 NJF65654:NJF65656 NTB65654:NTB65656 OCX65654:OCX65656 OMT65654:OMT65656 OWP65654:OWP65656 PGL65654:PGL65656 PQH65654:PQH65656 QAD65654:QAD65656 QJZ65654:QJZ65656 QTV65654:QTV65656 RDR65654:RDR65656 RNN65654:RNN65656 RXJ65654:RXJ65656 SHF65654:SHF65656 SRB65654:SRB65656 TAX65654:TAX65656 TKT65654:TKT65656 TUP65654:TUP65656 UEL65654:UEL65656 UOH65654:UOH65656 UYD65654:UYD65656 VHZ65654:VHZ65656 VRV65654:VRV65656 WBR65654:WBR65656 WLN65654:WLN65656 WVJ65654:WVJ65656 C131190:C131192 IX131190:IX131192 ST131190:ST131192 ACP131190:ACP131192 AML131190:AML131192 AWH131190:AWH131192 BGD131190:BGD131192 BPZ131190:BPZ131192 BZV131190:BZV131192 CJR131190:CJR131192 CTN131190:CTN131192 DDJ131190:DDJ131192 DNF131190:DNF131192 DXB131190:DXB131192 EGX131190:EGX131192 EQT131190:EQT131192 FAP131190:FAP131192 FKL131190:FKL131192 FUH131190:FUH131192 GED131190:GED131192 GNZ131190:GNZ131192 GXV131190:GXV131192 HHR131190:HHR131192 HRN131190:HRN131192 IBJ131190:IBJ131192 ILF131190:ILF131192 IVB131190:IVB131192 JEX131190:JEX131192 JOT131190:JOT131192 JYP131190:JYP131192 KIL131190:KIL131192 KSH131190:KSH131192 LCD131190:LCD131192 LLZ131190:LLZ131192 LVV131190:LVV131192 MFR131190:MFR131192 MPN131190:MPN131192 MZJ131190:MZJ131192 NJF131190:NJF131192 NTB131190:NTB131192 OCX131190:OCX131192 OMT131190:OMT131192 OWP131190:OWP131192 PGL131190:PGL131192 PQH131190:PQH131192 QAD131190:QAD131192 QJZ131190:QJZ131192 QTV131190:QTV131192 RDR131190:RDR131192 RNN131190:RNN131192 RXJ131190:RXJ131192 SHF131190:SHF131192 SRB131190:SRB131192 TAX131190:TAX131192 TKT131190:TKT131192 TUP131190:TUP131192 UEL131190:UEL131192 UOH131190:UOH131192 UYD131190:UYD131192 VHZ131190:VHZ131192 VRV131190:VRV131192 WBR131190:WBR131192 WLN131190:WLN131192 WVJ131190:WVJ131192 C196726:C196728 IX196726:IX196728 ST196726:ST196728 ACP196726:ACP196728 AML196726:AML196728 AWH196726:AWH196728 BGD196726:BGD196728 BPZ196726:BPZ196728 BZV196726:BZV196728 CJR196726:CJR196728 CTN196726:CTN196728 DDJ196726:DDJ196728 DNF196726:DNF196728 DXB196726:DXB196728 EGX196726:EGX196728 EQT196726:EQT196728 FAP196726:FAP196728 FKL196726:FKL196728 FUH196726:FUH196728 GED196726:GED196728 GNZ196726:GNZ196728 GXV196726:GXV196728 HHR196726:HHR196728 HRN196726:HRN196728 IBJ196726:IBJ196728 ILF196726:ILF196728 IVB196726:IVB196728 JEX196726:JEX196728 JOT196726:JOT196728 JYP196726:JYP196728 KIL196726:KIL196728 KSH196726:KSH196728 LCD196726:LCD196728 LLZ196726:LLZ196728 LVV196726:LVV196728 MFR196726:MFR196728 MPN196726:MPN196728 MZJ196726:MZJ196728 NJF196726:NJF196728 NTB196726:NTB196728 OCX196726:OCX196728 OMT196726:OMT196728 OWP196726:OWP196728 PGL196726:PGL196728 PQH196726:PQH196728 QAD196726:QAD196728 QJZ196726:QJZ196728 QTV196726:QTV196728 RDR196726:RDR196728 RNN196726:RNN196728 RXJ196726:RXJ196728 SHF196726:SHF196728 SRB196726:SRB196728 TAX196726:TAX196728 TKT196726:TKT196728 TUP196726:TUP196728 UEL196726:UEL196728 UOH196726:UOH196728 UYD196726:UYD196728 VHZ196726:VHZ196728 VRV196726:VRV196728 WBR196726:WBR196728 WLN196726:WLN196728 WVJ196726:WVJ196728 C262262:C262264 IX262262:IX262264 ST262262:ST262264 ACP262262:ACP262264 AML262262:AML262264 AWH262262:AWH262264 BGD262262:BGD262264 BPZ262262:BPZ262264 BZV262262:BZV262264 CJR262262:CJR262264 CTN262262:CTN262264 DDJ262262:DDJ262264 DNF262262:DNF262264 DXB262262:DXB262264 EGX262262:EGX262264 EQT262262:EQT262264 FAP262262:FAP262264 FKL262262:FKL262264 FUH262262:FUH262264 GED262262:GED262264 GNZ262262:GNZ262264 GXV262262:GXV262264 HHR262262:HHR262264 HRN262262:HRN262264 IBJ262262:IBJ262264 ILF262262:ILF262264 IVB262262:IVB262264 JEX262262:JEX262264 JOT262262:JOT262264 JYP262262:JYP262264 KIL262262:KIL262264 KSH262262:KSH262264 LCD262262:LCD262264 LLZ262262:LLZ262264 LVV262262:LVV262264 MFR262262:MFR262264 MPN262262:MPN262264 MZJ262262:MZJ262264 NJF262262:NJF262264 NTB262262:NTB262264 OCX262262:OCX262264 OMT262262:OMT262264 OWP262262:OWP262264 PGL262262:PGL262264 PQH262262:PQH262264 QAD262262:QAD262264 QJZ262262:QJZ262264 QTV262262:QTV262264 RDR262262:RDR262264 RNN262262:RNN262264 RXJ262262:RXJ262264 SHF262262:SHF262264 SRB262262:SRB262264 TAX262262:TAX262264 TKT262262:TKT262264 TUP262262:TUP262264 UEL262262:UEL262264 UOH262262:UOH262264 UYD262262:UYD262264 VHZ262262:VHZ262264 VRV262262:VRV262264 WBR262262:WBR262264 WLN262262:WLN262264 WVJ262262:WVJ262264 C327798:C327800 IX327798:IX327800 ST327798:ST327800 ACP327798:ACP327800 AML327798:AML327800 AWH327798:AWH327800 BGD327798:BGD327800 BPZ327798:BPZ327800 BZV327798:BZV327800 CJR327798:CJR327800 CTN327798:CTN327800 DDJ327798:DDJ327800 DNF327798:DNF327800 DXB327798:DXB327800 EGX327798:EGX327800 EQT327798:EQT327800 FAP327798:FAP327800 FKL327798:FKL327800 FUH327798:FUH327800 GED327798:GED327800 GNZ327798:GNZ327800 GXV327798:GXV327800 HHR327798:HHR327800 HRN327798:HRN327800 IBJ327798:IBJ327800 ILF327798:ILF327800 IVB327798:IVB327800 JEX327798:JEX327800 JOT327798:JOT327800 JYP327798:JYP327800 KIL327798:KIL327800 KSH327798:KSH327800 LCD327798:LCD327800 LLZ327798:LLZ327800 LVV327798:LVV327800 MFR327798:MFR327800 MPN327798:MPN327800 MZJ327798:MZJ327800 NJF327798:NJF327800 NTB327798:NTB327800 OCX327798:OCX327800 OMT327798:OMT327800 OWP327798:OWP327800 PGL327798:PGL327800 PQH327798:PQH327800 QAD327798:QAD327800 QJZ327798:QJZ327800 QTV327798:QTV327800 RDR327798:RDR327800 RNN327798:RNN327800 RXJ327798:RXJ327800 SHF327798:SHF327800 SRB327798:SRB327800 TAX327798:TAX327800 TKT327798:TKT327800 TUP327798:TUP327800 UEL327798:UEL327800 UOH327798:UOH327800 UYD327798:UYD327800 VHZ327798:VHZ327800 VRV327798:VRV327800 WBR327798:WBR327800 WLN327798:WLN327800 WVJ327798:WVJ327800 C393334:C393336 IX393334:IX393336 ST393334:ST393336 ACP393334:ACP393336 AML393334:AML393336 AWH393334:AWH393336 BGD393334:BGD393336 BPZ393334:BPZ393336 BZV393334:BZV393336 CJR393334:CJR393336 CTN393334:CTN393336 DDJ393334:DDJ393336 DNF393334:DNF393336 DXB393334:DXB393336 EGX393334:EGX393336 EQT393334:EQT393336 FAP393334:FAP393336 FKL393334:FKL393336 FUH393334:FUH393336 GED393334:GED393336 GNZ393334:GNZ393336 GXV393334:GXV393336 HHR393334:HHR393336 HRN393334:HRN393336 IBJ393334:IBJ393336 ILF393334:ILF393336 IVB393334:IVB393336 JEX393334:JEX393336 JOT393334:JOT393336 JYP393334:JYP393336 KIL393334:KIL393336 KSH393334:KSH393336 LCD393334:LCD393336 LLZ393334:LLZ393336 LVV393334:LVV393336 MFR393334:MFR393336 MPN393334:MPN393336 MZJ393334:MZJ393336 NJF393334:NJF393336 NTB393334:NTB393336 OCX393334:OCX393336 OMT393334:OMT393336 OWP393334:OWP393336 PGL393334:PGL393336 PQH393334:PQH393336 QAD393334:QAD393336 QJZ393334:QJZ393336 QTV393334:QTV393336 RDR393334:RDR393336 RNN393334:RNN393336 RXJ393334:RXJ393336 SHF393334:SHF393336 SRB393334:SRB393336 TAX393334:TAX393336 TKT393334:TKT393336 TUP393334:TUP393336 UEL393334:UEL393336 UOH393334:UOH393336 UYD393334:UYD393336 VHZ393334:VHZ393336 VRV393334:VRV393336 WBR393334:WBR393336 WLN393334:WLN393336 WVJ393334:WVJ393336 C458870:C458872 IX458870:IX458872 ST458870:ST458872 ACP458870:ACP458872 AML458870:AML458872 AWH458870:AWH458872 BGD458870:BGD458872 BPZ458870:BPZ458872 BZV458870:BZV458872 CJR458870:CJR458872 CTN458870:CTN458872 DDJ458870:DDJ458872 DNF458870:DNF458872 DXB458870:DXB458872 EGX458870:EGX458872 EQT458870:EQT458872 FAP458870:FAP458872 FKL458870:FKL458872 FUH458870:FUH458872 GED458870:GED458872 GNZ458870:GNZ458872 GXV458870:GXV458872 HHR458870:HHR458872 HRN458870:HRN458872 IBJ458870:IBJ458872 ILF458870:ILF458872 IVB458870:IVB458872 JEX458870:JEX458872 JOT458870:JOT458872 JYP458870:JYP458872 KIL458870:KIL458872 KSH458870:KSH458872 LCD458870:LCD458872 LLZ458870:LLZ458872 LVV458870:LVV458872 MFR458870:MFR458872 MPN458870:MPN458872 MZJ458870:MZJ458872 NJF458870:NJF458872 NTB458870:NTB458872 OCX458870:OCX458872 OMT458870:OMT458872 OWP458870:OWP458872 PGL458870:PGL458872 PQH458870:PQH458872 QAD458870:QAD458872 QJZ458870:QJZ458872 QTV458870:QTV458872 RDR458870:RDR458872 RNN458870:RNN458872 RXJ458870:RXJ458872 SHF458870:SHF458872 SRB458870:SRB458872 TAX458870:TAX458872 TKT458870:TKT458872 TUP458870:TUP458872 UEL458870:UEL458872 UOH458870:UOH458872 UYD458870:UYD458872 VHZ458870:VHZ458872 VRV458870:VRV458872 WBR458870:WBR458872 WLN458870:WLN458872 WVJ458870:WVJ458872 C524406:C524408 IX524406:IX524408 ST524406:ST524408 ACP524406:ACP524408 AML524406:AML524408 AWH524406:AWH524408 BGD524406:BGD524408 BPZ524406:BPZ524408 BZV524406:BZV524408 CJR524406:CJR524408 CTN524406:CTN524408 DDJ524406:DDJ524408 DNF524406:DNF524408 DXB524406:DXB524408 EGX524406:EGX524408 EQT524406:EQT524408 FAP524406:FAP524408 FKL524406:FKL524408 FUH524406:FUH524408 GED524406:GED524408 GNZ524406:GNZ524408 GXV524406:GXV524408 HHR524406:HHR524408 HRN524406:HRN524408 IBJ524406:IBJ524408 ILF524406:ILF524408 IVB524406:IVB524408 JEX524406:JEX524408 JOT524406:JOT524408 JYP524406:JYP524408 KIL524406:KIL524408 KSH524406:KSH524408 LCD524406:LCD524408 LLZ524406:LLZ524408 LVV524406:LVV524408 MFR524406:MFR524408 MPN524406:MPN524408 MZJ524406:MZJ524408 NJF524406:NJF524408 NTB524406:NTB524408 OCX524406:OCX524408 OMT524406:OMT524408 OWP524406:OWP524408 PGL524406:PGL524408 PQH524406:PQH524408 QAD524406:QAD524408 QJZ524406:QJZ524408 QTV524406:QTV524408 RDR524406:RDR524408 RNN524406:RNN524408 RXJ524406:RXJ524408 SHF524406:SHF524408 SRB524406:SRB524408 TAX524406:TAX524408 TKT524406:TKT524408 TUP524406:TUP524408 UEL524406:UEL524408 UOH524406:UOH524408 UYD524406:UYD524408 VHZ524406:VHZ524408 VRV524406:VRV524408 WBR524406:WBR524408 WLN524406:WLN524408 WVJ524406:WVJ524408 C589942:C589944 IX589942:IX589944 ST589942:ST589944 ACP589942:ACP589944 AML589942:AML589944 AWH589942:AWH589944 BGD589942:BGD589944 BPZ589942:BPZ589944 BZV589942:BZV589944 CJR589942:CJR589944 CTN589942:CTN589944 DDJ589942:DDJ589944 DNF589942:DNF589944 DXB589942:DXB589944 EGX589942:EGX589944 EQT589942:EQT589944 FAP589942:FAP589944 FKL589942:FKL589944 FUH589942:FUH589944 GED589942:GED589944 GNZ589942:GNZ589944 GXV589942:GXV589944 HHR589942:HHR589944 HRN589942:HRN589944 IBJ589942:IBJ589944 ILF589942:ILF589944 IVB589942:IVB589944 JEX589942:JEX589944 JOT589942:JOT589944 JYP589942:JYP589944 KIL589942:KIL589944 KSH589942:KSH589944 LCD589942:LCD589944 LLZ589942:LLZ589944 LVV589942:LVV589944 MFR589942:MFR589944 MPN589942:MPN589944 MZJ589942:MZJ589944 NJF589942:NJF589944 NTB589942:NTB589944 OCX589942:OCX589944 OMT589942:OMT589944 OWP589942:OWP589944 PGL589942:PGL589944 PQH589942:PQH589944 QAD589942:QAD589944 QJZ589942:QJZ589944 QTV589942:QTV589944 RDR589942:RDR589944 RNN589942:RNN589944 RXJ589942:RXJ589944 SHF589942:SHF589944 SRB589942:SRB589944 TAX589942:TAX589944 TKT589942:TKT589944 TUP589942:TUP589944 UEL589942:UEL589944 UOH589942:UOH589944 UYD589942:UYD589944 VHZ589942:VHZ589944 VRV589942:VRV589944 WBR589942:WBR589944 WLN589942:WLN589944 WVJ589942:WVJ589944 C655478:C655480 IX655478:IX655480 ST655478:ST655480 ACP655478:ACP655480 AML655478:AML655480 AWH655478:AWH655480 BGD655478:BGD655480 BPZ655478:BPZ655480 BZV655478:BZV655480 CJR655478:CJR655480 CTN655478:CTN655480 DDJ655478:DDJ655480 DNF655478:DNF655480 DXB655478:DXB655480 EGX655478:EGX655480 EQT655478:EQT655480 FAP655478:FAP655480 FKL655478:FKL655480 FUH655478:FUH655480 GED655478:GED655480 GNZ655478:GNZ655480 GXV655478:GXV655480 HHR655478:HHR655480 HRN655478:HRN655480 IBJ655478:IBJ655480 ILF655478:ILF655480 IVB655478:IVB655480 JEX655478:JEX655480 JOT655478:JOT655480 JYP655478:JYP655480 KIL655478:KIL655480 KSH655478:KSH655480 LCD655478:LCD655480 LLZ655478:LLZ655480 LVV655478:LVV655480 MFR655478:MFR655480 MPN655478:MPN655480 MZJ655478:MZJ655480 NJF655478:NJF655480 NTB655478:NTB655480 OCX655478:OCX655480 OMT655478:OMT655480 OWP655478:OWP655480 PGL655478:PGL655480 PQH655478:PQH655480 QAD655478:QAD655480 QJZ655478:QJZ655480 QTV655478:QTV655480 RDR655478:RDR655480 RNN655478:RNN655480 RXJ655478:RXJ655480 SHF655478:SHF655480 SRB655478:SRB655480 TAX655478:TAX655480 TKT655478:TKT655480 TUP655478:TUP655480 UEL655478:UEL655480 UOH655478:UOH655480 UYD655478:UYD655480 VHZ655478:VHZ655480 VRV655478:VRV655480 WBR655478:WBR655480 WLN655478:WLN655480 WVJ655478:WVJ655480 C721014:C721016 IX721014:IX721016 ST721014:ST721016 ACP721014:ACP721016 AML721014:AML721016 AWH721014:AWH721016 BGD721014:BGD721016 BPZ721014:BPZ721016 BZV721014:BZV721016 CJR721014:CJR721016 CTN721014:CTN721016 DDJ721014:DDJ721016 DNF721014:DNF721016 DXB721014:DXB721016 EGX721014:EGX721016 EQT721014:EQT721016 FAP721014:FAP721016 FKL721014:FKL721016 FUH721014:FUH721016 GED721014:GED721016 GNZ721014:GNZ721016 GXV721014:GXV721016 HHR721014:HHR721016 HRN721014:HRN721016 IBJ721014:IBJ721016 ILF721014:ILF721016 IVB721014:IVB721016 JEX721014:JEX721016 JOT721014:JOT721016 JYP721014:JYP721016 KIL721014:KIL721016 KSH721014:KSH721016 LCD721014:LCD721016 LLZ721014:LLZ721016 LVV721014:LVV721016 MFR721014:MFR721016 MPN721014:MPN721016 MZJ721014:MZJ721016 NJF721014:NJF721016 NTB721014:NTB721016 OCX721014:OCX721016 OMT721014:OMT721016 OWP721014:OWP721016 PGL721014:PGL721016 PQH721014:PQH721016 QAD721014:QAD721016 QJZ721014:QJZ721016 QTV721014:QTV721016 RDR721014:RDR721016 RNN721014:RNN721016 RXJ721014:RXJ721016 SHF721014:SHF721016 SRB721014:SRB721016 TAX721014:TAX721016 TKT721014:TKT721016 TUP721014:TUP721016 UEL721014:UEL721016 UOH721014:UOH721016 UYD721014:UYD721016 VHZ721014:VHZ721016 VRV721014:VRV721016 WBR721014:WBR721016 WLN721014:WLN721016 WVJ721014:WVJ721016 C786550:C786552 IX786550:IX786552 ST786550:ST786552 ACP786550:ACP786552 AML786550:AML786552 AWH786550:AWH786552 BGD786550:BGD786552 BPZ786550:BPZ786552 BZV786550:BZV786552 CJR786550:CJR786552 CTN786550:CTN786552 DDJ786550:DDJ786552 DNF786550:DNF786552 DXB786550:DXB786552 EGX786550:EGX786552 EQT786550:EQT786552 FAP786550:FAP786552 FKL786550:FKL786552 FUH786550:FUH786552 GED786550:GED786552 GNZ786550:GNZ786552 GXV786550:GXV786552 HHR786550:HHR786552 HRN786550:HRN786552 IBJ786550:IBJ786552 ILF786550:ILF786552 IVB786550:IVB786552 JEX786550:JEX786552 JOT786550:JOT786552 JYP786550:JYP786552 KIL786550:KIL786552 KSH786550:KSH786552 LCD786550:LCD786552 LLZ786550:LLZ786552 LVV786550:LVV786552 MFR786550:MFR786552 MPN786550:MPN786552 MZJ786550:MZJ786552 NJF786550:NJF786552 NTB786550:NTB786552 OCX786550:OCX786552 OMT786550:OMT786552 OWP786550:OWP786552 PGL786550:PGL786552 PQH786550:PQH786552 QAD786550:QAD786552 QJZ786550:QJZ786552 QTV786550:QTV786552 RDR786550:RDR786552 RNN786550:RNN786552 RXJ786550:RXJ786552 SHF786550:SHF786552 SRB786550:SRB786552 TAX786550:TAX786552 TKT786550:TKT786552 TUP786550:TUP786552 UEL786550:UEL786552 UOH786550:UOH786552 UYD786550:UYD786552 VHZ786550:VHZ786552 VRV786550:VRV786552 WBR786550:WBR786552 WLN786550:WLN786552 WVJ786550:WVJ786552 C852086:C852088 IX852086:IX852088 ST852086:ST852088 ACP852086:ACP852088 AML852086:AML852088 AWH852086:AWH852088 BGD852086:BGD852088 BPZ852086:BPZ852088 BZV852086:BZV852088 CJR852086:CJR852088 CTN852086:CTN852088 DDJ852086:DDJ852088 DNF852086:DNF852088 DXB852086:DXB852088 EGX852086:EGX852088 EQT852086:EQT852088 FAP852086:FAP852088 FKL852086:FKL852088 FUH852086:FUH852088 GED852086:GED852088 GNZ852086:GNZ852088 GXV852086:GXV852088 HHR852086:HHR852088 HRN852086:HRN852088 IBJ852086:IBJ852088 ILF852086:ILF852088 IVB852086:IVB852088 JEX852086:JEX852088 JOT852086:JOT852088 JYP852086:JYP852088 KIL852086:KIL852088 KSH852086:KSH852088 LCD852086:LCD852088 LLZ852086:LLZ852088 LVV852086:LVV852088 MFR852086:MFR852088 MPN852086:MPN852088 MZJ852086:MZJ852088 NJF852086:NJF852088 NTB852086:NTB852088 OCX852086:OCX852088 OMT852086:OMT852088 OWP852086:OWP852088 PGL852086:PGL852088 PQH852086:PQH852088 QAD852086:QAD852088 QJZ852086:QJZ852088 QTV852086:QTV852088 RDR852086:RDR852088 RNN852086:RNN852088 RXJ852086:RXJ852088 SHF852086:SHF852088 SRB852086:SRB852088 TAX852086:TAX852088 TKT852086:TKT852088 TUP852086:TUP852088 UEL852086:UEL852088 UOH852086:UOH852088 UYD852086:UYD852088 VHZ852086:VHZ852088 VRV852086:VRV852088 WBR852086:WBR852088 WLN852086:WLN852088 WVJ852086:WVJ852088 C917622:C917624 IX917622:IX917624 ST917622:ST917624 ACP917622:ACP917624 AML917622:AML917624 AWH917622:AWH917624 BGD917622:BGD917624 BPZ917622:BPZ917624 BZV917622:BZV917624 CJR917622:CJR917624 CTN917622:CTN917624 DDJ917622:DDJ917624 DNF917622:DNF917624 DXB917622:DXB917624 EGX917622:EGX917624 EQT917622:EQT917624 FAP917622:FAP917624 FKL917622:FKL917624 FUH917622:FUH917624 GED917622:GED917624 GNZ917622:GNZ917624 GXV917622:GXV917624 HHR917622:HHR917624 HRN917622:HRN917624 IBJ917622:IBJ917624 ILF917622:ILF917624 IVB917622:IVB917624 JEX917622:JEX917624 JOT917622:JOT917624 JYP917622:JYP917624 KIL917622:KIL917624 KSH917622:KSH917624 LCD917622:LCD917624 LLZ917622:LLZ917624 LVV917622:LVV917624 MFR917622:MFR917624 MPN917622:MPN917624 MZJ917622:MZJ917624 NJF917622:NJF917624 NTB917622:NTB917624 OCX917622:OCX917624 OMT917622:OMT917624 OWP917622:OWP917624 PGL917622:PGL917624 PQH917622:PQH917624 QAD917622:QAD917624 QJZ917622:QJZ917624 QTV917622:QTV917624 RDR917622:RDR917624 RNN917622:RNN917624 RXJ917622:RXJ917624 SHF917622:SHF917624 SRB917622:SRB917624 TAX917622:TAX917624 TKT917622:TKT917624 TUP917622:TUP917624 UEL917622:UEL917624 UOH917622:UOH917624 UYD917622:UYD917624 VHZ917622:VHZ917624 VRV917622:VRV917624 WBR917622:WBR917624 WLN917622:WLN917624 WVJ917622:WVJ917624 C983158:C983160 IX983158:IX983160 ST983158:ST983160 ACP983158:ACP983160 AML983158:AML983160 AWH983158:AWH983160 BGD983158:BGD983160 BPZ983158:BPZ983160 BZV983158:BZV983160 CJR983158:CJR983160 CTN983158:CTN983160 DDJ983158:DDJ983160 DNF983158:DNF983160 DXB983158:DXB983160 EGX983158:EGX983160 EQT983158:EQT983160 FAP983158:FAP983160 FKL983158:FKL983160 FUH983158:FUH983160 GED983158:GED983160 GNZ983158:GNZ983160 GXV983158:GXV983160 HHR983158:HHR983160 HRN983158:HRN983160 IBJ983158:IBJ983160 ILF983158:ILF983160 IVB983158:IVB983160 JEX983158:JEX983160 JOT983158:JOT983160 JYP983158:JYP983160 KIL983158:KIL983160 KSH983158:KSH983160 LCD983158:LCD983160 LLZ983158:LLZ983160 LVV983158:LVV983160 MFR983158:MFR983160 MPN983158:MPN983160 MZJ983158:MZJ983160 NJF983158:NJF983160 NTB983158:NTB983160 OCX983158:OCX983160 OMT983158:OMT983160 OWP983158:OWP983160 PGL983158:PGL983160 PQH983158:PQH983160 QAD983158:QAD983160 QJZ983158:QJZ983160 QTV983158:QTV983160 RDR983158:RDR983160 RNN983158:RNN983160 RXJ983158:RXJ983160 SHF983158:SHF983160 SRB983158:SRB983160 TAX983158:TAX983160 TKT983158:TKT983160 TUP983158:TUP983160 UEL983158:UEL983160 UOH983158:UOH983160 UYD983158:UYD983160 VHZ983158:VHZ983160 VRV983158:VRV983160 WBR983158:WBR983160 WLN983158:WLN983160 WVJ983158:WVJ983160 C65534:C65547 IX65534:IX65547 ST65534:ST65547 ACP65534:ACP65547 AML65534:AML65547 AWH65534:AWH65547 BGD65534:BGD65547 BPZ65534:BPZ65547 BZV65534:BZV65547 CJR65534:CJR65547 CTN65534:CTN65547 DDJ65534:DDJ65547 DNF65534:DNF65547 DXB65534:DXB65547 EGX65534:EGX65547 EQT65534:EQT65547 FAP65534:FAP65547 FKL65534:FKL65547 FUH65534:FUH65547 GED65534:GED65547 GNZ65534:GNZ65547 GXV65534:GXV65547 HHR65534:HHR65547 HRN65534:HRN65547 IBJ65534:IBJ65547 ILF65534:ILF65547 IVB65534:IVB65547 JEX65534:JEX65547 JOT65534:JOT65547 JYP65534:JYP65547 KIL65534:KIL65547 KSH65534:KSH65547 LCD65534:LCD65547 LLZ65534:LLZ65547 LVV65534:LVV65547 MFR65534:MFR65547 MPN65534:MPN65547 MZJ65534:MZJ65547 NJF65534:NJF65547 NTB65534:NTB65547 OCX65534:OCX65547 OMT65534:OMT65547 OWP65534:OWP65547 PGL65534:PGL65547 PQH65534:PQH65547 QAD65534:QAD65547 QJZ65534:QJZ65547 QTV65534:QTV65547 RDR65534:RDR65547 RNN65534:RNN65547 RXJ65534:RXJ65547 SHF65534:SHF65547 SRB65534:SRB65547 TAX65534:TAX65547 TKT65534:TKT65547 TUP65534:TUP65547 UEL65534:UEL65547 UOH65534:UOH65547 UYD65534:UYD65547 VHZ65534:VHZ65547 VRV65534:VRV65547 WBR65534:WBR65547 WLN65534:WLN65547 WVJ65534:WVJ65547 C131070:C131083 IX131070:IX131083 ST131070:ST131083 ACP131070:ACP131083 AML131070:AML131083 AWH131070:AWH131083 BGD131070:BGD131083 BPZ131070:BPZ131083 BZV131070:BZV131083 CJR131070:CJR131083 CTN131070:CTN131083 DDJ131070:DDJ131083 DNF131070:DNF131083 DXB131070:DXB131083 EGX131070:EGX131083 EQT131070:EQT131083 FAP131070:FAP131083 FKL131070:FKL131083 FUH131070:FUH131083 GED131070:GED131083 GNZ131070:GNZ131083 GXV131070:GXV131083 HHR131070:HHR131083 HRN131070:HRN131083 IBJ131070:IBJ131083 ILF131070:ILF131083 IVB131070:IVB131083 JEX131070:JEX131083 JOT131070:JOT131083 JYP131070:JYP131083 KIL131070:KIL131083 KSH131070:KSH131083 LCD131070:LCD131083 LLZ131070:LLZ131083 LVV131070:LVV131083 MFR131070:MFR131083 MPN131070:MPN131083 MZJ131070:MZJ131083 NJF131070:NJF131083 NTB131070:NTB131083 OCX131070:OCX131083 OMT131070:OMT131083 OWP131070:OWP131083 PGL131070:PGL131083 PQH131070:PQH131083 QAD131070:QAD131083 QJZ131070:QJZ131083 QTV131070:QTV131083 RDR131070:RDR131083 RNN131070:RNN131083 RXJ131070:RXJ131083 SHF131070:SHF131083 SRB131070:SRB131083 TAX131070:TAX131083 TKT131070:TKT131083 TUP131070:TUP131083 UEL131070:UEL131083 UOH131070:UOH131083 UYD131070:UYD131083 VHZ131070:VHZ131083 VRV131070:VRV131083 WBR131070:WBR131083 WLN131070:WLN131083 WVJ131070:WVJ131083 C196606:C196619 IX196606:IX196619 ST196606:ST196619 ACP196606:ACP196619 AML196606:AML196619 AWH196606:AWH196619 BGD196606:BGD196619 BPZ196606:BPZ196619 BZV196606:BZV196619 CJR196606:CJR196619 CTN196606:CTN196619 DDJ196606:DDJ196619 DNF196606:DNF196619 DXB196606:DXB196619 EGX196606:EGX196619 EQT196606:EQT196619 FAP196606:FAP196619 FKL196606:FKL196619 FUH196606:FUH196619 GED196606:GED196619 GNZ196606:GNZ196619 GXV196606:GXV196619 HHR196606:HHR196619 HRN196606:HRN196619 IBJ196606:IBJ196619 ILF196606:ILF196619 IVB196606:IVB196619 JEX196606:JEX196619 JOT196606:JOT196619 JYP196606:JYP196619 KIL196606:KIL196619 KSH196606:KSH196619 LCD196606:LCD196619 LLZ196606:LLZ196619 LVV196606:LVV196619 MFR196606:MFR196619 MPN196606:MPN196619 MZJ196606:MZJ196619 NJF196606:NJF196619 NTB196606:NTB196619 OCX196606:OCX196619 OMT196606:OMT196619 OWP196606:OWP196619 PGL196606:PGL196619 PQH196606:PQH196619 QAD196606:QAD196619 QJZ196606:QJZ196619 QTV196606:QTV196619 RDR196606:RDR196619 RNN196606:RNN196619 RXJ196606:RXJ196619 SHF196606:SHF196619 SRB196606:SRB196619 TAX196606:TAX196619 TKT196606:TKT196619 TUP196606:TUP196619 UEL196606:UEL196619 UOH196606:UOH196619 UYD196606:UYD196619 VHZ196606:VHZ196619 VRV196606:VRV196619 WBR196606:WBR196619 WLN196606:WLN196619 WVJ196606:WVJ196619 C262142:C262155 IX262142:IX262155 ST262142:ST262155 ACP262142:ACP262155 AML262142:AML262155 AWH262142:AWH262155 BGD262142:BGD262155 BPZ262142:BPZ262155 BZV262142:BZV262155 CJR262142:CJR262155 CTN262142:CTN262155 DDJ262142:DDJ262155 DNF262142:DNF262155 DXB262142:DXB262155 EGX262142:EGX262155 EQT262142:EQT262155 FAP262142:FAP262155 FKL262142:FKL262155 FUH262142:FUH262155 GED262142:GED262155 GNZ262142:GNZ262155 GXV262142:GXV262155 HHR262142:HHR262155 HRN262142:HRN262155 IBJ262142:IBJ262155 ILF262142:ILF262155 IVB262142:IVB262155 JEX262142:JEX262155 JOT262142:JOT262155 JYP262142:JYP262155 KIL262142:KIL262155 KSH262142:KSH262155 LCD262142:LCD262155 LLZ262142:LLZ262155 LVV262142:LVV262155 MFR262142:MFR262155 MPN262142:MPN262155 MZJ262142:MZJ262155 NJF262142:NJF262155 NTB262142:NTB262155 OCX262142:OCX262155 OMT262142:OMT262155 OWP262142:OWP262155 PGL262142:PGL262155 PQH262142:PQH262155 QAD262142:QAD262155 QJZ262142:QJZ262155 QTV262142:QTV262155 RDR262142:RDR262155 RNN262142:RNN262155 RXJ262142:RXJ262155 SHF262142:SHF262155 SRB262142:SRB262155 TAX262142:TAX262155 TKT262142:TKT262155 TUP262142:TUP262155 UEL262142:UEL262155 UOH262142:UOH262155 UYD262142:UYD262155 VHZ262142:VHZ262155 VRV262142:VRV262155 WBR262142:WBR262155 WLN262142:WLN262155 WVJ262142:WVJ262155 C327678:C327691 IX327678:IX327691 ST327678:ST327691 ACP327678:ACP327691 AML327678:AML327691 AWH327678:AWH327691 BGD327678:BGD327691 BPZ327678:BPZ327691 BZV327678:BZV327691 CJR327678:CJR327691 CTN327678:CTN327691 DDJ327678:DDJ327691 DNF327678:DNF327691 DXB327678:DXB327691 EGX327678:EGX327691 EQT327678:EQT327691 FAP327678:FAP327691 FKL327678:FKL327691 FUH327678:FUH327691 GED327678:GED327691 GNZ327678:GNZ327691 GXV327678:GXV327691 HHR327678:HHR327691 HRN327678:HRN327691 IBJ327678:IBJ327691 ILF327678:ILF327691 IVB327678:IVB327691 JEX327678:JEX327691 JOT327678:JOT327691 JYP327678:JYP327691 KIL327678:KIL327691 KSH327678:KSH327691 LCD327678:LCD327691 LLZ327678:LLZ327691 LVV327678:LVV327691 MFR327678:MFR327691 MPN327678:MPN327691 MZJ327678:MZJ327691 NJF327678:NJF327691 NTB327678:NTB327691 OCX327678:OCX327691 OMT327678:OMT327691 OWP327678:OWP327691 PGL327678:PGL327691 PQH327678:PQH327691 QAD327678:QAD327691 QJZ327678:QJZ327691 QTV327678:QTV327691 RDR327678:RDR327691 RNN327678:RNN327691 RXJ327678:RXJ327691 SHF327678:SHF327691 SRB327678:SRB327691 TAX327678:TAX327691 TKT327678:TKT327691 TUP327678:TUP327691 UEL327678:UEL327691 UOH327678:UOH327691 UYD327678:UYD327691 VHZ327678:VHZ327691 VRV327678:VRV327691 WBR327678:WBR327691 WLN327678:WLN327691 WVJ327678:WVJ327691 C393214:C393227 IX393214:IX393227 ST393214:ST393227 ACP393214:ACP393227 AML393214:AML393227 AWH393214:AWH393227 BGD393214:BGD393227 BPZ393214:BPZ393227 BZV393214:BZV393227 CJR393214:CJR393227 CTN393214:CTN393227 DDJ393214:DDJ393227 DNF393214:DNF393227 DXB393214:DXB393227 EGX393214:EGX393227 EQT393214:EQT393227 FAP393214:FAP393227 FKL393214:FKL393227 FUH393214:FUH393227 GED393214:GED393227 GNZ393214:GNZ393227 GXV393214:GXV393227 HHR393214:HHR393227 HRN393214:HRN393227 IBJ393214:IBJ393227 ILF393214:ILF393227 IVB393214:IVB393227 JEX393214:JEX393227 JOT393214:JOT393227 JYP393214:JYP393227 KIL393214:KIL393227 KSH393214:KSH393227 LCD393214:LCD393227 LLZ393214:LLZ393227 LVV393214:LVV393227 MFR393214:MFR393227 MPN393214:MPN393227 MZJ393214:MZJ393227 NJF393214:NJF393227 NTB393214:NTB393227 OCX393214:OCX393227 OMT393214:OMT393227 OWP393214:OWP393227 PGL393214:PGL393227 PQH393214:PQH393227 QAD393214:QAD393227 QJZ393214:QJZ393227 QTV393214:QTV393227 RDR393214:RDR393227 RNN393214:RNN393227 RXJ393214:RXJ393227 SHF393214:SHF393227 SRB393214:SRB393227 TAX393214:TAX393227 TKT393214:TKT393227 TUP393214:TUP393227 UEL393214:UEL393227 UOH393214:UOH393227 UYD393214:UYD393227 VHZ393214:VHZ393227 VRV393214:VRV393227 WBR393214:WBR393227 WLN393214:WLN393227 WVJ393214:WVJ393227 C458750:C458763 IX458750:IX458763 ST458750:ST458763 ACP458750:ACP458763 AML458750:AML458763 AWH458750:AWH458763 BGD458750:BGD458763 BPZ458750:BPZ458763 BZV458750:BZV458763 CJR458750:CJR458763 CTN458750:CTN458763 DDJ458750:DDJ458763 DNF458750:DNF458763 DXB458750:DXB458763 EGX458750:EGX458763 EQT458750:EQT458763 FAP458750:FAP458763 FKL458750:FKL458763 FUH458750:FUH458763 GED458750:GED458763 GNZ458750:GNZ458763 GXV458750:GXV458763 HHR458750:HHR458763 HRN458750:HRN458763 IBJ458750:IBJ458763 ILF458750:ILF458763 IVB458750:IVB458763 JEX458750:JEX458763 JOT458750:JOT458763 JYP458750:JYP458763 KIL458750:KIL458763 KSH458750:KSH458763 LCD458750:LCD458763 LLZ458750:LLZ458763 LVV458750:LVV458763 MFR458750:MFR458763 MPN458750:MPN458763 MZJ458750:MZJ458763 NJF458750:NJF458763 NTB458750:NTB458763 OCX458750:OCX458763 OMT458750:OMT458763 OWP458750:OWP458763 PGL458750:PGL458763 PQH458750:PQH458763 QAD458750:QAD458763 QJZ458750:QJZ458763 QTV458750:QTV458763 RDR458750:RDR458763 RNN458750:RNN458763 RXJ458750:RXJ458763 SHF458750:SHF458763 SRB458750:SRB458763 TAX458750:TAX458763 TKT458750:TKT458763 TUP458750:TUP458763 UEL458750:UEL458763 UOH458750:UOH458763 UYD458750:UYD458763 VHZ458750:VHZ458763 VRV458750:VRV458763 WBR458750:WBR458763 WLN458750:WLN458763 WVJ458750:WVJ458763 C524286:C524299 IX524286:IX524299 ST524286:ST524299 ACP524286:ACP524299 AML524286:AML524299 AWH524286:AWH524299 BGD524286:BGD524299 BPZ524286:BPZ524299 BZV524286:BZV524299 CJR524286:CJR524299 CTN524286:CTN524299 DDJ524286:DDJ524299 DNF524286:DNF524299 DXB524286:DXB524299 EGX524286:EGX524299 EQT524286:EQT524299 FAP524286:FAP524299 FKL524286:FKL524299 FUH524286:FUH524299 GED524286:GED524299 GNZ524286:GNZ524299 GXV524286:GXV524299 HHR524286:HHR524299 HRN524286:HRN524299 IBJ524286:IBJ524299 ILF524286:ILF524299 IVB524286:IVB524299 JEX524286:JEX524299 JOT524286:JOT524299 JYP524286:JYP524299 KIL524286:KIL524299 KSH524286:KSH524299 LCD524286:LCD524299 LLZ524286:LLZ524299 LVV524286:LVV524299 MFR524286:MFR524299 MPN524286:MPN524299 MZJ524286:MZJ524299 NJF524286:NJF524299 NTB524286:NTB524299 OCX524286:OCX524299 OMT524286:OMT524299 OWP524286:OWP524299 PGL524286:PGL524299 PQH524286:PQH524299 QAD524286:QAD524299 QJZ524286:QJZ524299 QTV524286:QTV524299 RDR524286:RDR524299 RNN524286:RNN524299 RXJ524286:RXJ524299 SHF524286:SHF524299 SRB524286:SRB524299 TAX524286:TAX524299 TKT524286:TKT524299 TUP524286:TUP524299 UEL524286:UEL524299 UOH524286:UOH524299 UYD524286:UYD524299 VHZ524286:VHZ524299 VRV524286:VRV524299 WBR524286:WBR524299 WLN524286:WLN524299 WVJ524286:WVJ524299 C589822:C589835 IX589822:IX589835 ST589822:ST589835 ACP589822:ACP589835 AML589822:AML589835 AWH589822:AWH589835 BGD589822:BGD589835 BPZ589822:BPZ589835 BZV589822:BZV589835 CJR589822:CJR589835 CTN589822:CTN589835 DDJ589822:DDJ589835 DNF589822:DNF589835 DXB589822:DXB589835 EGX589822:EGX589835 EQT589822:EQT589835 FAP589822:FAP589835 FKL589822:FKL589835 FUH589822:FUH589835 GED589822:GED589835 GNZ589822:GNZ589835 GXV589822:GXV589835 HHR589822:HHR589835 HRN589822:HRN589835 IBJ589822:IBJ589835 ILF589822:ILF589835 IVB589822:IVB589835 JEX589822:JEX589835 JOT589822:JOT589835 JYP589822:JYP589835 KIL589822:KIL589835 KSH589822:KSH589835 LCD589822:LCD589835 LLZ589822:LLZ589835 LVV589822:LVV589835 MFR589822:MFR589835 MPN589822:MPN589835 MZJ589822:MZJ589835 NJF589822:NJF589835 NTB589822:NTB589835 OCX589822:OCX589835 OMT589822:OMT589835 OWP589822:OWP589835 PGL589822:PGL589835 PQH589822:PQH589835 QAD589822:QAD589835 QJZ589822:QJZ589835 QTV589822:QTV589835 RDR589822:RDR589835 RNN589822:RNN589835 RXJ589822:RXJ589835 SHF589822:SHF589835 SRB589822:SRB589835 TAX589822:TAX589835 TKT589822:TKT589835 TUP589822:TUP589835 UEL589822:UEL589835 UOH589822:UOH589835 UYD589822:UYD589835 VHZ589822:VHZ589835 VRV589822:VRV589835 WBR589822:WBR589835 WLN589822:WLN589835 WVJ589822:WVJ589835 C655358:C655371 IX655358:IX655371 ST655358:ST655371 ACP655358:ACP655371 AML655358:AML655371 AWH655358:AWH655371 BGD655358:BGD655371 BPZ655358:BPZ655371 BZV655358:BZV655371 CJR655358:CJR655371 CTN655358:CTN655371 DDJ655358:DDJ655371 DNF655358:DNF655371 DXB655358:DXB655371 EGX655358:EGX655371 EQT655358:EQT655371 FAP655358:FAP655371 FKL655358:FKL655371 FUH655358:FUH655371 GED655358:GED655371 GNZ655358:GNZ655371 GXV655358:GXV655371 HHR655358:HHR655371 HRN655358:HRN655371 IBJ655358:IBJ655371 ILF655358:ILF655371 IVB655358:IVB655371 JEX655358:JEX655371 JOT655358:JOT655371 JYP655358:JYP655371 KIL655358:KIL655371 KSH655358:KSH655371 LCD655358:LCD655371 LLZ655358:LLZ655371 LVV655358:LVV655371 MFR655358:MFR655371 MPN655358:MPN655371 MZJ655358:MZJ655371 NJF655358:NJF655371 NTB655358:NTB655371 OCX655358:OCX655371 OMT655358:OMT655371 OWP655358:OWP655371 PGL655358:PGL655371 PQH655358:PQH655371 QAD655358:QAD655371 QJZ655358:QJZ655371 QTV655358:QTV655371 RDR655358:RDR655371 RNN655358:RNN655371 RXJ655358:RXJ655371 SHF655358:SHF655371 SRB655358:SRB655371 TAX655358:TAX655371 TKT655358:TKT655371 TUP655358:TUP655371 UEL655358:UEL655371 UOH655358:UOH655371 UYD655358:UYD655371 VHZ655358:VHZ655371 VRV655358:VRV655371 WBR655358:WBR655371 WLN655358:WLN655371 WVJ655358:WVJ655371 C720894:C720907 IX720894:IX720907 ST720894:ST720907 ACP720894:ACP720907 AML720894:AML720907 AWH720894:AWH720907 BGD720894:BGD720907 BPZ720894:BPZ720907 BZV720894:BZV720907 CJR720894:CJR720907 CTN720894:CTN720907 DDJ720894:DDJ720907 DNF720894:DNF720907 DXB720894:DXB720907 EGX720894:EGX720907 EQT720894:EQT720907 FAP720894:FAP720907 FKL720894:FKL720907 FUH720894:FUH720907 GED720894:GED720907 GNZ720894:GNZ720907 GXV720894:GXV720907 HHR720894:HHR720907 HRN720894:HRN720907 IBJ720894:IBJ720907 ILF720894:ILF720907 IVB720894:IVB720907 JEX720894:JEX720907 JOT720894:JOT720907 JYP720894:JYP720907 KIL720894:KIL720907 KSH720894:KSH720907 LCD720894:LCD720907 LLZ720894:LLZ720907 LVV720894:LVV720907 MFR720894:MFR720907 MPN720894:MPN720907 MZJ720894:MZJ720907 NJF720894:NJF720907 NTB720894:NTB720907 OCX720894:OCX720907 OMT720894:OMT720907 OWP720894:OWP720907 PGL720894:PGL720907 PQH720894:PQH720907 QAD720894:QAD720907 QJZ720894:QJZ720907 QTV720894:QTV720907 RDR720894:RDR720907 RNN720894:RNN720907 RXJ720894:RXJ720907 SHF720894:SHF720907 SRB720894:SRB720907 TAX720894:TAX720907 TKT720894:TKT720907 TUP720894:TUP720907 UEL720894:UEL720907 UOH720894:UOH720907 UYD720894:UYD720907 VHZ720894:VHZ720907 VRV720894:VRV720907 WBR720894:WBR720907 WLN720894:WLN720907 WVJ720894:WVJ720907 C786430:C786443 IX786430:IX786443 ST786430:ST786443 ACP786430:ACP786443 AML786430:AML786443 AWH786430:AWH786443 BGD786430:BGD786443 BPZ786430:BPZ786443 BZV786430:BZV786443 CJR786430:CJR786443 CTN786430:CTN786443 DDJ786430:DDJ786443 DNF786430:DNF786443 DXB786430:DXB786443 EGX786430:EGX786443 EQT786430:EQT786443 FAP786430:FAP786443 FKL786430:FKL786443 FUH786430:FUH786443 GED786430:GED786443 GNZ786430:GNZ786443 GXV786430:GXV786443 HHR786430:HHR786443 HRN786430:HRN786443 IBJ786430:IBJ786443 ILF786430:ILF786443 IVB786430:IVB786443 JEX786430:JEX786443 JOT786430:JOT786443 JYP786430:JYP786443 KIL786430:KIL786443 KSH786430:KSH786443 LCD786430:LCD786443 LLZ786430:LLZ786443 LVV786430:LVV786443 MFR786430:MFR786443 MPN786430:MPN786443 MZJ786430:MZJ786443 NJF786430:NJF786443 NTB786430:NTB786443 OCX786430:OCX786443 OMT786430:OMT786443 OWP786430:OWP786443 PGL786430:PGL786443 PQH786430:PQH786443 QAD786430:QAD786443 QJZ786430:QJZ786443 QTV786430:QTV786443 RDR786430:RDR786443 RNN786430:RNN786443 RXJ786430:RXJ786443 SHF786430:SHF786443 SRB786430:SRB786443 TAX786430:TAX786443 TKT786430:TKT786443 TUP786430:TUP786443 UEL786430:UEL786443 UOH786430:UOH786443 UYD786430:UYD786443 VHZ786430:VHZ786443 VRV786430:VRV786443 WBR786430:WBR786443 WLN786430:WLN786443 WVJ786430:WVJ786443 C851966:C851979 IX851966:IX851979 ST851966:ST851979 ACP851966:ACP851979 AML851966:AML851979 AWH851966:AWH851979 BGD851966:BGD851979 BPZ851966:BPZ851979 BZV851966:BZV851979 CJR851966:CJR851979 CTN851966:CTN851979 DDJ851966:DDJ851979 DNF851966:DNF851979 DXB851966:DXB851979 EGX851966:EGX851979 EQT851966:EQT851979 FAP851966:FAP851979 FKL851966:FKL851979 FUH851966:FUH851979 GED851966:GED851979 GNZ851966:GNZ851979 GXV851966:GXV851979 HHR851966:HHR851979 HRN851966:HRN851979 IBJ851966:IBJ851979 ILF851966:ILF851979 IVB851966:IVB851979 JEX851966:JEX851979 JOT851966:JOT851979 JYP851966:JYP851979 KIL851966:KIL851979 KSH851966:KSH851979 LCD851966:LCD851979 LLZ851966:LLZ851979 LVV851966:LVV851979 MFR851966:MFR851979 MPN851966:MPN851979 MZJ851966:MZJ851979 NJF851966:NJF851979 NTB851966:NTB851979 OCX851966:OCX851979 OMT851966:OMT851979 OWP851966:OWP851979 PGL851966:PGL851979 PQH851966:PQH851979 QAD851966:QAD851979 QJZ851966:QJZ851979 QTV851966:QTV851979 RDR851966:RDR851979 RNN851966:RNN851979 RXJ851966:RXJ851979 SHF851966:SHF851979 SRB851966:SRB851979 TAX851966:TAX851979 TKT851966:TKT851979 TUP851966:TUP851979 UEL851966:UEL851979 UOH851966:UOH851979 UYD851966:UYD851979 VHZ851966:VHZ851979 VRV851966:VRV851979 WBR851966:WBR851979 WLN851966:WLN851979 WVJ851966:WVJ851979 C917502:C917515 IX917502:IX917515 ST917502:ST917515 ACP917502:ACP917515 AML917502:AML917515 AWH917502:AWH917515 BGD917502:BGD917515 BPZ917502:BPZ917515 BZV917502:BZV917515 CJR917502:CJR917515 CTN917502:CTN917515 DDJ917502:DDJ917515 DNF917502:DNF917515 DXB917502:DXB917515 EGX917502:EGX917515 EQT917502:EQT917515 FAP917502:FAP917515 FKL917502:FKL917515 FUH917502:FUH917515 GED917502:GED917515 GNZ917502:GNZ917515 GXV917502:GXV917515 HHR917502:HHR917515 HRN917502:HRN917515 IBJ917502:IBJ917515 ILF917502:ILF917515 IVB917502:IVB917515 JEX917502:JEX917515 JOT917502:JOT917515 JYP917502:JYP917515 KIL917502:KIL917515 KSH917502:KSH917515 LCD917502:LCD917515 LLZ917502:LLZ917515 LVV917502:LVV917515 MFR917502:MFR917515 MPN917502:MPN917515 MZJ917502:MZJ917515 NJF917502:NJF917515 NTB917502:NTB917515 OCX917502:OCX917515 OMT917502:OMT917515 OWP917502:OWP917515 PGL917502:PGL917515 PQH917502:PQH917515 QAD917502:QAD917515 QJZ917502:QJZ917515 QTV917502:QTV917515 RDR917502:RDR917515 RNN917502:RNN917515 RXJ917502:RXJ917515 SHF917502:SHF917515 SRB917502:SRB917515 TAX917502:TAX917515 TKT917502:TKT917515 TUP917502:TUP917515 UEL917502:UEL917515 UOH917502:UOH917515 UYD917502:UYD917515 VHZ917502:VHZ917515 VRV917502:VRV917515 WBR917502:WBR917515 WLN917502:WLN917515 WVJ917502:WVJ917515 C983038:C983051 IX983038:IX983051 ST983038:ST983051 ACP983038:ACP983051 AML983038:AML983051 AWH983038:AWH983051 BGD983038:BGD983051 BPZ983038:BPZ983051 BZV983038:BZV983051 CJR983038:CJR983051 CTN983038:CTN983051 DDJ983038:DDJ983051 DNF983038:DNF983051 DXB983038:DXB983051 EGX983038:EGX983051 EQT983038:EQT983051 FAP983038:FAP983051 FKL983038:FKL983051 FUH983038:FUH983051 GED983038:GED983051 GNZ983038:GNZ983051 GXV983038:GXV983051 HHR983038:HHR983051 HRN983038:HRN983051 IBJ983038:IBJ983051 ILF983038:ILF983051 IVB983038:IVB983051 JEX983038:JEX983051 JOT983038:JOT983051 JYP983038:JYP983051 KIL983038:KIL983051 KSH983038:KSH983051 LCD983038:LCD983051 LLZ983038:LLZ983051 LVV983038:LVV983051 MFR983038:MFR983051 MPN983038:MPN983051 MZJ983038:MZJ983051 NJF983038:NJF983051 NTB983038:NTB983051 OCX983038:OCX983051 OMT983038:OMT983051 OWP983038:OWP983051 PGL983038:PGL983051 PQH983038:PQH983051 QAD983038:QAD983051 QJZ983038:QJZ983051 QTV983038:QTV983051 RDR983038:RDR983051 RNN983038:RNN983051 RXJ983038:RXJ983051 SHF983038:SHF983051 SRB983038:SRB983051 TAX983038:TAX983051 TKT983038:TKT983051 TUP983038:TUP983051 UEL983038:UEL983051 UOH983038:UOH983051 UYD983038:UYD983051 VHZ983038:VHZ983051 VRV983038:VRV983051 WBR983038:WBR983051 WLN983038:WLN983051 WVJ983038:WVJ983051 C65519:C65523 IX65519:IX65523 ST65519:ST65523 ACP65519:ACP65523 AML65519:AML65523 AWH65519:AWH65523 BGD65519:BGD65523 BPZ65519:BPZ65523 BZV65519:BZV65523 CJR65519:CJR65523 CTN65519:CTN65523 DDJ65519:DDJ65523 DNF65519:DNF65523 DXB65519:DXB65523 EGX65519:EGX65523 EQT65519:EQT65523 FAP65519:FAP65523 FKL65519:FKL65523 FUH65519:FUH65523 GED65519:GED65523 GNZ65519:GNZ65523 GXV65519:GXV65523 HHR65519:HHR65523 HRN65519:HRN65523 IBJ65519:IBJ65523 ILF65519:ILF65523 IVB65519:IVB65523 JEX65519:JEX65523 JOT65519:JOT65523 JYP65519:JYP65523 KIL65519:KIL65523 KSH65519:KSH65523 LCD65519:LCD65523 LLZ65519:LLZ65523 LVV65519:LVV65523 MFR65519:MFR65523 MPN65519:MPN65523 MZJ65519:MZJ65523 NJF65519:NJF65523 NTB65519:NTB65523 OCX65519:OCX65523 OMT65519:OMT65523 OWP65519:OWP65523 PGL65519:PGL65523 PQH65519:PQH65523 QAD65519:QAD65523 QJZ65519:QJZ65523 QTV65519:QTV65523 RDR65519:RDR65523 RNN65519:RNN65523 RXJ65519:RXJ65523 SHF65519:SHF65523 SRB65519:SRB65523 TAX65519:TAX65523 TKT65519:TKT65523 TUP65519:TUP65523 UEL65519:UEL65523 UOH65519:UOH65523 UYD65519:UYD65523 VHZ65519:VHZ65523 VRV65519:VRV65523 WBR65519:WBR65523 WLN65519:WLN65523 WVJ65519:WVJ65523 C131055:C131059 IX131055:IX131059 ST131055:ST131059 ACP131055:ACP131059 AML131055:AML131059 AWH131055:AWH131059 BGD131055:BGD131059 BPZ131055:BPZ131059 BZV131055:BZV131059 CJR131055:CJR131059 CTN131055:CTN131059 DDJ131055:DDJ131059 DNF131055:DNF131059 DXB131055:DXB131059 EGX131055:EGX131059 EQT131055:EQT131059 FAP131055:FAP131059 FKL131055:FKL131059 FUH131055:FUH131059 GED131055:GED131059 GNZ131055:GNZ131059 GXV131055:GXV131059 HHR131055:HHR131059 HRN131055:HRN131059 IBJ131055:IBJ131059 ILF131055:ILF131059 IVB131055:IVB131059 JEX131055:JEX131059 JOT131055:JOT131059 JYP131055:JYP131059 KIL131055:KIL131059 KSH131055:KSH131059 LCD131055:LCD131059 LLZ131055:LLZ131059 LVV131055:LVV131059 MFR131055:MFR131059 MPN131055:MPN131059 MZJ131055:MZJ131059 NJF131055:NJF131059 NTB131055:NTB131059 OCX131055:OCX131059 OMT131055:OMT131059 OWP131055:OWP131059 PGL131055:PGL131059 PQH131055:PQH131059 QAD131055:QAD131059 QJZ131055:QJZ131059 QTV131055:QTV131059 RDR131055:RDR131059 RNN131055:RNN131059 RXJ131055:RXJ131059 SHF131055:SHF131059 SRB131055:SRB131059 TAX131055:TAX131059 TKT131055:TKT131059 TUP131055:TUP131059 UEL131055:UEL131059 UOH131055:UOH131059 UYD131055:UYD131059 VHZ131055:VHZ131059 VRV131055:VRV131059 WBR131055:WBR131059 WLN131055:WLN131059 WVJ131055:WVJ131059 C196591:C196595 IX196591:IX196595 ST196591:ST196595 ACP196591:ACP196595 AML196591:AML196595 AWH196591:AWH196595 BGD196591:BGD196595 BPZ196591:BPZ196595 BZV196591:BZV196595 CJR196591:CJR196595 CTN196591:CTN196595 DDJ196591:DDJ196595 DNF196591:DNF196595 DXB196591:DXB196595 EGX196591:EGX196595 EQT196591:EQT196595 FAP196591:FAP196595 FKL196591:FKL196595 FUH196591:FUH196595 GED196591:GED196595 GNZ196591:GNZ196595 GXV196591:GXV196595 HHR196591:HHR196595 HRN196591:HRN196595 IBJ196591:IBJ196595 ILF196591:ILF196595 IVB196591:IVB196595 JEX196591:JEX196595 JOT196591:JOT196595 JYP196591:JYP196595 KIL196591:KIL196595 KSH196591:KSH196595 LCD196591:LCD196595 LLZ196591:LLZ196595 LVV196591:LVV196595 MFR196591:MFR196595 MPN196591:MPN196595 MZJ196591:MZJ196595 NJF196591:NJF196595 NTB196591:NTB196595 OCX196591:OCX196595 OMT196591:OMT196595 OWP196591:OWP196595 PGL196591:PGL196595 PQH196591:PQH196595 QAD196591:QAD196595 QJZ196591:QJZ196595 QTV196591:QTV196595 RDR196591:RDR196595 RNN196591:RNN196595 RXJ196591:RXJ196595 SHF196591:SHF196595 SRB196591:SRB196595 TAX196591:TAX196595 TKT196591:TKT196595 TUP196591:TUP196595 UEL196591:UEL196595 UOH196591:UOH196595 UYD196591:UYD196595 VHZ196591:VHZ196595 VRV196591:VRV196595 WBR196591:WBR196595 WLN196591:WLN196595 WVJ196591:WVJ196595 C262127:C262131 IX262127:IX262131 ST262127:ST262131 ACP262127:ACP262131 AML262127:AML262131 AWH262127:AWH262131 BGD262127:BGD262131 BPZ262127:BPZ262131 BZV262127:BZV262131 CJR262127:CJR262131 CTN262127:CTN262131 DDJ262127:DDJ262131 DNF262127:DNF262131 DXB262127:DXB262131 EGX262127:EGX262131 EQT262127:EQT262131 FAP262127:FAP262131 FKL262127:FKL262131 FUH262127:FUH262131 GED262127:GED262131 GNZ262127:GNZ262131 GXV262127:GXV262131 HHR262127:HHR262131 HRN262127:HRN262131 IBJ262127:IBJ262131 ILF262127:ILF262131 IVB262127:IVB262131 JEX262127:JEX262131 JOT262127:JOT262131 JYP262127:JYP262131 KIL262127:KIL262131 KSH262127:KSH262131 LCD262127:LCD262131 LLZ262127:LLZ262131 LVV262127:LVV262131 MFR262127:MFR262131 MPN262127:MPN262131 MZJ262127:MZJ262131 NJF262127:NJF262131 NTB262127:NTB262131 OCX262127:OCX262131 OMT262127:OMT262131 OWP262127:OWP262131 PGL262127:PGL262131 PQH262127:PQH262131 QAD262127:QAD262131 QJZ262127:QJZ262131 QTV262127:QTV262131 RDR262127:RDR262131 RNN262127:RNN262131 RXJ262127:RXJ262131 SHF262127:SHF262131 SRB262127:SRB262131 TAX262127:TAX262131 TKT262127:TKT262131 TUP262127:TUP262131 UEL262127:UEL262131 UOH262127:UOH262131 UYD262127:UYD262131 VHZ262127:VHZ262131 VRV262127:VRV262131 WBR262127:WBR262131 WLN262127:WLN262131 WVJ262127:WVJ262131 C327663:C327667 IX327663:IX327667 ST327663:ST327667 ACP327663:ACP327667 AML327663:AML327667 AWH327663:AWH327667 BGD327663:BGD327667 BPZ327663:BPZ327667 BZV327663:BZV327667 CJR327663:CJR327667 CTN327663:CTN327667 DDJ327663:DDJ327667 DNF327663:DNF327667 DXB327663:DXB327667 EGX327663:EGX327667 EQT327663:EQT327667 FAP327663:FAP327667 FKL327663:FKL327667 FUH327663:FUH327667 GED327663:GED327667 GNZ327663:GNZ327667 GXV327663:GXV327667 HHR327663:HHR327667 HRN327663:HRN327667 IBJ327663:IBJ327667 ILF327663:ILF327667 IVB327663:IVB327667 JEX327663:JEX327667 JOT327663:JOT327667 JYP327663:JYP327667 KIL327663:KIL327667 KSH327663:KSH327667 LCD327663:LCD327667 LLZ327663:LLZ327667 LVV327663:LVV327667 MFR327663:MFR327667 MPN327663:MPN327667 MZJ327663:MZJ327667 NJF327663:NJF327667 NTB327663:NTB327667 OCX327663:OCX327667 OMT327663:OMT327667 OWP327663:OWP327667 PGL327663:PGL327667 PQH327663:PQH327667 QAD327663:QAD327667 QJZ327663:QJZ327667 QTV327663:QTV327667 RDR327663:RDR327667 RNN327663:RNN327667 RXJ327663:RXJ327667 SHF327663:SHF327667 SRB327663:SRB327667 TAX327663:TAX327667 TKT327663:TKT327667 TUP327663:TUP327667 UEL327663:UEL327667 UOH327663:UOH327667 UYD327663:UYD327667 VHZ327663:VHZ327667 VRV327663:VRV327667 WBR327663:WBR327667 WLN327663:WLN327667 WVJ327663:WVJ327667 C393199:C393203 IX393199:IX393203 ST393199:ST393203 ACP393199:ACP393203 AML393199:AML393203 AWH393199:AWH393203 BGD393199:BGD393203 BPZ393199:BPZ393203 BZV393199:BZV393203 CJR393199:CJR393203 CTN393199:CTN393203 DDJ393199:DDJ393203 DNF393199:DNF393203 DXB393199:DXB393203 EGX393199:EGX393203 EQT393199:EQT393203 FAP393199:FAP393203 FKL393199:FKL393203 FUH393199:FUH393203 GED393199:GED393203 GNZ393199:GNZ393203 GXV393199:GXV393203 HHR393199:HHR393203 HRN393199:HRN393203 IBJ393199:IBJ393203 ILF393199:ILF393203 IVB393199:IVB393203 JEX393199:JEX393203 JOT393199:JOT393203 JYP393199:JYP393203 KIL393199:KIL393203 KSH393199:KSH393203 LCD393199:LCD393203 LLZ393199:LLZ393203 LVV393199:LVV393203 MFR393199:MFR393203 MPN393199:MPN393203 MZJ393199:MZJ393203 NJF393199:NJF393203 NTB393199:NTB393203 OCX393199:OCX393203 OMT393199:OMT393203 OWP393199:OWP393203 PGL393199:PGL393203 PQH393199:PQH393203 QAD393199:QAD393203 QJZ393199:QJZ393203 QTV393199:QTV393203 RDR393199:RDR393203 RNN393199:RNN393203 RXJ393199:RXJ393203 SHF393199:SHF393203 SRB393199:SRB393203 TAX393199:TAX393203 TKT393199:TKT393203 TUP393199:TUP393203 UEL393199:UEL393203 UOH393199:UOH393203 UYD393199:UYD393203 VHZ393199:VHZ393203 VRV393199:VRV393203 WBR393199:WBR393203 WLN393199:WLN393203 WVJ393199:WVJ393203 C458735:C458739 IX458735:IX458739 ST458735:ST458739 ACP458735:ACP458739 AML458735:AML458739 AWH458735:AWH458739 BGD458735:BGD458739 BPZ458735:BPZ458739 BZV458735:BZV458739 CJR458735:CJR458739 CTN458735:CTN458739 DDJ458735:DDJ458739 DNF458735:DNF458739 DXB458735:DXB458739 EGX458735:EGX458739 EQT458735:EQT458739 FAP458735:FAP458739 FKL458735:FKL458739 FUH458735:FUH458739 GED458735:GED458739 GNZ458735:GNZ458739 GXV458735:GXV458739 HHR458735:HHR458739 HRN458735:HRN458739 IBJ458735:IBJ458739 ILF458735:ILF458739 IVB458735:IVB458739 JEX458735:JEX458739 JOT458735:JOT458739 JYP458735:JYP458739 KIL458735:KIL458739 KSH458735:KSH458739 LCD458735:LCD458739 LLZ458735:LLZ458739 LVV458735:LVV458739 MFR458735:MFR458739 MPN458735:MPN458739 MZJ458735:MZJ458739 NJF458735:NJF458739 NTB458735:NTB458739 OCX458735:OCX458739 OMT458735:OMT458739 OWP458735:OWP458739 PGL458735:PGL458739 PQH458735:PQH458739 QAD458735:QAD458739 QJZ458735:QJZ458739 QTV458735:QTV458739 RDR458735:RDR458739 RNN458735:RNN458739 RXJ458735:RXJ458739 SHF458735:SHF458739 SRB458735:SRB458739 TAX458735:TAX458739 TKT458735:TKT458739 TUP458735:TUP458739 UEL458735:UEL458739 UOH458735:UOH458739 UYD458735:UYD458739 VHZ458735:VHZ458739 VRV458735:VRV458739 WBR458735:WBR458739 WLN458735:WLN458739 WVJ458735:WVJ458739 C524271:C524275 IX524271:IX524275 ST524271:ST524275 ACP524271:ACP524275 AML524271:AML524275 AWH524271:AWH524275 BGD524271:BGD524275 BPZ524271:BPZ524275 BZV524271:BZV524275 CJR524271:CJR524275 CTN524271:CTN524275 DDJ524271:DDJ524275 DNF524271:DNF524275 DXB524271:DXB524275 EGX524271:EGX524275 EQT524271:EQT524275 FAP524271:FAP524275 FKL524271:FKL524275 FUH524271:FUH524275 GED524271:GED524275 GNZ524271:GNZ524275 GXV524271:GXV524275 HHR524271:HHR524275 HRN524271:HRN524275 IBJ524271:IBJ524275 ILF524271:ILF524275 IVB524271:IVB524275 JEX524271:JEX524275 JOT524271:JOT524275 JYP524271:JYP524275 KIL524271:KIL524275 KSH524271:KSH524275 LCD524271:LCD524275 LLZ524271:LLZ524275 LVV524271:LVV524275 MFR524271:MFR524275 MPN524271:MPN524275 MZJ524271:MZJ524275 NJF524271:NJF524275 NTB524271:NTB524275 OCX524271:OCX524275 OMT524271:OMT524275 OWP524271:OWP524275 PGL524271:PGL524275 PQH524271:PQH524275 QAD524271:QAD524275 QJZ524271:QJZ524275 QTV524271:QTV524275 RDR524271:RDR524275 RNN524271:RNN524275 RXJ524271:RXJ524275 SHF524271:SHF524275 SRB524271:SRB524275 TAX524271:TAX524275 TKT524271:TKT524275 TUP524271:TUP524275 UEL524271:UEL524275 UOH524271:UOH524275 UYD524271:UYD524275 VHZ524271:VHZ524275 VRV524271:VRV524275 WBR524271:WBR524275 WLN524271:WLN524275 WVJ524271:WVJ524275 C589807:C589811 IX589807:IX589811 ST589807:ST589811 ACP589807:ACP589811 AML589807:AML589811 AWH589807:AWH589811 BGD589807:BGD589811 BPZ589807:BPZ589811 BZV589807:BZV589811 CJR589807:CJR589811 CTN589807:CTN589811 DDJ589807:DDJ589811 DNF589807:DNF589811 DXB589807:DXB589811 EGX589807:EGX589811 EQT589807:EQT589811 FAP589807:FAP589811 FKL589807:FKL589811 FUH589807:FUH589811 GED589807:GED589811 GNZ589807:GNZ589811 GXV589807:GXV589811 HHR589807:HHR589811 HRN589807:HRN589811 IBJ589807:IBJ589811 ILF589807:ILF589811 IVB589807:IVB589811 JEX589807:JEX589811 JOT589807:JOT589811 JYP589807:JYP589811 KIL589807:KIL589811 KSH589807:KSH589811 LCD589807:LCD589811 LLZ589807:LLZ589811 LVV589807:LVV589811 MFR589807:MFR589811 MPN589807:MPN589811 MZJ589807:MZJ589811 NJF589807:NJF589811 NTB589807:NTB589811 OCX589807:OCX589811 OMT589807:OMT589811 OWP589807:OWP589811 PGL589807:PGL589811 PQH589807:PQH589811 QAD589807:QAD589811 QJZ589807:QJZ589811 QTV589807:QTV589811 RDR589807:RDR589811 RNN589807:RNN589811 RXJ589807:RXJ589811 SHF589807:SHF589811 SRB589807:SRB589811 TAX589807:TAX589811 TKT589807:TKT589811 TUP589807:TUP589811 UEL589807:UEL589811 UOH589807:UOH589811 UYD589807:UYD589811 VHZ589807:VHZ589811 VRV589807:VRV589811 WBR589807:WBR589811 WLN589807:WLN589811 WVJ589807:WVJ589811 C655343:C655347 IX655343:IX655347 ST655343:ST655347 ACP655343:ACP655347 AML655343:AML655347 AWH655343:AWH655347 BGD655343:BGD655347 BPZ655343:BPZ655347 BZV655343:BZV655347 CJR655343:CJR655347 CTN655343:CTN655347 DDJ655343:DDJ655347 DNF655343:DNF655347 DXB655343:DXB655347 EGX655343:EGX655347 EQT655343:EQT655347 FAP655343:FAP655347 FKL655343:FKL655347 FUH655343:FUH655347 GED655343:GED655347 GNZ655343:GNZ655347 GXV655343:GXV655347 HHR655343:HHR655347 HRN655343:HRN655347 IBJ655343:IBJ655347 ILF655343:ILF655347 IVB655343:IVB655347 JEX655343:JEX655347 JOT655343:JOT655347 JYP655343:JYP655347 KIL655343:KIL655347 KSH655343:KSH655347 LCD655343:LCD655347 LLZ655343:LLZ655347 LVV655343:LVV655347 MFR655343:MFR655347 MPN655343:MPN655347 MZJ655343:MZJ655347 NJF655343:NJF655347 NTB655343:NTB655347 OCX655343:OCX655347 OMT655343:OMT655347 OWP655343:OWP655347 PGL655343:PGL655347 PQH655343:PQH655347 QAD655343:QAD655347 QJZ655343:QJZ655347 QTV655343:QTV655347 RDR655343:RDR655347 RNN655343:RNN655347 RXJ655343:RXJ655347 SHF655343:SHF655347 SRB655343:SRB655347 TAX655343:TAX655347 TKT655343:TKT655347 TUP655343:TUP655347 UEL655343:UEL655347 UOH655343:UOH655347 UYD655343:UYD655347 VHZ655343:VHZ655347 VRV655343:VRV655347 WBR655343:WBR655347 WLN655343:WLN655347 WVJ655343:WVJ655347 C720879:C720883 IX720879:IX720883 ST720879:ST720883 ACP720879:ACP720883 AML720879:AML720883 AWH720879:AWH720883 BGD720879:BGD720883 BPZ720879:BPZ720883 BZV720879:BZV720883 CJR720879:CJR720883 CTN720879:CTN720883 DDJ720879:DDJ720883 DNF720879:DNF720883 DXB720879:DXB720883 EGX720879:EGX720883 EQT720879:EQT720883 FAP720879:FAP720883 FKL720879:FKL720883 FUH720879:FUH720883 GED720879:GED720883 GNZ720879:GNZ720883 GXV720879:GXV720883 HHR720879:HHR720883 HRN720879:HRN720883 IBJ720879:IBJ720883 ILF720879:ILF720883 IVB720879:IVB720883 JEX720879:JEX720883 JOT720879:JOT720883 JYP720879:JYP720883 KIL720879:KIL720883 KSH720879:KSH720883 LCD720879:LCD720883 LLZ720879:LLZ720883 LVV720879:LVV720883 MFR720879:MFR720883 MPN720879:MPN720883 MZJ720879:MZJ720883 NJF720879:NJF720883 NTB720879:NTB720883 OCX720879:OCX720883 OMT720879:OMT720883 OWP720879:OWP720883 PGL720879:PGL720883 PQH720879:PQH720883 QAD720879:QAD720883 QJZ720879:QJZ720883 QTV720879:QTV720883 RDR720879:RDR720883 RNN720879:RNN720883 RXJ720879:RXJ720883 SHF720879:SHF720883 SRB720879:SRB720883 TAX720879:TAX720883 TKT720879:TKT720883 TUP720879:TUP720883 UEL720879:UEL720883 UOH720879:UOH720883 UYD720879:UYD720883 VHZ720879:VHZ720883 VRV720879:VRV720883 WBR720879:WBR720883 WLN720879:WLN720883 WVJ720879:WVJ720883 C786415:C786419 IX786415:IX786419 ST786415:ST786419 ACP786415:ACP786419 AML786415:AML786419 AWH786415:AWH786419 BGD786415:BGD786419 BPZ786415:BPZ786419 BZV786415:BZV786419 CJR786415:CJR786419 CTN786415:CTN786419 DDJ786415:DDJ786419 DNF786415:DNF786419 DXB786415:DXB786419 EGX786415:EGX786419 EQT786415:EQT786419 FAP786415:FAP786419 FKL786415:FKL786419 FUH786415:FUH786419 GED786415:GED786419 GNZ786415:GNZ786419 GXV786415:GXV786419 HHR786415:HHR786419 HRN786415:HRN786419 IBJ786415:IBJ786419 ILF786415:ILF786419 IVB786415:IVB786419 JEX786415:JEX786419 JOT786415:JOT786419 JYP786415:JYP786419 KIL786415:KIL786419 KSH786415:KSH786419 LCD786415:LCD786419 LLZ786415:LLZ786419 LVV786415:LVV786419 MFR786415:MFR786419 MPN786415:MPN786419 MZJ786415:MZJ786419 NJF786415:NJF786419 NTB786415:NTB786419 OCX786415:OCX786419 OMT786415:OMT786419 OWP786415:OWP786419 PGL786415:PGL786419 PQH786415:PQH786419 QAD786415:QAD786419 QJZ786415:QJZ786419 QTV786415:QTV786419 RDR786415:RDR786419 RNN786415:RNN786419 RXJ786415:RXJ786419 SHF786415:SHF786419 SRB786415:SRB786419 TAX786415:TAX786419 TKT786415:TKT786419 TUP786415:TUP786419 UEL786415:UEL786419 UOH786415:UOH786419 UYD786415:UYD786419 VHZ786415:VHZ786419 VRV786415:VRV786419 WBR786415:WBR786419 WLN786415:WLN786419 WVJ786415:WVJ786419 C851951:C851955 IX851951:IX851955 ST851951:ST851955 ACP851951:ACP851955 AML851951:AML851955 AWH851951:AWH851955 BGD851951:BGD851955 BPZ851951:BPZ851955 BZV851951:BZV851955 CJR851951:CJR851955 CTN851951:CTN851955 DDJ851951:DDJ851955 DNF851951:DNF851955 DXB851951:DXB851955 EGX851951:EGX851955 EQT851951:EQT851955 FAP851951:FAP851955 FKL851951:FKL851955 FUH851951:FUH851955 GED851951:GED851955 GNZ851951:GNZ851955 GXV851951:GXV851955 HHR851951:HHR851955 HRN851951:HRN851955 IBJ851951:IBJ851955 ILF851951:ILF851955 IVB851951:IVB851955 JEX851951:JEX851955 JOT851951:JOT851955 JYP851951:JYP851955 KIL851951:KIL851955 KSH851951:KSH851955 LCD851951:LCD851955 LLZ851951:LLZ851955 LVV851951:LVV851955 MFR851951:MFR851955 MPN851951:MPN851955 MZJ851951:MZJ851955 NJF851951:NJF851955 NTB851951:NTB851955 OCX851951:OCX851955 OMT851951:OMT851955 OWP851951:OWP851955 PGL851951:PGL851955 PQH851951:PQH851955 QAD851951:QAD851955 QJZ851951:QJZ851955 QTV851951:QTV851955 RDR851951:RDR851955 RNN851951:RNN851955 RXJ851951:RXJ851955 SHF851951:SHF851955 SRB851951:SRB851955 TAX851951:TAX851955 TKT851951:TKT851955 TUP851951:TUP851955 UEL851951:UEL851955 UOH851951:UOH851955 UYD851951:UYD851955 VHZ851951:VHZ851955 VRV851951:VRV851955 WBR851951:WBR851955 WLN851951:WLN851955 WVJ851951:WVJ851955 C917487:C917491 IX917487:IX917491 ST917487:ST917491 ACP917487:ACP917491 AML917487:AML917491 AWH917487:AWH917491 BGD917487:BGD917491 BPZ917487:BPZ917491 BZV917487:BZV917491 CJR917487:CJR917491 CTN917487:CTN917491 DDJ917487:DDJ917491 DNF917487:DNF917491 DXB917487:DXB917491 EGX917487:EGX917491 EQT917487:EQT917491 FAP917487:FAP917491 FKL917487:FKL917491 FUH917487:FUH917491 GED917487:GED917491 GNZ917487:GNZ917491 GXV917487:GXV917491 HHR917487:HHR917491 HRN917487:HRN917491 IBJ917487:IBJ917491 ILF917487:ILF917491 IVB917487:IVB917491 JEX917487:JEX917491 JOT917487:JOT917491 JYP917487:JYP917491 KIL917487:KIL917491 KSH917487:KSH917491 LCD917487:LCD917491 LLZ917487:LLZ917491 LVV917487:LVV917491 MFR917487:MFR917491 MPN917487:MPN917491 MZJ917487:MZJ917491 NJF917487:NJF917491 NTB917487:NTB917491 OCX917487:OCX917491 OMT917487:OMT917491 OWP917487:OWP917491 PGL917487:PGL917491 PQH917487:PQH917491 QAD917487:QAD917491 QJZ917487:QJZ917491 QTV917487:QTV917491 RDR917487:RDR917491 RNN917487:RNN917491 RXJ917487:RXJ917491 SHF917487:SHF917491 SRB917487:SRB917491 TAX917487:TAX917491 TKT917487:TKT917491 TUP917487:TUP917491 UEL917487:UEL917491 UOH917487:UOH917491 UYD917487:UYD917491 VHZ917487:VHZ917491 VRV917487:VRV917491 WBR917487:WBR917491 WLN917487:WLN917491 WVJ917487:WVJ917491 C983023:C983027 IX983023:IX983027 ST983023:ST983027 ACP983023:ACP983027 AML983023:AML983027 AWH983023:AWH983027 BGD983023:BGD983027 BPZ983023:BPZ983027 BZV983023:BZV983027 CJR983023:CJR983027 CTN983023:CTN983027 DDJ983023:DDJ983027 DNF983023:DNF983027 DXB983023:DXB983027 EGX983023:EGX983027 EQT983023:EQT983027 FAP983023:FAP983027 FKL983023:FKL983027 FUH983023:FUH983027 GED983023:GED983027 GNZ983023:GNZ983027 GXV983023:GXV983027 HHR983023:HHR983027 HRN983023:HRN983027 IBJ983023:IBJ983027 ILF983023:ILF983027 IVB983023:IVB983027 JEX983023:JEX983027 JOT983023:JOT983027 JYP983023:JYP983027 KIL983023:KIL983027 KSH983023:KSH983027 LCD983023:LCD983027 LLZ983023:LLZ983027 LVV983023:LVV983027 MFR983023:MFR983027 MPN983023:MPN983027 MZJ983023:MZJ983027 NJF983023:NJF983027 NTB983023:NTB983027 OCX983023:OCX983027 OMT983023:OMT983027 OWP983023:OWP983027 PGL983023:PGL983027 PQH983023:PQH983027 QAD983023:QAD983027 QJZ983023:QJZ983027 QTV983023:QTV983027 RDR983023:RDR983027 RNN983023:RNN983027 RXJ983023:RXJ983027 SHF983023:SHF983027 SRB983023:SRB983027 TAX983023:TAX983027 TKT983023:TKT983027 TUP983023:TUP983027 UEL983023:UEL983027 UOH983023:UOH983027 UYD983023:UYD983027 VHZ983023:VHZ983027 VRV983023:VRV983027 WBR983023:WBR983027 WLN983023:WLN983027 WVJ983023:WVJ983027 C65529:C65531 IX65529:IX65531 ST65529:ST65531 ACP65529:ACP65531 AML65529:AML65531 AWH65529:AWH65531 BGD65529:BGD65531 BPZ65529:BPZ65531 BZV65529:BZV65531 CJR65529:CJR65531 CTN65529:CTN65531 DDJ65529:DDJ65531 DNF65529:DNF65531 DXB65529:DXB65531 EGX65529:EGX65531 EQT65529:EQT65531 FAP65529:FAP65531 FKL65529:FKL65531 FUH65529:FUH65531 GED65529:GED65531 GNZ65529:GNZ65531 GXV65529:GXV65531 HHR65529:HHR65531 HRN65529:HRN65531 IBJ65529:IBJ65531 ILF65529:ILF65531 IVB65529:IVB65531 JEX65529:JEX65531 JOT65529:JOT65531 JYP65529:JYP65531 KIL65529:KIL65531 KSH65529:KSH65531 LCD65529:LCD65531 LLZ65529:LLZ65531 LVV65529:LVV65531 MFR65529:MFR65531 MPN65529:MPN65531 MZJ65529:MZJ65531 NJF65529:NJF65531 NTB65529:NTB65531 OCX65529:OCX65531 OMT65529:OMT65531 OWP65529:OWP65531 PGL65529:PGL65531 PQH65529:PQH65531 QAD65529:QAD65531 QJZ65529:QJZ65531 QTV65529:QTV65531 RDR65529:RDR65531 RNN65529:RNN65531 RXJ65529:RXJ65531 SHF65529:SHF65531 SRB65529:SRB65531 TAX65529:TAX65531 TKT65529:TKT65531 TUP65529:TUP65531 UEL65529:UEL65531 UOH65529:UOH65531 UYD65529:UYD65531 VHZ65529:VHZ65531 VRV65529:VRV65531 WBR65529:WBR65531 WLN65529:WLN65531 WVJ65529:WVJ65531 C131065:C131067 IX131065:IX131067 ST131065:ST131067 ACP131065:ACP131067 AML131065:AML131067 AWH131065:AWH131067 BGD131065:BGD131067 BPZ131065:BPZ131067 BZV131065:BZV131067 CJR131065:CJR131067 CTN131065:CTN131067 DDJ131065:DDJ131067 DNF131065:DNF131067 DXB131065:DXB131067 EGX131065:EGX131067 EQT131065:EQT131067 FAP131065:FAP131067 FKL131065:FKL131067 FUH131065:FUH131067 GED131065:GED131067 GNZ131065:GNZ131067 GXV131065:GXV131067 HHR131065:HHR131067 HRN131065:HRN131067 IBJ131065:IBJ131067 ILF131065:ILF131067 IVB131065:IVB131067 JEX131065:JEX131067 JOT131065:JOT131067 JYP131065:JYP131067 KIL131065:KIL131067 KSH131065:KSH131067 LCD131065:LCD131067 LLZ131065:LLZ131067 LVV131065:LVV131067 MFR131065:MFR131067 MPN131065:MPN131067 MZJ131065:MZJ131067 NJF131065:NJF131067 NTB131065:NTB131067 OCX131065:OCX131067 OMT131065:OMT131067 OWP131065:OWP131067 PGL131065:PGL131067 PQH131065:PQH131067 QAD131065:QAD131067 QJZ131065:QJZ131067 QTV131065:QTV131067 RDR131065:RDR131067 RNN131065:RNN131067 RXJ131065:RXJ131067 SHF131065:SHF131067 SRB131065:SRB131067 TAX131065:TAX131067 TKT131065:TKT131067 TUP131065:TUP131067 UEL131065:UEL131067 UOH131065:UOH131067 UYD131065:UYD131067 VHZ131065:VHZ131067 VRV131065:VRV131067 WBR131065:WBR131067 WLN131065:WLN131067 WVJ131065:WVJ131067 C196601:C196603 IX196601:IX196603 ST196601:ST196603 ACP196601:ACP196603 AML196601:AML196603 AWH196601:AWH196603 BGD196601:BGD196603 BPZ196601:BPZ196603 BZV196601:BZV196603 CJR196601:CJR196603 CTN196601:CTN196603 DDJ196601:DDJ196603 DNF196601:DNF196603 DXB196601:DXB196603 EGX196601:EGX196603 EQT196601:EQT196603 FAP196601:FAP196603 FKL196601:FKL196603 FUH196601:FUH196603 GED196601:GED196603 GNZ196601:GNZ196603 GXV196601:GXV196603 HHR196601:HHR196603 HRN196601:HRN196603 IBJ196601:IBJ196603 ILF196601:ILF196603 IVB196601:IVB196603 JEX196601:JEX196603 JOT196601:JOT196603 JYP196601:JYP196603 KIL196601:KIL196603 KSH196601:KSH196603 LCD196601:LCD196603 LLZ196601:LLZ196603 LVV196601:LVV196603 MFR196601:MFR196603 MPN196601:MPN196603 MZJ196601:MZJ196603 NJF196601:NJF196603 NTB196601:NTB196603 OCX196601:OCX196603 OMT196601:OMT196603 OWP196601:OWP196603 PGL196601:PGL196603 PQH196601:PQH196603 QAD196601:QAD196603 QJZ196601:QJZ196603 QTV196601:QTV196603 RDR196601:RDR196603 RNN196601:RNN196603 RXJ196601:RXJ196603 SHF196601:SHF196603 SRB196601:SRB196603 TAX196601:TAX196603 TKT196601:TKT196603 TUP196601:TUP196603 UEL196601:UEL196603 UOH196601:UOH196603 UYD196601:UYD196603 VHZ196601:VHZ196603 VRV196601:VRV196603 WBR196601:WBR196603 WLN196601:WLN196603 WVJ196601:WVJ196603 C262137:C262139 IX262137:IX262139 ST262137:ST262139 ACP262137:ACP262139 AML262137:AML262139 AWH262137:AWH262139 BGD262137:BGD262139 BPZ262137:BPZ262139 BZV262137:BZV262139 CJR262137:CJR262139 CTN262137:CTN262139 DDJ262137:DDJ262139 DNF262137:DNF262139 DXB262137:DXB262139 EGX262137:EGX262139 EQT262137:EQT262139 FAP262137:FAP262139 FKL262137:FKL262139 FUH262137:FUH262139 GED262137:GED262139 GNZ262137:GNZ262139 GXV262137:GXV262139 HHR262137:HHR262139 HRN262137:HRN262139 IBJ262137:IBJ262139 ILF262137:ILF262139 IVB262137:IVB262139 JEX262137:JEX262139 JOT262137:JOT262139 JYP262137:JYP262139 KIL262137:KIL262139 KSH262137:KSH262139 LCD262137:LCD262139 LLZ262137:LLZ262139 LVV262137:LVV262139 MFR262137:MFR262139 MPN262137:MPN262139 MZJ262137:MZJ262139 NJF262137:NJF262139 NTB262137:NTB262139 OCX262137:OCX262139 OMT262137:OMT262139 OWP262137:OWP262139 PGL262137:PGL262139 PQH262137:PQH262139 QAD262137:QAD262139 QJZ262137:QJZ262139 QTV262137:QTV262139 RDR262137:RDR262139 RNN262137:RNN262139 RXJ262137:RXJ262139 SHF262137:SHF262139 SRB262137:SRB262139 TAX262137:TAX262139 TKT262137:TKT262139 TUP262137:TUP262139 UEL262137:UEL262139 UOH262137:UOH262139 UYD262137:UYD262139 VHZ262137:VHZ262139 VRV262137:VRV262139 WBR262137:WBR262139 WLN262137:WLN262139 WVJ262137:WVJ262139 C327673:C327675 IX327673:IX327675 ST327673:ST327675 ACP327673:ACP327675 AML327673:AML327675 AWH327673:AWH327675 BGD327673:BGD327675 BPZ327673:BPZ327675 BZV327673:BZV327675 CJR327673:CJR327675 CTN327673:CTN327675 DDJ327673:DDJ327675 DNF327673:DNF327675 DXB327673:DXB327675 EGX327673:EGX327675 EQT327673:EQT327675 FAP327673:FAP327675 FKL327673:FKL327675 FUH327673:FUH327675 GED327673:GED327675 GNZ327673:GNZ327675 GXV327673:GXV327675 HHR327673:HHR327675 HRN327673:HRN327675 IBJ327673:IBJ327675 ILF327673:ILF327675 IVB327673:IVB327675 JEX327673:JEX327675 JOT327673:JOT327675 JYP327673:JYP327675 KIL327673:KIL327675 KSH327673:KSH327675 LCD327673:LCD327675 LLZ327673:LLZ327675 LVV327673:LVV327675 MFR327673:MFR327675 MPN327673:MPN327675 MZJ327673:MZJ327675 NJF327673:NJF327675 NTB327673:NTB327675 OCX327673:OCX327675 OMT327673:OMT327675 OWP327673:OWP327675 PGL327673:PGL327675 PQH327673:PQH327675 QAD327673:QAD327675 QJZ327673:QJZ327675 QTV327673:QTV327675 RDR327673:RDR327675 RNN327673:RNN327675 RXJ327673:RXJ327675 SHF327673:SHF327675 SRB327673:SRB327675 TAX327673:TAX327675 TKT327673:TKT327675 TUP327673:TUP327675 UEL327673:UEL327675 UOH327673:UOH327675 UYD327673:UYD327675 VHZ327673:VHZ327675 VRV327673:VRV327675 WBR327673:WBR327675 WLN327673:WLN327675 WVJ327673:WVJ327675 C393209:C393211 IX393209:IX393211 ST393209:ST393211 ACP393209:ACP393211 AML393209:AML393211 AWH393209:AWH393211 BGD393209:BGD393211 BPZ393209:BPZ393211 BZV393209:BZV393211 CJR393209:CJR393211 CTN393209:CTN393211 DDJ393209:DDJ393211 DNF393209:DNF393211 DXB393209:DXB393211 EGX393209:EGX393211 EQT393209:EQT393211 FAP393209:FAP393211 FKL393209:FKL393211 FUH393209:FUH393211 GED393209:GED393211 GNZ393209:GNZ393211 GXV393209:GXV393211 HHR393209:HHR393211 HRN393209:HRN393211 IBJ393209:IBJ393211 ILF393209:ILF393211 IVB393209:IVB393211 JEX393209:JEX393211 JOT393209:JOT393211 JYP393209:JYP393211 KIL393209:KIL393211 KSH393209:KSH393211 LCD393209:LCD393211 LLZ393209:LLZ393211 LVV393209:LVV393211 MFR393209:MFR393211 MPN393209:MPN393211 MZJ393209:MZJ393211 NJF393209:NJF393211 NTB393209:NTB393211 OCX393209:OCX393211 OMT393209:OMT393211 OWP393209:OWP393211 PGL393209:PGL393211 PQH393209:PQH393211 QAD393209:QAD393211 QJZ393209:QJZ393211 QTV393209:QTV393211 RDR393209:RDR393211 RNN393209:RNN393211 RXJ393209:RXJ393211 SHF393209:SHF393211 SRB393209:SRB393211 TAX393209:TAX393211 TKT393209:TKT393211 TUP393209:TUP393211 UEL393209:UEL393211 UOH393209:UOH393211 UYD393209:UYD393211 VHZ393209:VHZ393211 VRV393209:VRV393211 WBR393209:WBR393211 WLN393209:WLN393211 WVJ393209:WVJ393211 C458745:C458747 IX458745:IX458747 ST458745:ST458747 ACP458745:ACP458747 AML458745:AML458747 AWH458745:AWH458747 BGD458745:BGD458747 BPZ458745:BPZ458747 BZV458745:BZV458747 CJR458745:CJR458747 CTN458745:CTN458747 DDJ458745:DDJ458747 DNF458745:DNF458747 DXB458745:DXB458747 EGX458745:EGX458747 EQT458745:EQT458747 FAP458745:FAP458747 FKL458745:FKL458747 FUH458745:FUH458747 GED458745:GED458747 GNZ458745:GNZ458747 GXV458745:GXV458747 HHR458745:HHR458747 HRN458745:HRN458747 IBJ458745:IBJ458747 ILF458745:ILF458747 IVB458745:IVB458747 JEX458745:JEX458747 JOT458745:JOT458747 JYP458745:JYP458747 KIL458745:KIL458747 KSH458745:KSH458747 LCD458745:LCD458747 LLZ458745:LLZ458747 LVV458745:LVV458747 MFR458745:MFR458747 MPN458745:MPN458747 MZJ458745:MZJ458747 NJF458745:NJF458747 NTB458745:NTB458747 OCX458745:OCX458747 OMT458745:OMT458747 OWP458745:OWP458747 PGL458745:PGL458747 PQH458745:PQH458747 QAD458745:QAD458747 QJZ458745:QJZ458747 QTV458745:QTV458747 RDR458745:RDR458747 RNN458745:RNN458747 RXJ458745:RXJ458747 SHF458745:SHF458747 SRB458745:SRB458747 TAX458745:TAX458747 TKT458745:TKT458747 TUP458745:TUP458747 UEL458745:UEL458747 UOH458745:UOH458747 UYD458745:UYD458747 VHZ458745:VHZ458747 VRV458745:VRV458747 WBR458745:WBR458747 WLN458745:WLN458747 WVJ458745:WVJ458747 C524281:C524283 IX524281:IX524283 ST524281:ST524283 ACP524281:ACP524283 AML524281:AML524283 AWH524281:AWH524283 BGD524281:BGD524283 BPZ524281:BPZ524283 BZV524281:BZV524283 CJR524281:CJR524283 CTN524281:CTN524283 DDJ524281:DDJ524283 DNF524281:DNF524283 DXB524281:DXB524283 EGX524281:EGX524283 EQT524281:EQT524283 FAP524281:FAP524283 FKL524281:FKL524283 FUH524281:FUH524283 GED524281:GED524283 GNZ524281:GNZ524283 GXV524281:GXV524283 HHR524281:HHR524283 HRN524281:HRN524283 IBJ524281:IBJ524283 ILF524281:ILF524283 IVB524281:IVB524283 JEX524281:JEX524283 JOT524281:JOT524283 JYP524281:JYP524283 KIL524281:KIL524283 KSH524281:KSH524283 LCD524281:LCD524283 LLZ524281:LLZ524283 LVV524281:LVV524283 MFR524281:MFR524283 MPN524281:MPN524283 MZJ524281:MZJ524283 NJF524281:NJF524283 NTB524281:NTB524283 OCX524281:OCX524283 OMT524281:OMT524283 OWP524281:OWP524283 PGL524281:PGL524283 PQH524281:PQH524283 QAD524281:QAD524283 QJZ524281:QJZ524283 QTV524281:QTV524283 RDR524281:RDR524283 RNN524281:RNN524283 RXJ524281:RXJ524283 SHF524281:SHF524283 SRB524281:SRB524283 TAX524281:TAX524283 TKT524281:TKT524283 TUP524281:TUP524283 UEL524281:UEL524283 UOH524281:UOH524283 UYD524281:UYD524283 VHZ524281:VHZ524283 VRV524281:VRV524283 WBR524281:WBR524283 WLN524281:WLN524283 WVJ524281:WVJ524283 C589817:C589819 IX589817:IX589819 ST589817:ST589819 ACP589817:ACP589819 AML589817:AML589819 AWH589817:AWH589819 BGD589817:BGD589819 BPZ589817:BPZ589819 BZV589817:BZV589819 CJR589817:CJR589819 CTN589817:CTN589819 DDJ589817:DDJ589819 DNF589817:DNF589819 DXB589817:DXB589819 EGX589817:EGX589819 EQT589817:EQT589819 FAP589817:FAP589819 FKL589817:FKL589819 FUH589817:FUH589819 GED589817:GED589819 GNZ589817:GNZ589819 GXV589817:GXV589819 HHR589817:HHR589819 HRN589817:HRN589819 IBJ589817:IBJ589819 ILF589817:ILF589819 IVB589817:IVB589819 JEX589817:JEX589819 JOT589817:JOT589819 JYP589817:JYP589819 KIL589817:KIL589819 KSH589817:KSH589819 LCD589817:LCD589819 LLZ589817:LLZ589819 LVV589817:LVV589819 MFR589817:MFR589819 MPN589817:MPN589819 MZJ589817:MZJ589819 NJF589817:NJF589819 NTB589817:NTB589819 OCX589817:OCX589819 OMT589817:OMT589819 OWP589817:OWP589819 PGL589817:PGL589819 PQH589817:PQH589819 QAD589817:QAD589819 QJZ589817:QJZ589819 QTV589817:QTV589819 RDR589817:RDR589819 RNN589817:RNN589819 RXJ589817:RXJ589819 SHF589817:SHF589819 SRB589817:SRB589819 TAX589817:TAX589819 TKT589817:TKT589819 TUP589817:TUP589819 UEL589817:UEL589819 UOH589817:UOH589819 UYD589817:UYD589819 VHZ589817:VHZ589819 VRV589817:VRV589819 WBR589817:WBR589819 WLN589817:WLN589819 WVJ589817:WVJ589819 C655353:C655355 IX655353:IX655355 ST655353:ST655355 ACP655353:ACP655355 AML655353:AML655355 AWH655353:AWH655355 BGD655353:BGD655355 BPZ655353:BPZ655355 BZV655353:BZV655355 CJR655353:CJR655355 CTN655353:CTN655355 DDJ655353:DDJ655355 DNF655353:DNF655355 DXB655353:DXB655355 EGX655353:EGX655355 EQT655353:EQT655355 FAP655353:FAP655355 FKL655353:FKL655355 FUH655353:FUH655355 GED655353:GED655355 GNZ655353:GNZ655355 GXV655353:GXV655355 HHR655353:HHR655355 HRN655353:HRN655355 IBJ655353:IBJ655355 ILF655353:ILF655355 IVB655353:IVB655355 JEX655353:JEX655355 JOT655353:JOT655355 JYP655353:JYP655355 KIL655353:KIL655355 KSH655353:KSH655355 LCD655353:LCD655355 LLZ655353:LLZ655355 LVV655353:LVV655355 MFR655353:MFR655355 MPN655353:MPN655355 MZJ655353:MZJ655355 NJF655353:NJF655355 NTB655353:NTB655355 OCX655353:OCX655355 OMT655353:OMT655355 OWP655353:OWP655355 PGL655353:PGL655355 PQH655353:PQH655355 QAD655353:QAD655355 QJZ655353:QJZ655355 QTV655353:QTV655355 RDR655353:RDR655355 RNN655353:RNN655355 RXJ655353:RXJ655355 SHF655353:SHF655355 SRB655353:SRB655355 TAX655353:TAX655355 TKT655353:TKT655355 TUP655353:TUP655355 UEL655353:UEL655355 UOH655353:UOH655355 UYD655353:UYD655355 VHZ655353:VHZ655355 VRV655353:VRV655355 WBR655353:WBR655355 WLN655353:WLN655355 WVJ655353:WVJ655355 C720889:C720891 IX720889:IX720891 ST720889:ST720891 ACP720889:ACP720891 AML720889:AML720891 AWH720889:AWH720891 BGD720889:BGD720891 BPZ720889:BPZ720891 BZV720889:BZV720891 CJR720889:CJR720891 CTN720889:CTN720891 DDJ720889:DDJ720891 DNF720889:DNF720891 DXB720889:DXB720891 EGX720889:EGX720891 EQT720889:EQT720891 FAP720889:FAP720891 FKL720889:FKL720891 FUH720889:FUH720891 GED720889:GED720891 GNZ720889:GNZ720891 GXV720889:GXV720891 HHR720889:HHR720891 HRN720889:HRN720891 IBJ720889:IBJ720891 ILF720889:ILF720891 IVB720889:IVB720891 JEX720889:JEX720891 JOT720889:JOT720891 JYP720889:JYP720891 KIL720889:KIL720891 KSH720889:KSH720891 LCD720889:LCD720891 LLZ720889:LLZ720891 LVV720889:LVV720891 MFR720889:MFR720891 MPN720889:MPN720891 MZJ720889:MZJ720891 NJF720889:NJF720891 NTB720889:NTB720891 OCX720889:OCX720891 OMT720889:OMT720891 OWP720889:OWP720891 PGL720889:PGL720891 PQH720889:PQH720891 QAD720889:QAD720891 QJZ720889:QJZ720891 QTV720889:QTV720891 RDR720889:RDR720891 RNN720889:RNN720891 RXJ720889:RXJ720891 SHF720889:SHF720891 SRB720889:SRB720891 TAX720889:TAX720891 TKT720889:TKT720891 TUP720889:TUP720891 UEL720889:UEL720891 UOH720889:UOH720891 UYD720889:UYD720891 VHZ720889:VHZ720891 VRV720889:VRV720891 WBR720889:WBR720891 WLN720889:WLN720891 WVJ720889:WVJ720891 C786425:C786427 IX786425:IX786427 ST786425:ST786427 ACP786425:ACP786427 AML786425:AML786427 AWH786425:AWH786427 BGD786425:BGD786427 BPZ786425:BPZ786427 BZV786425:BZV786427 CJR786425:CJR786427 CTN786425:CTN786427 DDJ786425:DDJ786427 DNF786425:DNF786427 DXB786425:DXB786427 EGX786425:EGX786427 EQT786425:EQT786427 FAP786425:FAP786427 FKL786425:FKL786427 FUH786425:FUH786427 GED786425:GED786427 GNZ786425:GNZ786427 GXV786425:GXV786427 HHR786425:HHR786427 HRN786425:HRN786427 IBJ786425:IBJ786427 ILF786425:ILF786427 IVB786425:IVB786427 JEX786425:JEX786427 JOT786425:JOT786427 JYP786425:JYP786427 KIL786425:KIL786427 KSH786425:KSH786427 LCD786425:LCD786427 LLZ786425:LLZ786427 LVV786425:LVV786427 MFR786425:MFR786427 MPN786425:MPN786427 MZJ786425:MZJ786427 NJF786425:NJF786427 NTB786425:NTB786427 OCX786425:OCX786427 OMT786425:OMT786427 OWP786425:OWP786427 PGL786425:PGL786427 PQH786425:PQH786427 QAD786425:QAD786427 QJZ786425:QJZ786427 QTV786425:QTV786427 RDR786425:RDR786427 RNN786425:RNN786427 RXJ786425:RXJ786427 SHF786425:SHF786427 SRB786425:SRB786427 TAX786425:TAX786427 TKT786425:TKT786427 TUP786425:TUP786427 UEL786425:UEL786427 UOH786425:UOH786427 UYD786425:UYD786427 VHZ786425:VHZ786427 VRV786425:VRV786427 WBR786425:WBR786427 WLN786425:WLN786427 WVJ786425:WVJ786427 C851961:C851963 IX851961:IX851963 ST851961:ST851963 ACP851961:ACP851963 AML851961:AML851963 AWH851961:AWH851963 BGD851961:BGD851963 BPZ851961:BPZ851963 BZV851961:BZV851963 CJR851961:CJR851963 CTN851961:CTN851963 DDJ851961:DDJ851963 DNF851961:DNF851963 DXB851961:DXB851963 EGX851961:EGX851963 EQT851961:EQT851963 FAP851961:FAP851963 FKL851961:FKL851963 FUH851961:FUH851963 GED851961:GED851963 GNZ851961:GNZ851963 GXV851961:GXV851963 HHR851961:HHR851963 HRN851961:HRN851963 IBJ851961:IBJ851963 ILF851961:ILF851963 IVB851961:IVB851963 JEX851961:JEX851963 JOT851961:JOT851963 JYP851961:JYP851963 KIL851961:KIL851963 KSH851961:KSH851963 LCD851961:LCD851963 LLZ851961:LLZ851963 LVV851961:LVV851963 MFR851961:MFR851963 MPN851961:MPN851963 MZJ851961:MZJ851963 NJF851961:NJF851963 NTB851961:NTB851963 OCX851961:OCX851963 OMT851961:OMT851963 OWP851961:OWP851963 PGL851961:PGL851963 PQH851961:PQH851963 QAD851961:QAD851963 QJZ851961:QJZ851963 QTV851961:QTV851963 RDR851961:RDR851963 RNN851961:RNN851963 RXJ851961:RXJ851963 SHF851961:SHF851963 SRB851961:SRB851963 TAX851961:TAX851963 TKT851961:TKT851963 TUP851961:TUP851963 UEL851961:UEL851963 UOH851961:UOH851963 UYD851961:UYD851963 VHZ851961:VHZ851963 VRV851961:VRV851963 WBR851961:WBR851963 WLN851961:WLN851963 WVJ851961:WVJ851963 C917497:C917499 IX917497:IX917499 ST917497:ST917499 ACP917497:ACP917499 AML917497:AML917499 AWH917497:AWH917499 BGD917497:BGD917499 BPZ917497:BPZ917499 BZV917497:BZV917499 CJR917497:CJR917499 CTN917497:CTN917499 DDJ917497:DDJ917499 DNF917497:DNF917499 DXB917497:DXB917499 EGX917497:EGX917499 EQT917497:EQT917499 FAP917497:FAP917499 FKL917497:FKL917499 FUH917497:FUH917499 GED917497:GED917499 GNZ917497:GNZ917499 GXV917497:GXV917499 HHR917497:HHR917499 HRN917497:HRN917499 IBJ917497:IBJ917499 ILF917497:ILF917499 IVB917497:IVB917499 JEX917497:JEX917499 JOT917497:JOT917499 JYP917497:JYP917499 KIL917497:KIL917499 KSH917497:KSH917499 LCD917497:LCD917499 LLZ917497:LLZ917499 LVV917497:LVV917499 MFR917497:MFR917499 MPN917497:MPN917499 MZJ917497:MZJ917499 NJF917497:NJF917499 NTB917497:NTB917499 OCX917497:OCX917499 OMT917497:OMT917499 OWP917497:OWP917499 PGL917497:PGL917499 PQH917497:PQH917499 QAD917497:QAD917499 QJZ917497:QJZ917499 QTV917497:QTV917499 RDR917497:RDR917499 RNN917497:RNN917499 RXJ917497:RXJ917499 SHF917497:SHF917499 SRB917497:SRB917499 TAX917497:TAX917499 TKT917497:TKT917499 TUP917497:TUP917499 UEL917497:UEL917499 UOH917497:UOH917499 UYD917497:UYD917499 VHZ917497:VHZ917499 VRV917497:VRV917499 WBR917497:WBR917499 WLN917497:WLN917499 WVJ917497:WVJ917499 C983033:C983035 IX983033:IX983035 ST983033:ST983035 ACP983033:ACP983035 AML983033:AML983035 AWH983033:AWH983035 BGD983033:BGD983035 BPZ983033:BPZ983035 BZV983033:BZV983035 CJR983033:CJR983035 CTN983033:CTN983035 DDJ983033:DDJ983035 DNF983033:DNF983035 DXB983033:DXB983035 EGX983033:EGX983035 EQT983033:EQT983035 FAP983033:FAP983035 FKL983033:FKL983035 FUH983033:FUH983035 GED983033:GED983035 GNZ983033:GNZ983035 GXV983033:GXV983035 HHR983033:HHR983035 HRN983033:HRN983035 IBJ983033:IBJ983035 ILF983033:ILF983035 IVB983033:IVB983035 JEX983033:JEX983035 JOT983033:JOT983035 JYP983033:JYP983035 KIL983033:KIL983035 KSH983033:KSH983035 LCD983033:LCD983035 LLZ983033:LLZ983035 LVV983033:LVV983035 MFR983033:MFR983035 MPN983033:MPN983035 MZJ983033:MZJ983035 NJF983033:NJF983035 NTB983033:NTB983035 OCX983033:OCX983035 OMT983033:OMT983035 OWP983033:OWP983035 PGL983033:PGL983035 PQH983033:PQH983035 QAD983033:QAD983035 QJZ983033:QJZ983035 QTV983033:QTV983035 RDR983033:RDR983035 RNN983033:RNN983035 RXJ983033:RXJ983035 SHF983033:SHF983035 SRB983033:SRB983035 TAX983033:TAX983035 TKT983033:TKT983035 TUP983033:TUP983035 UEL983033:UEL983035 UOH983033:UOH983035 UYD983033:UYD983035 VHZ983033:VHZ983035 VRV983033:VRV983035 WBR983033:WBR983035 WLN983033:WLN983035 WVJ983033:WVJ983035 C65553:C65557 IX65553:IX65557 ST65553:ST65557 ACP65553:ACP65557 AML65553:AML65557 AWH65553:AWH65557 BGD65553:BGD65557 BPZ65553:BPZ65557 BZV65553:BZV65557 CJR65553:CJR65557 CTN65553:CTN65557 DDJ65553:DDJ65557 DNF65553:DNF65557 DXB65553:DXB65557 EGX65553:EGX65557 EQT65553:EQT65557 FAP65553:FAP65557 FKL65553:FKL65557 FUH65553:FUH65557 GED65553:GED65557 GNZ65553:GNZ65557 GXV65553:GXV65557 HHR65553:HHR65557 HRN65553:HRN65557 IBJ65553:IBJ65557 ILF65553:ILF65557 IVB65553:IVB65557 JEX65553:JEX65557 JOT65553:JOT65557 JYP65553:JYP65557 KIL65553:KIL65557 KSH65553:KSH65557 LCD65553:LCD65557 LLZ65553:LLZ65557 LVV65553:LVV65557 MFR65553:MFR65557 MPN65553:MPN65557 MZJ65553:MZJ65557 NJF65553:NJF65557 NTB65553:NTB65557 OCX65553:OCX65557 OMT65553:OMT65557 OWP65553:OWP65557 PGL65553:PGL65557 PQH65553:PQH65557 QAD65553:QAD65557 QJZ65553:QJZ65557 QTV65553:QTV65557 RDR65553:RDR65557 RNN65553:RNN65557 RXJ65553:RXJ65557 SHF65553:SHF65557 SRB65553:SRB65557 TAX65553:TAX65557 TKT65553:TKT65557 TUP65553:TUP65557 UEL65553:UEL65557 UOH65553:UOH65557 UYD65553:UYD65557 VHZ65553:VHZ65557 VRV65553:VRV65557 WBR65553:WBR65557 WLN65553:WLN65557 WVJ65553:WVJ65557 C131089:C131093 IX131089:IX131093 ST131089:ST131093 ACP131089:ACP131093 AML131089:AML131093 AWH131089:AWH131093 BGD131089:BGD131093 BPZ131089:BPZ131093 BZV131089:BZV131093 CJR131089:CJR131093 CTN131089:CTN131093 DDJ131089:DDJ131093 DNF131089:DNF131093 DXB131089:DXB131093 EGX131089:EGX131093 EQT131089:EQT131093 FAP131089:FAP131093 FKL131089:FKL131093 FUH131089:FUH131093 GED131089:GED131093 GNZ131089:GNZ131093 GXV131089:GXV131093 HHR131089:HHR131093 HRN131089:HRN131093 IBJ131089:IBJ131093 ILF131089:ILF131093 IVB131089:IVB131093 JEX131089:JEX131093 JOT131089:JOT131093 JYP131089:JYP131093 KIL131089:KIL131093 KSH131089:KSH131093 LCD131089:LCD131093 LLZ131089:LLZ131093 LVV131089:LVV131093 MFR131089:MFR131093 MPN131089:MPN131093 MZJ131089:MZJ131093 NJF131089:NJF131093 NTB131089:NTB131093 OCX131089:OCX131093 OMT131089:OMT131093 OWP131089:OWP131093 PGL131089:PGL131093 PQH131089:PQH131093 QAD131089:QAD131093 QJZ131089:QJZ131093 QTV131089:QTV131093 RDR131089:RDR131093 RNN131089:RNN131093 RXJ131089:RXJ131093 SHF131089:SHF131093 SRB131089:SRB131093 TAX131089:TAX131093 TKT131089:TKT131093 TUP131089:TUP131093 UEL131089:UEL131093 UOH131089:UOH131093 UYD131089:UYD131093 VHZ131089:VHZ131093 VRV131089:VRV131093 WBR131089:WBR131093 WLN131089:WLN131093 WVJ131089:WVJ131093 C196625:C196629 IX196625:IX196629 ST196625:ST196629 ACP196625:ACP196629 AML196625:AML196629 AWH196625:AWH196629 BGD196625:BGD196629 BPZ196625:BPZ196629 BZV196625:BZV196629 CJR196625:CJR196629 CTN196625:CTN196629 DDJ196625:DDJ196629 DNF196625:DNF196629 DXB196625:DXB196629 EGX196625:EGX196629 EQT196625:EQT196629 FAP196625:FAP196629 FKL196625:FKL196629 FUH196625:FUH196629 GED196625:GED196629 GNZ196625:GNZ196629 GXV196625:GXV196629 HHR196625:HHR196629 HRN196625:HRN196629 IBJ196625:IBJ196629 ILF196625:ILF196629 IVB196625:IVB196629 JEX196625:JEX196629 JOT196625:JOT196629 JYP196625:JYP196629 KIL196625:KIL196629 KSH196625:KSH196629 LCD196625:LCD196629 LLZ196625:LLZ196629 LVV196625:LVV196629 MFR196625:MFR196629 MPN196625:MPN196629 MZJ196625:MZJ196629 NJF196625:NJF196629 NTB196625:NTB196629 OCX196625:OCX196629 OMT196625:OMT196629 OWP196625:OWP196629 PGL196625:PGL196629 PQH196625:PQH196629 QAD196625:QAD196629 QJZ196625:QJZ196629 QTV196625:QTV196629 RDR196625:RDR196629 RNN196625:RNN196629 RXJ196625:RXJ196629 SHF196625:SHF196629 SRB196625:SRB196629 TAX196625:TAX196629 TKT196625:TKT196629 TUP196625:TUP196629 UEL196625:UEL196629 UOH196625:UOH196629 UYD196625:UYD196629 VHZ196625:VHZ196629 VRV196625:VRV196629 WBR196625:WBR196629 WLN196625:WLN196629 WVJ196625:WVJ196629 C262161:C262165 IX262161:IX262165 ST262161:ST262165 ACP262161:ACP262165 AML262161:AML262165 AWH262161:AWH262165 BGD262161:BGD262165 BPZ262161:BPZ262165 BZV262161:BZV262165 CJR262161:CJR262165 CTN262161:CTN262165 DDJ262161:DDJ262165 DNF262161:DNF262165 DXB262161:DXB262165 EGX262161:EGX262165 EQT262161:EQT262165 FAP262161:FAP262165 FKL262161:FKL262165 FUH262161:FUH262165 GED262161:GED262165 GNZ262161:GNZ262165 GXV262161:GXV262165 HHR262161:HHR262165 HRN262161:HRN262165 IBJ262161:IBJ262165 ILF262161:ILF262165 IVB262161:IVB262165 JEX262161:JEX262165 JOT262161:JOT262165 JYP262161:JYP262165 KIL262161:KIL262165 KSH262161:KSH262165 LCD262161:LCD262165 LLZ262161:LLZ262165 LVV262161:LVV262165 MFR262161:MFR262165 MPN262161:MPN262165 MZJ262161:MZJ262165 NJF262161:NJF262165 NTB262161:NTB262165 OCX262161:OCX262165 OMT262161:OMT262165 OWP262161:OWP262165 PGL262161:PGL262165 PQH262161:PQH262165 QAD262161:QAD262165 QJZ262161:QJZ262165 QTV262161:QTV262165 RDR262161:RDR262165 RNN262161:RNN262165 RXJ262161:RXJ262165 SHF262161:SHF262165 SRB262161:SRB262165 TAX262161:TAX262165 TKT262161:TKT262165 TUP262161:TUP262165 UEL262161:UEL262165 UOH262161:UOH262165 UYD262161:UYD262165 VHZ262161:VHZ262165 VRV262161:VRV262165 WBR262161:WBR262165 WLN262161:WLN262165 WVJ262161:WVJ262165 C327697:C327701 IX327697:IX327701 ST327697:ST327701 ACP327697:ACP327701 AML327697:AML327701 AWH327697:AWH327701 BGD327697:BGD327701 BPZ327697:BPZ327701 BZV327697:BZV327701 CJR327697:CJR327701 CTN327697:CTN327701 DDJ327697:DDJ327701 DNF327697:DNF327701 DXB327697:DXB327701 EGX327697:EGX327701 EQT327697:EQT327701 FAP327697:FAP327701 FKL327697:FKL327701 FUH327697:FUH327701 GED327697:GED327701 GNZ327697:GNZ327701 GXV327697:GXV327701 HHR327697:HHR327701 HRN327697:HRN327701 IBJ327697:IBJ327701 ILF327697:ILF327701 IVB327697:IVB327701 JEX327697:JEX327701 JOT327697:JOT327701 JYP327697:JYP327701 KIL327697:KIL327701 KSH327697:KSH327701 LCD327697:LCD327701 LLZ327697:LLZ327701 LVV327697:LVV327701 MFR327697:MFR327701 MPN327697:MPN327701 MZJ327697:MZJ327701 NJF327697:NJF327701 NTB327697:NTB327701 OCX327697:OCX327701 OMT327697:OMT327701 OWP327697:OWP327701 PGL327697:PGL327701 PQH327697:PQH327701 QAD327697:QAD327701 QJZ327697:QJZ327701 QTV327697:QTV327701 RDR327697:RDR327701 RNN327697:RNN327701 RXJ327697:RXJ327701 SHF327697:SHF327701 SRB327697:SRB327701 TAX327697:TAX327701 TKT327697:TKT327701 TUP327697:TUP327701 UEL327697:UEL327701 UOH327697:UOH327701 UYD327697:UYD327701 VHZ327697:VHZ327701 VRV327697:VRV327701 WBR327697:WBR327701 WLN327697:WLN327701 WVJ327697:WVJ327701 C393233:C393237 IX393233:IX393237 ST393233:ST393237 ACP393233:ACP393237 AML393233:AML393237 AWH393233:AWH393237 BGD393233:BGD393237 BPZ393233:BPZ393237 BZV393233:BZV393237 CJR393233:CJR393237 CTN393233:CTN393237 DDJ393233:DDJ393237 DNF393233:DNF393237 DXB393233:DXB393237 EGX393233:EGX393237 EQT393233:EQT393237 FAP393233:FAP393237 FKL393233:FKL393237 FUH393233:FUH393237 GED393233:GED393237 GNZ393233:GNZ393237 GXV393233:GXV393237 HHR393233:HHR393237 HRN393233:HRN393237 IBJ393233:IBJ393237 ILF393233:ILF393237 IVB393233:IVB393237 JEX393233:JEX393237 JOT393233:JOT393237 JYP393233:JYP393237 KIL393233:KIL393237 KSH393233:KSH393237 LCD393233:LCD393237 LLZ393233:LLZ393237 LVV393233:LVV393237 MFR393233:MFR393237 MPN393233:MPN393237 MZJ393233:MZJ393237 NJF393233:NJF393237 NTB393233:NTB393237 OCX393233:OCX393237 OMT393233:OMT393237 OWP393233:OWP393237 PGL393233:PGL393237 PQH393233:PQH393237 QAD393233:QAD393237 QJZ393233:QJZ393237 QTV393233:QTV393237 RDR393233:RDR393237 RNN393233:RNN393237 RXJ393233:RXJ393237 SHF393233:SHF393237 SRB393233:SRB393237 TAX393233:TAX393237 TKT393233:TKT393237 TUP393233:TUP393237 UEL393233:UEL393237 UOH393233:UOH393237 UYD393233:UYD393237 VHZ393233:VHZ393237 VRV393233:VRV393237 WBR393233:WBR393237 WLN393233:WLN393237 WVJ393233:WVJ393237 C458769:C458773 IX458769:IX458773 ST458769:ST458773 ACP458769:ACP458773 AML458769:AML458773 AWH458769:AWH458773 BGD458769:BGD458773 BPZ458769:BPZ458773 BZV458769:BZV458773 CJR458769:CJR458773 CTN458769:CTN458773 DDJ458769:DDJ458773 DNF458769:DNF458773 DXB458769:DXB458773 EGX458769:EGX458773 EQT458769:EQT458773 FAP458769:FAP458773 FKL458769:FKL458773 FUH458769:FUH458773 GED458769:GED458773 GNZ458769:GNZ458773 GXV458769:GXV458773 HHR458769:HHR458773 HRN458769:HRN458773 IBJ458769:IBJ458773 ILF458769:ILF458773 IVB458769:IVB458773 JEX458769:JEX458773 JOT458769:JOT458773 JYP458769:JYP458773 KIL458769:KIL458773 KSH458769:KSH458773 LCD458769:LCD458773 LLZ458769:LLZ458773 LVV458769:LVV458773 MFR458769:MFR458773 MPN458769:MPN458773 MZJ458769:MZJ458773 NJF458769:NJF458773 NTB458769:NTB458773 OCX458769:OCX458773 OMT458769:OMT458773 OWP458769:OWP458773 PGL458769:PGL458773 PQH458769:PQH458773 QAD458769:QAD458773 QJZ458769:QJZ458773 QTV458769:QTV458773 RDR458769:RDR458773 RNN458769:RNN458773 RXJ458769:RXJ458773 SHF458769:SHF458773 SRB458769:SRB458773 TAX458769:TAX458773 TKT458769:TKT458773 TUP458769:TUP458773 UEL458769:UEL458773 UOH458769:UOH458773 UYD458769:UYD458773 VHZ458769:VHZ458773 VRV458769:VRV458773 WBR458769:WBR458773 WLN458769:WLN458773 WVJ458769:WVJ458773 C524305:C524309 IX524305:IX524309 ST524305:ST524309 ACP524305:ACP524309 AML524305:AML524309 AWH524305:AWH524309 BGD524305:BGD524309 BPZ524305:BPZ524309 BZV524305:BZV524309 CJR524305:CJR524309 CTN524305:CTN524309 DDJ524305:DDJ524309 DNF524305:DNF524309 DXB524305:DXB524309 EGX524305:EGX524309 EQT524305:EQT524309 FAP524305:FAP524309 FKL524305:FKL524309 FUH524305:FUH524309 GED524305:GED524309 GNZ524305:GNZ524309 GXV524305:GXV524309 HHR524305:HHR524309 HRN524305:HRN524309 IBJ524305:IBJ524309 ILF524305:ILF524309 IVB524305:IVB524309 JEX524305:JEX524309 JOT524305:JOT524309 JYP524305:JYP524309 KIL524305:KIL524309 KSH524305:KSH524309 LCD524305:LCD524309 LLZ524305:LLZ524309 LVV524305:LVV524309 MFR524305:MFR524309 MPN524305:MPN524309 MZJ524305:MZJ524309 NJF524305:NJF524309 NTB524305:NTB524309 OCX524305:OCX524309 OMT524305:OMT524309 OWP524305:OWP524309 PGL524305:PGL524309 PQH524305:PQH524309 QAD524305:QAD524309 QJZ524305:QJZ524309 QTV524305:QTV524309 RDR524305:RDR524309 RNN524305:RNN524309 RXJ524305:RXJ524309 SHF524305:SHF524309 SRB524305:SRB524309 TAX524305:TAX524309 TKT524305:TKT524309 TUP524305:TUP524309 UEL524305:UEL524309 UOH524305:UOH524309 UYD524305:UYD524309 VHZ524305:VHZ524309 VRV524305:VRV524309 WBR524305:WBR524309 WLN524305:WLN524309 WVJ524305:WVJ524309 C589841:C589845 IX589841:IX589845 ST589841:ST589845 ACP589841:ACP589845 AML589841:AML589845 AWH589841:AWH589845 BGD589841:BGD589845 BPZ589841:BPZ589845 BZV589841:BZV589845 CJR589841:CJR589845 CTN589841:CTN589845 DDJ589841:DDJ589845 DNF589841:DNF589845 DXB589841:DXB589845 EGX589841:EGX589845 EQT589841:EQT589845 FAP589841:FAP589845 FKL589841:FKL589845 FUH589841:FUH589845 GED589841:GED589845 GNZ589841:GNZ589845 GXV589841:GXV589845 HHR589841:HHR589845 HRN589841:HRN589845 IBJ589841:IBJ589845 ILF589841:ILF589845 IVB589841:IVB589845 JEX589841:JEX589845 JOT589841:JOT589845 JYP589841:JYP589845 KIL589841:KIL589845 KSH589841:KSH589845 LCD589841:LCD589845 LLZ589841:LLZ589845 LVV589841:LVV589845 MFR589841:MFR589845 MPN589841:MPN589845 MZJ589841:MZJ589845 NJF589841:NJF589845 NTB589841:NTB589845 OCX589841:OCX589845 OMT589841:OMT589845 OWP589841:OWP589845 PGL589841:PGL589845 PQH589841:PQH589845 QAD589841:QAD589845 QJZ589841:QJZ589845 QTV589841:QTV589845 RDR589841:RDR589845 RNN589841:RNN589845 RXJ589841:RXJ589845 SHF589841:SHF589845 SRB589841:SRB589845 TAX589841:TAX589845 TKT589841:TKT589845 TUP589841:TUP589845 UEL589841:UEL589845 UOH589841:UOH589845 UYD589841:UYD589845 VHZ589841:VHZ589845 VRV589841:VRV589845 WBR589841:WBR589845 WLN589841:WLN589845 WVJ589841:WVJ589845 C655377:C655381 IX655377:IX655381 ST655377:ST655381 ACP655377:ACP655381 AML655377:AML655381 AWH655377:AWH655381 BGD655377:BGD655381 BPZ655377:BPZ655381 BZV655377:BZV655381 CJR655377:CJR655381 CTN655377:CTN655381 DDJ655377:DDJ655381 DNF655377:DNF655381 DXB655377:DXB655381 EGX655377:EGX655381 EQT655377:EQT655381 FAP655377:FAP655381 FKL655377:FKL655381 FUH655377:FUH655381 GED655377:GED655381 GNZ655377:GNZ655381 GXV655377:GXV655381 HHR655377:HHR655381 HRN655377:HRN655381 IBJ655377:IBJ655381 ILF655377:ILF655381 IVB655377:IVB655381 JEX655377:JEX655381 JOT655377:JOT655381 JYP655377:JYP655381 KIL655377:KIL655381 KSH655377:KSH655381 LCD655377:LCD655381 LLZ655377:LLZ655381 LVV655377:LVV655381 MFR655377:MFR655381 MPN655377:MPN655381 MZJ655377:MZJ655381 NJF655377:NJF655381 NTB655377:NTB655381 OCX655377:OCX655381 OMT655377:OMT655381 OWP655377:OWP655381 PGL655377:PGL655381 PQH655377:PQH655381 QAD655377:QAD655381 QJZ655377:QJZ655381 QTV655377:QTV655381 RDR655377:RDR655381 RNN655377:RNN655381 RXJ655377:RXJ655381 SHF655377:SHF655381 SRB655377:SRB655381 TAX655377:TAX655381 TKT655377:TKT655381 TUP655377:TUP655381 UEL655377:UEL655381 UOH655377:UOH655381 UYD655377:UYD655381 VHZ655377:VHZ655381 VRV655377:VRV655381 WBR655377:WBR655381 WLN655377:WLN655381 WVJ655377:WVJ655381 C720913:C720917 IX720913:IX720917 ST720913:ST720917 ACP720913:ACP720917 AML720913:AML720917 AWH720913:AWH720917 BGD720913:BGD720917 BPZ720913:BPZ720917 BZV720913:BZV720917 CJR720913:CJR720917 CTN720913:CTN720917 DDJ720913:DDJ720917 DNF720913:DNF720917 DXB720913:DXB720917 EGX720913:EGX720917 EQT720913:EQT720917 FAP720913:FAP720917 FKL720913:FKL720917 FUH720913:FUH720917 GED720913:GED720917 GNZ720913:GNZ720917 GXV720913:GXV720917 HHR720913:HHR720917 HRN720913:HRN720917 IBJ720913:IBJ720917 ILF720913:ILF720917 IVB720913:IVB720917 JEX720913:JEX720917 JOT720913:JOT720917 JYP720913:JYP720917 KIL720913:KIL720917 KSH720913:KSH720917 LCD720913:LCD720917 LLZ720913:LLZ720917 LVV720913:LVV720917 MFR720913:MFR720917 MPN720913:MPN720917 MZJ720913:MZJ720917 NJF720913:NJF720917 NTB720913:NTB720917 OCX720913:OCX720917 OMT720913:OMT720917 OWP720913:OWP720917 PGL720913:PGL720917 PQH720913:PQH720917 QAD720913:QAD720917 QJZ720913:QJZ720917 QTV720913:QTV720917 RDR720913:RDR720917 RNN720913:RNN720917 RXJ720913:RXJ720917 SHF720913:SHF720917 SRB720913:SRB720917 TAX720913:TAX720917 TKT720913:TKT720917 TUP720913:TUP720917 UEL720913:UEL720917 UOH720913:UOH720917 UYD720913:UYD720917 VHZ720913:VHZ720917 VRV720913:VRV720917 WBR720913:WBR720917 WLN720913:WLN720917 WVJ720913:WVJ720917 C786449:C786453 IX786449:IX786453 ST786449:ST786453 ACP786449:ACP786453 AML786449:AML786453 AWH786449:AWH786453 BGD786449:BGD786453 BPZ786449:BPZ786453 BZV786449:BZV786453 CJR786449:CJR786453 CTN786449:CTN786453 DDJ786449:DDJ786453 DNF786449:DNF786453 DXB786449:DXB786453 EGX786449:EGX786453 EQT786449:EQT786453 FAP786449:FAP786453 FKL786449:FKL786453 FUH786449:FUH786453 GED786449:GED786453 GNZ786449:GNZ786453 GXV786449:GXV786453 HHR786449:HHR786453 HRN786449:HRN786453 IBJ786449:IBJ786453 ILF786449:ILF786453 IVB786449:IVB786453 JEX786449:JEX786453 JOT786449:JOT786453 JYP786449:JYP786453 KIL786449:KIL786453 KSH786449:KSH786453 LCD786449:LCD786453 LLZ786449:LLZ786453 LVV786449:LVV786453 MFR786449:MFR786453 MPN786449:MPN786453 MZJ786449:MZJ786453 NJF786449:NJF786453 NTB786449:NTB786453 OCX786449:OCX786453 OMT786449:OMT786453 OWP786449:OWP786453 PGL786449:PGL786453 PQH786449:PQH786453 QAD786449:QAD786453 QJZ786449:QJZ786453 QTV786449:QTV786453 RDR786449:RDR786453 RNN786449:RNN786453 RXJ786449:RXJ786453 SHF786449:SHF786453 SRB786449:SRB786453 TAX786449:TAX786453 TKT786449:TKT786453 TUP786449:TUP786453 UEL786449:UEL786453 UOH786449:UOH786453 UYD786449:UYD786453 VHZ786449:VHZ786453 VRV786449:VRV786453 WBR786449:WBR786453 WLN786449:WLN786453 WVJ786449:WVJ786453 C851985:C851989 IX851985:IX851989 ST851985:ST851989 ACP851985:ACP851989 AML851985:AML851989 AWH851985:AWH851989 BGD851985:BGD851989 BPZ851985:BPZ851989 BZV851985:BZV851989 CJR851985:CJR851989 CTN851985:CTN851989 DDJ851985:DDJ851989 DNF851985:DNF851989 DXB851985:DXB851989 EGX851985:EGX851989 EQT851985:EQT851989 FAP851985:FAP851989 FKL851985:FKL851989 FUH851985:FUH851989 GED851985:GED851989 GNZ851985:GNZ851989 GXV851985:GXV851989 HHR851985:HHR851989 HRN851985:HRN851989 IBJ851985:IBJ851989 ILF851985:ILF851989 IVB851985:IVB851989 JEX851985:JEX851989 JOT851985:JOT851989 JYP851985:JYP851989 KIL851985:KIL851989 KSH851985:KSH851989 LCD851985:LCD851989 LLZ851985:LLZ851989 LVV851985:LVV851989 MFR851985:MFR851989 MPN851985:MPN851989 MZJ851985:MZJ851989 NJF851985:NJF851989 NTB851985:NTB851989 OCX851985:OCX851989 OMT851985:OMT851989 OWP851985:OWP851989 PGL851985:PGL851989 PQH851985:PQH851989 QAD851985:QAD851989 QJZ851985:QJZ851989 QTV851985:QTV851989 RDR851985:RDR851989 RNN851985:RNN851989 RXJ851985:RXJ851989 SHF851985:SHF851989 SRB851985:SRB851989 TAX851985:TAX851989 TKT851985:TKT851989 TUP851985:TUP851989 UEL851985:UEL851989 UOH851985:UOH851989 UYD851985:UYD851989 VHZ851985:VHZ851989 VRV851985:VRV851989 WBR851985:WBR851989 WLN851985:WLN851989 WVJ851985:WVJ851989 C917521:C917525 IX917521:IX917525 ST917521:ST917525 ACP917521:ACP917525 AML917521:AML917525 AWH917521:AWH917525 BGD917521:BGD917525 BPZ917521:BPZ917525 BZV917521:BZV917525 CJR917521:CJR917525 CTN917521:CTN917525 DDJ917521:DDJ917525 DNF917521:DNF917525 DXB917521:DXB917525 EGX917521:EGX917525 EQT917521:EQT917525 FAP917521:FAP917525 FKL917521:FKL917525 FUH917521:FUH917525 GED917521:GED917525 GNZ917521:GNZ917525 GXV917521:GXV917525 HHR917521:HHR917525 HRN917521:HRN917525 IBJ917521:IBJ917525 ILF917521:ILF917525 IVB917521:IVB917525 JEX917521:JEX917525 JOT917521:JOT917525 JYP917521:JYP917525 KIL917521:KIL917525 KSH917521:KSH917525 LCD917521:LCD917525 LLZ917521:LLZ917525 LVV917521:LVV917525 MFR917521:MFR917525 MPN917521:MPN917525 MZJ917521:MZJ917525 NJF917521:NJF917525 NTB917521:NTB917525 OCX917521:OCX917525 OMT917521:OMT917525 OWP917521:OWP917525 PGL917521:PGL917525 PQH917521:PQH917525 QAD917521:QAD917525 QJZ917521:QJZ917525 QTV917521:QTV917525 RDR917521:RDR917525 RNN917521:RNN917525 RXJ917521:RXJ917525 SHF917521:SHF917525 SRB917521:SRB917525 TAX917521:TAX917525 TKT917521:TKT917525 TUP917521:TUP917525 UEL917521:UEL917525 UOH917521:UOH917525 UYD917521:UYD917525 VHZ917521:VHZ917525 VRV917521:VRV917525 WBR917521:WBR917525 WLN917521:WLN917525 WVJ917521:WVJ917525 C983057:C983061 IX983057:IX983061 ST983057:ST983061 ACP983057:ACP983061 AML983057:AML983061 AWH983057:AWH983061 BGD983057:BGD983061 BPZ983057:BPZ983061 BZV983057:BZV983061 CJR983057:CJR983061 CTN983057:CTN983061 DDJ983057:DDJ983061 DNF983057:DNF983061 DXB983057:DXB983061 EGX983057:EGX983061 EQT983057:EQT983061 FAP983057:FAP983061 FKL983057:FKL983061 FUH983057:FUH983061 GED983057:GED983061 GNZ983057:GNZ983061 GXV983057:GXV983061 HHR983057:HHR983061 HRN983057:HRN983061 IBJ983057:IBJ983061 ILF983057:ILF983061 IVB983057:IVB983061 JEX983057:JEX983061 JOT983057:JOT983061 JYP983057:JYP983061 KIL983057:KIL983061 KSH983057:KSH983061 LCD983057:LCD983061 LLZ983057:LLZ983061 LVV983057:LVV983061 MFR983057:MFR983061 MPN983057:MPN983061 MZJ983057:MZJ983061 NJF983057:NJF983061 NTB983057:NTB983061 OCX983057:OCX983061 OMT983057:OMT983061 OWP983057:OWP983061 PGL983057:PGL983061 PQH983057:PQH983061 QAD983057:QAD983061 QJZ983057:QJZ983061 QTV983057:QTV983061 RDR983057:RDR983061 RNN983057:RNN983061 RXJ983057:RXJ983061 SHF983057:SHF983061 SRB983057:SRB983061 TAX983057:TAX983061 TKT983057:TKT983061 TUP983057:TUP983061 UEL983057:UEL983061 UOH983057:UOH983061 UYD983057:UYD983061 VHZ983057:VHZ983061 VRV983057:VRV983061 WBR983057:WBR983061 WLN983057:WLN983061 WVJ983057:WVJ983061 C65561:C65565 IX65561:IX65565 ST65561:ST65565 ACP65561:ACP65565 AML65561:AML65565 AWH65561:AWH65565 BGD65561:BGD65565 BPZ65561:BPZ65565 BZV65561:BZV65565 CJR65561:CJR65565 CTN65561:CTN65565 DDJ65561:DDJ65565 DNF65561:DNF65565 DXB65561:DXB65565 EGX65561:EGX65565 EQT65561:EQT65565 FAP65561:FAP65565 FKL65561:FKL65565 FUH65561:FUH65565 GED65561:GED65565 GNZ65561:GNZ65565 GXV65561:GXV65565 HHR65561:HHR65565 HRN65561:HRN65565 IBJ65561:IBJ65565 ILF65561:ILF65565 IVB65561:IVB65565 JEX65561:JEX65565 JOT65561:JOT65565 JYP65561:JYP65565 KIL65561:KIL65565 KSH65561:KSH65565 LCD65561:LCD65565 LLZ65561:LLZ65565 LVV65561:LVV65565 MFR65561:MFR65565 MPN65561:MPN65565 MZJ65561:MZJ65565 NJF65561:NJF65565 NTB65561:NTB65565 OCX65561:OCX65565 OMT65561:OMT65565 OWP65561:OWP65565 PGL65561:PGL65565 PQH65561:PQH65565 QAD65561:QAD65565 QJZ65561:QJZ65565 QTV65561:QTV65565 RDR65561:RDR65565 RNN65561:RNN65565 RXJ65561:RXJ65565 SHF65561:SHF65565 SRB65561:SRB65565 TAX65561:TAX65565 TKT65561:TKT65565 TUP65561:TUP65565 UEL65561:UEL65565 UOH65561:UOH65565 UYD65561:UYD65565 VHZ65561:VHZ65565 VRV65561:VRV65565 WBR65561:WBR65565 WLN65561:WLN65565 WVJ65561:WVJ65565 C131097:C131101 IX131097:IX131101 ST131097:ST131101 ACP131097:ACP131101 AML131097:AML131101 AWH131097:AWH131101 BGD131097:BGD131101 BPZ131097:BPZ131101 BZV131097:BZV131101 CJR131097:CJR131101 CTN131097:CTN131101 DDJ131097:DDJ131101 DNF131097:DNF131101 DXB131097:DXB131101 EGX131097:EGX131101 EQT131097:EQT131101 FAP131097:FAP131101 FKL131097:FKL131101 FUH131097:FUH131101 GED131097:GED131101 GNZ131097:GNZ131101 GXV131097:GXV131101 HHR131097:HHR131101 HRN131097:HRN131101 IBJ131097:IBJ131101 ILF131097:ILF131101 IVB131097:IVB131101 JEX131097:JEX131101 JOT131097:JOT131101 JYP131097:JYP131101 KIL131097:KIL131101 KSH131097:KSH131101 LCD131097:LCD131101 LLZ131097:LLZ131101 LVV131097:LVV131101 MFR131097:MFR131101 MPN131097:MPN131101 MZJ131097:MZJ131101 NJF131097:NJF131101 NTB131097:NTB131101 OCX131097:OCX131101 OMT131097:OMT131101 OWP131097:OWP131101 PGL131097:PGL131101 PQH131097:PQH131101 QAD131097:QAD131101 QJZ131097:QJZ131101 QTV131097:QTV131101 RDR131097:RDR131101 RNN131097:RNN131101 RXJ131097:RXJ131101 SHF131097:SHF131101 SRB131097:SRB131101 TAX131097:TAX131101 TKT131097:TKT131101 TUP131097:TUP131101 UEL131097:UEL131101 UOH131097:UOH131101 UYD131097:UYD131101 VHZ131097:VHZ131101 VRV131097:VRV131101 WBR131097:WBR131101 WLN131097:WLN131101 WVJ131097:WVJ131101 C196633:C196637 IX196633:IX196637 ST196633:ST196637 ACP196633:ACP196637 AML196633:AML196637 AWH196633:AWH196637 BGD196633:BGD196637 BPZ196633:BPZ196637 BZV196633:BZV196637 CJR196633:CJR196637 CTN196633:CTN196637 DDJ196633:DDJ196637 DNF196633:DNF196637 DXB196633:DXB196637 EGX196633:EGX196637 EQT196633:EQT196637 FAP196633:FAP196637 FKL196633:FKL196637 FUH196633:FUH196637 GED196633:GED196637 GNZ196633:GNZ196637 GXV196633:GXV196637 HHR196633:HHR196637 HRN196633:HRN196637 IBJ196633:IBJ196637 ILF196633:ILF196637 IVB196633:IVB196637 JEX196633:JEX196637 JOT196633:JOT196637 JYP196633:JYP196637 KIL196633:KIL196637 KSH196633:KSH196637 LCD196633:LCD196637 LLZ196633:LLZ196637 LVV196633:LVV196637 MFR196633:MFR196637 MPN196633:MPN196637 MZJ196633:MZJ196637 NJF196633:NJF196637 NTB196633:NTB196637 OCX196633:OCX196637 OMT196633:OMT196637 OWP196633:OWP196637 PGL196633:PGL196637 PQH196633:PQH196637 QAD196633:QAD196637 QJZ196633:QJZ196637 QTV196633:QTV196637 RDR196633:RDR196637 RNN196633:RNN196637 RXJ196633:RXJ196637 SHF196633:SHF196637 SRB196633:SRB196637 TAX196633:TAX196637 TKT196633:TKT196637 TUP196633:TUP196637 UEL196633:UEL196637 UOH196633:UOH196637 UYD196633:UYD196637 VHZ196633:VHZ196637 VRV196633:VRV196637 WBR196633:WBR196637 WLN196633:WLN196637 WVJ196633:WVJ196637 C262169:C262173 IX262169:IX262173 ST262169:ST262173 ACP262169:ACP262173 AML262169:AML262173 AWH262169:AWH262173 BGD262169:BGD262173 BPZ262169:BPZ262173 BZV262169:BZV262173 CJR262169:CJR262173 CTN262169:CTN262173 DDJ262169:DDJ262173 DNF262169:DNF262173 DXB262169:DXB262173 EGX262169:EGX262173 EQT262169:EQT262173 FAP262169:FAP262173 FKL262169:FKL262173 FUH262169:FUH262173 GED262169:GED262173 GNZ262169:GNZ262173 GXV262169:GXV262173 HHR262169:HHR262173 HRN262169:HRN262173 IBJ262169:IBJ262173 ILF262169:ILF262173 IVB262169:IVB262173 JEX262169:JEX262173 JOT262169:JOT262173 JYP262169:JYP262173 KIL262169:KIL262173 KSH262169:KSH262173 LCD262169:LCD262173 LLZ262169:LLZ262173 LVV262169:LVV262173 MFR262169:MFR262173 MPN262169:MPN262173 MZJ262169:MZJ262173 NJF262169:NJF262173 NTB262169:NTB262173 OCX262169:OCX262173 OMT262169:OMT262173 OWP262169:OWP262173 PGL262169:PGL262173 PQH262169:PQH262173 QAD262169:QAD262173 QJZ262169:QJZ262173 QTV262169:QTV262173 RDR262169:RDR262173 RNN262169:RNN262173 RXJ262169:RXJ262173 SHF262169:SHF262173 SRB262169:SRB262173 TAX262169:TAX262173 TKT262169:TKT262173 TUP262169:TUP262173 UEL262169:UEL262173 UOH262169:UOH262173 UYD262169:UYD262173 VHZ262169:VHZ262173 VRV262169:VRV262173 WBR262169:WBR262173 WLN262169:WLN262173 WVJ262169:WVJ262173 C327705:C327709 IX327705:IX327709 ST327705:ST327709 ACP327705:ACP327709 AML327705:AML327709 AWH327705:AWH327709 BGD327705:BGD327709 BPZ327705:BPZ327709 BZV327705:BZV327709 CJR327705:CJR327709 CTN327705:CTN327709 DDJ327705:DDJ327709 DNF327705:DNF327709 DXB327705:DXB327709 EGX327705:EGX327709 EQT327705:EQT327709 FAP327705:FAP327709 FKL327705:FKL327709 FUH327705:FUH327709 GED327705:GED327709 GNZ327705:GNZ327709 GXV327705:GXV327709 HHR327705:HHR327709 HRN327705:HRN327709 IBJ327705:IBJ327709 ILF327705:ILF327709 IVB327705:IVB327709 JEX327705:JEX327709 JOT327705:JOT327709 JYP327705:JYP327709 KIL327705:KIL327709 KSH327705:KSH327709 LCD327705:LCD327709 LLZ327705:LLZ327709 LVV327705:LVV327709 MFR327705:MFR327709 MPN327705:MPN327709 MZJ327705:MZJ327709 NJF327705:NJF327709 NTB327705:NTB327709 OCX327705:OCX327709 OMT327705:OMT327709 OWP327705:OWP327709 PGL327705:PGL327709 PQH327705:PQH327709 QAD327705:QAD327709 QJZ327705:QJZ327709 QTV327705:QTV327709 RDR327705:RDR327709 RNN327705:RNN327709 RXJ327705:RXJ327709 SHF327705:SHF327709 SRB327705:SRB327709 TAX327705:TAX327709 TKT327705:TKT327709 TUP327705:TUP327709 UEL327705:UEL327709 UOH327705:UOH327709 UYD327705:UYD327709 VHZ327705:VHZ327709 VRV327705:VRV327709 WBR327705:WBR327709 WLN327705:WLN327709 WVJ327705:WVJ327709 C393241:C393245 IX393241:IX393245 ST393241:ST393245 ACP393241:ACP393245 AML393241:AML393245 AWH393241:AWH393245 BGD393241:BGD393245 BPZ393241:BPZ393245 BZV393241:BZV393245 CJR393241:CJR393245 CTN393241:CTN393245 DDJ393241:DDJ393245 DNF393241:DNF393245 DXB393241:DXB393245 EGX393241:EGX393245 EQT393241:EQT393245 FAP393241:FAP393245 FKL393241:FKL393245 FUH393241:FUH393245 GED393241:GED393245 GNZ393241:GNZ393245 GXV393241:GXV393245 HHR393241:HHR393245 HRN393241:HRN393245 IBJ393241:IBJ393245 ILF393241:ILF393245 IVB393241:IVB393245 JEX393241:JEX393245 JOT393241:JOT393245 JYP393241:JYP393245 KIL393241:KIL393245 KSH393241:KSH393245 LCD393241:LCD393245 LLZ393241:LLZ393245 LVV393241:LVV393245 MFR393241:MFR393245 MPN393241:MPN393245 MZJ393241:MZJ393245 NJF393241:NJF393245 NTB393241:NTB393245 OCX393241:OCX393245 OMT393241:OMT393245 OWP393241:OWP393245 PGL393241:PGL393245 PQH393241:PQH393245 QAD393241:QAD393245 QJZ393241:QJZ393245 QTV393241:QTV393245 RDR393241:RDR393245 RNN393241:RNN393245 RXJ393241:RXJ393245 SHF393241:SHF393245 SRB393241:SRB393245 TAX393241:TAX393245 TKT393241:TKT393245 TUP393241:TUP393245 UEL393241:UEL393245 UOH393241:UOH393245 UYD393241:UYD393245 VHZ393241:VHZ393245 VRV393241:VRV393245 WBR393241:WBR393245 WLN393241:WLN393245 WVJ393241:WVJ393245 C458777:C458781 IX458777:IX458781 ST458777:ST458781 ACP458777:ACP458781 AML458777:AML458781 AWH458777:AWH458781 BGD458777:BGD458781 BPZ458777:BPZ458781 BZV458777:BZV458781 CJR458777:CJR458781 CTN458777:CTN458781 DDJ458777:DDJ458781 DNF458777:DNF458781 DXB458777:DXB458781 EGX458777:EGX458781 EQT458777:EQT458781 FAP458777:FAP458781 FKL458777:FKL458781 FUH458777:FUH458781 GED458777:GED458781 GNZ458777:GNZ458781 GXV458777:GXV458781 HHR458777:HHR458781 HRN458777:HRN458781 IBJ458777:IBJ458781 ILF458777:ILF458781 IVB458777:IVB458781 JEX458777:JEX458781 JOT458777:JOT458781 JYP458777:JYP458781 KIL458777:KIL458781 KSH458777:KSH458781 LCD458777:LCD458781 LLZ458777:LLZ458781 LVV458777:LVV458781 MFR458777:MFR458781 MPN458777:MPN458781 MZJ458777:MZJ458781 NJF458777:NJF458781 NTB458777:NTB458781 OCX458777:OCX458781 OMT458777:OMT458781 OWP458777:OWP458781 PGL458777:PGL458781 PQH458777:PQH458781 QAD458777:QAD458781 QJZ458777:QJZ458781 QTV458777:QTV458781 RDR458777:RDR458781 RNN458777:RNN458781 RXJ458777:RXJ458781 SHF458777:SHF458781 SRB458777:SRB458781 TAX458777:TAX458781 TKT458777:TKT458781 TUP458777:TUP458781 UEL458777:UEL458781 UOH458777:UOH458781 UYD458777:UYD458781 VHZ458777:VHZ458781 VRV458777:VRV458781 WBR458777:WBR458781 WLN458777:WLN458781 WVJ458777:WVJ458781 C524313:C524317 IX524313:IX524317 ST524313:ST524317 ACP524313:ACP524317 AML524313:AML524317 AWH524313:AWH524317 BGD524313:BGD524317 BPZ524313:BPZ524317 BZV524313:BZV524317 CJR524313:CJR524317 CTN524313:CTN524317 DDJ524313:DDJ524317 DNF524313:DNF524317 DXB524313:DXB524317 EGX524313:EGX524317 EQT524313:EQT524317 FAP524313:FAP524317 FKL524313:FKL524317 FUH524313:FUH524317 GED524313:GED524317 GNZ524313:GNZ524317 GXV524313:GXV524317 HHR524313:HHR524317 HRN524313:HRN524317 IBJ524313:IBJ524317 ILF524313:ILF524317 IVB524313:IVB524317 JEX524313:JEX524317 JOT524313:JOT524317 JYP524313:JYP524317 KIL524313:KIL524317 KSH524313:KSH524317 LCD524313:LCD524317 LLZ524313:LLZ524317 LVV524313:LVV524317 MFR524313:MFR524317 MPN524313:MPN524317 MZJ524313:MZJ524317 NJF524313:NJF524317 NTB524313:NTB524317 OCX524313:OCX524317 OMT524313:OMT524317 OWP524313:OWP524317 PGL524313:PGL524317 PQH524313:PQH524317 QAD524313:QAD524317 QJZ524313:QJZ524317 QTV524313:QTV524317 RDR524313:RDR524317 RNN524313:RNN524317 RXJ524313:RXJ524317 SHF524313:SHF524317 SRB524313:SRB524317 TAX524313:TAX524317 TKT524313:TKT524317 TUP524313:TUP524317 UEL524313:UEL524317 UOH524313:UOH524317 UYD524313:UYD524317 VHZ524313:VHZ524317 VRV524313:VRV524317 WBR524313:WBR524317 WLN524313:WLN524317 WVJ524313:WVJ524317 C589849:C589853 IX589849:IX589853 ST589849:ST589853 ACP589849:ACP589853 AML589849:AML589853 AWH589849:AWH589853 BGD589849:BGD589853 BPZ589849:BPZ589853 BZV589849:BZV589853 CJR589849:CJR589853 CTN589849:CTN589853 DDJ589849:DDJ589853 DNF589849:DNF589853 DXB589849:DXB589853 EGX589849:EGX589853 EQT589849:EQT589853 FAP589849:FAP589853 FKL589849:FKL589853 FUH589849:FUH589853 GED589849:GED589853 GNZ589849:GNZ589853 GXV589849:GXV589853 HHR589849:HHR589853 HRN589849:HRN589853 IBJ589849:IBJ589853 ILF589849:ILF589853 IVB589849:IVB589853 JEX589849:JEX589853 JOT589849:JOT589853 JYP589849:JYP589853 KIL589849:KIL589853 KSH589849:KSH589853 LCD589849:LCD589853 LLZ589849:LLZ589853 LVV589849:LVV589853 MFR589849:MFR589853 MPN589849:MPN589853 MZJ589849:MZJ589853 NJF589849:NJF589853 NTB589849:NTB589853 OCX589849:OCX589853 OMT589849:OMT589853 OWP589849:OWP589853 PGL589849:PGL589853 PQH589849:PQH589853 QAD589849:QAD589853 QJZ589849:QJZ589853 QTV589849:QTV589853 RDR589849:RDR589853 RNN589849:RNN589853 RXJ589849:RXJ589853 SHF589849:SHF589853 SRB589849:SRB589853 TAX589849:TAX589853 TKT589849:TKT589853 TUP589849:TUP589853 UEL589849:UEL589853 UOH589849:UOH589853 UYD589849:UYD589853 VHZ589849:VHZ589853 VRV589849:VRV589853 WBR589849:WBR589853 WLN589849:WLN589853 WVJ589849:WVJ589853 C655385:C655389 IX655385:IX655389 ST655385:ST655389 ACP655385:ACP655389 AML655385:AML655389 AWH655385:AWH655389 BGD655385:BGD655389 BPZ655385:BPZ655389 BZV655385:BZV655389 CJR655385:CJR655389 CTN655385:CTN655389 DDJ655385:DDJ655389 DNF655385:DNF655389 DXB655385:DXB655389 EGX655385:EGX655389 EQT655385:EQT655389 FAP655385:FAP655389 FKL655385:FKL655389 FUH655385:FUH655389 GED655385:GED655389 GNZ655385:GNZ655389 GXV655385:GXV655389 HHR655385:HHR655389 HRN655385:HRN655389 IBJ655385:IBJ655389 ILF655385:ILF655389 IVB655385:IVB655389 JEX655385:JEX655389 JOT655385:JOT655389 JYP655385:JYP655389 KIL655385:KIL655389 KSH655385:KSH655389 LCD655385:LCD655389 LLZ655385:LLZ655389 LVV655385:LVV655389 MFR655385:MFR655389 MPN655385:MPN655389 MZJ655385:MZJ655389 NJF655385:NJF655389 NTB655385:NTB655389 OCX655385:OCX655389 OMT655385:OMT655389 OWP655385:OWP655389 PGL655385:PGL655389 PQH655385:PQH655389 QAD655385:QAD655389 QJZ655385:QJZ655389 QTV655385:QTV655389 RDR655385:RDR655389 RNN655385:RNN655389 RXJ655385:RXJ655389 SHF655385:SHF655389 SRB655385:SRB655389 TAX655385:TAX655389 TKT655385:TKT655389 TUP655385:TUP655389 UEL655385:UEL655389 UOH655385:UOH655389 UYD655385:UYD655389 VHZ655385:VHZ655389 VRV655385:VRV655389 WBR655385:WBR655389 WLN655385:WLN655389 WVJ655385:WVJ655389 C720921:C720925 IX720921:IX720925 ST720921:ST720925 ACP720921:ACP720925 AML720921:AML720925 AWH720921:AWH720925 BGD720921:BGD720925 BPZ720921:BPZ720925 BZV720921:BZV720925 CJR720921:CJR720925 CTN720921:CTN720925 DDJ720921:DDJ720925 DNF720921:DNF720925 DXB720921:DXB720925 EGX720921:EGX720925 EQT720921:EQT720925 FAP720921:FAP720925 FKL720921:FKL720925 FUH720921:FUH720925 GED720921:GED720925 GNZ720921:GNZ720925 GXV720921:GXV720925 HHR720921:HHR720925 HRN720921:HRN720925 IBJ720921:IBJ720925 ILF720921:ILF720925 IVB720921:IVB720925 JEX720921:JEX720925 JOT720921:JOT720925 JYP720921:JYP720925 KIL720921:KIL720925 KSH720921:KSH720925 LCD720921:LCD720925 LLZ720921:LLZ720925 LVV720921:LVV720925 MFR720921:MFR720925 MPN720921:MPN720925 MZJ720921:MZJ720925 NJF720921:NJF720925 NTB720921:NTB720925 OCX720921:OCX720925 OMT720921:OMT720925 OWP720921:OWP720925 PGL720921:PGL720925 PQH720921:PQH720925 QAD720921:QAD720925 QJZ720921:QJZ720925 QTV720921:QTV720925 RDR720921:RDR720925 RNN720921:RNN720925 RXJ720921:RXJ720925 SHF720921:SHF720925 SRB720921:SRB720925 TAX720921:TAX720925 TKT720921:TKT720925 TUP720921:TUP720925 UEL720921:UEL720925 UOH720921:UOH720925 UYD720921:UYD720925 VHZ720921:VHZ720925 VRV720921:VRV720925 WBR720921:WBR720925 WLN720921:WLN720925 WVJ720921:WVJ720925 C786457:C786461 IX786457:IX786461 ST786457:ST786461 ACP786457:ACP786461 AML786457:AML786461 AWH786457:AWH786461 BGD786457:BGD786461 BPZ786457:BPZ786461 BZV786457:BZV786461 CJR786457:CJR786461 CTN786457:CTN786461 DDJ786457:DDJ786461 DNF786457:DNF786461 DXB786457:DXB786461 EGX786457:EGX786461 EQT786457:EQT786461 FAP786457:FAP786461 FKL786457:FKL786461 FUH786457:FUH786461 GED786457:GED786461 GNZ786457:GNZ786461 GXV786457:GXV786461 HHR786457:HHR786461 HRN786457:HRN786461 IBJ786457:IBJ786461 ILF786457:ILF786461 IVB786457:IVB786461 JEX786457:JEX786461 JOT786457:JOT786461 JYP786457:JYP786461 KIL786457:KIL786461 KSH786457:KSH786461 LCD786457:LCD786461 LLZ786457:LLZ786461 LVV786457:LVV786461 MFR786457:MFR786461 MPN786457:MPN786461 MZJ786457:MZJ786461 NJF786457:NJF786461 NTB786457:NTB786461 OCX786457:OCX786461 OMT786457:OMT786461 OWP786457:OWP786461 PGL786457:PGL786461 PQH786457:PQH786461 QAD786457:QAD786461 QJZ786457:QJZ786461 QTV786457:QTV786461 RDR786457:RDR786461 RNN786457:RNN786461 RXJ786457:RXJ786461 SHF786457:SHF786461 SRB786457:SRB786461 TAX786457:TAX786461 TKT786457:TKT786461 TUP786457:TUP786461 UEL786457:UEL786461 UOH786457:UOH786461 UYD786457:UYD786461 VHZ786457:VHZ786461 VRV786457:VRV786461 WBR786457:WBR786461 WLN786457:WLN786461 WVJ786457:WVJ786461 C851993:C851997 IX851993:IX851997 ST851993:ST851997 ACP851993:ACP851997 AML851993:AML851997 AWH851993:AWH851997 BGD851993:BGD851997 BPZ851993:BPZ851997 BZV851993:BZV851997 CJR851993:CJR851997 CTN851993:CTN851997 DDJ851993:DDJ851997 DNF851993:DNF851997 DXB851993:DXB851997 EGX851993:EGX851997 EQT851993:EQT851997 FAP851993:FAP851997 FKL851993:FKL851997 FUH851993:FUH851997 GED851993:GED851997 GNZ851993:GNZ851997 GXV851993:GXV851997 HHR851993:HHR851997 HRN851993:HRN851997 IBJ851993:IBJ851997 ILF851993:ILF851997 IVB851993:IVB851997 JEX851993:JEX851997 JOT851993:JOT851997 JYP851993:JYP851997 KIL851993:KIL851997 KSH851993:KSH851997 LCD851993:LCD851997 LLZ851993:LLZ851997 LVV851993:LVV851997 MFR851993:MFR851997 MPN851993:MPN851997 MZJ851993:MZJ851997 NJF851993:NJF851997 NTB851993:NTB851997 OCX851993:OCX851997 OMT851993:OMT851997 OWP851993:OWP851997 PGL851993:PGL851997 PQH851993:PQH851997 QAD851993:QAD851997 QJZ851993:QJZ851997 QTV851993:QTV851997 RDR851993:RDR851997 RNN851993:RNN851997 RXJ851993:RXJ851997 SHF851993:SHF851997 SRB851993:SRB851997 TAX851993:TAX851997 TKT851993:TKT851997 TUP851993:TUP851997 UEL851993:UEL851997 UOH851993:UOH851997 UYD851993:UYD851997 VHZ851993:VHZ851997 VRV851993:VRV851997 WBR851993:WBR851997 WLN851993:WLN851997 WVJ851993:WVJ851997 C917529:C917533 IX917529:IX917533 ST917529:ST917533 ACP917529:ACP917533 AML917529:AML917533 AWH917529:AWH917533 BGD917529:BGD917533 BPZ917529:BPZ917533 BZV917529:BZV917533 CJR917529:CJR917533 CTN917529:CTN917533 DDJ917529:DDJ917533 DNF917529:DNF917533 DXB917529:DXB917533 EGX917529:EGX917533 EQT917529:EQT917533 FAP917529:FAP917533 FKL917529:FKL917533 FUH917529:FUH917533 GED917529:GED917533 GNZ917529:GNZ917533 GXV917529:GXV917533 HHR917529:HHR917533 HRN917529:HRN917533 IBJ917529:IBJ917533 ILF917529:ILF917533 IVB917529:IVB917533 JEX917529:JEX917533 JOT917529:JOT917533 JYP917529:JYP917533 KIL917529:KIL917533 KSH917529:KSH917533 LCD917529:LCD917533 LLZ917529:LLZ917533 LVV917529:LVV917533 MFR917529:MFR917533 MPN917529:MPN917533 MZJ917529:MZJ917533 NJF917529:NJF917533 NTB917529:NTB917533 OCX917529:OCX917533 OMT917529:OMT917533 OWP917529:OWP917533 PGL917529:PGL917533 PQH917529:PQH917533 QAD917529:QAD917533 QJZ917529:QJZ917533 QTV917529:QTV917533 RDR917529:RDR917533 RNN917529:RNN917533 RXJ917529:RXJ917533 SHF917529:SHF917533 SRB917529:SRB917533 TAX917529:TAX917533 TKT917529:TKT917533 TUP917529:TUP917533 UEL917529:UEL917533 UOH917529:UOH917533 UYD917529:UYD917533 VHZ917529:VHZ917533 VRV917529:VRV917533 WBR917529:WBR917533 WLN917529:WLN917533 WVJ917529:WVJ917533 C983065:C983069 IX983065:IX983069 ST983065:ST983069 ACP983065:ACP983069 AML983065:AML983069 AWH983065:AWH983069 BGD983065:BGD983069 BPZ983065:BPZ983069 BZV983065:BZV983069 CJR983065:CJR983069 CTN983065:CTN983069 DDJ983065:DDJ983069 DNF983065:DNF983069 DXB983065:DXB983069 EGX983065:EGX983069 EQT983065:EQT983069 FAP983065:FAP983069 FKL983065:FKL983069 FUH983065:FUH983069 GED983065:GED983069 GNZ983065:GNZ983069 GXV983065:GXV983069 HHR983065:HHR983069 HRN983065:HRN983069 IBJ983065:IBJ983069 ILF983065:ILF983069 IVB983065:IVB983069 JEX983065:JEX983069 JOT983065:JOT983069 JYP983065:JYP983069 KIL983065:KIL983069 KSH983065:KSH983069 LCD983065:LCD983069 LLZ983065:LLZ983069 LVV983065:LVV983069 MFR983065:MFR983069 MPN983065:MPN983069 MZJ983065:MZJ983069 NJF983065:NJF983069 NTB983065:NTB983069 OCX983065:OCX983069 OMT983065:OMT983069 OWP983065:OWP983069 PGL983065:PGL983069 PQH983065:PQH983069 QAD983065:QAD983069 QJZ983065:QJZ983069 QTV983065:QTV983069 RDR983065:RDR983069 RNN983065:RNN983069 RXJ983065:RXJ983069 SHF983065:SHF983069 SRB983065:SRB983069 TAX983065:TAX983069 TKT983065:TKT983069 TUP983065:TUP983069 UEL983065:UEL983069 UOH983065:UOH983069 UYD983065:UYD983069 VHZ983065:VHZ983069 VRV983065:VRV983069 WBR983065:WBR983069 WLN983065:WLN983069 WVJ983065:WVJ983069 C40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C65570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C131106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C196642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C262178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C327714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C393250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C458786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C524322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C589858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C655394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C720930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C786466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C852002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C917538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C983074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C46:C47 IX46:IX47 ST46:ST47 ACP46:ACP47 AML46:AML47 AWH46:AWH47 BGD46:BGD47 BPZ46:BPZ47 BZV46:BZV47 CJR46:CJR47 CTN46:CTN47 DDJ46:DDJ47 DNF46:DNF47 DXB46:DXB47 EGX46:EGX47 EQT46:EQT47 FAP46:FAP47 FKL46:FKL47 FUH46:FUH47 GED46:GED47 GNZ46:GNZ47 GXV46:GXV47 HHR46:HHR47 HRN46:HRN47 IBJ46:IBJ47 ILF46:ILF47 IVB46:IVB47 JEX46:JEX47 JOT46:JOT47 JYP46:JYP47 KIL46:KIL47 KSH46:KSH47 LCD46:LCD47 LLZ46:LLZ47 LVV46:LVV47 MFR46:MFR47 MPN46:MPN47 MZJ46:MZJ47 NJF46:NJF47 NTB46:NTB47 OCX46:OCX47 OMT46:OMT47 OWP46:OWP47 PGL46:PGL47 PQH46:PQH47 QAD46:QAD47 QJZ46:QJZ47 QTV46:QTV47 RDR46:RDR47 RNN46:RNN47 RXJ46:RXJ47 SHF46:SHF47 SRB46:SRB47 TAX46:TAX47 TKT46:TKT47 TUP46:TUP47 UEL46:UEL47 UOH46:UOH47 UYD46:UYD47 VHZ46:VHZ47 VRV46:VRV47 WBR46:WBR47 WLN46:WLN47 WVJ46:WVJ47 C65576:C65577 IX65576:IX65577 ST65576:ST65577 ACP65576:ACP65577 AML65576:AML65577 AWH65576:AWH65577 BGD65576:BGD65577 BPZ65576:BPZ65577 BZV65576:BZV65577 CJR65576:CJR65577 CTN65576:CTN65577 DDJ65576:DDJ65577 DNF65576:DNF65577 DXB65576:DXB65577 EGX65576:EGX65577 EQT65576:EQT65577 FAP65576:FAP65577 FKL65576:FKL65577 FUH65576:FUH65577 GED65576:GED65577 GNZ65576:GNZ65577 GXV65576:GXV65577 HHR65576:HHR65577 HRN65576:HRN65577 IBJ65576:IBJ65577 ILF65576:ILF65577 IVB65576:IVB65577 JEX65576:JEX65577 JOT65576:JOT65577 JYP65576:JYP65577 KIL65576:KIL65577 KSH65576:KSH65577 LCD65576:LCD65577 LLZ65576:LLZ65577 LVV65576:LVV65577 MFR65576:MFR65577 MPN65576:MPN65577 MZJ65576:MZJ65577 NJF65576:NJF65577 NTB65576:NTB65577 OCX65576:OCX65577 OMT65576:OMT65577 OWP65576:OWP65577 PGL65576:PGL65577 PQH65576:PQH65577 QAD65576:QAD65577 QJZ65576:QJZ65577 QTV65576:QTV65577 RDR65576:RDR65577 RNN65576:RNN65577 RXJ65576:RXJ65577 SHF65576:SHF65577 SRB65576:SRB65577 TAX65576:TAX65577 TKT65576:TKT65577 TUP65576:TUP65577 UEL65576:UEL65577 UOH65576:UOH65577 UYD65576:UYD65577 VHZ65576:VHZ65577 VRV65576:VRV65577 WBR65576:WBR65577 WLN65576:WLN65577 WVJ65576:WVJ65577 C131112:C131113 IX131112:IX131113 ST131112:ST131113 ACP131112:ACP131113 AML131112:AML131113 AWH131112:AWH131113 BGD131112:BGD131113 BPZ131112:BPZ131113 BZV131112:BZV131113 CJR131112:CJR131113 CTN131112:CTN131113 DDJ131112:DDJ131113 DNF131112:DNF131113 DXB131112:DXB131113 EGX131112:EGX131113 EQT131112:EQT131113 FAP131112:FAP131113 FKL131112:FKL131113 FUH131112:FUH131113 GED131112:GED131113 GNZ131112:GNZ131113 GXV131112:GXV131113 HHR131112:HHR131113 HRN131112:HRN131113 IBJ131112:IBJ131113 ILF131112:ILF131113 IVB131112:IVB131113 JEX131112:JEX131113 JOT131112:JOT131113 JYP131112:JYP131113 KIL131112:KIL131113 KSH131112:KSH131113 LCD131112:LCD131113 LLZ131112:LLZ131113 LVV131112:LVV131113 MFR131112:MFR131113 MPN131112:MPN131113 MZJ131112:MZJ131113 NJF131112:NJF131113 NTB131112:NTB131113 OCX131112:OCX131113 OMT131112:OMT131113 OWP131112:OWP131113 PGL131112:PGL131113 PQH131112:PQH131113 QAD131112:QAD131113 QJZ131112:QJZ131113 QTV131112:QTV131113 RDR131112:RDR131113 RNN131112:RNN131113 RXJ131112:RXJ131113 SHF131112:SHF131113 SRB131112:SRB131113 TAX131112:TAX131113 TKT131112:TKT131113 TUP131112:TUP131113 UEL131112:UEL131113 UOH131112:UOH131113 UYD131112:UYD131113 VHZ131112:VHZ131113 VRV131112:VRV131113 WBR131112:WBR131113 WLN131112:WLN131113 WVJ131112:WVJ131113 C196648:C196649 IX196648:IX196649 ST196648:ST196649 ACP196648:ACP196649 AML196648:AML196649 AWH196648:AWH196649 BGD196648:BGD196649 BPZ196648:BPZ196649 BZV196648:BZV196649 CJR196648:CJR196649 CTN196648:CTN196649 DDJ196648:DDJ196649 DNF196648:DNF196649 DXB196648:DXB196649 EGX196648:EGX196649 EQT196648:EQT196649 FAP196648:FAP196649 FKL196648:FKL196649 FUH196648:FUH196649 GED196648:GED196649 GNZ196648:GNZ196649 GXV196648:GXV196649 HHR196648:HHR196649 HRN196648:HRN196649 IBJ196648:IBJ196649 ILF196648:ILF196649 IVB196648:IVB196649 JEX196648:JEX196649 JOT196648:JOT196649 JYP196648:JYP196649 KIL196648:KIL196649 KSH196648:KSH196649 LCD196648:LCD196649 LLZ196648:LLZ196649 LVV196648:LVV196649 MFR196648:MFR196649 MPN196648:MPN196649 MZJ196648:MZJ196649 NJF196648:NJF196649 NTB196648:NTB196649 OCX196648:OCX196649 OMT196648:OMT196649 OWP196648:OWP196649 PGL196648:PGL196649 PQH196648:PQH196649 QAD196648:QAD196649 QJZ196648:QJZ196649 QTV196648:QTV196649 RDR196648:RDR196649 RNN196648:RNN196649 RXJ196648:RXJ196649 SHF196648:SHF196649 SRB196648:SRB196649 TAX196648:TAX196649 TKT196648:TKT196649 TUP196648:TUP196649 UEL196648:UEL196649 UOH196648:UOH196649 UYD196648:UYD196649 VHZ196648:VHZ196649 VRV196648:VRV196649 WBR196648:WBR196649 WLN196648:WLN196649 WVJ196648:WVJ196649 C262184:C262185 IX262184:IX262185 ST262184:ST262185 ACP262184:ACP262185 AML262184:AML262185 AWH262184:AWH262185 BGD262184:BGD262185 BPZ262184:BPZ262185 BZV262184:BZV262185 CJR262184:CJR262185 CTN262184:CTN262185 DDJ262184:DDJ262185 DNF262184:DNF262185 DXB262184:DXB262185 EGX262184:EGX262185 EQT262184:EQT262185 FAP262184:FAP262185 FKL262184:FKL262185 FUH262184:FUH262185 GED262184:GED262185 GNZ262184:GNZ262185 GXV262184:GXV262185 HHR262184:HHR262185 HRN262184:HRN262185 IBJ262184:IBJ262185 ILF262184:ILF262185 IVB262184:IVB262185 JEX262184:JEX262185 JOT262184:JOT262185 JYP262184:JYP262185 KIL262184:KIL262185 KSH262184:KSH262185 LCD262184:LCD262185 LLZ262184:LLZ262185 LVV262184:LVV262185 MFR262184:MFR262185 MPN262184:MPN262185 MZJ262184:MZJ262185 NJF262184:NJF262185 NTB262184:NTB262185 OCX262184:OCX262185 OMT262184:OMT262185 OWP262184:OWP262185 PGL262184:PGL262185 PQH262184:PQH262185 QAD262184:QAD262185 QJZ262184:QJZ262185 QTV262184:QTV262185 RDR262184:RDR262185 RNN262184:RNN262185 RXJ262184:RXJ262185 SHF262184:SHF262185 SRB262184:SRB262185 TAX262184:TAX262185 TKT262184:TKT262185 TUP262184:TUP262185 UEL262184:UEL262185 UOH262184:UOH262185 UYD262184:UYD262185 VHZ262184:VHZ262185 VRV262184:VRV262185 WBR262184:WBR262185 WLN262184:WLN262185 WVJ262184:WVJ262185 C327720:C327721 IX327720:IX327721 ST327720:ST327721 ACP327720:ACP327721 AML327720:AML327721 AWH327720:AWH327721 BGD327720:BGD327721 BPZ327720:BPZ327721 BZV327720:BZV327721 CJR327720:CJR327721 CTN327720:CTN327721 DDJ327720:DDJ327721 DNF327720:DNF327721 DXB327720:DXB327721 EGX327720:EGX327721 EQT327720:EQT327721 FAP327720:FAP327721 FKL327720:FKL327721 FUH327720:FUH327721 GED327720:GED327721 GNZ327720:GNZ327721 GXV327720:GXV327721 HHR327720:HHR327721 HRN327720:HRN327721 IBJ327720:IBJ327721 ILF327720:ILF327721 IVB327720:IVB327721 JEX327720:JEX327721 JOT327720:JOT327721 JYP327720:JYP327721 KIL327720:KIL327721 KSH327720:KSH327721 LCD327720:LCD327721 LLZ327720:LLZ327721 LVV327720:LVV327721 MFR327720:MFR327721 MPN327720:MPN327721 MZJ327720:MZJ327721 NJF327720:NJF327721 NTB327720:NTB327721 OCX327720:OCX327721 OMT327720:OMT327721 OWP327720:OWP327721 PGL327720:PGL327721 PQH327720:PQH327721 QAD327720:QAD327721 QJZ327720:QJZ327721 QTV327720:QTV327721 RDR327720:RDR327721 RNN327720:RNN327721 RXJ327720:RXJ327721 SHF327720:SHF327721 SRB327720:SRB327721 TAX327720:TAX327721 TKT327720:TKT327721 TUP327720:TUP327721 UEL327720:UEL327721 UOH327720:UOH327721 UYD327720:UYD327721 VHZ327720:VHZ327721 VRV327720:VRV327721 WBR327720:WBR327721 WLN327720:WLN327721 WVJ327720:WVJ327721 C393256:C393257 IX393256:IX393257 ST393256:ST393257 ACP393256:ACP393257 AML393256:AML393257 AWH393256:AWH393257 BGD393256:BGD393257 BPZ393256:BPZ393257 BZV393256:BZV393257 CJR393256:CJR393257 CTN393256:CTN393257 DDJ393256:DDJ393257 DNF393256:DNF393257 DXB393256:DXB393257 EGX393256:EGX393257 EQT393256:EQT393257 FAP393256:FAP393257 FKL393256:FKL393257 FUH393256:FUH393257 GED393256:GED393257 GNZ393256:GNZ393257 GXV393256:GXV393257 HHR393256:HHR393257 HRN393256:HRN393257 IBJ393256:IBJ393257 ILF393256:ILF393257 IVB393256:IVB393257 JEX393256:JEX393257 JOT393256:JOT393257 JYP393256:JYP393257 KIL393256:KIL393257 KSH393256:KSH393257 LCD393256:LCD393257 LLZ393256:LLZ393257 LVV393256:LVV393257 MFR393256:MFR393257 MPN393256:MPN393257 MZJ393256:MZJ393257 NJF393256:NJF393257 NTB393256:NTB393257 OCX393256:OCX393257 OMT393256:OMT393257 OWP393256:OWP393257 PGL393256:PGL393257 PQH393256:PQH393257 QAD393256:QAD393257 QJZ393256:QJZ393257 QTV393256:QTV393257 RDR393256:RDR393257 RNN393256:RNN393257 RXJ393256:RXJ393257 SHF393256:SHF393257 SRB393256:SRB393257 TAX393256:TAX393257 TKT393256:TKT393257 TUP393256:TUP393257 UEL393256:UEL393257 UOH393256:UOH393257 UYD393256:UYD393257 VHZ393256:VHZ393257 VRV393256:VRV393257 WBR393256:WBR393257 WLN393256:WLN393257 WVJ393256:WVJ393257 C458792:C458793 IX458792:IX458793 ST458792:ST458793 ACP458792:ACP458793 AML458792:AML458793 AWH458792:AWH458793 BGD458792:BGD458793 BPZ458792:BPZ458793 BZV458792:BZV458793 CJR458792:CJR458793 CTN458792:CTN458793 DDJ458792:DDJ458793 DNF458792:DNF458793 DXB458792:DXB458793 EGX458792:EGX458793 EQT458792:EQT458793 FAP458792:FAP458793 FKL458792:FKL458793 FUH458792:FUH458793 GED458792:GED458793 GNZ458792:GNZ458793 GXV458792:GXV458793 HHR458792:HHR458793 HRN458792:HRN458793 IBJ458792:IBJ458793 ILF458792:ILF458793 IVB458792:IVB458793 JEX458792:JEX458793 JOT458792:JOT458793 JYP458792:JYP458793 KIL458792:KIL458793 KSH458792:KSH458793 LCD458792:LCD458793 LLZ458792:LLZ458793 LVV458792:LVV458793 MFR458792:MFR458793 MPN458792:MPN458793 MZJ458792:MZJ458793 NJF458792:NJF458793 NTB458792:NTB458793 OCX458792:OCX458793 OMT458792:OMT458793 OWP458792:OWP458793 PGL458792:PGL458793 PQH458792:PQH458793 QAD458792:QAD458793 QJZ458792:QJZ458793 QTV458792:QTV458793 RDR458792:RDR458793 RNN458792:RNN458793 RXJ458792:RXJ458793 SHF458792:SHF458793 SRB458792:SRB458793 TAX458792:TAX458793 TKT458792:TKT458793 TUP458792:TUP458793 UEL458792:UEL458793 UOH458792:UOH458793 UYD458792:UYD458793 VHZ458792:VHZ458793 VRV458792:VRV458793 WBR458792:WBR458793 WLN458792:WLN458793 WVJ458792:WVJ458793 C524328:C524329 IX524328:IX524329 ST524328:ST524329 ACP524328:ACP524329 AML524328:AML524329 AWH524328:AWH524329 BGD524328:BGD524329 BPZ524328:BPZ524329 BZV524328:BZV524329 CJR524328:CJR524329 CTN524328:CTN524329 DDJ524328:DDJ524329 DNF524328:DNF524329 DXB524328:DXB524329 EGX524328:EGX524329 EQT524328:EQT524329 FAP524328:FAP524329 FKL524328:FKL524329 FUH524328:FUH524329 GED524328:GED524329 GNZ524328:GNZ524329 GXV524328:GXV524329 HHR524328:HHR524329 HRN524328:HRN524329 IBJ524328:IBJ524329 ILF524328:ILF524329 IVB524328:IVB524329 JEX524328:JEX524329 JOT524328:JOT524329 JYP524328:JYP524329 KIL524328:KIL524329 KSH524328:KSH524329 LCD524328:LCD524329 LLZ524328:LLZ524329 LVV524328:LVV524329 MFR524328:MFR524329 MPN524328:MPN524329 MZJ524328:MZJ524329 NJF524328:NJF524329 NTB524328:NTB524329 OCX524328:OCX524329 OMT524328:OMT524329 OWP524328:OWP524329 PGL524328:PGL524329 PQH524328:PQH524329 QAD524328:QAD524329 QJZ524328:QJZ524329 QTV524328:QTV524329 RDR524328:RDR524329 RNN524328:RNN524329 RXJ524328:RXJ524329 SHF524328:SHF524329 SRB524328:SRB524329 TAX524328:TAX524329 TKT524328:TKT524329 TUP524328:TUP524329 UEL524328:UEL524329 UOH524328:UOH524329 UYD524328:UYD524329 VHZ524328:VHZ524329 VRV524328:VRV524329 WBR524328:WBR524329 WLN524328:WLN524329 WVJ524328:WVJ524329 C589864:C589865 IX589864:IX589865 ST589864:ST589865 ACP589864:ACP589865 AML589864:AML589865 AWH589864:AWH589865 BGD589864:BGD589865 BPZ589864:BPZ589865 BZV589864:BZV589865 CJR589864:CJR589865 CTN589864:CTN589865 DDJ589864:DDJ589865 DNF589864:DNF589865 DXB589864:DXB589865 EGX589864:EGX589865 EQT589864:EQT589865 FAP589864:FAP589865 FKL589864:FKL589865 FUH589864:FUH589865 GED589864:GED589865 GNZ589864:GNZ589865 GXV589864:GXV589865 HHR589864:HHR589865 HRN589864:HRN589865 IBJ589864:IBJ589865 ILF589864:ILF589865 IVB589864:IVB589865 JEX589864:JEX589865 JOT589864:JOT589865 JYP589864:JYP589865 KIL589864:KIL589865 KSH589864:KSH589865 LCD589864:LCD589865 LLZ589864:LLZ589865 LVV589864:LVV589865 MFR589864:MFR589865 MPN589864:MPN589865 MZJ589864:MZJ589865 NJF589864:NJF589865 NTB589864:NTB589865 OCX589864:OCX589865 OMT589864:OMT589865 OWP589864:OWP589865 PGL589864:PGL589865 PQH589864:PQH589865 QAD589864:QAD589865 QJZ589864:QJZ589865 QTV589864:QTV589865 RDR589864:RDR589865 RNN589864:RNN589865 RXJ589864:RXJ589865 SHF589864:SHF589865 SRB589864:SRB589865 TAX589864:TAX589865 TKT589864:TKT589865 TUP589864:TUP589865 UEL589864:UEL589865 UOH589864:UOH589865 UYD589864:UYD589865 VHZ589864:VHZ589865 VRV589864:VRV589865 WBR589864:WBR589865 WLN589864:WLN589865 WVJ589864:WVJ589865 C655400:C655401 IX655400:IX655401 ST655400:ST655401 ACP655400:ACP655401 AML655400:AML655401 AWH655400:AWH655401 BGD655400:BGD655401 BPZ655400:BPZ655401 BZV655400:BZV655401 CJR655400:CJR655401 CTN655400:CTN655401 DDJ655400:DDJ655401 DNF655400:DNF655401 DXB655400:DXB655401 EGX655400:EGX655401 EQT655400:EQT655401 FAP655400:FAP655401 FKL655400:FKL655401 FUH655400:FUH655401 GED655400:GED655401 GNZ655400:GNZ655401 GXV655400:GXV655401 HHR655400:HHR655401 HRN655400:HRN655401 IBJ655400:IBJ655401 ILF655400:ILF655401 IVB655400:IVB655401 JEX655400:JEX655401 JOT655400:JOT655401 JYP655400:JYP655401 KIL655400:KIL655401 KSH655400:KSH655401 LCD655400:LCD655401 LLZ655400:LLZ655401 LVV655400:LVV655401 MFR655400:MFR655401 MPN655400:MPN655401 MZJ655400:MZJ655401 NJF655400:NJF655401 NTB655400:NTB655401 OCX655400:OCX655401 OMT655400:OMT655401 OWP655400:OWP655401 PGL655400:PGL655401 PQH655400:PQH655401 QAD655400:QAD655401 QJZ655400:QJZ655401 QTV655400:QTV655401 RDR655400:RDR655401 RNN655400:RNN655401 RXJ655400:RXJ655401 SHF655400:SHF655401 SRB655400:SRB655401 TAX655400:TAX655401 TKT655400:TKT655401 TUP655400:TUP655401 UEL655400:UEL655401 UOH655400:UOH655401 UYD655400:UYD655401 VHZ655400:VHZ655401 VRV655400:VRV655401 WBR655400:WBR655401 WLN655400:WLN655401 WVJ655400:WVJ655401 C720936:C720937 IX720936:IX720937 ST720936:ST720937 ACP720936:ACP720937 AML720936:AML720937 AWH720936:AWH720937 BGD720936:BGD720937 BPZ720936:BPZ720937 BZV720936:BZV720937 CJR720936:CJR720937 CTN720936:CTN720937 DDJ720936:DDJ720937 DNF720936:DNF720937 DXB720936:DXB720937 EGX720936:EGX720937 EQT720936:EQT720937 FAP720936:FAP720937 FKL720936:FKL720937 FUH720936:FUH720937 GED720936:GED720937 GNZ720936:GNZ720937 GXV720936:GXV720937 HHR720936:HHR720937 HRN720936:HRN720937 IBJ720936:IBJ720937 ILF720936:ILF720937 IVB720936:IVB720937 JEX720936:JEX720937 JOT720936:JOT720937 JYP720936:JYP720937 KIL720936:KIL720937 KSH720936:KSH720937 LCD720936:LCD720937 LLZ720936:LLZ720937 LVV720936:LVV720937 MFR720936:MFR720937 MPN720936:MPN720937 MZJ720936:MZJ720937 NJF720936:NJF720937 NTB720936:NTB720937 OCX720936:OCX720937 OMT720936:OMT720937 OWP720936:OWP720937 PGL720936:PGL720937 PQH720936:PQH720937 QAD720936:QAD720937 QJZ720936:QJZ720937 QTV720936:QTV720937 RDR720936:RDR720937 RNN720936:RNN720937 RXJ720936:RXJ720937 SHF720936:SHF720937 SRB720936:SRB720937 TAX720936:TAX720937 TKT720936:TKT720937 TUP720936:TUP720937 UEL720936:UEL720937 UOH720936:UOH720937 UYD720936:UYD720937 VHZ720936:VHZ720937 VRV720936:VRV720937 WBR720936:WBR720937 WLN720936:WLN720937 WVJ720936:WVJ720937 C786472:C786473 IX786472:IX786473 ST786472:ST786473 ACP786472:ACP786473 AML786472:AML786473 AWH786472:AWH786473 BGD786472:BGD786473 BPZ786472:BPZ786473 BZV786472:BZV786473 CJR786472:CJR786473 CTN786472:CTN786473 DDJ786472:DDJ786473 DNF786472:DNF786473 DXB786472:DXB786473 EGX786472:EGX786473 EQT786472:EQT786473 FAP786472:FAP786473 FKL786472:FKL786473 FUH786472:FUH786473 GED786472:GED786473 GNZ786472:GNZ786473 GXV786472:GXV786473 HHR786472:HHR786473 HRN786472:HRN786473 IBJ786472:IBJ786473 ILF786472:ILF786473 IVB786472:IVB786473 JEX786472:JEX786473 JOT786472:JOT786473 JYP786472:JYP786473 KIL786472:KIL786473 KSH786472:KSH786473 LCD786472:LCD786473 LLZ786472:LLZ786473 LVV786472:LVV786473 MFR786472:MFR786473 MPN786472:MPN786473 MZJ786472:MZJ786473 NJF786472:NJF786473 NTB786472:NTB786473 OCX786472:OCX786473 OMT786472:OMT786473 OWP786472:OWP786473 PGL786472:PGL786473 PQH786472:PQH786473 QAD786472:QAD786473 QJZ786472:QJZ786473 QTV786472:QTV786473 RDR786472:RDR786473 RNN786472:RNN786473 RXJ786472:RXJ786473 SHF786472:SHF786473 SRB786472:SRB786473 TAX786472:TAX786473 TKT786472:TKT786473 TUP786472:TUP786473 UEL786472:UEL786473 UOH786472:UOH786473 UYD786472:UYD786473 VHZ786472:VHZ786473 VRV786472:VRV786473 WBR786472:WBR786473 WLN786472:WLN786473 WVJ786472:WVJ786473 C852008:C852009 IX852008:IX852009 ST852008:ST852009 ACP852008:ACP852009 AML852008:AML852009 AWH852008:AWH852009 BGD852008:BGD852009 BPZ852008:BPZ852009 BZV852008:BZV852009 CJR852008:CJR852009 CTN852008:CTN852009 DDJ852008:DDJ852009 DNF852008:DNF852009 DXB852008:DXB852009 EGX852008:EGX852009 EQT852008:EQT852009 FAP852008:FAP852009 FKL852008:FKL852009 FUH852008:FUH852009 GED852008:GED852009 GNZ852008:GNZ852009 GXV852008:GXV852009 HHR852008:HHR852009 HRN852008:HRN852009 IBJ852008:IBJ852009 ILF852008:ILF852009 IVB852008:IVB852009 JEX852008:JEX852009 JOT852008:JOT852009 JYP852008:JYP852009 KIL852008:KIL852009 KSH852008:KSH852009 LCD852008:LCD852009 LLZ852008:LLZ852009 LVV852008:LVV852009 MFR852008:MFR852009 MPN852008:MPN852009 MZJ852008:MZJ852009 NJF852008:NJF852009 NTB852008:NTB852009 OCX852008:OCX852009 OMT852008:OMT852009 OWP852008:OWP852009 PGL852008:PGL852009 PQH852008:PQH852009 QAD852008:QAD852009 QJZ852008:QJZ852009 QTV852008:QTV852009 RDR852008:RDR852009 RNN852008:RNN852009 RXJ852008:RXJ852009 SHF852008:SHF852009 SRB852008:SRB852009 TAX852008:TAX852009 TKT852008:TKT852009 TUP852008:TUP852009 UEL852008:UEL852009 UOH852008:UOH852009 UYD852008:UYD852009 VHZ852008:VHZ852009 VRV852008:VRV852009 WBR852008:WBR852009 WLN852008:WLN852009 WVJ852008:WVJ852009 C917544:C917545 IX917544:IX917545 ST917544:ST917545 ACP917544:ACP917545 AML917544:AML917545 AWH917544:AWH917545 BGD917544:BGD917545 BPZ917544:BPZ917545 BZV917544:BZV917545 CJR917544:CJR917545 CTN917544:CTN917545 DDJ917544:DDJ917545 DNF917544:DNF917545 DXB917544:DXB917545 EGX917544:EGX917545 EQT917544:EQT917545 FAP917544:FAP917545 FKL917544:FKL917545 FUH917544:FUH917545 GED917544:GED917545 GNZ917544:GNZ917545 GXV917544:GXV917545 HHR917544:HHR917545 HRN917544:HRN917545 IBJ917544:IBJ917545 ILF917544:ILF917545 IVB917544:IVB917545 JEX917544:JEX917545 JOT917544:JOT917545 JYP917544:JYP917545 KIL917544:KIL917545 KSH917544:KSH917545 LCD917544:LCD917545 LLZ917544:LLZ917545 LVV917544:LVV917545 MFR917544:MFR917545 MPN917544:MPN917545 MZJ917544:MZJ917545 NJF917544:NJF917545 NTB917544:NTB917545 OCX917544:OCX917545 OMT917544:OMT917545 OWP917544:OWP917545 PGL917544:PGL917545 PQH917544:PQH917545 QAD917544:QAD917545 QJZ917544:QJZ917545 QTV917544:QTV917545 RDR917544:RDR917545 RNN917544:RNN917545 RXJ917544:RXJ917545 SHF917544:SHF917545 SRB917544:SRB917545 TAX917544:TAX917545 TKT917544:TKT917545 TUP917544:TUP917545 UEL917544:UEL917545 UOH917544:UOH917545 UYD917544:UYD917545 VHZ917544:VHZ917545 VRV917544:VRV917545 WBR917544:WBR917545 WLN917544:WLN917545 WVJ917544:WVJ917545 C983080:C983081 IX983080:IX983081 ST983080:ST983081 ACP983080:ACP983081 AML983080:AML983081 AWH983080:AWH983081 BGD983080:BGD983081 BPZ983080:BPZ983081 BZV983080:BZV983081 CJR983080:CJR983081 CTN983080:CTN983081 DDJ983080:DDJ983081 DNF983080:DNF983081 DXB983080:DXB983081 EGX983080:EGX983081 EQT983080:EQT983081 FAP983080:FAP983081 FKL983080:FKL983081 FUH983080:FUH983081 GED983080:GED983081 GNZ983080:GNZ983081 GXV983080:GXV983081 HHR983080:HHR983081 HRN983080:HRN983081 IBJ983080:IBJ983081 ILF983080:ILF983081 IVB983080:IVB983081 JEX983080:JEX983081 JOT983080:JOT983081 JYP983080:JYP983081 KIL983080:KIL983081 KSH983080:KSH983081 LCD983080:LCD983081 LLZ983080:LLZ983081 LVV983080:LVV983081 MFR983080:MFR983081 MPN983080:MPN983081 MZJ983080:MZJ983081 NJF983080:NJF983081 NTB983080:NTB983081 OCX983080:OCX983081 OMT983080:OMT983081 OWP983080:OWP983081 PGL983080:PGL983081 PQH983080:PQH983081 QAD983080:QAD983081 QJZ983080:QJZ983081 QTV983080:QTV983081 RDR983080:RDR983081 RNN983080:RNN983081 RXJ983080:RXJ983081 SHF983080:SHF983081 SRB983080:SRB983081 TAX983080:TAX983081 TKT983080:TKT983081 TUP983080:TUP983081 UEL983080:UEL983081 UOH983080:UOH983081 UYD983080:UYD983081 VHZ983080:VHZ983081 VRV983080:VRV983081 WBR983080:WBR983081 WLN983080:WLN983081 WVJ983080:WVJ983081 C65665:C65667 IX65665:IX65667 ST65665:ST65667 ACP65665:ACP65667 AML65665:AML65667 AWH65665:AWH65667 BGD65665:BGD65667 BPZ65665:BPZ65667 BZV65665:BZV65667 CJR65665:CJR65667 CTN65665:CTN65667 DDJ65665:DDJ65667 DNF65665:DNF65667 DXB65665:DXB65667 EGX65665:EGX65667 EQT65665:EQT65667 FAP65665:FAP65667 FKL65665:FKL65667 FUH65665:FUH65667 GED65665:GED65667 GNZ65665:GNZ65667 GXV65665:GXV65667 HHR65665:HHR65667 HRN65665:HRN65667 IBJ65665:IBJ65667 ILF65665:ILF65667 IVB65665:IVB65667 JEX65665:JEX65667 JOT65665:JOT65667 JYP65665:JYP65667 KIL65665:KIL65667 KSH65665:KSH65667 LCD65665:LCD65667 LLZ65665:LLZ65667 LVV65665:LVV65667 MFR65665:MFR65667 MPN65665:MPN65667 MZJ65665:MZJ65667 NJF65665:NJF65667 NTB65665:NTB65667 OCX65665:OCX65667 OMT65665:OMT65667 OWP65665:OWP65667 PGL65665:PGL65667 PQH65665:PQH65667 QAD65665:QAD65667 QJZ65665:QJZ65667 QTV65665:QTV65667 RDR65665:RDR65667 RNN65665:RNN65667 RXJ65665:RXJ65667 SHF65665:SHF65667 SRB65665:SRB65667 TAX65665:TAX65667 TKT65665:TKT65667 TUP65665:TUP65667 UEL65665:UEL65667 UOH65665:UOH65667 UYD65665:UYD65667 VHZ65665:VHZ65667 VRV65665:VRV65667 WBR65665:WBR65667 WLN65665:WLN65667 WVJ65665:WVJ65667 C131201:C131203 IX131201:IX131203 ST131201:ST131203 ACP131201:ACP131203 AML131201:AML131203 AWH131201:AWH131203 BGD131201:BGD131203 BPZ131201:BPZ131203 BZV131201:BZV131203 CJR131201:CJR131203 CTN131201:CTN131203 DDJ131201:DDJ131203 DNF131201:DNF131203 DXB131201:DXB131203 EGX131201:EGX131203 EQT131201:EQT131203 FAP131201:FAP131203 FKL131201:FKL131203 FUH131201:FUH131203 GED131201:GED131203 GNZ131201:GNZ131203 GXV131201:GXV131203 HHR131201:HHR131203 HRN131201:HRN131203 IBJ131201:IBJ131203 ILF131201:ILF131203 IVB131201:IVB131203 JEX131201:JEX131203 JOT131201:JOT131203 JYP131201:JYP131203 KIL131201:KIL131203 KSH131201:KSH131203 LCD131201:LCD131203 LLZ131201:LLZ131203 LVV131201:LVV131203 MFR131201:MFR131203 MPN131201:MPN131203 MZJ131201:MZJ131203 NJF131201:NJF131203 NTB131201:NTB131203 OCX131201:OCX131203 OMT131201:OMT131203 OWP131201:OWP131203 PGL131201:PGL131203 PQH131201:PQH131203 QAD131201:QAD131203 QJZ131201:QJZ131203 QTV131201:QTV131203 RDR131201:RDR131203 RNN131201:RNN131203 RXJ131201:RXJ131203 SHF131201:SHF131203 SRB131201:SRB131203 TAX131201:TAX131203 TKT131201:TKT131203 TUP131201:TUP131203 UEL131201:UEL131203 UOH131201:UOH131203 UYD131201:UYD131203 VHZ131201:VHZ131203 VRV131201:VRV131203 WBR131201:WBR131203 WLN131201:WLN131203 WVJ131201:WVJ131203 C196737:C196739 IX196737:IX196739 ST196737:ST196739 ACP196737:ACP196739 AML196737:AML196739 AWH196737:AWH196739 BGD196737:BGD196739 BPZ196737:BPZ196739 BZV196737:BZV196739 CJR196737:CJR196739 CTN196737:CTN196739 DDJ196737:DDJ196739 DNF196737:DNF196739 DXB196737:DXB196739 EGX196737:EGX196739 EQT196737:EQT196739 FAP196737:FAP196739 FKL196737:FKL196739 FUH196737:FUH196739 GED196737:GED196739 GNZ196737:GNZ196739 GXV196737:GXV196739 HHR196737:HHR196739 HRN196737:HRN196739 IBJ196737:IBJ196739 ILF196737:ILF196739 IVB196737:IVB196739 JEX196737:JEX196739 JOT196737:JOT196739 JYP196737:JYP196739 KIL196737:KIL196739 KSH196737:KSH196739 LCD196737:LCD196739 LLZ196737:LLZ196739 LVV196737:LVV196739 MFR196737:MFR196739 MPN196737:MPN196739 MZJ196737:MZJ196739 NJF196737:NJF196739 NTB196737:NTB196739 OCX196737:OCX196739 OMT196737:OMT196739 OWP196737:OWP196739 PGL196737:PGL196739 PQH196737:PQH196739 QAD196737:QAD196739 QJZ196737:QJZ196739 QTV196737:QTV196739 RDR196737:RDR196739 RNN196737:RNN196739 RXJ196737:RXJ196739 SHF196737:SHF196739 SRB196737:SRB196739 TAX196737:TAX196739 TKT196737:TKT196739 TUP196737:TUP196739 UEL196737:UEL196739 UOH196737:UOH196739 UYD196737:UYD196739 VHZ196737:VHZ196739 VRV196737:VRV196739 WBR196737:WBR196739 WLN196737:WLN196739 WVJ196737:WVJ196739 C262273:C262275 IX262273:IX262275 ST262273:ST262275 ACP262273:ACP262275 AML262273:AML262275 AWH262273:AWH262275 BGD262273:BGD262275 BPZ262273:BPZ262275 BZV262273:BZV262275 CJR262273:CJR262275 CTN262273:CTN262275 DDJ262273:DDJ262275 DNF262273:DNF262275 DXB262273:DXB262275 EGX262273:EGX262275 EQT262273:EQT262275 FAP262273:FAP262275 FKL262273:FKL262275 FUH262273:FUH262275 GED262273:GED262275 GNZ262273:GNZ262275 GXV262273:GXV262275 HHR262273:HHR262275 HRN262273:HRN262275 IBJ262273:IBJ262275 ILF262273:ILF262275 IVB262273:IVB262275 JEX262273:JEX262275 JOT262273:JOT262275 JYP262273:JYP262275 KIL262273:KIL262275 KSH262273:KSH262275 LCD262273:LCD262275 LLZ262273:LLZ262275 LVV262273:LVV262275 MFR262273:MFR262275 MPN262273:MPN262275 MZJ262273:MZJ262275 NJF262273:NJF262275 NTB262273:NTB262275 OCX262273:OCX262275 OMT262273:OMT262275 OWP262273:OWP262275 PGL262273:PGL262275 PQH262273:PQH262275 QAD262273:QAD262275 QJZ262273:QJZ262275 QTV262273:QTV262275 RDR262273:RDR262275 RNN262273:RNN262275 RXJ262273:RXJ262275 SHF262273:SHF262275 SRB262273:SRB262275 TAX262273:TAX262275 TKT262273:TKT262275 TUP262273:TUP262275 UEL262273:UEL262275 UOH262273:UOH262275 UYD262273:UYD262275 VHZ262273:VHZ262275 VRV262273:VRV262275 WBR262273:WBR262275 WLN262273:WLN262275 WVJ262273:WVJ262275 C327809:C327811 IX327809:IX327811 ST327809:ST327811 ACP327809:ACP327811 AML327809:AML327811 AWH327809:AWH327811 BGD327809:BGD327811 BPZ327809:BPZ327811 BZV327809:BZV327811 CJR327809:CJR327811 CTN327809:CTN327811 DDJ327809:DDJ327811 DNF327809:DNF327811 DXB327809:DXB327811 EGX327809:EGX327811 EQT327809:EQT327811 FAP327809:FAP327811 FKL327809:FKL327811 FUH327809:FUH327811 GED327809:GED327811 GNZ327809:GNZ327811 GXV327809:GXV327811 HHR327809:HHR327811 HRN327809:HRN327811 IBJ327809:IBJ327811 ILF327809:ILF327811 IVB327809:IVB327811 JEX327809:JEX327811 JOT327809:JOT327811 JYP327809:JYP327811 KIL327809:KIL327811 KSH327809:KSH327811 LCD327809:LCD327811 LLZ327809:LLZ327811 LVV327809:LVV327811 MFR327809:MFR327811 MPN327809:MPN327811 MZJ327809:MZJ327811 NJF327809:NJF327811 NTB327809:NTB327811 OCX327809:OCX327811 OMT327809:OMT327811 OWP327809:OWP327811 PGL327809:PGL327811 PQH327809:PQH327811 QAD327809:QAD327811 QJZ327809:QJZ327811 QTV327809:QTV327811 RDR327809:RDR327811 RNN327809:RNN327811 RXJ327809:RXJ327811 SHF327809:SHF327811 SRB327809:SRB327811 TAX327809:TAX327811 TKT327809:TKT327811 TUP327809:TUP327811 UEL327809:UEL327811 UOH327809:UOH327811 UYD327809:UYD327811 VHZ327809:VHZ327811 VRV327809:VRV327811 WBR327809:WBR327811 WLN327809:WLN327811 WVJ327809:WVJ327811 C393345:C393347 IX393345:IX393347 ST393345:ST393347 ACP393345:ACP393347 AML393345:AML393347 AWH393345:AWH393347 BGD393345:BGD393347 BPZ393345:BPZ393347 BZV393345:BZV393347 CJR393345:CJR393347 CTN393345:CTN393347 DDJ393345:DDJ393347 DNF393345:DNF393347 DXB393345:DXB393347 EGX393345:EGX393347 EQT393345:EQT393347 FAP393345:FAP393347 FKL393345:FKL393347 FUH393345:FUH393347 GED393345:GED393347 GNZ393345:GNZ393347 GXV393345:GXV393347 HHR393345:HHR393347 HRN393345:HRN393347 IBJ393345:IBJ393347 ILF393345:ILF393347 IVB393345:IVB393347 JEX393345:JEX393347 JOT393345:JOT393347 JYP393345:JYP393347 KIL393345:KIL393347 KSH393345:KSH393347 LCD393345:LCD393347 LLZ393345:LLZ393347 LVV393345:LVV393347 MFR393345:MFR393347 MPN393345:MPN393347 MZJ393345:MZJ393347 NJF393345:NJF393347 NTB393345:NTB393347 OCX393345:OCX393347 OMT393345:OMT393347 OWP393345:OWP393347 PGL393345:PGL393347 PQH393345:PQH393347 QAD393345:QAD393347 QJZ393345:QJZ393347 QTV393345:QTV393347 RDR393345:RDR393347 RNN393345:RNN393347 RXJ393345:RXJ393347 SHF393345:SHF393347 SRB393345:SRB393347 TAX393345:TAX393347 TKT393345:TKT393347 TUP393345:TUP393347 UEL393345:UEL393347 UOH393345:UOH393347 UYD393345:UYD393347 VHZ393345:VHZ393347 VRV393345:VRV393347 WBR393345:WBR393347 WLN393345:WLN393347 WVJ393345:WVJ393347 C458881:C458883 IX458881:IX458883 ST458881:ST458883 ACP458881:ACP458883 AML458881:AML458883 AWH458881:AWH458883 BGD458881:BGD458883 BPZ458881:BPZ458883 BZV458881:BZV458883 CJR458881:CJR458883 CTN458881:CTN458883 DDJ458881:DDJ458883 DNF458881:DNF458883 DXB458881:DXB458883 EGX458881:EGX458883 EQT458881:EQT458883 FAP458881:FAP458883 FKL458881:FKL458883 FUH458881:FUH458883 GED458881:GED458883 GNZ458881:GNZ458883 GXV458881:GXV458883 HHR458881:HHR458883 HRN458881:HRN458883 IBJ458881:IBJ458883 ILF458881:ILF458883 IVB458881:IVB458883 JEX458881:JEX458883 JOT458881:JOT458883 JYP458881:JYP458883 KIL458881:KIL458883 KSH458881:KSH458883 LCD458881:LCD458883 LLZ458881:LLZ458883 LVV458881:LVV458883 MFR458881:MFR458883 MPN458881:MPN458883 MZJ458881:MZJ458883 NJF458881:NJF458883 NTB458881:NTB458883 OCX458881:OCX458883 OMT458881:OMT458883 OWP458881:OWP458883 PGL458881:PGL458883 PQH458881:PQH458883 QAD458881:QAD458883 QJZ458881:QJZ458883 QTV458881:QTV458883 RDR458881:RDR458883 RNN458881:RNN458883 RXJ458881:RXJ458883 SHF458881:SHF458883 SRB458881:SRB458883 TAX458881:TAX458883 TKT458881:TKT458883 TUP458881:TUP458883 UEL458881:UEL458883 UOH458881:UOH458883 UYD458881:UYD458883 VHZ458881:VHZ458883 VRV458881:VRV458883 WBR458881:WBR458883 WLN458881:WLN458883 WVJ458881:WVJ458883 C524417:C524419 IX524417:IX524419 ST524417:ST524419 ACP524417:ACP524419 AML524417:AML524419 AWH524417:AWH524419 BGD524417:BGD524419 BPZ524417:BPZ524419 BZV524417:BZV524419 CJR524417:CJR524419 CTN524417:CTN524419 DDJ524417:DDJ524419 DNF524417:DNF524419 DXB524417:DXB524419 EGX524417:EGX524419 EQT524417:EQT524419 FAP524417:FAP524419 FKL524417:FKL524419 FUH524417:FUH524419 GED524417:GED524419 GNZ524417:GNZ524419 GXV524417:GXV524419 HHR524417:HHR524419 HRN524417:HRN524419 IBJ524417:IBJ524419 ILF524417:ILF524419 IVB524417:IVB524419 JEX524417:JEX524419 JOT524417:JOT524419 JYP524417:JYP524419 KIL524417:KIL524419 KSH524417:KSH524419 LCD524417:LCD524419 LLZ524417:LLZ524419 LVV524417:LVV524419 MFR524417:MFR524419 MPN524417:MPN524419 MZJ524417:MZJ524419 NJF524417:NJF524419 NTB524417:NTB524419 OCX524417:OCX524419 OMT524417:OMT524419 OWP524417:OWP524419 PGL524417:PGL524419 PQH524417:PQH524419 QAD524417:QAD524419 QJZ524417:QJZ524419 QTV524417:QTV524419 RDR524417:RDR524419 RNN524417:RNN524419 RXJ524417:RXJ524419 SHF524417:SHF524419 SRB524417:SRB524419 TAX524417:TAX524419 TKT524417:TKT524419 TUP524417:TUP524419 UEL524417:UEL524419 UOH524417:UOH524419 UYD524417:UYD524419 VHZ524417:VHZ524419 VRV524417:VRV524419 WBR524417:WBR524419 WLN524417:WLN524419 WVJ524417:WVJ524419 C589953:C589955 IX589953:IX589955 ST589953:ST589955 ACP589953:ACP589955 AML589953:AML589955 AWH589953:AWH589955 BGD589953:BGD589955 BPZ589953:BPZ589955 BZV589953:BZV589955 CJR589953:CJR589955 CTN589953:CTN589955 DDJ589953:DDJ589955 DNF589953:DNF589955 DXB589953:DXB589955 EGX589953:EGX589955 EQT589953:EQT589955 FAP589953:FAP589955 FKL589953:FKL589955 FUH589953:FUH589955 GED589953:GED589955 GNZ589953:GNZ589955 GXV589953:GXV589955 HHR589953:HHR589955 HRN589953:HRN589955 IBJ589953:IBJ589955 ILF589953:ILF589955 IVB589953:IVB589955 JEX589953:JEX589955 JOT589953:JOT589955 JYP589953:JYP589955 KIL589953:KIL589955 KSH589953:KSH589955 LCD589953:LCD589955 LLZ589953:LLZ589955 LVV589953:LVV589955 MFR589953:MFR589955 MPN589953:MPN589955 MZJ589953:MZJ589955 NJF589953:NJF589955 NTB589953:NTB589955 OCX589953:OCX589955 OMT589953:OMT589955 OWP589953:OWP589955 PGL589953:PGL589955 PQH589953:PQH589955 QAD589953:QAD589955 QJZ589953:QJZ589955 QTV589953:QTV589955 RDR589953:RDR589955 RNN589953:RNN589955 RXJ589953:RXJ589955 SHF589953:SHF589955 SRB589953:SRB589955 TAX589953:TAX589955 TKT589953:TKT589955 TUP589953:TUP589955 UEL589953:UEL589955 UOH589953:UOH589955 UYD589953:UYD589955 VHZ589953:VHZ589955 VRV589953:VRV589955 WBR589953:WBR589955 WLN589953:WLN589955 WVJ589953:WVJ589955 C655489:C655491 IX655489:IX655491 ST655489:ST655491 ACP655489:ACP655491 AML655489:AML655491 AWH655489:AWH655491 BGD655489:BGD655491 BPZ655489:BPZ655491 BZV655489:BZV655491 CJR655489:CJR655491 CTN655489:CTN655491 DDJ655489:DDJ655491 DNF655489:DNF655491 DXB655489:DXB655491 EGX655489:EGX655491 EQT655489:EQT655491 FAP655489:FAP655491 FKL655489:FKL655491 FUH655489:FUH655491 GED655489:GED655491 GNZ655489:GNZ655491 GXV655489:GXV655491 HHR655489:HHR655491 HRN655489:HRN655491 IBJ655489:IBJ655491 ILF655489:ILF655491 IVB655489:IVB655491 JEX655489:JEX655491 JOT655489:JOT655491 JYP655489:JYP655491 KIL655489:KIL655491 KSH655489:KSH655491 LCD655489:LCD655491 LLZ655489:LLZ655491 LVV655489:LVV655491 MFR655489:MFR655491 MPN655489:MPN655491 MZJ655489:MZJ655491 NJF655489:NJF655491 NTB655489:NTB655491 OCX655489:OCX655491 OMT655489:OMT655491 OWP655489:OWP655491 PGL655489:PGL655491 PQH655489:PQH655491 QAD655489:QAD655491 QJZ655489:QJZ655491 QTV655489:QTV655491 RDR655489:RDR655491 RNN655489:RNN655491 RXJ655489:RXJ655491 SHF655489:SHF655491 SRB655489:SRB655491 TAX655489:TAX655491 TKT655489:TKT655491 TUP655489:TUP655491 UEL655489:UEL655491 UOH655489:UOH655491 UYD655489:UYD655491 VHZ655489:VHZ655491 VRV655489:VRV655491 WBR655489:WBR655491 WLN655489:WLN655491 WVJ655489:WVJ655491 C721025:C721027 IX721025:IX721027 ST721025:ST721027 ACP721025:ACP721027 AML721025:AML721027 AWH721025:AWH721027 BGD721025:BGD721027 BPZ721025:BPZ721027 BZV721025:BZV721027 CJR721025:CJR721027 CTN721025:CTN721027 DDJ721025:DDJ721027 DNF721025:DNF721027 DXB721025:DXB721027 EGX721025:EGX721027 EQT721025:EQT721027 FAP721025:FAP721027 FKL721025:FKL721027 FUH721025:FUH721027 GED721025:GED721027 GNZ721025:GNZ721027 GXV721025:GXV721027 HHR721025:HHR721027 HRN721025:HRN721027 IBJ721025:IBJ721027 ILF721025:ILF721027 IVB721025:IVB721027 JEX721025:JEX721027 JOT721025:JOT721027 JYP721025:JYP721027 KIL721025:KIL721027 KSH721025:KSH721027 LCD721025:LCD721027 LLZ721025:LLZ721027 LVV721025:LVV721027 MFR721025:MFR721027 MPN721025:MPN721027 MZJ721025:MZJ721027 NJF721025:NJF721027 NTB721025:NTB721027 OCX721025:OCX721027 OMT721025:OMT721027 OWP721025:OWP721027 PGL721025:PGL721027 PQH721025:PQH721027 QAD721025:QAD721027 QJZ721025:QJZ721027 QTV721025:QTV721027 RDR721025:RDR721027 RNN721025:RNN721027 RXJ721025:RXJ721027 SHF721025:SHF721027 SRB721025:SRB721027 TAX721025:TAX721027 TKT721025:TKT721027 TUP721025:TUP721027 UEL721025:UEL721027 UOH721025:UOH721027 UYD721025:UYD721027 VHZ721025:VHZ721027 VRV721025:VRV721027 WBR721025:WBR721027 WLN721025:WLN721027 WVJ721025:WVJ721027 C786561:C786563 IX786561:IX786563 ST786561:ST786563 ACP786561:ACP786563 AML786561:AML786563 AWH786561:AWH786563 BGD786561:BGD786563 BPZ786561:BPZ786563 BZV786561:BZV786563 CJR786561:CJR786563 CTN786561:CTN786563 DDJ786561:DDJ786563 DNF786561:DNF786563 DXB786561:DXB786563 EGX786561:EGX786563 EQT786561:EQT786563 FAP786561:FAP786563 FKL786561:FKL786563 FUH786561:FUH786563 GED786561:GED786563 GNZ786561:GNZ786563 GXV786561:GXV786563 HHR786561:HHR786563 HRN786561:HRN786563 IBJ786561:IBJ786563 ILF786561:ILF786563 IVB786561:IVB786563 JEX786561:JEX786563 JOT786561:JOT786563 JYP786561:JYP786563 KIL786561:KIL786563 KSH786561:KSH786563 LCD786561:LCD786563 LLZ786561:LLZ786563 LVV786561:LVV786563 MFR786561:MFR786563 MPN786561:MPN786563 MZJ786561:MZJ786563 NJF786561:NJF786563 NTB786561:NTB786563 OCX786561:OCX786563 OMT786561:OMT786563 OWP786561:OWP786563 PGL786561:PGL786563 PQH786561:PQH786563 QAD786561:QAD786563 QJZ786561:QJZ786563 QTV786561:QTV786563 RDR786561:RDR786563 RNN786561:RNN786563 RXJ786561:RXJ786563 SHF786561:SHF786563 SRB786561:SRB786563 TAX786561:TAX786563 TKT786561:TKT786563 TUP786561:TUP786563 UEL786561:UEL786563 UOH786561:UOH786563 UYD786561:UYD786563 VHZ786561:VHZ786563 VRV786561:VRV786563 WBR786561:WBR786563 WLN786561:WLN786563 WVJ786561:WVJ786563 C852097:C852099 IX852097:IX852099 ST852097:ST852099 ACP852097:ACP852099 AML852097:AML852099 AWH852097:AWH852099 BGD852097:BGD852099 BPZ852097:BPZ852099 BZV852097:BZV852099 CJR852097:CJR852099 CTN852097:CTN852099 DDJ852097:DDJ852099 DNF852097:DNF852099 DXB852097:DXB852099 EGX852097:EGX852099 EQT852097:EQT852099 FAP852097:FAP852099 FKL852097:FKL852099 FUH852097:FUH852099 GED852097:GED852099 GNZ852097:GNZ852099 GXV852097:GXV852099 HHR852097:HHR852099 HRN852097:HRN852099 IBJ852097:IBJ852099 ILF852097:ILF852099 IVB852097:IVB852099 JEX852097:JEX852099 JOT852097:JOT852099 JYP852097:JYP852099 KIL852097:KIL852099 KSH852097:KSH852099 LCD852097:LCD852099 LLZ852097:LLZ852099 LVV852097:LVV852099 MFR852097:MFR852099 MPN852097:MPN852099 MZJ852097:MZJ852099 NJF852097:NJF852099 NTB852097:NTB852099 OCX852097:OCX852099 OMT852097:OMT852099 OWP852097:OWP852099 PGL852097:PGL852099 PQH852097:PQH852099 QAD852097:QAD852099 QJZ852097:QJZ852099 QTV852097:QTV852099 RDR852097:RDR852099 RNN852097:RNN852099 RXJ852097:RXJ852099 SHF852097:SHF852099 SRB852097:SRB852099 TAX852097:TAX852099 TKT852097:TKT852099 TUP852097:TUP852099 UEL852097:UEL852099 UOH852097:UOH852099 UYD852097:UYD852099 VHZ852097:VHZ852099 VRV852097:VRV852099 WBR852097:WBR852099 WLN852097:WLN852099 WVJ852097:WVJ852099 C917633:C917635 IX917633:IX917635 ST917633:ST917635 ACP917633:ACP917635 AML917633:AML917635 AWH917633:AWH917635 BGD917633:BGD917635 BPZ917633:BPZ917635 BZV917633:BZV917635 CJR917633:CJR917635 CTN917633:CTN917635 DDJ917633:DDJ917635 DNF917633:DNF917635 DXB917633:DXB917635 EGX917633:EGX917635 EQT917633:EQT917635 FAP917633:FAP917635 FKL917633:FKL917635 FUH917633:FUH917635 GED917633:GED917635 GNZ917633:GNZ917635 GXV917633:GXV917635 HHR917633:HHR917635 HRN917633:HRN917635 IBJ917633:IBJ917635 ILF917633:ILF917635 IVB917633:IVB917635 JEX917633:JEX917635 JOT917633:JOT917635 JYP917633:JYP917635 KIL917633:KIL917635 KSH917633:KSH917635 LCD917633:LCD917635 LLZ917633:LLZ917635 LVV917633:LVV917635 MFR917633:MFR917635 MPN917633:MPN917635 MZJ917633:MZJ917635 NJF917633:NJF917635 NTB917633:NTB917635 OCX917633:OCX917635 OMT917633:OMT917635 OWP917633:OWP917635 PGL917633:PGL917635 PQH917633:PQH917635 QAD917633:QAD917635 QJZ917633:QJZ917635 QTV917633:QTV917635 RDR917633:RDR917635 RNN917633:RNN917635 RXJ917633:RXJ917635 SHF917633:SHF917635 SRB917633:SRB917635 TAX917633:TAX917635 TKT917633:TKT917635 TUP917633:TUP917635 UEL917633:UEL917635 UOH917633:UOH917635 UYD917633:UYD917635 VHZ917633:VHZ917635 VRV917633:VRV917635 WBR917633:WBR917635 WLN917633:WLN917635 WVJ917633:WVJ917635 C983169:C983171 IX983169:IX983171 ST983169:ST983171 ACP983169:ACP983171 AML983169:AML983171 AWH983169:AWH983171 BGD983169:BGD983171 BPZ983169:BPZ983171 BZV983169:BZV983171 CJR983169:CJR983171 CTN983169:CTN983171 DDJ983169:DDJ983171 DNF983169:DNF983171 DXB983169:DXB983171 EGX983169:EGX983171 EQT983169:EQT983171 FAP983169:FAP983171 FKL983169:FKL983171 FUH983169:FUH983171 GED983169:GED983171 GNZ983169:GNZ983171 GXV983169:GXV983171 HHR983169:HHR983171 HRN983169:HRN983171 IBJ983169:IBJ983171 ILF983169:ILF983171 IVB983169:IVB983171 JEX983169:JEX983171 JOT983169:JOT983171 JYP983169:JYP983171 KIL983169:KIL983171 KSH983169:KSH983171 LCD983169:LCD983171 LLZ983169:LLZ983171 LVV983169:LVV983171 MFR983169:MFR983171 MPN983169:MPN983171 MZJ983169:MZJ983171 NJF983169:NJF983171 NTB983169:NTB983171 OCX983169:OCX983171 OMT983169:OMT983171 OWP983169:OWP983171 PGL983169:PGL983171 PQH983169:PQH983171 QAD983169:QAD983171 QJZ983169:QJZ983171 QTV983169:QTV983171 RDR983169:RDR983171 RNN983169:RNN983171 RXJ983169:RXJ983171 SHF983169:SHF983171 SRB983169:SRB983171 TAX983169:TAX983171 TKT983169:TKT983171 TUP983169:TUP983171 UEL983169:UEL983171 UOH983169:UOH983171 UYD983169:UYD983171 VHZ983169:VHZ983171 VRV983169:VRV983171 WBR983169:WBR983171 WLN983169:WLN983171 WVJ983169:WVJ983171 WVJ131 WLN131 WBR131 VRV131 VHZ131 UYD131 UOH131 UEL131 TUP131 TKT131 TAX131 SRB131 SHF131 RXJ131 RNN131 RDR131 QTV131 QJZ131 QAD131 PQH131 PGL131 OWP131 OMT131 OCX131 NTB131 NJF131 MZJ131 MPN131 MFR131 LVV131 LLZ131 LCD131 KSH131 KIL131 JYP131 JOT131 JEX131 IVB131 ILF131 IBJ131 HRN131 HHR131 GXV131 GNZ131 GED131 FUH131 FKL131 FAP131 EQT131 EGX131 DXB131 DNF131 DDJ131 CTN131 CJR131 BZV131 BPZ131 BGD131 AWH131 AML131 ACP131 ST131 IX131 C131 WVJ24:WVJ25 WLN24:WLN25 WBR24:WBR25 VRV24:VRV25 VHZ24:VHZ25 UYD24:UYD25 UOH24:UOH25 UEL24:UEL25 TUP24:TUP25 TKT24:TKT25 TAX24:TAX25 SRB24:SRB25 SHF24:SHF25 RXJ24:RXJ25 RNN24:RNN25 RDR24:RDR25 QTV24:QTV25 QJZ24:QJZ25 QAD24:QAD25 PQH24:PQH25 PGL24:PGL25 OWP24:OWP25 OMT24:OMT25 OCX24:OCX25 NTB24:NTB25 NJF24:NJF25 MZJ24:MZJ25 MPN24:MPN25 MFR24:MFR25 LVV24:LVV25 LLZ24:LLZ25 LCD24:LCD25 KSH24:KSH25 KIL24:KIL25 JYP24:JYP25 JOT24:JOT25 JEX24:JEX25 IVB24:IVB25 ILF24:ILF25 IBJ24:IBJ25 HRN24:HRN25 HHR24:HHR25 GXV24:GXV25 GNZ24:GNZ25 GED24:GED25 FUH24:FUH25 FKL24:FKL25 FAP24:FAP25 EQT24:EQT25 EGX24:EGX25 DXB24:DXB25 DNF24:DNF25 DDJ24:DDJ25 CTN24:CTN25 CJR24:CJR25 BZV24:BZV25 BPZ24:BPZ25 BGD24:BGD25 AWH24:AWH25 AML24:AML25 ACP24:ACP25 ST24:ST25 IX24:IX25 C24:C25 WVJ15 WLN15 WBR15 VRV15 VHZ15 UYD15 UOH15 UEL15 TUP15 TKT15 TAX15 SRB15 SHF15 RXJ15 RNN15 RDR15 QTV15 QJZ15 QAD15 PQH15 PGL15 OWP15 OMT15 OCX15 NTB15 NJF15 MZJ15 MPN15 MFR15 LVV15 LLZ15 LCD15 KSH15 KIL15 JYP15 JOT15 JEX15 IVB15 ILF15 IBJ15 HRN15 HHR15 GXV15 GNZ15 GED15 FUH15 FKL15 FAP15 EQT15 EGX15 DXB15 DNF15 DDJ15 CTN15 CJR15 BZV15 BPZ15 BGD15 AWH15 AML15 ACP15 ST15 IX15 C15 WVJ35 WLN35 WBR35 VRV35 VHZ35 UYD35 UOH35 UEL35 TUP35 TKT35 TAX35 SRB35 SHF35 RXJ35 RNN35 RDR35 QTV35 QJZ35 QAD35 PQH35 PGL35 OWP35 OMT35 OCX35 NTB35 NJF35 MZJ35 MPN35 MFR35 LVV35 LLZ35 LCD35 KSH35 KIL35 JYP35 JOT35 JEX35 IVB35 ILF35 IBJ35 HRN35 HHR35 GXV35 GNZ35 GED35 FUH35 FKL35 FAP35 EQT35 EGX35 DXB35 DNF35 DDJ35 CTN35 CJR35 BZV35 BPZ35 BGD35 AWH35 AML35 ACP35 ST35 IX35 C35 WVJ21 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IX21 C21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C31 WVJ51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C51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V197"/>
  <sheetViews>
    <sheetView zoomScale="71" workbookViewId="0">
      <pane xSplit="3" ySplit="12" topLeftCell="D75" activePane="bottomRight" state="frozen"/>
      <selection pane="topRight" activeCell="D1" sqref="D1"/>
      <selection pane="bottomLeft" activeCell="A13" sqref="A13"/>
      <selection pane="bottomRight" activeCell="E132" activeCellId="1" sqref="E127 E132"/>
    </sheetView>
  </sheetViews>
  <sheetFormatPr baseColWidth="10" defaultColWidth="9.26953125" defaultRowHeight="13" x14ac:dyDescent="0.25"/>
  <cols>
    <col min="1" max="1" width="15.54296875" style="45" customWidth="1"/>
    <col min="2" max="2" width="55.26953125" style="94" customWidth="1"/>
    <col min="3" max="3" width="27.26953125" style="240" customWidth="1"/>
    <col min="4" max="4" width="13.7265625" style="241" customWidth="1"/>
    <col min="5" max="5" width="15.54296875" style="242" customWidth="1"/>
    <col min="6" max="6" width="15.453125" style="735" customWidth="1"/>
    <col min="7" max="8" width="15.453125" style="59" customWidth="1"/>
    <col min="9" max="9" width="12.26953125" style="248" customWidth="1"/>
    <col min="10" max="11" width="15.453125" style="59" customWidth="1"/>
    <col min="12" max="12" width="65.26953125" style="59" customWidth="1"/>
    <col min="13" max="18" width="12.7265625" style="59" hidden="1" customWidth="1"/>
    <col min="19" max="19" width="15.453125" style="59" hidden="1" customWidth="1"/>
    <col min="20" max="20" width="15.26953125" style="59" hidden="1" customWidth="1"/>
    <col min="21" max="21" width="2" style="45" hidden="1" customWidth="1"/>
    <col min="22" max="22" width="17.7265625" style="59" hidden="1" customWidth="1"/>
    <col min="23" max="23" width="7.7265625" style="46" hidden="1" customWidth="1"/>
    <col min="24" max="24" width="110.453125" style="59" customWidth="1"/>
    <col min="25" max="16384" width="9.26953125" style="45"/>
  </cols>
  <sheetData>
    <row r="1" spans="1:45" ht="18.5" x14ac:dyDescent="0.25">
      <c r="A1" s="42" t="s">
        <v>28</v>
      </c>
      <c r="B1" s="42"/>
      <c r="C1" s="43"/>
      <c r="D1" s="42"/>
      <c r="E1" s="42"/>
      <c r="F1" s="42"/>
      <c r="G1" s="42"/>
      <c r="H1" s="42"/>
      <c r="I1" s="44"/>
      <c r="J1" s="42"/>
      <c r="K1" s="42"/>
      <c r="L1" s="42"/>
      <c r="M1" s="42"/>
      <c r="N1" s="42"/>
      <c r="O1" s="42"/>
      <c r="P1" s="42"/>
      <c r="Q1" s="42"/>
      <c r="R1" s="42"/>
      <c r="S1" s="42"/>
      <c r="T1" s="42"/>
      <c r="V1" s="42"/>
      <c r="X1" s="42"/>
    </row>
    <row r="2" spans="1:45" x14ac:dyDescent="0.25">
      <c r="A2" s="52" t="s">
        <v>23</v>
      </c>
      <c r="B2" s="2586"/>
      <c r="C2" s="2587" t="s">
        <v>194</v>
      </c>
      <c r="D2" s="47"/>
      <c r="E2" s="48"/>
      <c r="F2" s="734"/>
      <c r="G2" s="49"/>
      <c r="H2" s="49"/>
      <c r="I2" s="50"/>
      <c r="J2" s="49"/>
      <c r="K2" s="49"/>
      <c r="L2" s="49"/>
      <c r="M2" s="49"/>
      <c r="N2" s="49"/>
      <c r="O2" s="49"/>
      <c r="P2" s="49"/>
      <c r="Q2" s="49"/>
      <c r="R2" s="49"/>
      <c r="S2" s="49"/>
      <c r="T2" s="49"/>
      <c r="V2" s="49"/>
      <c r="X2" s="49"/>
    </row>
    <row r="3" spans="1:45" x14ac:dyDescent="0.25">
      <c r="A3" s="52" t="s">
        <v>24</v>
      </c>
      <c r="B3" s="2586"/>
      <c r="C3" s="2588"/>
      <c r="D3" s="47"/>
      <c r="E3" s="48"/>
      <c r="F3" s="734"/>
      <c r="G3" s="49"/>
      <c r="H3" s="49"/>
      <c r="I3" s="50"/>
      <c r="J3" s="49"/>
      <c r="K3" s="49"/>
      <c r="L3" s="49"/>
      <c r="M3" s="49"/>
      <c r="N3" s="49"/>
      <c r="O3" s="49"/>
      <c r="P3" s="49"/>
      <c r="Q3" s="49"/>
      <c r="R3" s="49"/>
      <c r="S3" s="49"/>
      <c r="T3" s="49"/>
      <c r="V3" s="49"/>
      <c r="X3" s="49"/>
    </row>
    <row r="4" spans="1:45" x14ac:dyDescent="0.25">
      <c r="A4" s="52" t="s">
        <v>21</v>
      </c>
      <c r="B4" s="51"/>
      <c r="C4" s="2588"/>
      <c r="D4" s="2555"/>
      <c r="E4" s="2556"/>
      <c r="F4" s="734"/>
      <c r="G4" s="49"/>
      <c r="H4" s="49"/>
      <c r="I4" s="50"/>
      <c r="J4" s="49"/>
      <c r="K4" s="49"/>
      <c r="L4" s="49"/>
      <c r="M4" s="49"/>
      <c r="N4" s="49"/>
      <c r="O4" s="49"/>
      <c r="P4" s="49"/>
      <c r="Q4" s="49"/>
      <c r="R4" s="49"/>
      <c r="S4" s="49"/>
      <c r="T4" s="49"/>
      <c r="V4" s="49"/>
      <c r="X4" s="49"/>
    </row>
    <row r="5" spans="1:45" x14ac:dyDescent="0.25">
      <c r="A5" s="52" t="s">
        <v>195</v>
      </c>
      <c r="B5" s="52"/>
      <c r="C5" s="53">
        <v>1119158.92</v>
      </c>
      <c r="D5" s="2555"/>
      <c r="E5" s="2556"/>
      <c r="F5" s="734"/>
      <c r="G5" s="49"/>
      <c r="H5" s="49"/>
      <c r="I5" s="50"/>
      <c r="J5" s="49"/>
      <c r="K5" s="49"/>
      <c r="L5" s="49"/>
      <c r="M5" s="49"/>
      <c r="N5" s="49"/>
      <c r="O5" s="49"/>
      <c r="P5" s="49"/>
      <c r="Q5" s="49"/>
      <c r="R5" s="49"/>
      <c r="S5" s="49"/>
      <c r="T5" s="49"/>
      <c r="V5" s="49"/>
      <c r="X5" s="49"/>
    </row>
    <row r="6" spans="1:45" x14ac:dyDescent="0.25">
      <c r="A6" s="2589" t="s">
        <v>196</v>
      </c>
      <c r="B6" s="51"/>
      <c r="C6" s="53">
        <v>78341.124400000001</v>
      </c>
      <c r="D6" s="2555"/>
      <c r="E6" s="2556"/>
      <c r="F6" s="734"/>
      <c r="G6" s="49"/>
      <c r="H6" s="49"/>
      <c r="I6" s="50"/>
      <c r="J6" s="49"/>
      <c r="K6" s="49"/>
      <c r="L6" s="49"/>
      <c r="M6" s="49"/>
      <c r="N6" s="49"/>
      <c r="O6" s="49"/>
      <c r="P6" s="49"/>
      <c r="Q6" s="49"/>
      <c r="R6" s="49"/>
      <c r="S6" s="49"/>
      <c r="T6" s="49"/>
      <c r="V6" s="49"/>
      <c r="X6" s="49"/>
    </row>
    <row r="7" spans="1:45" ht="13.5" thickBot="1" x14ac:dyDescent="0.3">
      <c r="A7" s="2589" t="s">
        <v>197</v>
      </c>
      <c r="B7" s="51"/>
      <c r="C7" s="53">
        <v>1197500.0444</v>
      </c>
      <c r="D7" s="2555"/>
      <c r="E7" s="2556"/>
      <c r="F7" s="734"/>
      <c r="G7" s="49"/>
      <c r="H7" s="2557" t="s">
        <v>1356</v>
      </c>
      <c r="I7" s="2558"/>
      <c r="J7" s="2559" t="s">
        <v>1675</v>
      </c>
      <c r="K7" s="2560"/>
      <c r="L7" s="49"/>
      <c r="M7" s="49"/>
      <c r="N7" s="49"/>
      <c r="O7" s="49"/>
      <c r="P7" s="49"/>
      <c r="Q7" s="49"/>
      <c r="R7" s="49"/>
      <c r="S7" s="49"/>
      <c r="T7" s="49"/>
      <c r="V7" s="49"/>
      <c r="X7" s="49"/>
    </row>
    <row r="8" spans="1:45" ht="16.5" customHeight="1" thickBot="1" x14ac:dyDescent="0.3">
      <c r="A8" s="54"/>
      <c r="B8" s="55"/>
      <c r="C8" s="56"/>
      <c r="D8" s="57"/>
      <c r="E8" s="58"/>
      <c r="H8" s="3154" t="s">
        <v>198</v>
      </c>
      <c r="I8" s="3155"/>
      <c r="J8" s="3155"/>
      <c r="K8" s="3156"/>
      <c r="L8" s="736"/>
      <c r="M8" s="737"/>
      <c r="N8" s="737"/>
      <c r="O8" s="737"/>
      <c r="P8" s="737"/>
      <c r="Q8" s="737"/>
      <c r="R8" s="738"/>
      <c r="U8" s="54"/>
      <c r="W8" s="739"/>
      <c r="Y8" s="54"/>
      <c r="Z8" s="54"/>
      <c r="AA8" s="54"/>
      <c r="AB8" s="54"/>
      <c r="AC8" s="54"/>
      <c r="AD8" s="54"/>
      <c r="AE8" s="54"/>
      <c r="AF8" s="54"/>
      <c r="AG8" s="54"/>
      <c r="AH8" s="54"/>
      <c r="AI8" s="54"/>
      <c r="AJ8" s="54"/>
      <c r="AK8" s="54"/>
      <c r="AL8" s="54"/>
      <c r="AM8" s="54"/>
      <c r="AN8" s="54"/>
      <c r="AO8" s="54"/>
      <c r="AP8" s="54"/>
      <c r="AQ8" s="54"/>
      <c r="AR8" s="54"/>
    </row>
    <row r="9" spans="1:45" ht="44.25" customHeight="1" thickBot="1" x14ac:dyDescent="0.3">
      <c r="A9" s="60" t="s">
        <v>9</v>
      </c>
      <c r="B9" s="2561" t="s">
        <v>10</v>
      </c>
      <c r="C9" s="2562" t="s">
        <v>45</v>
      </c>
      <c r="D9" s="2563" t="s">
        <v>199</v>
      </c>
      <c r="E9" s="2564" t="s">
        <v>13</v>
      </c>
      <c r="F9" s="2565" t="s">
        <v>200</v>
      </c>
      <c r="G9" s="2566" t="s">
        <v>84</v>
      </c>
      <c r="H9" s="2895" t="s">
        <v>1357</v>
      </c>
      <c r="I9" s="2567" t="s">
        <v>1358</v>
      </c>
      <c r="J9" s="2568" t="s">
        <v>200</v>
      </c>
      <c r="K9" s="2569" t="s">
        <v>84</v>
      </c>
      <c r="L9" s="2570" t="s">
        <v>1359</v>
      </c>
      <c r="M9" s="2571">
        <f>'[3]BVA (USD)'!U4</f>
        <v>43647</v>
      </c>
      <c r="N9" s="2571">
        <f>'[3]BVA (USD)'!V4</f>
        <v>43678</v>
      </c>
      <c r="O9" s="2571">
        <f>'[3]BVA (USD)'!W4</f>
        <v>43709</v>
      </c>
      <c r="P9" s="2571">
        <f>'[3]BVA (USD)'!X4</f>
        <v>43739</v>
      </c>
      <c r="Q9" s="2571">
        <f>'[3]BVA (USD)'!Y4</f>
        <v>43770</v>
      </c>
      <c r="R9" s="2572">
        <f>'[3]BVA (USD)'!Z4</f>
        <v>43800</v>
      </c>
      <c r="S9" s="2564" t="s">
        <v>1360</v>
      </c>
      <c r="T9" s="2564" t="s">
        <v>1361</v>
      </c>
      <c r="U9" s="54"/>
      <c r="V9" s="2564" t="s">
        <v>1362</v>
      </c>
      <c r="W9" s="740" t="s">
        <v>1363</v>
      </c>
      <c r="X9" s="2564" t="s">
        <v>201</v>
      </c>
      <c r="Y9" s="54"/>
      <c r="Z9" s="54"/>
      <c r="AA9" s="54"/>
      <c r="AB9" s="54"/>
      <c r="AC9" s="54"/>
      <c r="AD9" s="54"/>
      <c r="AE9" s="54"/>
      <c r="AF9" s="54"/>
      <c r="AG9" s="54"/>
      <c r="AH9" s="54"/>
      <c r="AI9" s="54"/>
      <c r="AJ9" s="54"/>
      <c r="AK9" s="54"/>
      <c r="AL9" s="54"/>
      <c r="AM9" s="54"/>
      <c r="AN9" s="54"/>
      <c r="AO9" s="54"/>
      <c r="AP9" s="54"/>
      <c r="AQ9" s="54"/>
      <c r="AR9" s="54"/>
    </row>
    <row r="10" spans="1:45" s="72" customFormat="1" ht="12.75" customHeight="1" x14ac:dyDescent="0.25">
      <c r="A10" s="61" t="s">
        <v>52</v>
      </c>
      <c r="B10" s="62"/>
      <c r="C10" s="63"/>
      <c r="D10" s="64"/>
      <c r="E10" s="65"/>
      <c r="F10" s="741"/>
      <c r="G10" s="66"/>
      <c r="H10" s="65"/>
      <c r="I10" s="67"/>
      <c r="J10" s="66"/>
      <c r="K10" s="68"/>
      <c r="L10" s="69"/>
      <c r="M10" s="742"/>
      <c r="N10" s="742"/>
      <c r="O10" s="742"/>
      <c r="P10" s="742"/>
      <c r="Q10" s="742"/>
      <c r="R10" s="743"/>
      <c r="S10" s="65"/>
      <c r="T10" s="65"/>
      <c r="U10" s="70"/>
      <c r="V10" s="65"/>
      <c r="W10" s="70"/>
      <c r="X10" s="65"/>
      <c r="Y10" s="70"/>
      <c r="Z10" s="70"/>
      <c r="AA10" s="70"/>
      <c r="AB10" s="70"/>
      <c r="AC10" s="70"/>
      <c r="AD10" s="70"/>
      <c r="AE10" s="70"/>
      <c r="AF10" s="70"/>
      <c r="AG10" s="70"/>
      <c r="AH10" s="70"/>
      <c r="AI10" s="70"/>
      <c r="AJ10" s="70"/>
      <c r="AK10" s="70"/>
      <c r="AL10" s="70"/>
      <c r="AM10" s="70"/>
      <c r="AN10" s="70"/>
      <c r="AO10" s="70"/>
      <c r="AP10" s="70"/>
      <c r="AQ10" s="70"/>
      <c r="AR10" s="70"/>
      <c r="AS10" s="71"/>
    </row>
    <row r="11" spans="1:45" ht="12.75" customHeight="1" x14ac:dyDescent="0.25">
      <c r="A11" s="73" t="s">
        <v>202</v>
      </c>
      <c r="B11" s="74"/>
      <c r="C11" s="75"/>
      <c r="D11" s="76"/>
      <c r="E11" s="77"/>
      <c r="F11" s="744"/>
      <c r="G11" s="78"/>
      <c r="H11" s="77"/>
      <c r="I11" s="79"/>
      <c r="J11" s="78"/>
      <c r="K11" s="80"/>
      <c r="L11" s="77"/>
      <c r="M11" s="78"/>
      <c r="N11" s="78"/>
      <c r="O11" s="78"/>
      <c r="P11" s="78"/>
      <c r="Q11" s="78"/>
      <c r="R11" s="80"/>
      <c r="S11" s="77"/>
      <c r="T11" s="77"/>
      <c r="U11" s="54"/>
      <c r="V11" s="77"/>
      <c r="W11" s="739"/>
      <c r="X11" s="77"/>
      <c r="Y11" s="54"/>
      <c r="Z11" s="54"/>
      <c r="AA11" s="54"/>
      <c r="AB11" s="54"/>
      <c r="AC11" s="54"/>
      <c r="AD11" s="54"/>
      <c r="AE11" s="54"/>
      <c r="AF11" s="54"/>
      <c r="AG11" s="54"/>
      <c r="AH11" s="54"/>
      <c r="AI11" s="54"/>
      <c r="AJ11" s="54"/>
      <c r="AK11" s="54"/>
      <c r="AL11" s="54"/>
      <c r="AM11" s="54"/>
      <c r="AN11" s="54"/>
      <c r="AO11" s="54"/>
      <c r="AP11" s="54"/>
      <c r="AQ11" s="54"/>
      <c r="AR11" s="54"/>
    </row>
    <row r="12" spans="1:45" ht="12.75" customHeight="1" x14ac:dyDescent="0.25">
      <c r="A12" s="73" t="s">
        <v>203</v>
      </c>
      <c r="B12" s="74"/>
      <c r="C12" s="75"/>
      <c r="D12" s="76"/>
      <c r="E12" s="77"/>
      <c r="F12" s="744"/>
      <c r="G12" s="78"/>
      <c r="H12" s="77"/>
      <c r="I12" s="79"/>
      <c r="J12" s="81"/>
      <c r="K12" s="80"/>
      <c r="L12" s="77"/>
      <c r="M12" s="78"/>
      <c r="N12" s="78"/>
      <c r="O12" s="78"/>
      <c r="P12" s="78"/>
      <c r="Q12" s="78"/>
      <c r="R12" s="80"/>
      <c r="S12" s="77"/>
      <c r="T12" s="77"/>
      <c r="U12" s="54"/>
      <c r="V12" s="77"/>
      <c r="W12" s="739"/>
      <c r="X12" s="77"/>
      <c r="Y12" s="54"/>
      <c r="Z12" s="54"/>
      <c r="AA12" s="54"/>
      <c r="AB12" s="54"/>
      <c r="AC12" s="54"/>
      <c r="AD12" s="54"/>
      <c r="AE12" s="54"/>
      <c r="AF12" s="54"/>
      <c r="AG12" s="54"/>
      <c r="AH12" s="54"/>
      <c r="AI12" s="54"/>
      <c r="AJ12" s="54"/>
      <c r="AK12" s="54"/>
      <c r="AL12" s="54"/>
      <c r="AM12" s="54"/>
      <c r="AN12" s="54"/>
      <c r="AO12" s="54"/>
      <c r="AP12" s="54"/>
      <c r="AQ12" s="54"/>
      <c r="AR12" s="54"/>
    </row>
    <row r="13" spans="1:45" ht="48" customHeight="1" x14ac:dyDescent="0.25">
      <c r="A13" s="3157" t="s">
        <v>204</v>
      </c>
      <c r="B13" s="82" t="s">
        <v>205</v>
      </c>
      <c r="C13" s="83" t="s">
        <v>15</v>
      </c>
      <c r="D13" s="2573" t="s">
        <v>206</v>
      </c>
      <c r="E13" s="84">
        <v>40000</v>
      </c>
      <c r="F13" s="1243">
        <v>0.5</v>
      </c>
      <c r="G13" s="1244">
        <v>20000</v>
      </c>
      <c r="H13" s="85">
        <f>'[3]BVA (USD)'!N58</f>
        <v>34374</v>
      </c>
      <c r="I13" s="86">
        <f>H13/E13</f>
        <v>0.85934999999999995</v>
      </c>
      <c r="J13" s="1245">
        <f>F13</f>
        <v>0.5</v>
      </c>
      <c r="K13" s="1246">
        <f>H13*J13</f>
        <v>17187</v>
      </c>
      <c r="L13" s="1247" t="s">
        <v>207</v>
      </c>
      <c r="M13" s="1248" t="e">
        <f>'[3]BVA (USD)'!U58</f>
        <v>#REF!</v>
      </c>
      <c r="N13" s="1248" t="e">
        <f>'[3]BVA (USD)'!V58</f>
        <v>#REF!</v>
      </c>
      <c r="O13" s="1248" t="e">
        <f>'[3]BVA (USD)'!W58</f>
        <v>#REF!</v>
      </c>
      <c r="P13" s="1248" t="e">
        <f>'[3]BVA (USD)'!X58</f>
        <v>#REF!</v>
      </c>
      <c r="Q13" s="1248" t="e">
        <f>'[3]BVA (USD)'!Y58</f>
        <v>#REF!</v>
      </c>
      <c r="R13" s="1246" t="e">
        <f>'[3]BVA (USD)'!Z58</f>
        <v>#REF!</v>
      </c>
      <c r="S13" s="1249" t="e">
        <f t="shared" ref="S13:S21" si="0">H13+SUM(M13:R13)</f>
        <v>#REF!</v>
      </c>
      <c r="T13" s="1249" t="e">
        <f t="shared" ref="T13:T21" si="1">E13-S13</f>
        <v>#REF!</v>
      </c>
      <c r="U13" s="54"/>
      <c r="V13" s="1249" t="e">
        <f t="shared" ref="V13:V76" si="2">S13-E13</f>
        <v>#REF!</v>
      </c>
      <c r="W13" s="739"/>
      <c r="X13" s="1247" t="s">
        <v>208</v>
      </c>
      <c r="Y13" s="54"/>
      <c r="Z13" s="54"/>
      <c r="AA13" s="54"/>
      <c r="AB13" s="54"/>
      <c r="AC13" s="54"/>
      <c r="AD13" s="54"/>
      <c r="AE13" s="54"/>
      <c r="AF13" s="54"/>
      <c r="AG13" s="54"/>
      <c r="AH13" s="54"/>
      <c r="AI13" s="54"/>
      <c r="AJ13" s="54"/>
      <c r="AK13" s="54"/>
      <c r="AL13" s="54"/>
      <c r="AM13" s="54"/>
      <c r="AN13" s="54"/>
      <c r="AO13" s="54"/>
      <c r="AP13" s="54"/>
      <c r="AQ13" s="54"/>
      <c r="AR13" s="54"/>
    </row>
    <row r="14" spans="1:45" s="93" customFormat="1" ht="55.5" customHeight="1" x14ac:dyDescent="0.25">
      <c r="A14" s="3158"/>
      <c r="B14" s="87" t="s">
        <v>209</v>
      </c>
      <c r="C14" s="88" t="s">
        <v>17</v>
      </c>
      <c r="D14" s="89" t="s">
        <v>206</v>
      </c>
      <c r="E14" s="84">
        <v>5040</v>
      </c>
      <c r="F14" s="745">
        <v>0.5</v>
      </c>
      <c r="G14" s="746">
        <v>2520</v>
      </c>
      <c r="H14" s="85">
        <f>'[3]BVA (USD)'!N37</f>
        <v>5252.4140000000007</v>
      </c>
      <c r="I14" s="86">
        <f t="shared" ref="I14:I77" si="3">H14/E14</f>
        <v>1.0421456349206351</v>
      </c>
      <c r="J14" s="1245">
        <f t="shared" ref="J14:J21" si="4">F14</f>
        <v>0.5</v>
      </c>
      <c r="K14" s="1246">
        <f t="shared" ref="K14:K21" si="5">H14*J14</f>
        <v>2626.2070000000003</v>
      </c>
      <c r="L14" s="1247" t="s">
        <v>210</v>
      </c>
      <c r="M14" s="747">
        <f>'[3]BVA (USD)'!U37</f>
        <v>100</v>
      </c>
      <c r="N14" s="747">
        <f>'[3]BVA (USD)'!V37</f>
        <v>100</v>
      </c>
      <c r="O14" s="747">
        <f>'[3]BVA (USD)'!W37</f>
        <v>100</v>
      </c>
      <c r="P14" s="747">
        <f>'[3]BVA (USD)'!X37</f>
        <v>0</v>
      </c>
      <c r="Q14" s="747">
        <f>'[3]BVA (USD)'!Y37</f>
        <v>0</v>
      </c>
      <c r="R14" s="90">
        <f>'[3]BVA (USD)'!Z37</f>
        <v>0</v>
      </c>
      <c r="S14" s="85">
        <f t="shared" si="0"/>
        <v>5552.4140000000007</v>
      </c>
      <c r="T14" s="85">
        <f t="shared" si="1"/>
        <v>-512.41400000000067</v>
      </c>
      <c r="U14" s="55"/>
      <c r="V14" s="85">
        <f t="shared" si="2"/>
        <v>512.41400000000067</v>
      </c>
      <c r="W14" s="91"/>
      <c r="X14" s="92" t="s">
        <v>211</v>
      </c>
      <c r="Y14" s="55"/>
      <c r="Z14" s="91"/>
      <c r="AA14" s="91"/>
      <c r="AB14" s="91"/>
      <c r="AC14" s="91"/>
      <c r="AD14" s="91"/>
      <c r="AE14" s="91"/>
      <c r="AF14" s="91"/>
      <c r="AG14" s="91"/>
      <c r="AH14" s="91"/>
      <c r="AI14" s="91"/>
      <c r="AJ14" s="91"/>
      <c r="AK14" s="91"/>
      <c r="AL14" s="91"/>
      <c r="AM14" s="91"/>
      <c r="AN14" s="91"/>
      <c r="AO14" s="91"/>
      <c r="AP14" s="91"/>
      <c r="AQ14" s="91"/>
      <c r="AR14" s="91"/>
    </row>
    <row r="15" spans="1:45" s="93" customFormat="1" ht="57" customHeight="1" x14ac:dyDescent="0.25">
      <c r="A15" s="3157"/>
      <c r="B15" s="87" t="s">
        <v>212</v>
      </c>
      <c r="C15" s="88" t="s">
        <v>15</v>
      </c>
      <c r="D15" s="89" t="s">
        <v>206</v>
      </c>
      <c r="E15" s="84">
        <v>1595.88</v>
      </c>
      <c r="F15" s="745">
        <v>0.5</v>
      </c>
      <c r="G15" s="746">
        <v>797.94</v>
      </c>
      <c r="H15" s="85">
        <f>'[3]BVA (USD)'!N43</f>
        <v>1341</v>
      </c>
      <c r="I15" s="86">
        <f t="shared" si="3"/>
        <v>0.84028874351454996</v>
      </c>
      <c r="J15" s="1245">
        <f t="shared" si="4"/>
        <v>0.5</v>
      </c>
      <c r="K15" s="1246">
        <f t="shared" si="5"/>
        <v>670.5</v>
      </c>
      <c r="L15" s="1247" t="s">
        <v>210</v>
      </c>
      <c r="M15" s="747">
        <f>'[3]BVA (USD)'!U43</f>
        <v>0</v>
      </c>
      <c r="N15" s="747">
        <f>'[3]BVA (USD)'!V43</f>
        <v>0</v>
      </c>
      <c r="O15" s="747">
        <f>'[3]BVA (USD)'!W43</f>
        <v>400</v>
      </c>
      <c r="P15" s="747">
        <f>'[3]BVA (USD)'!X43</f>
        <v>0</v>
      </c>
      <c r="Q15" s="747">
        <f>'[3]BVA (USD)'!Y43</f>
        <v>0</v>
      </c>
      <c r="R15" s="90">
        <f>'[3]BVA (USD)'!Z43</f>
        <v>0</v>
      </c>
      <c r="S15" s="85">
        <f t="shared" si="0"/>
        <v>1741</v>
      </c>
      <c r="T15" s="85">
        <f t="shared" si="1"/>
        <v>-145.11999999999989</v>
      </c>
      <c r="U15" s="55"/>
      <c r="V15" s="85">
        <f t="shared" si="2"/>
        <v>145.11999999999989</v>
      </c>
      <c r="W15" s="91"/>
      <c r="X15" s="92" t="s">
        <v>213</v>
      </c>
      <c r="Y15" s="55"/>
      <c r="Z15" s="91"/>
      <c r="AA15" s="91"/>
      <c r="AB15" s="91"/>
      <c r="AC15" s="91"/>
      <c r="AD15" s="91"/>
      <c r="AE15" s="91"/>
      <c r="AF15" s="91"/>
      <c r="AG15" s="91"/>
      <c r="AH15" s="91"/>
      <c r="AI15" s="91"/>
      <c r="AJ15" s="91"/>
      <c r="AK15" s="91"/>
      <c r="AL15" s="91"/>
      <c r="AM15" s="91"/>
      <c r="AN15" s="91"/>
      <c r="AO15" s="91"/>
      <c r="AP15" s="91"/>
      <c r="AQ15" s="91"/>
      <c r="AR15" s="91"/>
    </row>
    <row r="16" spans="1:45" s="93" customFormat="1" ht="44.25" customHeight="1" x14ac:dyDescent="0.25">
      <c r="A16" s="3157"/>
      <c r="B16" s="87" t="s">
        <v>214</v>
      </c>
      <c r="C16" s="88" t="s">
        <v>15</v>
      </c>
      <c r="D16" s="89" t="s">
        <v>206</v>
      </c>
      <c r="E16" s="84">
        <v>300</v>
      </c>
      <c r="F16" s="745">
        <v>0.5</v>
      </c>
      <c r="G16" s="746">
        <v>150</v>
      </c>
      <c r="H16" s="85">
        <f>'[3]BVA (USD)'!N49</f>
        <v>241</v>
      </c>
      <c r="I16" s="86">
        <f t="shared" si="3"/>
        <v>0.80333333333333334</v>
      </c>
      <c r="J16" s="1245">
        <f t="shared" si="4"/>
        <v>0.5</v>
      </c>
      <c r="K16" s="1246">
        <f t="shared" si="5"/>
        <v>120.5</v>
      </c>
      <c r="L16" s="1247" t="s">
        <v>215</v>
      </c>
      <c r="M16" s="747">
        <f>'[3]BVA (USD)'!U49</f>
        <v>0</v>
      </c>
      <c r="N16" s="747">
        <f>'[3]BVA (USD)'!V49</f>
        <v>0</v>
      </c>
      <c r="O16" s="747">
        <f>'[3]BVA (USD)'!W49</f>
        <v>0</v>
      </c>
      <c r="P16" s="747">
        <f>'[3]BVA (USD)'!X49</f>
        <v>0</v>
      </c>
      <c r="Q16" s="747">
        <f>'[3]BVA (USD)'!Y49</f>
        <v>0</v>
      </c>
      <c r="R16" s="90">
        <f>'[3]BVA (USD)'!Z49</f>
        <v>0</v>
      </c>
      <c r="S16" s="85">
        <f t="shared" si="0"/>
        <v>241</v>
      </c>
      <c r="T16" s="85">
        <f t="shared" si="1"/>
        <v>59</v>
      </c>
      <c r="U16" s="55"/>
      <c r="V16" s="85">
        <f t="shared" si="2"/>
        <v>-59</v>
      </c>
      <c r="W16" s="91"/>
      <c r="X16" s="92" t="s">
        <v>216</v>
      </c>
      <c r="Y16" s="55"/>
      <c r="Z16" s="91"/>
      <c r="AA16" s="91"/>
      <c r="AB16" s="91"/>
      <c r="AC16" s="91"/>
      <c r="AD16" s="91"/>
      <c r="AE16" s="91"/>
      <c r="AF16" s="91"/>
      <c r="AG16" s="91"/>
      <c r="AH16" s="91"/>
      <c r="AI16" s="91"/>
      <c r="AJ16" s="91"/>
      <c r="AK16" s="91"/>
      <c r="AL16" s="91"/>
      <c r="AM16" s="91"/>
      <c r="AN16" s="91"/>
      <c r="AO16" s="91"/>
      <c r="AP16" s="91"/>
      <c r="AQ16" s="91"/>
      <c r="AR16" s="91"/>
    </row>
    <row r="17" spans="1:32" s="93" customFormat="1" ht="42" customHeight="1" x14ac:dyDescent="0.25">
      <c r="A17" s="3157"/>
      <c r="B17" s="87" t="s">
        <v>217</v>
      </c>
      <c r="C17" s="88" t="s">
        <v>14</v>
      </c>
      <c r="D17" s="89" t="s">
        <v>206</v>
      </c>
      <c r="E17" s="84">
        <v>5060</v>
      </c>
      <c r="F17" s="745">
        <v>0</v>
      </c>
      <c r="G17" s="746">
        <v>0</v>
      </c>
      <c r="H17" s="85">
        <f>'[3]BVA (USD)'!N31</f>
        <v>4933.7219999999998</v>
      </c>
      <c r="I17" s="86">
        <f t="shared" si="3"/>
        <v>0.97504387351778654</v>
      </c>
      <c r="J17" s="1245">
        <f t="shared" si="4"/>
        <v>0</v>
      </c>
      <c r="K17" s="1246">
        <f t="shared" si="5"/>
        <v>0</v>
      </c>
      <c r="L17" s="1247"/>
      <c r="M17" s="747">
        <f>'[3]BVA (USD)'!U31</f>
        <v>290</v>
      </c>
      <c r="N17" s="747">
        <f>'[3]BVA (USD)'!V31</f>
        <v>232</v>
      </c>
      <c r="O17" s="747">
        <f>'[3]BVA (USD)'!W31</f>
        <v>435</v>
      </c>
      <c r="P17" s="747">
        <f>'[3]BVA (USD)'!X31</f>
        <v>0</v>
      </c>
      <c r="Q17" s="747">
        <f>'[3]BVA (USD)'!Y31</f>
        <v>0</v>
      </c>
      <c r="R17" s="90">
        <f>'[3]BVA (USD)'!Z31</f>
        <v>0</v>
      </c>
      <c r="S17" s="85">
        <f t="shared" si="0"/>
        <v>5890.7219999999998</v>
      </c>
      <c r="T17" s="85">
        <f t="shared" si="1"/>
        <v>-830.72199999999975</v>
      </c>
      <c r="U17" s="94"/>
      <c r="V17" s="85">
        <f t="shared" si="2"/>
        <v>830.72199999999975</v>
      </c>
      <c r="X17" s="92" t="s">
        <v>218</v>
      </c>
    </row>
    <row r="18" spans="1:32" s="94" customFormat="1" ht="48" customHeight="1" x14ac:dyDescent="0.25">
      <c r="A18" s="3157"/>
      <c r="B18" s="82" t="s">
        <v>219</v>
      </c>
      <c r="C18" s="83" t="s">
        <v>14</v>
      </c>
      <c r="D18" s="2573" t="s">
        <v>206</v>
      </c>
      <c r="E18" s="84">
        <v>27048.959999999999</v>
      </c>
      <c r="F18" s="745">
        <v>0.25</v>
      </c>
      <c r="G18" s="746">
        <v>6762.24</v>
      </c>
      <c r="H18" s="85">
        <f>'[3]BVA (USD)'!N6</f>
        <v>22199.702400000009</v>
      </c>
      <c r="I18" s="86">
        <f t="shared" si="3"/>
        <v>0.82072295570698506</v>
      </c>
      <c r="J18" s="1245">
        <f t="shared" si="4"/>
        <v>0.25</v>
      </c>
      <c r="K18" s="1246">
        <f t="shared" si="5"/>
        <v>5549.9256000000023</v>
      </c>
      <c r="L18" s="1247" t="s">
        <v>220</v>
      </c>
      <c r="M18" s="747">
        <f>'[3]BVA (USD)'!U6</f>
        <v>1044.8</v>
      </c>
      <c r="N18" s="747">
        <f>'[3]BVA (USD)'!V6</f>
        <v>691.2</v>
      </c>
      <c r="O18" s="747">
        <f>'[3]BVA (USD)'!W6</f>
        <v>725.76</v>
      </c>
      <c r="P18" s="747">
        <f>'[3]BVA (USD)'!X6</f>
        <v>0</v>
      </c>
      <c r="Q18" s="747">
        <f>'[3]BVA (USD)'!Y6</f>
        <v>0</v>
      </c>
      <c r="R18" s="90">
        <f>'[3]BVA (USD)'!Z6</f>
        <v>0</v>
      </c>
      <c r="S18" s="85">
        <f t="shared" si="0"/>
        <v>24661.462400000011</v>
      </c>
      <c r="T18" s="85">
        <f t="shared" si="1"/>
        <v>2387.4975999999879</v>
      </c>
      <c r="V18" s="85">
        <f t="shared" si="2"/>
        <v>-2387.4975999999879</v>
      </c>
      <c r="W18" s="93"/>
      <c r="X18" s="92" t="s">
        <v>221</v>
      </c>
    </row>
    <row r="19" spans="1:32" s="94" customFormat="1" ht="45" customHeight="1" x14ac:dyDescent="0.25">
      <c r="A19" s="3157"/>
      <c r="B19" s="82" t="s">
        <v>222</v>
      </c>
      <c r="C19" s="83" t="s">
        <v>14</v>
      </c>
      <c r="D19" s="2573" t="s">
        <v>206</v>
      </c>
      <c r="E19" s="84">
        <v>9626.36</v>
      </c>
      <c r="F19" s="745">
        <v>0.25</v>
      </c>
      <c r="G19" s="746">
        <v>2406.59</v>
      </c>
      <c r="H19" s="85">
        <f>'[3]BVA (USD)'!N13</f>
        <v>9007.0300000000061</v>
      </c>
      <c r="I19" s="86">
        <f t="shared" si="3"/>
        <v>0.93566311669208357</v>
      </c>
      <c r="J19" s="1245">
        <f t="shared" si="4"/>
        <v>0.25</v>
      </c>
      <c r="K19" s="1246">
        <f t="shared" si="5"/>
        <v>2251.7575000000015</v>
      </c>
      <c r="L19" s="1247" t="s">
        <v>220</v>
      </c>
      <c r="M19" s="747">
        <f>'[3]BVA (USD)'!U13</f>
        <v>485.00599999999991</v>
      </c>
      <c r="N19" s="747">
        <f>'[3]BVA (USD)'!V13</f>
        <v>220.53960000000004</v>
      </c>
      <c r="O19" s="747">
        <f>'[3]BVA (USD)'!W13</f>
        <v>245.04399999999998</v>
      </c>
      <c r="P19" s="747">
        <f>'[3]BVA (USD)'!X13</f>
        <v>0</v>
      </c>
      <c r="Q19" s="747">
        <f>'[3]BVA (USD)'!Y13</f>
        <v>0</v>
      </c>
      <c r="R19" s="90">
        <f>'[3]BVA (USD)'!Z13</f>
        <v>0</v>
      </c>
      <c r="S19" s="85">
        <f t="shared" si="0"/>
        <v>9957.6196000000054</v>
      </c>
      <c r="T19" s="85">
        <f t="shared" si="1"/>
        <v>-331.25960000000487</v>
      </c>
      <c r="V19" s="85">
        <f t="shared" si="2"/>
        <v>331.25960000000487</v>
      </c>
      <c r="W19" s="93"/>
      <c r="X19" s="92" t="s">
        <v>223</v>
      </c>
    </row>
    <row r="20" spans="1:32" s="94" customFormat="1" ht="42.75" customHeight="1" x14ac:dyDescent="0.25">
      <c r="A20" s="3157"/>
      <c r="B20" s="82" t="s">
        <v>224</v>
      </c>
      <c r="C20" s="83" t="s">
        <v>14</v>
      </c>
      <c r="D20" s="2573" t="s">
        <v>206</v>
      </c>
      <c r="E20" s="84">
        <v>6529.12</v>
      </c>
      <c r="F20" s="745">
        <v>0.25</v>
      </c>
      <c r="G20" s="746">
        <v>1632.28</v>
      </c>
      <c r="H20" s="85">
        <f>'[3]BVA (USD)'!N19</f>
        <v>6872.720000000003</v>
      </c>
      <c r="I20" s="86">
        <f t="shared" si="3"/>
        <v>1.0526257749895855</v>
      </c>
      <c r="J20" s="1245">
        <f t="shared" si="4"/>
        <v>0.25</v>
      </c>
      <c r="K20" s="1246">
        <f t="shared" si="5"/>
        <v>1718.1800000000007</v>
      </c>
      <c r="L20" s="1247" t="s">
        <v>220</v>
      </c>
      <c r="M20" s="747">
        <f>'[3]BVA (USD)'!U19</f>
        <v>375.83800000000002</v>
      </c>
      <c r="N20" s="747">
        <f>'[3]BVA (USD)'!V19</f>
        <v>375.83800000000002</v>
      </c>
      <c r="O20" s="747">
        <f>'[3]BVA (USD)'!W19</f>
        <v>563.75699999999995</v>
      </c>
      <c r="P20" s="747">
        <f>'[3]BVA (USD)'!X19</f>
        <v>0</v>
      </c>
      <c r="Q20" s="747">
        <f>'[3]BVA (USD)'!Y19</f>
        <v>0</v>
      </c>
      <c r="R20" s="90">
        <f>'[3]BVA (USD)'!Z19</f>
        <v>0</v>
      </c>
      <c r="S20" s="85">
        <f t="shared" si="0"/>
        <v>8188.153000000003</v>
      </c>
      <c r="T20" s="85">
        <f t="shared" si="1"/>
        <v>-1659.0330000000031</v>
      </c>
      <c r="V20" s="85">
        <f t="shared" si="2"/>
        <v>1659.0330000000031</v>
      </c>
      <c r="W20" s="93"/>
      <c r="X20" s="92" t="s">
        <v>225</v>
      </c>
    </row>
    <row r="21" spans="1:32" s="94" customFormat="1" ht="43.5" customHeight="1" x14ac:dyDescent="0.25">
      <c r="A21" s="3157"/>
      <c r="B21" s="82" t="s">
        <v>226</v>
      </c>
      <c r="C21" s="83" t="s">
        <v>14</v>
      </c>
      <c r="D21" s="2573" t="s">
        <v>206</v>
      </c>
      <c r="E21" s="84">
        <v>4400</v>
      </c>
      <c r="F21" s="745">
        <v>0.25</v>
      </c>
      <c r="G21" s="746">
        <v>1100</v>
      </c>
      <c r="H21" s="85">
        <f>'[3]BVA (USD)'!N25</f>
        <v>2672.26</v>
      </c>
      <c r="I21" s="86">
        <f t="shared" si="3"/>
        <v>0.60733181818181825</v>
      </c>
      <c r="J21" s="1245">
        <f t="shared" si="4"/>
        <v>0.25</v>
      </c>
      <c r="K21" s="1246">
        <f t="shared" si="5"/>
        <v>668.06500000000005</v>
      </c>
      <c r="L21" s="1247" t="s">
        <v>220</v>
      </c>
      <c r="M21" s="747">
        <f>'[3]BVA (USD)'!U25</f>
        <v>172.316</v>
      </c>
      <c r="N21" s="747">
        <f>'[3]BVA (USD)'!V25</f>
        <v>137.85280000000003</v>
      </c>
      <c r="O21" s="747">
        <f>'[3]BVA (USD)'!W25</f>
        <v>258.47400000000005</v>
      </c>
      <c r="P21" s="747">
        <f>'[3]BVA (USD)'!X25</f>
        <v>0</v>
      </c>
      <c r="Q21" s="747">
        <f>'[3]BVA (USD)'!Y25</f>
        <v>0</v>
      </c>
      <c r="R21" s="90">
        <f>'[3]BVA (USD)'!Z25</f>
        <v>0</v>
      </c>
      <c r="S21" s="85">
        <f t="shared" si="0"/>
        <v>3240.9028000000003</v>
      </c>
      <c r="T21" s="85">
        <f t="shared" si="1"/>
        <v>1159.0971999999997</v>
      </c>
      <c r="V21" s="85">
        <f t="shared" si="2"/>
        <v>-1159.0971999999997</v>
      </c>
      <c r="W21" s="93"/>
      <c r="X21" s="92" t="s">
        <v>227</v>
      </c>
    </row>
    <row r="22" spans="1:32" s="46" customFormat="1" x14ac:dyDescent="0.25">
      <c r="A22" s="3157"/>
      <c r="B22" s="95"/>
      <c r="C22" s="96"/>
      <c r="D22" s="2574" t="s">
        <v>0</v>
      </c>
      <c r="E22" s="97">
        <f>SUM(E13:E21)</f>
        <v>99600.319999999992</v>
      </c>
      <c r="F22" s="748">
        <v>0.35510980286007121</v>
      </c>
      <c r="G22" s="749">
        <v>35369.050000000003</v>
      </c>
      <c r="H22" s="98">
        <f>SUM(H12:H21)</f>
        <v>86893.848400000003</v>
      </c>
      <c r="I22" s="99">
        <f t="shared" si="3"/>
        <v>0.87242539381399586</v>
      </c>
      <c r="J22" s="100"/>
      <c r="K22" s="101">
        <f t="shared" ref="K22:T22" si="6">SUM(K12:K21)</f>
        <v>30792.135100000003</v>
      </c>
      <c r="L22" s="102"/>
      <c r="M22" s="750" t="e">
        <f t="shared" ref="M22:R22" si="7">SUM(M12:M21)</f>
        <v>#REF!</v>
      </c>
      <c r="N22" s="750" t="e">
        <f t="shared" si="7"/>
        <v>#REF!</v>
      </c>
      <c r="O22" s="750" t="e">
        <f t="shared" si="7"/>
        <v>#REF!</v>
      </c>
      <c r="P22" s="750" t="e">
        <f t="shared" si="7"/>
        <v>#REF!</v>
      </c>
      <c r="Q22" s="750" t="e">
        <f t="shared" si="7"/>
        <v>#REF!</v>
      </c>
      <c r="R22" s="101" t="e">
        <f t="shared" si="7"/>
        <v>#REF!</v>
      </c>
      <c r="S22" s="98" t="e">
        <f t="shared" si="6"/>
        <v>#REF!</v>
      </c>
      <c r="T22" s="98" t="e">
        <f t="shared" si="6"/>
        <v>#REF!</v>
      </c>
      <c r="V22" s="98" t="e">
        <f t="shared" si="2"/>
        <v>#REF!</v>
      </c>
      <c r="X22" s="102"/>
    </row>
    <row r="23" spans="1:32" s="1875" customFormat="1" ht="71.25" customHeight="1" x14ac:dyDescent="0.25">
      <c r="A23" s="3157" t="s">
        <v>228</v>
      </c>
      <c r="B23" s="82" t="s">
        <v>229</v>
      </c>
      <c r="C23" s="83" t="s">
        <v>15</v>
      </c>
      <c r="D23" s="2573" t="s">
        <v>206</v>
      </c>
      <c r="E23" s="84">
        <v>8000</v>
      </c>
      <c r="F23" s="1243">
        <v>0.25</v>
      </c>
      <c r="G23" s="1244">
        <v>2000</v>
      </c>
      <c r="H23" s="85">
        <f>'[3]BVA (USD)'!N60</f>
        <v>5289.9</v>
      </c>
      <c r="I23" s="86">
        <f t="shared" si="3"/>
        <v>0.66123749999999992</v>
      </c>
      <c r="J23" s="1245">
        <f t="shared" ref="J23:J31" si="8">F23</f>
        <v>0.25</v>
      </c>
      <c r="K23" s="1246">
        <f t="shared" ref="K23:K31" si="9">H23*J23</f>
        <v>1322.4749999999999</v>
      </c>
      <c r="L23" s="1247" t="s">
        <v>1526</v>
      </c>
      <c r="M23" s="1248" t="e">
        <f>'[3]BVA (USD)'!U60</f>
        <v>#REF!</v>
      </c>
      <c r="N23" s="1248" t="e">
        <f>'[3]BVA (USD)'!V60</f>
        <v>#REF!</v>
      </c>
      <c r="O23" s="1248" t="e">
        <f>'[3]BVA (USD)'!W60</f>
        <v>#REF!</v>
      </c>
      <c r="P23" s="1248" t="e">
        <f>'[3]BVA (USD)'!X60</f>
        <v>#REF!</v>
      </c>
      <c r="Q23" s="1248" t="e">
        <f>'[3]BVA (USD)'!Y60</f>
        <v>#REF!</v>
      </c>
      <c r="R23" s="1246" t="e">
        <f>'[3]BVA (USD)'!Z60</f>
        <v>#REF!</v>
      </c>
      <c r="S23" s="1249" t="e">
        <f t="shared" ref="S23:S31" si="10">H23+SUM(M23:R23)</f>
        <v>#REF!</v>
      </c>
      <c r="T23" s="1249" t="e">
        <f t="shared" ref="T23:T31" si="11">E23-S23</f>
        <v>#REF!</v>
      </c>
      <c r="U23" s="45"/>
      <c r="V23" s="1249" t="e">
        <f t="shared" si="2"/>
        <v>#REF!</v>
      </c>
      <c r="W23" s="46"/>
      <c r="X23" s="1247" t="s">
        <v>231</v>
      </c>
      <c r="Y23" s="45"/>
      <c r="Z23" s="45"/>
      <c r="AA23" s="45"/>
      <c r="AB23" s="45"/>
      <c r="AC23" s="45"/>
      <c r="AD23" s="45"/>
      <c r="AE23" s="45"/>
      <c r="AF23" s="45"/>
    </row>
    <row r="24" spans="1:32" s="93" customFormat="1" ht="59.25" customHeight="1" x14ac:dyDescent="0.25">
      <c r="A24" s="3158"/>
      <c r="B24" s="87" t="s">
        <v>209</v>
      </c>
      <c r="C24" s="88" t="s">
        <v>17</v>
      </c>
      <c r="D24" s="89" t="s">
        <v>206</v>
      </c>
      <c r="E24" s="84">
        <v>5040</v>
      </c>
      <c r="F24" s="745">
        <v>0.25</v>
      </c>
      <c r="G24" s="746">
        <v>1260</v>
      </c>
      <c r="H24" s="85">
        <f>'[3]BVA (USD)'!N38</f>
        <v>5252.4140000000007</v>
      </c>
      <c r="I24" s="86">
        <f t="shared" si="3"/>
        <v>1.0421456349206351</v>
      </c>
      <c r="J24" s="1245">
        <f t="shared" si="8"/>
        <v>0.25</v>
      </c>
      <c r="K24" s="1246">
        <f t="shared" si="9"/>
        <v>1313.1035000000002</v>
      </c>
      <c r="L24" s="1247" t="s">
        <v>232</v>
      </c>
      <c r="M24" s="747">
        <f>'[3]BVA (USD)'!U38</f>
        <v>100</v>
      </c>
      <c r="N24" s="747">
        <f>'[3]BVA (USD)'!V38</f>
        <v>100</v>
      </c>
      <c r="O24" s="747">
        <f>'[3]BVA (USD)'!W38</f>
        <v>100</v>
      </c>
      <c r="P24" s="747">
        <f>'[3]BVA (USD)'!X38</f>
        <v>0</v>
      </c>
      <c r="Q24" s="747">
        <f>'[3]BVA (USD)'!Y38</f>
        <v>0</v>
      </c>
      <c r="R24" s="90">
        <f>'[3]BVA (USD)'!Z38</f>
        <v>0</v>
      </c>
      <c r="S24" s="85">
        <f t="shared" si="10"/>
        <v>5552.4140000000007</v>
      </c>
      <c r="T24" s="85">
        <f t="shared" si="11"/>
        <v>-512.41400000000067</v>
      </c>
      <c r="U24" s="94"/>
      <c r="V24" s="85">
        <f t="shared" si="2"/>
        <v>512.41400000000067</v>
      </c>
      <c r="X24" s="92" t="s">
        <v>211</v>
      </c>
    </row>
    <row r="25" spans="1:32" s="93" customFormat="1" ht="53.25" customHeight="1" x14ac:dyDescent="0.25">
      <c r="A25" s="3157"/>
      <c r="B25" s="87" t="s">
        <v>212</v>
      </c>
      <c r="C25" s="88" t="s">
        <v>15</v>
      </c>
      <c r="D25" s="89" t="s">
        <v>206</v>
      </c>
      <c r="E25" s="84">
        <v>1595.88</v>
      </c>
      <c r="F25" s="745">
        <v>0.25</v>
      </c>
      <c r="G25" s="746">
        <v>398.97</v>
      </c>
      <c r="H25" s="85">
        <f>'[3]BVA (USD)'!N44</f>
        <v>1341</v>
      </c>
      <c r="I25" s="86">
        <f t="shared" si="3"/>
        <v>0.84028874351454996</v>
      </c>
      <c r="J25" s="1245">
        <f t="shared" si="8"/>
        <v>0.25</v>
      </c>
      <c r="K25" s="1246">
        <f t="shared" si="9"/>
        <v>335.25</v>
      </c>
      <c r="L25" s="1247" t="s">
        <v>210</v>
      </c>
      <c r="M25" s="747">
        <f>'[3]BVA (USD)'!U44</f>
        <v>0</v>
      </c>
      <c r="N25" s="747">
        <f>'[3]BVA (USD)'!V44</f>
        <v>0</v>
      </c>
      <c r="O25" s="747">
        <f>'[3]BVA (USD)'!W44</f>
        <v>400</v>
      </c>
      <c r="P25" s="747">
        <f>'[3]BVA (USD)'!X44</f>
        <v>0</v>
      </c>
      <c r="Q25" s="747">
        <f>'[3]BVA (USD)'!Y44</f>
        <v>0</v>
      </c>
      <c r="R25" s="90">
        <f>'[3]BVA (USD)'!Z44</f>
        <v>0</v>
      </c>
      <c r="S25" s="85">
        <f t="shared" si="10"/>
        <v>1741</v>
      </c>
      <c r="T25" s="85">
        <f t="shared" si="11"/>
        <v>-145.11999999999989</v>
      </c>
      <c r="U25" s="94"/>
      <c r="V25" s="85">
        <f t="shared" si="2"/>
        <v>145.11999999999989</v>
      </c>
      <c r="X25" s="92" t="s">
        <v>213</v>
      </c>
    </row>
    <row r="26" spans="1:32" s="93" customFormat="1" ht="33.75" customHeight="1" x14ac:dyDescent="0.25">
      <c r="A26" s="3157"/>
      <c r="B26" s="87" t="s">
        <v>214</v>
      </c>
      <c r="C26" s="88" t="s">
        <v>15</v>
      </c>
      <c r="D26" s="89" t="s">
        <v>206</v>
      </c>
      <c r="E26" s="84">
        <v>300</v>
      </c>
      <c r="F26" s="745">
        <v>0.25</v>
      </c>
      <c r="G26" s="746">
        <v>75</v>
      </c>
      <c r="H26" s="85">
        <f>'[3]BVA (USD)'!N50</f>
        <v>241</v>
      </c>
      <c r="I26" s="86">
        <f t="shared" si="3"/>
        <v>0.80333333333333334</v>
      </c>
      <c r="J26" s="1245">
        <f t="shared" si="8"/>
        <v>0.25</v>
      </c>
      <c r="K26" s="1246">
        <f t="shared" si="9"/>
        <v>60.25</v>
      </c>
      <c r="L26" s="1247" t="s">
        <v>215</v>
      </c>
      <c r="M26" s="747">
        <f>'[3]BVA (USD)'!U50</f>
        <v>0</v>
      </c>
      <c r="N26" s="747">
        <f>'[3]BVA (USD)'!V50</f>
        <v>0</v>
      </c>
      <c r="O26" s="747">
        <f>'[3]BVA (USD)'!W50</f>
        <v>0</v>
      </c>
      <c r="P26" s="747">
        <f>'[3]BVA (USD)'!X50</f>
        <v>0</v>
      </c>
      <c r="Q26" s="747">
        <f>'[3]BVA (USD)'!Y50</f>
        <v>0</v>
      </c>
      <c r="R26" s="90">
        <f>'[3]BVA (USD)'!Z50</f>
        <v>0</v>
      </c>
      <c r="S26" s="85">
        <f t="shared" si="10"/>
        <v>241</v>
      </c>
      <c r="T26" s="85">
        <f t="shared" si="11"/>
        <v>59</v>
      </c>
      <c r="U26" s="94"/>
      <c r="V26" s="85">
        <f t="shared" si="2"/>
        <v>-59</v>
      </c>
      <c r="X26" s="92" t="s">
        <v>216</v>
      </c>
    </row>
    <row r="27" spans="1:32" s="93" customFormat="1" ht="44.25" customHeight="1" x14ac:dyDescent="0.25">
      <c r="A27" s="3157"/>
      <c r="B27" s="87" t="s">
        <v>217</v>
      </c>
      <c r="C27" s="88" t="s">
        <v>14</v>
      </c>
      <c r="D27" s="89" t="s">
        <v>206</v>
      </c>
      <c r="E27" s="84">
        <v>5060</v>
      </c>
      <c r="F27" s="745">
        <v>0</v>
      </c>
      <c r="G27" s="746">
        <v>0</v>
      </c>
      <c r="H27" s="85">
        <f>'[3]BVA (USD)'!N32</f>
        <v>4933.7219999999998</v>
      </c>
      <c r="I27" s="86">
        <f t="shared" si="3"/>
        <v>0.97504387351778654</v>
      </c>
      <c r="J27" s="1245">
        <f t="shared" si="8"/>
        <v>0</v>
      </c>
      <c r="K27" s="1246">
        <f t="shared" si="9"/>
        <v>0</v>
      </c>
      <c r="L27" s="1247"/>
      <c r="M27" s="747">
        <f>'[3]BVA (USD)'!U32</f>
        <v>290</v>
      </c>
      <c r="N27" s="747">
        <f>'[3]BVA (USD)'!V32</f>
        <v>232</v>
      </c>
      <c r="O27" s="747">
        <f>'[3]BVA (USD)'!W32</f>
        <v>435</v>
      </c>
      <c r="P27" s="747">
        <f>'[3]BVA (USD)'!X32</f>
        <v>0</v>
      </c>
      <c r="Q27" s="747">
        <f>'[3]BVA (USD)'!Y32</f>
        <v>0</v>
      </c>
      <c r="R27" s="90">
        <f>'[3]BVA (USD)'!Z32</f>
        <v>0</v>
      </c>
      <c r="S27" s="85">
        <f t="shared" si="10"/>
        <v>5890.7219999999998</v>
      </c>
      <c r="T27" s="85">
        <f t="shared" si="11"/>
        <v>-830.72199999999975</v>
      </c>
      <c r="U27" s="94"/>
      <c r="V27" s="85">
        <f t="shared" si="2"/>
        <v>830.72199999999975</v>
      </c>
      <c r="X27" s="92" t="s">
        <v>218</v>
      </c>
    </row>
    <row r="28" spans="1:32" s="94" customFormat="1" ht="42" customHeight="1" x14ac:dyDescent="0.25">
      <c r="A28" s="3157"/>
      <c r="B28" s="82" t="s">
        <v>219</v>
      </c>
      <c r="C28" s="83" t="s">
        <v>14</v>
      </c>
      <c r="D28" s="2573" t="s">
        <v>206</v>
      </c>
      <c r="E28" s="84">
        <v>27048.959999999999</v>
      </c>
      <c r="F28" s="745">
        <v>0.25</v>
      </c>
      <c r="G28" s="746">
        <v>6762.24</v>
      </c>
      <c r="H28" s="85">
        <f>'[3]BVA (USD)'!N7</f>
        <v>22199.702400000009</v>
      </c>
      <c r="I28" s="86">
        <f t="shared" si="3"/>
        <v>0.82072295570698506</v>
      </c>
      <c r="J28" s="1245">
        <f t="shared" si="8"/>
        <v>0.25</v>
      </c>
      <c r="K28" s="1246">
        <f t="shared" si="9"/>
        <v>5549.9256000000023</v>
      </c>
      <c r="L28" s="1247" t="s">
        <v>220</v>
      </c>
      <c r="M28" s="747">
        <f>'[3]BVA (USD)'!U7</f>
        <v>1044.8</v>
      </c>
      <c r="N28" s="747">
        <f>'[3]BVA (USD)'!V7</f>
        <v>691.2</v>
      </c>
      <c r="O28" s="747">
        <f>'[3]BVA (USD)'!W7</f>
        <v>725.76</v>
      </c>
      <c r="P28" s="747">
        <f>'[3]BVA (USD)'!X7</f>
        <v>0</v>
      </c>
      <c r="Q28" s="747">
        <f>'[3]BVA (USD)'!Y7</f>
        <v>0</v>
      </c>
      <c r="R28" s="90">
        <f>'[3]BVA (USD)'!Z7</f>
        <v>0</v>
      </c>
      <c r="S28" s="85">
        <f t="shared" si="10"/>
        <v>24661.462400000011</v>
      </c>
      <c r="T28" s="85">
        <f t="shared" si="11"/>
        <v>2387.4975999999879</v>
      </c>
      <c r="V28" s="85">
        <f t="shared" si="2"/>
        <v>-2387.4975999999879</v>
      </c>
      <c r="W28" s="93"/>
      <c r="X28" s="92" t="s">
        <v>221</v>
      </c>
    </row>
    <row r="29" spans="1:32" s="94" customFormat="1" ht="48.75" customHeight="1" x14ac:dyDescent="0.25">
      <c r="A29" s="3157"/>
      <c r="B29" s="82" t="s">
        <v>222</v>
      </c>
      <c r="C29" s="83" t="s">
        <v>14</v>
      </c>
      <c r="D29" s="2573" t="s">
        <v>206</v>
      </c>
      <c r="E29" s="84">
        <v>9626.36</v>
      </c>
      <c r="F29" s="745">
        <v>0.25</v>
      </c>
      <c r="G29" s="746">
        <v>2406.59</v>
      </c>
      <c r="H29" s="85">
        <f>'[3]BVA (USD)'!N14</f>
        <v>9007.0300000000061</v>
      </c>
      <c r="I29" s="86">
        <f t="shared" si="3"/>
        <v>0.93566311669208357</v>
      </c>
      <c r="J29" s="1245">
        <f t="shared" si="8"/>
        <v>0.25</v>
      </c>
      <c r="K29" s="1246">
        <f t="shared" si="9"/>
        <v>2251.7575000000015</v>
      </c>
      <c r="L29" s="1247" t="s">
        <v>220</v>
      </c>
      <c r="M29" s="747">
        <f>'[3]BVA (USD)'!U14</f>
        <v>485.00599999999991</v>
      </c>
      <c r="N29" s="747">
        <f>'[3]BVA (USD)'!V14</f>
        <v>220.53960000000004</v>
      </c>
      <c r="O29" s="747">
        <f>'[3]BVA (USD)'!W14</f>
        <v>245.04399999999998</v>
      </c>
      <c r="P29" s="747">
        <f>'[3]BVA (USD)'!X14</f>
        <v>0</v>
      </c>
      <c r="Q29" s="747">
        <f>'[3]BVA (USD)'!Y14</f>
        <v>0</v>
      </c>
      <c r="R29" s="90">
        <f>'[3]BVA (USD)'!Z14</f>
        <v>0</v>
      </c>
      <c r="S29" s="85">
        <f t="shared" si="10"/>
        <v>9957.6196000000054</v>
      </c>
      <c r="T29" s="85">
        <f t="shared" si="11"/>
        <v>-331.25960000000487</v>
      </c>
      <c r="V29" s="85">
        <f t="shared" si="2"/>
        <v>331.25960000000487</v>
      </c>
      <c r="W29" s="93"/>
      <c r="X29" s="92" t="s">
        <v>223</v>
      </c>
    </row>
    <row r="30" spans="1:32" s="94" customFormat="1" ht="41.25" customHeight="1" x14ac:dyDescent="0.25">
      <c r="A30" s="3157"/>
      <c r="B30" s="82" t="s">
        <v>224</v>
      </c>
      <c r="C30" s="83" t="s">
        <v>14</v>
      </c>
      <c r="D30" s="2573" t="s">
        <v>206</v>
      </c>
      <c r="E30" s="84">
        <v>6529.12</v>
      </c>
      <c r="F30" s="745">
        <v>0.25</v>
      </c>
      <c r="G30" s="746">
        <v>1632.28</v>
      </c>
      <c r="H30" s="85">
        <f>'[3]BVA (USD)'!N20</f>
        <v>6872.720000000003</v>
      </c>
      <c r="I30" s="86">
        <f t="shared" si="3"/>
        <v>1.0526257749895855</v>
      </c>
      <c r="J30" s="1245">
        <f t="shared" si="8"/>
        <v>0.25</v>
      </c>
      <c r="K30" s="1246">
        <f t="shared" si="9"/>
        <v>1718.1800000000007</v>
      </c>
      <c r="L30" s="1247" t="s">
        <v>220</v>
      </c>
      <c r="M30" s="747">
        <f>'[3]BVA (USD)'!U20</f>
        <v>375.83800000000002</v>
      </c>
      <c r="N30" s="747">
        <f>'[3]BVA (USD)'!V20</f>
        <v>375.83800000000002</v>
      </c>
      <c r="O30" s="747">
        <f>'[3]BVA (USD)'!W20</f>
        <v>563.75699999999995</v>
      </c>
      <c r="P30" s="747">
        <f>'[3]BVA (USD)'!X20</f>
        <v>0</v>
      </c>
      <c r="Q30" s="747">
        <f>'[3]BVA (USD)'!Y20</f>
        <v>0</v>
      </c>
      <c r="R30" s="90">
        <f>'[3]BVA (USD)'!Z20</f>
        <v>0</v>
      </c>
      <c r="S30" s="85">
        <f t="shared" si="10"/>
        <v>8188.153000000003</v>
      </c>
      <c r="T30" s="85">
        <f t="shared" si="11"/>
        <v>-1659.0330000000031</v>
      </c>
      <c r="V30" s="85">
        <f t="shared" si="2"/>
        <v>1659.0330000000031</v>
      </c>
      <c r="W30" s="93"/>
      <c r="X30" s="92" t="s">
        <v>225</v>
      </c>
    </row>
    <row r="31" spans="1:32" s="1876" customFormat="1" ht="43.5" customHeight="1" x14ac:dyDescent="0.25">
      <c r="A31" s="3157"/>
      <c r="B31" s="82" t="s">
        <v>226</v>
      </c>
      <c r="C31" s="83" t="s">
        <v>14</v>
      </c>
      <c r="D31" s="2573" t="s">
        <v>206</v>
      </c>
      <c r="E31" s="84">
        <v>4400</v>
      </c>
      <c r="F31" s="745">
        <v>0.25</v>
      </c>
      <c r="G31" s="746">
        <v>1100</v>
      </c>
      <c r="H31" s="85">
        <f>'[3]BVA (USD)'!N26</f>
        <v>2672.26</v>
      </c>
      <c r="I31" s="86">
        <f t="shared" si="3"/>
        <v>0.60733181818181825</v>
      </c>
      <c r="J31" s="1245">
        <f t="shared" si="8"/>
        <v>0.25</v>
      </c>
      <c r="K31" s="1246">
        <f t="shared" si="9"/>
        <v>668.06500000000005</v>
      </c>
      <c r="L31" s="1247" t="s">
        <v>220</v>
      </c>
      <c r="M31" s="747">
        <f>'[3]BVA (USD)'!U26</f>
        <v>172.316</v>
      </c>
      <c r="N31" s="747">
        <f>'[3]BVA (USD)'!V26</f>
        <v>137.85280000000003</v>
      </c>
      <c r="O31" s="747">
        <f>'[3]BVA (USD)'!W26</f>
        <v>258.47400000000005</v>
      </c>
      <c r="P31" s="747">
        <f>'[3]BVA (USD)'!X26</f>
        <v>0</v>
      </c>
      <c r="Q31" s="747">
        <f>'[3]BVA (USD)'!Y26</f>
        <v>0</v>
      </c>
      <c r="R31" s="90">
        <f>'[3]BVA (USD)'!Z26</f>
        <v>0</v>
      </c>
      <c r="S31" s="85">
        <f t="shared" si="10"/>
        <v>3240.9028000000003</v>
      </c>
      <c r="T31" s="85">
        <f t="shared" si="11"/>
        <v>1159.0971999999997</v>
      </c>
      <c r="U31" s="94"/>
      <c r="V31" s="85">
        <f t="shared" si="2"/>
        <v>-1159.0971999999997</v>
      </c>
      <c r="W31" s="93"/>
      <c r="X31" s="92" t="s">
        <v>227</v>
      </c>
      <c r="Y31" s="94"/>
      <c r="Z31" s="94"/>
      <c r="AA31" s="94"/>
      <c r="AB31" s="94"/>
      <c r="AC31" s="94"/>
      <c r="AD31" s="94"/>
      <c r="AE31" s="94"/>
      <c r="AF31" s="94"/>
    </row>
    <row r="32" spans="1:32" s="46" customFormat="1" x14ac:dyDescent="0.25">
      <c r="A32" s="3157"/>
      <c r="B32" s="95"/>
      <c r="C32" s="96"/>
      <c r="D32" s="2574" t="s">
        <v>0</v>
      </c>
      <c r="E32" s="97">
        <f>SUM(E23:E31)</f>
        <v>67600.320000000007</v>
      </c>
      <c r="F32" s="748">
        <v>0.2312870708304339</v>
      </c>
      <c r="G32" s="749">
        <v>15635.079999999998</v>
      </c>
      <c r="H32" s="98">
        <f>SUM(H23:H31)</f>
        <v>57809.748400000019</v>
      </c>
      <c r="I32" s="99">
        <f t="shared" si="3"/>
        <v>0.85516974475860486</v>
      </c>
      <c r="J32" s="100"/>
      <c r="K32" s="101">
        <f t="shared" ref="K32:T32" si="12">SUM(K23:K31)</f>
        <v>13219.006600000004</v>
      </c>
      <c r="L32" s="102"/>
      <c r="M32" s="750" t="e">
        <f t="shared" ref="M32:R32" si="13">SUM(M23:M31)</f>
        <v>#REF!</v>
      </c>
      <c r="N32" s="750" t="e">
        <f t="shared" si="13"/>
        <v>#REF!</v>
      </c>
      <c r="O32" s="750" t="e">
        <f t="shared" si="13"/>
        <v>#REF!</v>
      </c>
      <c r="P32" s="750" t="e">
        <f t="shared" si="13"/>
        <v>#REF!</v>
      </c>
      <c r="Q32" s="750" t="e">
        <f t="shared" si="13"/>
        <v>#REF!</v>
      </c>
      <c r="R32" s="101" t="e">
        <f t="shared" si="13"/>
        <v>#REF!</v>
      </c>
      <c r="S32" s="98" t="e">
        <f t="shared" si="12"/>
        <v>#REF!</v>
      </c>
      <c r="T32" s="98" t="e">
        <f t="shared" si="12"/>
        <v>#REF!</v>
      </c>
      <c r="V32" s="98" t="e">
        <f t="shared" si="2"/>
        <v>#REF!</v>
      </c>
      <c r="X32" s="102"/>
    </row>
    <row r="33" spans="1:32" s="1875" customFormat="1" ht="65.25" customHeight="1" x14ac:dyDescent="0.25">
      <c r="A33" s="3157" t="s">
        <v>233</v>
      </c>
      <c r="B33" s="82" t="s">
        <v>234</v>
      </c>
      <c r="C33" s="83" t="s">
        <v>47</v>
      </c>
      <c r="D33" s="2573" t="s">
        <v>206</v>
      </c>
      <c r="E33" s="84">
        <v>129968</v>
      </c>
      <c r="F33" s="1243">
        <v>0.5</v>
      </c>
      <c r="G33" s="1244">
        <v>64984</v>
      </c>
      <c r="H33" s="85">
        <f>'[3]BVA (USD)'!N62</f>
        <v>60431.369999999995</v>
      </c>
      <c r="I33" s="86">
        <f t="shared" si="3"/>
        <v>0.46497114674381385</v>
      </c>
      <c r="J33" s="1245">
        <f t="shared" ref="J33:J46" si="14">F33</f>
        <v>0.5</v>
      </c>
      <c r="K33" s="1246">
        <f t="shared" ref="K33:K46" si="15">H33*J33</f>
        <v>30215.684999999998</v>
      </c>
      <c r="L33" s="1247" t="s">
        <v>1525</v>
      </c>
      <c r="M33" s="1248">
        <f>'[3]BVA (USD)'!U62</f>
        <v>26074</v>
      </c>
      <c r="N33" s="1248">
        <f>'[3]BVA (USD)'!V62</f>
        <v>16280</v>
      </c>
      <c r="O33" s="1248">
        <f>'[3]BVA (USD)'!W62</f>
        <v>12400</v>
      </c>
      <c r="P33" s="1248" t="e">
        <f>'[3]BVA (USD)'!X62</f>
        <v>#REF!</v>
      </c>
      <c r="Q33" s="1248" t="e">
        <f>'[3]BVA (USD)'!Y62</f>
        <v>#REF!</v>
      </c>
      <c r="R33" s="1246" t="e">
        <f>'[3]BVA (USD)'!Z62</f>
        <v>#REF!</v>
      </c>
      <c r="S33" s="1249" t="e">
        <f t="shared" ref="S33:S46" si="16">H33+SUM(M33:R33)</f>
        <v>#REF!</v>
      </c>
      <c r="T33" s="1249" t="e">
        <f t="shared" ref="T33:T46" si="17">E33-S33</f>
        <v>#REF!</v>
      </c>
      <c r="U33" s="45"/>
      <c r="V33" s="1249" t="e">
        <f t="shared" si="2"/>
        <v>#REF!</v>
      </c>
      <c r="W33" s="46"/>
      <c r="X33" s="1247" t="s">
        <v>236</v>
      </c>
      <c r="Y33" s="45"/>
      <c r="Z33" s="45"/>
      <c r="AA33" s="45"/>
      <c r="AB33" s="45"/>
      <c r="AC33" s="45"/>
      <c r="AD33" s="45"/>
      <c r="AE33" s="45"/>
      <c r="AF33" s="45"/>
    </row>
    <row r="34" spans="1:32" s="1875" customFormat="1" ht="51" customHeight="1" x14ac:dyDescent="0.25">
      <c r="A34" s="3157"/>
      <c r="B34" s="82" t="s">
        <v>237</v>
      </c>
      <c r="C34" s="83" t="s">
        <v>15</v>
      </c>
      <c r="D34" s="2573" t="s">
        <v>206</v>
      </c>
      <c r="E34" s="84">
        <v>50000</v>
      </c>
      <c r="F34" s="1243">
        <v>0.5</v>
      </c>
      <c r="G34" s="1244">
        <v>25000</v>
      </c>
      <c r="H34" s="85">
        <f>'[3]BVA (USD)'!N63+'[3]BVA (USD)'!N64</f>
        <v>74842.5</v>
      </c>
      <c r="I34" s="86">
        <f t="shared" si="3"/>
        <v>1.49685</v>
      </c>
      <c r="J34" s="1245">
        <f t="shared" si="14"/>
        <v>0.5</v>
      </c>
      <c r="K34" s="1246">
        <f t="shared" si="15"/>
        <v>37421.25</v>
      </c>
      <c r="L34" s="1247" t="s">
        <v>1527</v>
      </c>
      <c r="M34" s="1248" t="e">
        <f>'[3]BVA (USD)'!U63+'[3]BVA (USD)'!U64</f>
        <v>#REF!</v>
      </c>
      <c r="N34" s="1248" t="e">
        <f>'[3]BVA (USD)'!V63+'[3]BVA (USD)'!V64</f>
        <v>#REF!</v>
      </c>
      <c r="O34" s="1248" t="e">
        <f>'[3]BVA (USD)'!W63+'[3]BVA (USD)'!W64</f>
        <v>#REF!</v>
      </c>
      <c r="P34" s="1248" t="e">
        <f>'[3]BVA (USD)'!X63+'[3]BVA (USD)'!X64</f>
        <v>#REF!</v>
      </c>
      <c r="Q34" s="1248" t="e">
        <f>'[3]BVA (USD)'!Y63+'[3]BVA (USD)'!Y64</f>
        <v>#REF!</v>
      </c>
      <c r="R34" s="1246" t="e">
        <f>'[3]BVA (USD)'!Z63+'[3]BVA (USD)'!Z64</f>
        <v>#REF!</v>
      </c>
      <c r="S34" s="1249" t="e">
        <f t="shared" si="16"/>
        <v>#REF!</v>
      </c>
      <c r="T34" s="1249" t="e">
        <f t="shared" si="17"/>
        <v>#REF!</v>
      </c>
      <c r="U34" s="45"/>
      <c r="V34" s="1249" t="e">
        <f t="shared" si="2"/>
        <v>#REF!</v>
      </c>
      <c r="W34" s="46"/>
      <c r="X34" s="1247" t="s">
        <v>239</v>
      </c>
      <c r="Y34" s="45"/>
      <c r="Z34" s="45"/>
      <c r="AA34" s="45"/>
      <c r="AB34" s="45"/>
      <c r="AC34" s="45"/>
      <c r="AD34" s="45"/>
      <c r="AE34" s="45"/>
      <c r="AF34" s="45"/>
    </row>
    <row r="35" spans="1:32" s="1878" customFormat="1" ht="40.5" customHeight="1" x14ac:dyDescent="0.25">
      <c r="A35" s="3157"/>
      <c r="B35" s="82" t="s">
        <v>240</v>
      </c>
      <c r="C35" s="83" t="s">
        <v>15</v>
      </c>
      <c r="D35" s="2573" t="s">
        <v>206</v>
      </c>
      <c r="E35" s="84">
        <v>50000</v>
      </c>
      <c r="F35" s="1243">
        <v>0.5</v>
      </c>
      <c r="G35" s="1244">
        <v>25000</v>
      </c>
      <c r="H35" s="85">
        <f>'[3]BVA (USD)'!N65</f>
        <v>54537.37000000001</v>
      </c>
      <c r="I35" s="86">
        <f t="shared" si="3"/>
        <v>1.0907474000000001</v>
      </c>
      <c r="J35" s="1245">
        <f t="shared" si="14"/>
        <v>0.5</v>
      </c>
      <c r="K35" s="1246">
        <f t="shared" si="15"/>
        <v>27268.685000000005</v>
      </c>
      <c r="L35" s="1247" t="s">
        <v>241</v>
      </c>
      <c r="M35" s="1248">
        <f>'[3]BVA (USD)'!U65</f>
        <v>300</v>
      </c>
      <c r="N35" s="1248">
        <f>'[3]BVA (USD)'!V65</f>
        <v>600</v>
      </c>
      <c r="O35" s="1248">
        <f>'[3]BVA (USD)'!W65</f>
        <v>300</v>
      </c>
      <c r="P35" s="1248" t="e">
        <f>'[3]BVA (USD)'!X65</f>
        <v>#REF!</v>
      </c>
      <c r="Q35" s="1248" t="e">
        <f>'[3]BVA (USD)'!Y65</f>
        <v>#REF!</v>
      </c>
      <c r="R35" s="1246" t="e">
        <f>'[3]BVA (USD)'!Z65</f>
        <v>#REF!</v>
      </c>
      <c r="S35" s="1249" t="e">
        <f t="shared" si="16"/>
        <v>#REF!</v>
      </c>
      <c r="T35" s="1249" t="e">
        <f t="shared" si="17"/>
        <v>#REF!</v>
      </c>
      <c r="U35" s="45"/>
      <c r="V35" s="1249" t="e">
        <f t="shared" si="2"/>
        <v>#REF!</v>
      </c>
      <c r="W35" s="46"/>
      <c r="X35" s="1247" t="s">
        <v>242</v>
      </c>
      <c r="Y35" s="45"/>
      <c r="Z35" s="45"/>
      <c r="AA35" s="45"/>
      <c r="AB35" s="45"/>
      <c r="AC35" s="45"/>
      <c r="AD35" s="45"/>
      <c r="AE35" s="45"/>
      <c r="AF35" s="45"/>
    </row>
    <row r="36" spans="1:32" s="1875" customFormat="1" ht="44.25" customHeight="1" x14ac:dyDescent="0.25">
      <c r="A36" s="3157"/>
      <c r="B36" s="82" t="s">
        <v>243</v>
      </c>
      <c r="C36" s="83" t="s">
        <v>15</v>
      </c>
      <c r="D36" s="2573" t="s">
        <v>206</v>
      </c>
      <c r="E36" s="84">
        <v>22000</v>
      </c>
      <c r="F36" s="1243">
        <v>0.5</v>
      </c>
      <c r="G36" s="1244">
        <v>11000</v>
      </c>
      <c r="H36" s="85">
        <f>'[3]BVA (USD)'!N66+'[3]BVA (USD)'!N67</f>
        <v>0</v>
      </c>
      <c r="I36" s="86">
        <f t="shared" si="3"/>
        <v>0</v>
      </c>
      <c r="J36" s="1245">
        <f t="shared" si="14"/>
        <v>0.5</v>
      </c>
      <c r="K36" s="1246">
        <f t="shared" si="15"/>
        <v>0</v>
      </c>
      <c r="L36" s="1247" t="s">
        <v>1528</v>
      </c>
      <c r="M36" s="1248" t="e">
        <f>'[3]BVA (USD)'!U66+'[3]BVA (USD)'!U67</f>
        <v>#REF!</v>
      </c>
      <c r="N36" s="1248" t="e">
        <f>'[3]BVA (USD)'!V66+'[3]BVA (USD)'!V67</f>
        <v>#REF!</v>
      </c>
      <c r="O36" s="1248" t="e">
        <f>'[3]BVA (USD)'!W66+'[3]BVA (USD)'!W67</f>
        <v>#REF!</v>
      </c>
      <c r="P36" s="1248" t="e">
        <f>'[3]BVA (USD)'!X66+'[3]BVA (USD)'!X67</f>
        <v>#REF!</v>
      </c>
      <c r="Q36" s="1248" t="e">
        <f>'[3]BVA (USD)'!Y66+'[3]BVA (USD)'!Y67</f>
        <v>#REF!</v>
      </c>
      <c r="R36" s="1246" t="e">
        <f>'[3]BVA (USD)'!Z66+'[3]BVA (USD)'!Z67</f>
        <v>#REF!</v>
      </c>
      <c r="S36" s="1249" t="e">
        <f t="shared" si="16"/>
        <v>#REF!</v>
      </c>
      <c r="T36" s="1249" t="e">
        <f t="shared" si="17"/>
        <v>#REF!</v>
      </c>
      <c r="U36" s="45"/>
      <c r="V36" s="1249" t="e">
        <f t="shared" si="2"/>
        <v>#REF!</v>
      </c>
      <c r="W36" s="46"/>
      <c r="X36" s="1247" t="s">
        <v>244</v>
      </c>
      <c r="Y36" s="45"/>
      <c r="Z36" s="45"/>
      <c r="AA36" s="45"/>
      <c r="AB36" s="45"/>
      <c r="AC36" s="45"/>
      <c r="AD36" s="45"/>
      <c r="AE36" s="45"/>
      <c r="AF36" s="45"/>
    </row>
    <row r="37" spans="1:32" s="1875" customFormat="1" ht="44.25" customHeight="1" x14ac:dyDescent="0.25">
      <c r="A37" s="3157"/>
      <c r="B37" s="82" t="s">
        <v>245</v>
      </c>
      <c r="C37" s="83" t="s">
        <v>15</v>
      </c>
      <c r="D37" s="2573" t="s">
        <v>206</v>
      </c>
      <c r="E37" s="84">
        <v>5640</v>
      </c>
      <c r="F37" s="1243">
        <v>0.5</v>
      </c>
      <c r="G37" s="1244">
        <v>2820</v>
      </c>
      <c r="H37" s="85">
        <f>'[3]BVA (USD)'!N68+'[3]BVA (USD)'!N69</f>
        <v>0</v>
      </c>
      <c r="I37" s="86">
        <f t="shared" si="3"/>
        <v>0</v>
      </c>
      <c r="J37" s="1245">
        <f t="shared" si="14"/>
        <v>0.5</v>
      </c>
      <c r="K37" s="1246">
        <f t="shared" si="15"/>
        <v>0</v>
      </c>
      <c r="L37" s="1247"/>
      <c r="M37" s="1248" t="e">
        <f>'[3]BVA (USD)'!U68+'[3]BVA (USD)'!U69</f>
        <v>#REF!</v>
      </c>
      <c r="N37" s="1248" t="e">
        <f>'[3]BVA (USD)'!V68+'[3]BVA (USD)'!V69</f>
        <v>#REF!</v>
      </c>
      <c r="O37" s="1248" t="e">
        <f>'[3]BVA (USD)'!W68+'[3]BVA (USD)'!W69</f>
        <v>#REF!</v>
      </c>
      <c r="P37" s="1248" t="e">
        <f>'[3]BVA (USD)'!X68+'[3]BVA (USD)'!X69</f>
        <v>#REF!</v>
      </c>
      <c r="Q37" s="1248" t="e">
        <f>'[3]BVA (USD)'!Y68+'[3]BVA (USD)'!Y69</f>
        <v>#REF!</v>
      </c>
      <c r="R37" s="1246" t="e">
        <f>'[3]BVA (USD)'!Z68+'[3]BVA (USD)'!Z69</f>
        <v>#REF!</v>
      </c>
      <c r="S37" s="1249" t="e">
        <f t="shared" si="16"/>
        <v>#REF!</v>
      </c>
      <c r="T37" s="1249" t="e">
        <f t="shared" si="17"/>
        <v>#REF!</v>
      </c>
      <c r="U37" s="45"/>
      <c r="V37" s="1249" t="e">
        <f t="shared" si="2"/>
        <v>#REF!</v>
      </c>
      <c r="W37" s="46"/>
      <c r="X37" s="1247" t="s">
        <v>246</v>
      </c>
      <c r="Y37" s="45"/>
      <c r="Z37" s="45"/>
      <c r="AA37" s="45"/>
      <c r="AB37" s="45"/>
      <c r="AC37" s="45"/>
      <c r="AD37" s="45"/>
      <c r="AE37" s="45"/>
      <c r="AF37" s="45"/>
    </row>
    <row r="38" spans="1:32" s="1875" customFormat="1" ht="48" customHeight="1" x14ac:dyDescent="0.25">
      <c r="A38" s="3157"/>
      <c r="B38" s="82" t="s">
        <v>247</v>
      </c>
      <c r="C38" s="83" t="s">
        <v>15</v>
      </c>
      <c r="D38" s="2573" t="s">
        <v>206</v>
      </c>
      <c r="E38" s="84">
        <v>38000</v>
      </c>
      <c r="F38" s="1243">
        <v>0.5</v>
      </c>
      <c r="G38" s="1244">
        <v>19000</v>
      </c>
      <c r="H38" s="85">
        <f>'[3]BVA (USD)'!N70+'[3]BVA (USD)'!N71</f>
        <v>10238.25</v>
      </c>
      <c r="I38" s="86">
        <f t="shared" si="3"/>
        <v>0.26942763157894739</v>
      </c>
      <c r="J38" s="1245">
        <f t="shared" si="14"/>
        <v>0.5</v>
      </c>
      <c r="K38" s="1246">
        <f t="shared" si="15"/>
        <v>5119.125</v>
      </c>
      <c r="L38" s="1247" t="s">
        <v>1529</v>
      </c>
      <c r="M38" s="1248" t="e">
        <f>'[3]BVA (USD)'!U70+'[3]BVA (USD)'!U71</f>
        <v>#REF!</v>
      </c>
      <c r="N38" s="1248" t="e">
        <f>'[3]BVA (USD)'!V70+'[3]BVA (USD)'!V71</f>
        <v>#REF!</v>
      </c>
      <c r="O38" s="1248" t="e">
        <f>'[3]BVA (USD)'!W70+'[3]BVA (USD)'!W71</f>
        <v>#REF!</v>
      </c>
      <c r="P38" s="1248" t="e">
        <f>'[3]BVA (USD)'!X70+'[3]BVA (USD)'!X71</f>
        <v>#REF!</v>
      </c>
      <c r="Q38" s="1248" t="e">
        <f>'[3]BVA (USD)'!Y70+'[3]BVA (USD)'!Y71</f>
        <v>#REF!</v>
      </c>
      <c r="R38" s="1246" t="e">
        <f>'[3]BVA (USD)'!Z70+'[3]BVA (USD)'!Z71</f>
        <v>#REF!</v>
      </c>
      <c r="S38" s="1249" t="e">
        <f t="shared" si="16"/>
        <v>#REF!</v>
      </c>
      <c r="T38" s="1249" t="e">
        <f t="shared" si="17"/>
        <v>#REF!</v>
      </c>
      <c r="U38" s="45"/>
      <c r="V38" s="1249" t="e">
        <f t="shared" si="2"/>
        <v>#REF!</v>
      </c>
      <c r="W38" s="46"/>
      <c r="X38" s="1247" t="s">
        <v>248</v>
      </c>
      <c r="Y38" s="45"/>
      <c r="Z38" s="45"/>
      <c r="AA38" s="45"/>
      <c r="AB38" s="45"/>
      <c r="AC38" s="45"/>
      <c r="AD38" s="45"/>
      <c r="AE38" s="45"/>
      <c r="AF38" s="45"/>
    </row>
    <row r="39" spans="1:32" s="93" customFormat="1" ht="58.5" customHeight="1" x14ac:dyDescent="0.25">
      <c r="A39" s="3158"/>
      <c r="B39" s="87" t="s">
        <v>209</v>
      </c>
      <c r="C39" s="88" t="s">
        <v>17</v>
      </c>
      <c r="D39" s="89" t="s">
        <v>206</v>
      </c>
      <c r="E39" s="84">
        <v>5040</v>
      </c>
      <c r="F39" s="745">
        <v>0.5</v>
      </c>
      <c r="G39" s="746">
        <v>2520</v>
      </c>
      <c r="H39" s="85">
        <f>'[3]BVA (USD)'!N39</f>
        <v>5252.4140000000007</v>
      </c>
      <c r="I39" s="86">
        <f t="shared" si="3"/>
        <v>1.0421456349206351</v>
      </c>
      <c r="J39" s="1245">
        <f t="shared" si="14"/>
        <v>0.5</v>
      </c>
      <c r="K39" s="1246">
        <f t="shared" si="15"/>
        <v>2626.2070000000003</v>
      </c>
      <c r="L39" s="1247" t="s">
        <v>210</v>
      </c>
      <c r="M39" s="747">
        <f>'[3]BVA (USD)'!U39</f>
        <v>100</v>
      </c>
      <c r="N39" s="747">
        <f>'[3]BVA (USD)'!V39</f>
        <v>100</v>
      </c>
      <c r="O39" s="747">
        <f>'[3]BVA (USD)'!W39</f>
        <v>100</v>
      </c>
      <c r="P39" s="747">
        <f>'[3]BVA (USD)'!X39</f>
        <v>0</v>
      </c>
      <c r="Q39" s="747">
        <f>'[3]BVA (USD)'!Y39</f>
        <v>0</v>
      </c>
      <c r="R39" s="90">
        <f>'[3]BVA (USD)'!Z39</f>
        <v>0</v>
      </c>
      <c r="S39" s="85">
        <f t="shared" si="16"/>
        <v>5552.4140000000007</v>
      </c>
      <c r="T39" s="85">
        <f t="shared" si="17"/>
        <v>-512.41400000000067</v>
      </c>
      <c r="U39" s="94"/>
      <c r="V39" s="85">
        <f t="shared" si="2"/>
        <v>512.41400000000067</v>
      </c>
      <c r="X39" s="92" t="s">
        <v>211</v>
      </c>
    </row>
    <row r="40" spans="1:32" s="93" customFormat="1" ht="57.75" customHeight="1" x14ac:dyDescent="0.25">
      <c r="A40" s="3157"/>
      <c r="B40" s="82" t="s">
        <v>212</v>
      </c>
      <c r="C40" s="88" t="s">
        <v>15</v>
      </c>
      <c r="D40" s="89" t="s">
        <v>206</v>
      </c>
      <c r="E40" s="84">
        <v>1595.88</v>
      </c>
      <c r="F40" s="745">
        <v>0.5</v>
      </c>
      <c r="G40" s="746">
        <v>797.94</v>
      </c>
      <c r="H40" s="85">
        <f>'[3]BVA (USD)'!N45</f>
        <v>1341</v>
      </c>
      <c r="I40" s="86">
        <f t="shared" si="3"/>
        <v>0.84028874351454996</v>
      </c>
      <c r="J40" s="1245">
        <f t="shared" si="14"/>
        <v>0.5</v>
      </c>
      <c r="K40" s="1246">
        <f t="shared" si="15"/>
        <v>670.5</v>
      </c>
      <c r="L40" s="1247" t="s">
        <v>210</v>
      </c>
      <c r="M40" s="747">
        <f>'[3]BVA (USD)'!U45</f>
        <v>0</v>
      </c>
      <c r="N40" s="747">
        <f>'[3]BVA (USD)'!V45</f>
        <v>0</v>
      </c>
      <c r="O40" s="747">
        <f>'[3]BVA (USD)'!W45</f>
        <v>400</v>
      </c>
      <c r="P40" s="747">
        <f>'[3]BVA (USD)'!X45</f>
        <v>0</v>
      </c>
      <c r="Q40" s="747">
        <f>'[3]BVA (USD)'!Y45</f>
        <v>0</v>
      </c>
      <c r="R40" s="90">
        <f>'[3]BVA (USD)'!Z45</f>
        <v>0</v>
      </c>
      <c r="S40" s="85">
        <f t="shared" si="16"/>
        <v>1741</v>
      </c>
      <c r="T40" s="85">
        <f t="shared" si="17"/>
        <v>-145.11999999999989</v>
      </c>
      <c r="U40" s="94"/>
      <c r="V40" s="85">
        <f t="shared" si="2"/>
        <v>145.11999999999989</v>
      </c>
      <c r="X40" s="92" t="s">
        <v>213</v>
      </c>
    </row>
    <row r="41" spans="1:32" s="93" customFormat="1" ht="37.5" customHeight="1" x14ac:dyDescent="0.25">
      <c r="A41" s="3157"/>
      <c r="B41" s="82" t="s">
        <v>214</v>
      </c>
      <c r="C41" s="88" t="s">
        <v>15</v>
      </c>
      <c r="D41" s="89" t="s">
        <v>206</v>
      </c>
      <c r="E41" s="84">
        <v>300</v>
      </c>
      <c r="F41" s="745">
        <v>0.5</v>
      </c>
      <c r="G41" s="746">
        <v>150</v>
      </c>
      <c r="H41" s="85">
        <f>'[3]BVA (USD)'!N51</f>
        <v>241</v>
      </c>
      <c r="I41" s="86">
        <f t="shared" si="3"/>
        <v>0.80333333333333334</v>
      </c>
      <c r="J41" s="1245">
        <f t="shared" si="14"/>
        <v>0.5</v>
      </c>
      <c r="K41" s="1246">
        <f t="shared" si="15"/>
        <v>120.5</v>
      </c>
      <c r="L41" s="1247" t="s">
        <v>215</v>
      </c>
      <c r="M41" s="747">
        <f>'[3]BVA (USD)'!U51</f>
        <v>0</v>
      </c>
      <c r="N41" s="747">
        <f>'[3]BVA (USD)'!V51</f>
        <v>0</v>
      </c>
      <c r="O41" s="747">
        <f>'[3]BVA (USD)'!W51</f>
        <v>0</v>
      </c>
      <c r="P41" s="747">
        <f>'[3]BVA (USD)'!X51</f>
        <v>0</v>
      </c>
      <c r="Q41" s="747">
        <f>'[3]BVA (USD)'!Y51</f>
        <v>0</v>
      </c>
      <c r="R41" s="90">
        <f>'[3]BVA (USD)'!Z51</f>
        <v>0</v>
      </c>
      <c r="S41" s="85">
        <f t="shared" si="16"/>
        <v>241</v>
      </c>
      <c r="T41" s="85">
        <f t="shared" si="17"/>
        <v>59</v>
      </c>
      <c r="U41" s="94"/>
      <c r="V41" s="85">
        <f t="shared" si="2"/>
        <v>-59</v>
      </c>
      <c r="X41" s="92" t="s">
        <v>216</v>
      </c>
    </row>
    <row r="42" spans="1:32" s="93" customFormat="1" ht="43.5" customHeight="1" x14ac:dyDescent="0.25">
      <c r="A42" s="3157"/>
      <c r="B42" s="87" t="s">
        <v>217</v>
      </c>
      <c r="C42" s="88" t="s">
        <v>14</v>
      </c>
      <c r="D42" s="89" t="s">
        <v>206</v>
      </c>
      <c r="E42" s="84">
        <v>5060</v>
      </c>
      <c r="F42" s="745">
        <v>0</v>
      </c>
      <c r="G42" s="746">
        <v>0</v>
      </c>
      <c r="H42" s="85">
        <f>'[3]BVA (USD)'!N33</f>
        <v>4933.7219999999998</v>
      </c>
      <c r="I42" s="86">
        <f t="shared" si="3"/>
        <v>0.97504387351778654</v>
      </c>
      <c r="J42" s="1245">
        <f t="shared" si="14"/>
        <v>0</v>
      </c>
      <c r="K42" s="1246">
        <f t="shared" si="15"/>
        <v>0</v>
      </c>
      <c r="L42" s="1247"/>
      <c r="M42" s="747">
        <f>'[3]BVA (USD)'!U33</f>
        <v>290</v>
      </c>
      <c r="N42" s="747">
        <f>'[3]BVA (USD)'!V33</f>
        <v>232</v>
      </c>
      <c r="O42" s="747">
        <f>'[3]BVA (USD)'!W33</f>
        <v>435</v>
      </c>
      <c r="P42" s="747">
        <f>'[3]BVA (USD)'!X33</f>
        <v>0</v>
      </c>
      <c r="Q42" s="747">
        <f>'[3]BVA (USD)'!Y33</f>
        <v>0</v>
      </c>
      <c r="R42" s="90">
        <f>'[3]BVA (USD)'!Z33</f>
        <v>0</v>
      </c>
      <c r="S42" s="85">
        <f t="shared" si="16"/>
        <v>5890.7219999999998</v>
      </c>
      <c r="T42" s="85">
        <f t="shared" si="17"/>
        <v>-830.72199999999975</v>
      </c>
      <c r="U42" s="94"/>
      <c r="V42" s="85">
        <f t="shared" si="2"/>
        <v>830.72199999999975</v>
      </c>
      <c r="X42" s="92" t="s">
        <v>218</v>
      </c>
    </row>
    <row r="43" spans="1:32" s="94" customFormat="1" ht="44.25" customHeight="1" x14ac:dyDescent="0.25">
      <c r="A43" s="3157"/>
      <c r="B43" s="82" t="s">
        <v>219</v>
      </c>
      <c r="C43" s="83" t="s">
        <v>14</v>
      </c>
      <c r="D43" s="2573" t="s">
        <v>206</v>
      </c>
      <c r="E43" s="84">
        <v>27048.959999999999</v>
      </c>
      <c r="F43" s="745">
        <v>0.25</v>
      </c>
      <c r="G43" s="746">
        <v>6762.24</v>
      </c>
      <c r="H43" s="85">
        <f>'[3]BVA (USD)'!N8</f>
        <v>22199.702400000009</v>
      </c>
      <c r="I43" s="86">
        <f t="shared" si="3"/>
        <v>0.82072295570698506</v>
      </c>
      <c r="J43" s="1245">
        <f t="shared" si="14"/>
        <v>0.25</v>
      </c>
      <c r="K43" s="1246">
        <f t="shared" si="15"/>
        <v>5549.9256000000023</v>
      </c>
      <c r="L43" s="1247" t="s">
        <v>220</v>
      </c>
      <c r="M43" s="747">
        <f>'[3]BVA (USD)'!U8</f>
        <v>1044.8</v>
      </c>
      <c r="N43" s="747">
        <f>'[3]BVA (USD)'!V8</f>
        <v>691.2</v>
      </c>
      <c r="O43" s="747">
        <f>'[3]BVA (USD)'!W8</f>
        <v>725.76</v>
      </c>
      <c r="P43" s="747">
        <f>'[3]BVA (USD)'!X8</f>
        <v>0</v>
      </c>
      <c r="Q43" s="747">
        <f>'[3]BVA (USD)'!Y8</f>
        <v>0</v>
      </c>
      <c r="R43" s="90">
        <f>'[3]BVA (USD)'!Z8</f>
        <v>0</v>
      </c>
      <c r="S43" s="85">
        <f t="shared" si="16"/>
        <v>24661.462400000011</v>
      </c>
      <c r="T43" s="85">
        <f t="shared" si="17"/>
        <v>2387.4975999999879</v>
      </c>
      <c r="V43" s="85">
        <f t="shared" si="2"/>
        <v>-2387.4975999999879</v>
      </c>
      <c r="W43" s="93"/>
      <c r="X43" s="92" t="s">
        <v>221</v>
      </c>
    </row>
    <row r="44" spans="1:32" s="94" customFormat="1" ht="45.75" customHeight="1" x14ac:dyDescent="0.25">
      <c r="A44" s="3157"/>
      <c r="B44" s="82" t="s">
        <v>222</v>
      </c>
      <c r="C44" s="83" t="s">
        <v>14</v>
      </c>
      <c r="D44" s="2573" t="s">
        <v>206</v>
      </c>
      <c r="E44" s="84">
        <v>9626.36</v>
      </c>
      <c r="F44" s="745">
        <v>0.25</v>
      </c>
      <c r="G44" s="746">
        <v>2406.59</v>
      </c>
      <c r="H44" s="85">
        <f>'[3]BVA (USD)'!N15</f>
        <v>9007.0300000000061</v>
      </c>
      <c r="I44" s="86">
        <f t="shared" si="3"/>
        <v>0.93566311669208357</v>
      </c>
      <c r="J44" s="1245">
        <f t="shared" si="14"/>
        <v>0.25</v>
      </c>
      <c r="K44" s="1246">
        <f t="shared" si="15"/>
        <v>2251.7575000000015</v>
      </c>
      <c r="L44" s="1247" t="s">
        <v>220</v>
      </c>
      <c r="M44" s="747">
        <f>'[3]BVA (USD)'!U15</f>
        <v>485.00599999999991</v>
      </c>
      <c r="N44" s="747">
        <f>'[3]BVA (USD)'!V15</f>
        <v>220.53960000000004</v>
      </c>
      <c r="O44" s="747">
        <f>'[3]BVA (USD)'!W15</f>
        <v>245.04399999999998</v>
      </c>
      <c r="P44" s="747">
        <f>'[3]BVA (USD)'!X15</f>
        <v>0</v>
      </c>
      <c r="Q44" s="747">
        <f>'[3]BVA (USD)'!Y15</f>
        <v>0</v>
      </c>
      <c r="R44" s="90">
        <f>'[3]BVA (USD)'!Z15</f>
        <v>0</v>
      </c>
      <c r="S44" s="85">
        <f t="shared" si="16"/>
        <v>9957.6196000000054</v>
      </c>
      <c r="T44" s="85">
        <f t="shared" si="17"/>
        <v>-331.25960000000487</v>
      </c>
      <c r="V44" s="85">
        <f t="shared" si="2"/>
        <v>331.25960000000487</v>
      </c>
      <c r="W44" s="93"/>
      <c r="X44" s="92" t="s">
        <v>223</v>
      </c>
    </row>
    <row r="45" spans="1:32" s="94" customFormat="1" ht="45" customHeight="1" x14ac:dyDescent="0.25">
      <c r="A45" s="3157"/>
      <c r="B45" s="82" t="s">
        <v>224</v>
      </c>
      <c r="C45" s="83" t="s">
        <v>14</v>
      </c>
      <c r="D45" s="2573" t="s">
        <v>206</v>
      </c>
      <c r="E45" s="84">
        <v>6529.12</v>
      </c>
      <c r="F45" s="745">
        <v>0.25</v>
      </c>
      <c r="G45" s="746">
        <v>1632.28</v>
      </c>
      <c r="H45" s="85">
        <f>'[3]BVA (USD)'!N21</f>
        <v>6872.720000000003</v>
      </c>
      <c r="I45" s="86">
        <f t="shared" si="3"/>
        <v>1.0526257749895855</v>
      </c>
      <c r="J45" s="1245">
        <f t="shared" si="14"/>
        <v>0.25</v>
      </c>
      <c r="K45" s="1246">
        <f t="shared" si="15"/>
        <v>1718.1800000000007</v>
      </c>
      <c r="L45" s="1247" t="s">
        <v>220</v>
      </c>
      <c r="M45" s="747">
        <f>'[3]BVA (USD)'!U21</f>
        <v>375.83800000000002</v>
      </c>
      <c r="N45" s="747">
        <f>'[3]BVA (USD)'!V21</f>
        <v>375.83800000000002</v>
      </c>
      <c r="O45" s="747">
        <f>'[3]BVA (USD)'!W21</f>
        <v>563.75699999999995</v>
      </c>
      <c r="P45" s="747">
        <f>'[3]BVA (USD)'!X21</f>
        <v>0</v>
      </c>
      <c r="Q45" s="747">
        <f>'[3]BVA (USD)'!Y21</f>
        <v>0</v>
      </c>
      <c r="R45" s="90">
        <f>'[3]BVA (USD)'!Z21</f>
        <v>0</v>
      </c>
      <c r="S45" s="85">
        <f t="shared" si="16"/>
        <v>8188.153000000003</v>
      </c>
      <c r="T45" s="85">
        <f t="shared" si="17"/>
        <v>-1659.0330000000031</v>
      </c>
      <c r="V45" s="85">
        <f t="shared" si="2"/>
        <v>1659.0330000000031</v>
      </c>
      <c r="W45" s="93"/>
      <c r="X45" s="92" t="s">
        <v>225</v>
      </c>
    </row>
    <row r="46" spans="1:32" s="94" customFormat="1" ht="45" customHeight="1" x14ac:dyDescent="0.25">
      <c r="A46" s="3157"/>
      <c r="B46" s="82" t="s">
        <v>226</v>
      </c>
      <c r="C46" s="83" t="s">
        <v>14</v>
      </c>
      <c r="D46" s="2573" t="s">
        <v>206</v>
      </c>
      <c r="E46" s="84">
        <v>4400</v>
      </c>
      <c r="F46" s="745">
        <v>0.25</v>
      </c>
      <c r="G46" s="746">
        <v>1100</v>
      </c>
      <c r="H46" s="85">
        <f>'[3]BVA (USD)'!N27</f>
        <v>2672.26</v>
      </c>
      <c r="I46" s="86">
        <f t="shared" si="3"/>
        <v>0.60733181818181825</v>
      </c>
      <c r="J46" s="1245">
        <f t="shared" si="14"/>
        <v>0.25</v>
      </c>
      <c r="K46" s="1246">
        <f t="shared" si="15"/>
        <v>668.06500000000005</v>
      </c>
      <c r="L46" s="1247" t="s">
        <v>220</v>
      </c>
      <c r="M46" s="747">
        <f>'[3]BVA (USD)'!U27</f>
        <v>172.316</v>
      </c>
      <c r="N46" s="747">
        <f>'[3]BVA (USD)'!V27</f>
        <v>137.85280000000003</v>
      </c>
      <c r="O46" s="747">
        <f>'[3]BVA (USD)'!W27</f>
        <v>258.47400000000005</v>
      </c>
      <c r="P46" s="747">
        <f>'[3]BVA (USD)'!X27</f>
        <v>0</v>
      </c>
      <c r="Q46" s="747">
        <f>'[3]BVA (USD)'!Y27</f>
        <v>0</v>
      </c>
      <c r="R46" s="90">
        <f>'[3]BVA (USD)'!Z27</f>
        <v>0</v>
      </c>
      <c r="S46" s="85">
        <f t="shared" si="16"/>
        <v>3240.9028000000003</v>
      </c>
      <c r="T46" s="85">
        <f t="shared" si="17"/>
        <v>1159.0971999999997</v>
      </c>
      <c r="V46" s="85">
        <f t="shared" si="2"/>
        <v>-1159.0971999999997</v>
      </c>
      <c r="W46" s="93"/>
      <c r="X46" s="92" t="s">
        <v>227</v>
      </c>
    </row>
    <row r="47" spans="1:32" s="46" customFormat="1" x14ac:dyDescent="0.25">
      <c r="A47" s="3157"/>
      <c r="B47" s="95"/>
      <c r="C47" s="96"/>
      <c r="D47" s="2574" t="s">
        <v>0</v>
      </c>
      <c r="E47" s="97">
        <f>SUM(E33:E46)</f>
        <v>355208.32</v>
      </c>
      <c r="F47" s="748">
        <v>0.45937282662748435</v>
      </c>
      <c r="G47" s="749">
        <v>163173.04999999999</v>
      </c>
      <c r="H47" s="98">
        <f>SUM(H33:H46)</f>
        <v>252569.33840000001</v>
      </c>
      <c r="I47" s="99">
        <f t="shared" si="3"/>
        <v>0.71104567145274078</v>
      </c>
      <c r="J47" s="100"/>
      <c r="K47" s="101">
        <f t="shared" ref="K47:T47" si="18">SUM(K33:K46)</f>
        <v>113629.88010000001</v>
      </c>
      <c r="L47" s="102"/>
      <c r="M47" s="750" t="e">
        <f t="shared" ref="M47:R47" si="19">SUM(M33:M46)</f>
        <v>#REF!</v>
      </c>
      <c r="N47" s="750" t="e">
        <f t="shared" si="19"/>
        <v>#REF!</v>
      </c>
      <c r="O47" s="750" t="e">
        <f t="shared" si="19"/>
        <v>#REF!</v>
      </c>
      <c r="P47" s="750" t="e">
        <f t="shared" si="19"/>
        <v>#REF!</v>
      </c>
      <c r="Q47" s="750" t="e">
        <f t="shared" si="19"/>
        <v>#REF!</v>
      </c>
      <c r="R47" s="101" t="e">
        <f t="shared" si="19"/>
        <v>#REF!</v>
      </c>
      <c r="S47" s="98" t="e">
        <f t="shared" si="18"/>
        <v>#REF!</v>
      </c>
      <c r="T47" s="98" t="e">
        <f t="shared" si="18"/>
        <v>#REF!</v>
      </c>
      <c r="V47" s="98" t="e">
        <f t="shared" si="2"/>
        <v>#REF!</v>
      </c>
      <c r="X47" s="102"/>
    </row>
    <row r="48" spans="1:32" s="1875" customFormat="1" ht="52" x14ac:dyDescent="0.25">
      <c r="A48" s="3157" t="s">
        <v>249</v>
      </c>
      <c r="B48" s="82" t="s">
        <v>250</v>
      </c>
      <c r="C48" s="83" t="s">
        <v>15</v>
      </c>
      <c r="D48" s="2573" t="s">
        <v>206</v>
      </c>
      <c r="E48" s="84">
        <v>60000</v>
      </c>
      <c r="F48" s="1243">
        <v>0.5</v>
      </c>
      <c r="G48" s="1244">
        <v>30000</v>
      </c>
      <c r="H48" s="85">
        <f>'[3]BVA (USD)'!N73+'[3]BVA (USD)'!N74</f>
        <v>21178.62</v>
      </c>
      <c r="I48" s="86">
        <f t="shared" si="3"/>
        <v>0.35297699999999999</v>
      </c>
      <c r="J48" s="1245">
        <f t="shared" ref="J48:J56" si="20">F48</f>
        <v>0.5</v>
      </c>
      <c r="K48" s="1246">
        <f t="shared" ref="K48:K56" si="21">H48*J48</f>
        <v>10589.31</v>
      </c>
      <c r="L48" s="1247" t="s">
        <v>1530</v>
      </c>
      <c r="M48" s="1248" t="e">
        <f>'[3]BVA (USD)'!U73+'[3]BVA (USD)'!U74</f>
        <v>#REF!</v>
      </c>
      <c r="N48" s="1248" t="e">
        <f>'[3]BVA (USD)'!V73+'[3]BVA (USD)'!V74</f>
        <v>#REF!</v>
      </c>
      <c r="O48" s="1248" t="e">
        <f>'[3]BVA (USD)'!W73+'[3]BVA (USD)'!W74</f>
        <v>#REF!</v>
      </c>
      <c r="P48" s="1248" t="e">
        <f>'[3]BVA (USD)'!X73+'[3]BVA (USD)'!X74</f>
        <v>#REF!</v>
      </c>
      <c r="Q48" s="1248" t="e">
        <f>'[3]BVA (USD)'!Y73+'[3]BVA (USD)'!Y74</f>
        <v>#REF!</v>
      </c>
      <c r="R48" s="1246" t="e">
        <f>'[3]BVA (USD)'!Z73+'[3]BVA (USD)'!Z74</f>
        <v>#REF!</v>
      </c>
      <c r="S48" s="1249" t="e">
        <f t="shared" ref="S48:S56" si="22">H48+SUM(M48:R48)</f>
        <v>#REF!</v>
      </c>
      <c r="T48" s="1249" t="e">
        <f t="shared" ref="T48:T56" si="23">E48-S48</f>
        <v>#REF!</v>
      </c>
      <c r="U48" s="45"/>
      <c r="V48" s="1249" t="e">
        <f t="shared" si="2"/>
        <v>#REF!</v>
      </c>
      <c r="W48" s="46"/>
      <c r="X48" s="1247" t="s">
        <v>252</v>
      </c>
      <c r="Y48" s="45"/>
      <c r="Z48" s="45"/>
      <c r="AA48" s="45"/>
      <c r="AB48" s="45"/>
      <c r="AC48" s="45"/>
      <c r="AD48" s="45"/>
      <c r="AE48" s="45"/>
      <c r="AF48" s="45"/>
    </row>
    <row r="49" spans="1:32" s="93" customFormat="1" ht="57.75" customHeight="1" x14ac:dyDescent="0.25">
      <c r="A49" s="3158"/>
      <c r="B49" s="87" t="s">
        <v>209</v>
      </c>
      <c r="C49" s="88" t="s">
        <v>17</v>
      </c>
      <c r="D49" s="89" t="s">
        <v>206</v>
      </c>
      <c r="E49" s="84">
        <v>5040</v>
      </c>
      <c r="F49" s="745">
        <v>0.5</v>
      </c>
      <c r="G49" s="746">
        <v>2520</v>
      </c>
      <c r="H49" s="85">
        <f>'[3]BVA (USD)'!N40</f>
        <v>5252.4140000000007</v>
      </c>
      <c r="I49" s="86">
        <f t="shared" si="3"/>
        <v>1.0421456349206351</v>
      </c>
      <c r="J49" s="1245">
        <f t="shared" si="20"/>
        <v>0.5</v>
      </c>
      <c r="K49" s="1246">
        <f t="shared" si="21"/>
        <v>2626.2070000000003</v>
      </c>
      <c r="L49" s="1247" t="s">
        <v>210</v>
      </c>
      <c r="M49" s="747">
        <f>'[3]BVA (USD)'!U40</f>
        <v>100</v>
      </c>
      <c r="N49" s="747">
        <f>'[3]BVA (USD)'!V40</f>
        <v>100</v>
      </c>
      <c r="O49" s="747">
        <f>'[3]BVA (USD)'!W40</f>
        <v>100</v>
      </c>
      <c r="P49" s="747">
        <f>'[3]BVA (USD)'!X40</f>
        <v>0</v>
      </c>
      <c r="Q49" s="747">
        <f>'[3]BVA (USD)'!Y40</f>
        <v>0</v>
      </c>
      <c r="R49" s="90">
        <f>'[3]BVA (USD)'!Z40</f>
        <v>0</v>
      </c>
      <c r="S49" s="85">
        <f t="shared" si="22"/>
        <v>5552.4140000000007</v>
      </c>
      <c r="T49" s="85">
        <f t="shared" si="23"/>
        <v>-512.41400000000067</v>
      </c>
      <c r="U49" s="94"/>
      <c r="V49" s="85">
        <f t="shared" si="2"/>
        <v>512.41400000000067</v>
      </c>
      <c r="X49" s="92" t="s">
        <v>211</v>
      </c>
    </row>
    <row r="50" spans="1:32" s="93" customFormat="1" ht="57.75" customHeight="1" x14ac:dyDescent="0.25">
      <c r="A50" s="3157"/>
      <c r="B50" s="87" t="s">
        <v>212</v>
      </c>
      <c r="C50" s="88" t="s">
        <v>15</v>
      </c>
      <c r="D50" s="89" t="s">
        <v>206</v>
      </c>
      <c r="E50" s="84">
        <v>1595.88</v>
      </c>
      <c r="F50" s="745">
        <v>0.5</v>
      </c>
      <c r="G50" s="746">
        <v>797.94</v>
      </c>
      <c r="H50" s="85">
        <f>'[3]BVA (USD)'!N46</f>
        <v>1341</v>
      </c>
      <c r="I50" s="86">
        <f t="shared" si="3"/>
        <v>0.84028874351454996</v>
      </c>
      <c r="J50" s="1245">
        <f t="shared" si="20"/>
        <v>0.5</v>
      </c>
      <c r="K50" s="1246">
        <f t="shared" si="21"/>
        <v>670.5</v>
      </c>
      <c r="L50" s="1247" t="s">
        <v>210</v>
      </c>
      <c r="M50" s="747">
        <f>'[3]BVA (USD)'!U46</f>
        <v>0</v>
      </c>
      <c r="N50" s="747">
        <f>'[3]BVA (USD)'!V46</f>
        <v>0</v>
      </c>
      <c r="O50" s="747">
        <f>'[3]BVA (USD)'!W46</f>
        <v>400</v>
      </c>
      <c r="P50" s="747">
        <f>'[3]BVA (USD)'!X46</f>
        <v>0</v>
      </c>
      <c r="Q50" s="747">
        <f>'[3]BVA (USD)'!Y46</f>
        <v>0</v>
      </c>
      <c r="R50" s="90">
        <f>'[3]BVA (USD)'!Z46</f>
        <v>0</v>
      </c>
      <c r="S50" s="85">
        <f t="shared" si="22"/>
        <v>1741</v>
      </c>
      <c r="T50" s="85">
        <f t="shared" si="23"/>
        <v>-145.11999999999989</v>
      </c>
      <c r="U50" s="94"/>
      <c r="V50" s="85">
        <f t="shared" si="2"/>
        <v>145.11999999999989</v>
      </c>
      <c r="X50" s="92" t="s">
        <v>213</v>
      </c>
    </row>
    <row r="51" spans="1:32" s="93" customFormat="1" ht="39.75" customHeight="1" x14ac:dyDescent="0.25">
      <c r="A51" s="3157"/>
      <c r="B51" s="87" t="s">
        <v>214</v>
      </c>
      <c r="C51" s="88" t="s">
        <v>15</v>
      </c>
      <c r="D51" s="89" t="s">
        <v>206</v>
      </c>
      <c r="E51" s="84">
        <v>300</v>
      </c>
      <c r="F51" s="745">
        <v>0.5</v>
      </c>
      <c r="G51" s="746">
        <v>150</v>
      </c>
      <c r="H51" s="85">
        <f>'[3]BVA (USD)'!N52</f>
        <v>241</v>
      </c>
      <c r="I51" s="86">
        <f t="shared" si="3"/>
        <v>0.80333333333333334</v>
      </c>
      <c r="J51" s="1245">
        <f t="shared" si="20"/>
        <v>0.5</v>
      </c>
      <c r="K51" s="1246">
        <f t="shared" si="21"/>
        <v>120.5</v>
      </c>
      <c r="L51" s="1247" t="s">
        <v>215</v>
      </c>
      <c r="M51" s="747">
        <f>'[3]BVA (USD)'!U52</f>
        <v>0</v>
      </c>
      <c r="N51" s="747">
        <f>'[3]BVA (USD)'!V52</f>
        <v>0</v>
      </c>
      <c r="O51" s="747">
        <f>'[3]BVA (USD)'!W52</f>
        <v>0</v>
      </c>
      <c r="P51" s="747">
        <f>'[3]BVA (USD)'!X52</f>
        <v>0</v>
      </c>
      <c r="Q51" s="747">
        <f>'[3]BVA (USD)'!Y52</f>
        <v>0</v>
      </c>
      <c r="R51" s="90">
        <f>'[3]BVA (USD)'!Z52</f>
        <v>0</v>
      </c>
      <c r="S51" s="85">
        <f t="shared" si="22"/>
        <v>241</v>
      </c>
      <c r="T51" s="85">
        <f t="shared" si="23"/>
        <v>59</v>
      </c>
      <c r="U51" s="94"/>
      <c r="V51" s="85">
        <f t="shared" si="2"/>
        <v>-59</v>
      </c>
      <c r="X51" s="92" t="s">
        <v>216</v>
      </c>
    </row>
    <row r="52" spans="1:32" s="93" customFormat="1" ht="27" customHeight="1" x14ac:dyDescent="0.25">
      <c r="A52" s="3157"/>
      <c r="B52" s="87" t="s">
        <v>217</v>
      </c>
      <c r="C52" s="88" t="s">
        <v>14</v>
      </c>
      <c r="D52" s="89" t="s">
        <v>206</v>
      </c>
      <c r="E52" s="84">
        <v>5060</v>
      </c>
      <c r="F52" s="745">
        <v>0</v>
      </c>
      <c r="G52" s="746">
        <v>0</v>
      </c>
      <c r="H52" s="85">
        <f>'[3]BVA (USD)'!N34</f>
        <v>4933.7219999999998</v>
      </c>
      <c r="I52" s="86">
        <f t="shared" si="3"/>
        <v>0.97504387351778654</v>
      </c>
      <c r="J52" s="1245">
        <f t="shared" si="20"/>
        <v>0</v>
      </c>
      <c r="K52" s="1246">
        <f t="shared" si="21"/>
        <v>0</v>
      </c>
      <c r="L52" s="1247"/>
      <c r="M52" s="747">
        <f>'[3]BVA (USD)'!U34</f>
        <v>290</v>
      </c>
      <c r="N52" s="747">
        <f>'[3]BVA (USD)'!V34</f>
        <v>232</v>
      </c>
      <c r="O52" s="747">
        <f>'[3]BVA (USD)'!W34</f>
        <v>435</v>
      </c>
      <c r="P52" s="747">
        <f>'[3]BVA (USD)'!X34</f>
        <v>0</v>
      </c>
      <c r="Q52" s="747">
        <f>'[3]BVA (USD)'!Y34</f>
        <v>0</v>
      </c>
      <c r="R52" s="90">
        <f>'[3]BVA (USD)'!Z34</f>
        <v>0</v>
      </c>
      <c r="S52" s="85">
        <f t="shared" si="22"/>
        <v>5890.7219999999998</v>
      </c>
      <c r="T52" s="85">
        <f t="shared" si="23"/>
        <v>-830.72199999999975</v>
      </c>
      <c r="U52" s="94"/>
      <c r="V52" s="85">
        <f t="shared" si="2"/>
        <v>830.72199999999975</v>
      </c>
      <c r="X52" s="92" t="s">
        <v>218</v>
      </c>
    </row>
    <row r="53" spans="1:32" s="94" customFormat="1" ht="45" customHeight="1" x14ac:dyDescent="0.25">
      <c r="A53" s="3157"/>
      <c r="B53" s="82" t="s">
        <v>219</v>
      </c>
      <c r="C53" s="83" t="s">
        <v>14</v>
      </c>
      <c r="D53" s="2573" t="s">
        <v>206</v>
      </c>
      <c r="E53" s="84">
        <v>27048.959999999999</v>
      </c>
      <c r="F53" s="745">
        <v>0.25</v>
      </c>
      <c r="G53" s="746">
        <v>6762.24</v>
      </c>
      <c r="H53" s="85">
        <f>'[3]BVA (USD)'!N9</f>
        <v>22199.702400000009</v>
      </c>
      <c r="I53" s="86">
        <f t="shared" si="3"/>
        <v>0.82072295570698506</v>
      </c>
      <c r="J53" s="1245">
        <f t="shared" si="20"/>
        <v>0.25</v>
      </c>
      <c r="K53" s="1246">
        <f t="shared" si="21"/>
        <v>5549.9256000000023</v>
      </c>
      <c r="L53" s="1247" t="s">
        <v>220</v>
      </c>
      <c r="M53" s="747">
        <f>'[3]BVA (USD)'!U9</f>
        <v>1044.8</v>
      </c>
      <c r="N53" s="747">
        <f>'[3]BVA (USD)'!V9</f>
        <v>691.2</v>
      </c>
      <c r="O53" s="747">
        <f>'[3]BVA (USD)'!W9</f>
        <v>725.76</v>
      </c>
      <c r="P53" s="747">
        <f>'[3]BVA (USD)'!X9</f>
        <v>0</v>
      </c>
      <c r="Q53" s="747">
        <f>'[3]BVA (USD)'!Y9</f>
        <v>0</v>
      </c>
      <c r="R53" s="90">
        <f>'[3]BVA (USD)'!Z9</f>
        <v>0</v>
      </c>
      <c r="S53" s="85">
        <f t="shared" si="22"/>
        <v>24661.462400000011</v>
      </c>
      <c r="T53" s="85">
        <f t="shared" si="23"/>
        <v>2387.4975999999879</v>
      </c>
      <c r="V53" s="85">
        <f t="shared" si="2"/>
        <v>-2387.4975999999879</v>
      </c>
      <c r="W53" s="93"/>
      <c r="X53" s="92" t="s">
        <v>221</v>
      </c>
    </row>
    <row r="54" spans="1:32" s="94" customFormat="1" ht="43.5" customHeight="1" x14ac:dyDescent="0.25">
      <c r="A54" s="3157"/>
      <c r="B54" s="82" t="s">
        <v>222</v>
      </c>
      <c r="C54" s="83" t="s">
        <v>14</v>
      </c>
      <c r="D54" s="2573" t="s">
        <v>206</v>
      </c>
      <c r="E54" s="84">
        <v>9626.36</v>
      </c>
      <c r="F54" s="745">
        <v>0.25</v>
      </c>
      <c r="G54" s="746">
        <v>2406.59</v>
      </c>
      <c r="H54" s="85">
        <f>'[3]BVA (USD)'!N16</f>
        <v>9007.0300000000061</v>
      </c>
      <c r="I54" s="86">
        <f t="shared" si="3"/>
        <v>0.93566311669208357</v>
      </c>
      <c r="J54" s="1245">
        <f t="shared" si="20"/>
        <v>0.25</v>
      </c>
      <c r="K54" s="1246">
        <f t="shared" si="21"/>
        <v>2251.7575000000015</v>
      </c>
      <c r="L54" s="1247" t="s">
        <v>220</v>
      </c>
      <c r="M54" s="747">
        <f>'[3]BVA (USD)'!U16</f>
        <v>485.00599999999991</v>
      </c>
      <c r="N54" s="747">
        <f>'[3]BVA (USD)'!V16</f>
        <v>220.53960000000004</v>
      </c>
      <c r="O54" s="747">
        <f>'[3]BVA (USD)'!W16</f>
        <v>245.04399999999998</v>
      </c>
      <c r="P54" s="747">
        <f>'[3]BVA (USD)'!X16</f>
        <v>0</v>
      </c>
      <c r="Q54" s="747">
        <f>'[3]BVA (USD)'!Y16</f>
        <v>0</v>
      </c>
      <c r="R54" s="90">
        <f>'[3]BVA (USD)'!Z16</f>
        <v>0</v>
      </c>
      <c r="S54" s="85">
        <f t="shared" si="22"/>
        <v>9957.6196000000054</v>
      </c>
      <c r="T54" s="85">
        <f t="shared" si="23"/>
        <v>-331.25960000000487</v>
      </c>
      <c r="V54" s="85">
        <f t="shared" si="2"/>
        <v>331.25960000000487</v>
      </c>
      <c r="W54" s="93"/>
      <c r="X54" s="92" t="s">
        <v>223</v>
      </c>
    </row>
    <row r="55" spans="1:32" s="94" customFormat="1" ht="46.5" customHeight="1" x14ac:dyDescent="0.25">
      <c r="A55" s="3157"/>
      <c r="B55" s="82" t="s">
        <v>224</v>
      </c>
      <c r="C55" s="83" t="s">
        <v>14</v>
      </c>
      <c r="D55" s="2573" t="s">
        <v>206</v>
      </c>
      <c r="E55" s="84">
        <v>6529.12</v>
      </c>
      <c r="F55" s="745">
        <v>0.25</v>
      </c>
      <c r="G55" s="746">
        <v>1632.28</v>
      </c>
      <c r="H55" s="85">
        <f>'[3]BVA (USD)'!N22</f>
        <v>6872.720000000003</v>
      </c>
      <c r="I55" s="86">
        <f t="shared" si="3"/>
        <v>1.0526257749895855</v>
      </c>
      <c r="J55" s="1245">
        <f t="shared" si="20"/>
        <v>0.25</v>
      </c>
      <c r="K55" s="1246">
        <f t="shared" si="21"/>
        <v>1718.1800000000007</v>
      </c>
      <c r="L55" s="1247" t="s">
        <v>220</v>
      </c>
      <c r="M55" s="747">
        <f>'[3]BVA (USD)'!U22</f>
        <v>375.83800000000002</v>
      </c>
      <c r="N55" s="747">
        <f>'[3]BVA (USD)'!V22</f>
        <v>375.83800000000002</v>
      </c>
      <c r="O55" s="747">
        <f>'[3]BVA (USD)'!W22</f>
        <v>563.75699999999995</v>
      </c>
      <c r="P55" s="747">
        <f>'[3]BVA (USD)'!X22</f>
        <v>0</v>
      </c>
      <c r="Q55" s="747">
        <f>'[3]BVA (USD)'!Y22</f>
        <v>0</v>
      </c>
      <c r="R55" s="90">
        <f>'[3]BVA (USD)'!Z22</f>
        <v>0</v>
      </c>
      <c r="S55" s="85">
        <f t="shared" si="22"/>
        <v>8188.153000000003</v>
      </c>
      <c r="T55" s="85">
        <f t="shared" si="23"/>
        <v>-1659.0330000000031</v>
      </c>
      <c r="V55" s="85">
        <f t="shared" si="2"/>
        <v>1659.0330000000031</v>
      </c>
      <c r="W55" s="93"/>
      <c r="X55" s="92" t="s">
        <v>225</v>
      </c>
    </row>
    <row r="56" spans="1:32" s="1876" customFormat="1" ht="41.25" customHeight="1" x14ac:dyDescent="0.25">
      <c r="A56" s="3157"/>
      <c r="B56" s="82" t="s">
        <v>226</v>
      </c>
      <c r="C56" s="83" t="s">
        <v>14</v>
      </c>
      <c r="D56" s="2573" t="s">
        <v>206</v>
      </c>
      <c r="E56" s="84">
        <v>4400</v>
      </c>
      <c r="F56" s="745">
        <v>0.25</v>
      </c>
      <c r="G56" s="746">
        <v>1100</v>
      </c>
      <c r="H56" s="85">
        <f>'[3]BVA (USD)'!N28</f>
        <v>2672.26</v>
      </c>
      <c r="I56" s="86">
        <f t="shared" si="3"/>
        <v>0.60733181818181825</v>
      </c>
      <c r="J56" s="1245">
        <f t="shared" si="20"/>
        <v>0.25</v>
      </c>
      <c r="K56" s="1246">
        <f t="shared" si="21"/>
        <v>668.06500000000005</v>
      </c>
      <c r="L56" s="1247" t="s">
        <v>220</v>
      </c>
      <c r="M56" s="747">
        <f>'[3]BVA (USD)'!U28</f>
        <v>172.316</v>
      </c>
      <c r="N56" s="747">
        <f>'[3]BVA (USD)'!V28</f>
        <v>137.85280000000003</v>
      </c>
      <c r="O56" s="747">
        <f>'[3]BVA (USD)'!W28</f>
        <v>258.47400000000005</v>
      </c>
      <c r="P56" s="747">
        <f>'[3]BVA (USD)'!X28</f>
        <v>0</v>
      </c>
      <c r="Q56" s="747">
        <f>'[3]BVA (USD)'!Y28</f>
        <v>0</v>
      </c>
      <c r="R56" s="90">
        <f>'[3]BVA (USD)'!Z28</f>
        <v>0</v>
      </c>
      <c r="S56" s="85">
        <f t="shared" si="22"/>
        <v>3240.9028000000003</v>
      </c>
      <c r="T56" s="85">
        <f t="shared" si="23"/>
        <v>1159.0971999999997</v>
      </c>
      <c r="U56" s="94"/>
      <c r="V56" s="85">
        <f t="shared" si="2"/>
        <v>-1159.0971999999997</v>
      </c>
      <c r="W56" s="93"/>
      <c r="X56" s="92" t="s">
        <v>227</v>
      </c>
      <c r="Y56" s="94"/>
      <c r="Z56" s="94"/>
      <c r="AA56" s="94"/>
      <c r="AB56" s="94"/>
      <c r="AC56" s="94"/>
      <c r="AD56" s="94"/>
      <c r="AE56" s="94"/>
      <c r="AF56" s="94"/>
    </row>
    <row r="57" spans="1:32" s="46" customFormat="1" x14ac:dyDescent="0.25">
      <c r="A57" s="3157"/>
      <c r="B57" s="95"/>
      <c r="C57" s="96"/>
      <c r="D57" s="2574" t="s">
        <v>0</v>
      </c>
      <c r="E57" s="97">
        <f>SUM(E48:E56)</f>
        <v>119600.31999999999</v>
      </c>
      <c r="F57" s="748">
        <v>0.37933886798965089</v>
      </c>
      <c r="G57" s="749">
        <v>45369.05</v>
      </c>
      <c r="H57" s="98">
        <f>SUM(H48:H56)</f>
        <v>73698.468400000012</v>
      </c>
      <c r="I57" s="99">
        <f t="shared" si="3"/>
        <v>0.61620628105342878</v>
      </c>
      <c r="J57" s="100"/>
      <c r="K57" s="101">
        <f t="shared" ref="K57:T57" si="24">SUM(K48:K56)</f>
        <v>24194.445100000001</v>
      </c>
      <c r="L57" s="102"/>
      <c r="M57" s="750" t="e">
        <f t="shared" ref="M57:R57" si="25">SUM(M48:M56)</f>
        <v>#REF!</v>
      </c>
      <c r="N57" s="750" t="e">
        <f t="shared" si="25"/>
        <v>#REF!</v>
      </c>
      <c r="O57" s="750" t="e">
        <f t="shared" si="25"/>
        <v>#REF!</v>
      </c>
      <c r="P57" s="750" t="e">
        <f t="shared" si="25"/>
        <v>#REF!</v>
      </c>
      <c r="Q57" s="750" t="e">
        <f t="shared" si="25"/>
        <v>#REF!</v>
      </c>
      <c r="R57" s="101" t="e">
        <f t="shared" si="25"/>
        <v>#REF!</v>
      </c>
      <c r="S57" s="98" t="e">
        <f t="shared" si="24"/>
        <v>#REF!</v>
      </c>
      <c r="T57" s="98" t="e">
        <f t="shared" si="24"/>
        <v>#REF!</v>
      </c>
      <c r="V57" s="98" t="e">
        <f t="shared" si="2"/>
        <v>#REF!</v>
      </c>
      <c r="X57" s="102"/>
    </row>
    <row r="58" spans="1:32" ht="28.5" customHeight="1" x14ac:dyDescent="0.25">
      <c r="A58" s="3157" t="s">
        <v>253</v>
      </c>
      <c r="B58" s="82" t="s">
        <v>254</v>
      </c>
      <c r="C58" s="83" t="s">
        <v>15</v>
      </c>
      <c r="D58" s="2573" t="s">
        <v>206</v>
      </c>
      <c r="E58" s="84">
        <v>17200</v>
      </c>
      <c r="F58" s="1243">
        <v>0.5</v>
      </c>
      <c r="G58" s="1244">
        <v>8600</v>
      </c>
      <c r="H58" s="85">
        <f>'[3]BVA (USD)'!N76</f>
        <v>16566.91</v>
      </c>
      <c r="I58" s="86">
        <f t="shared" si="3"/>
        <v>0.96319244186046515</v>
      </c>
      <c r="J58" s="1245">
        <f t="shared" ref="J58:J67" si="26">F58</f>
        <v>0.5</v>
      </c>
      <c r="K58" s="1246">
        <f t="shared" ref="K58:K67" si="27">H58*J58</f>
        <v>8283.4549999999999</v>
      </c>
      <c r="L58" s="1247"/>
      <c r="M58" s="1248" t="e">
        <f>'[3]BVA (USD)'!U76</f>
        <v>#REF!</v>
      </c>
      <c r="N58" s="1248" t="e">
        <f>'[3]BVA (USD)'!V76</f>
        <v>#REF!</v>
      </c>
      <c r="O58" s="1248" t="e">
        <f>'[3]BVA (USD)'!W76</f>
        <v>#REF!</v>
      </c>
      <c r="P58" s="1248" t="e">
        <f>'[3]BVA (USD)'!X76</f>
        <v>#REF!</v>
      </c>
      <c r="Q58" s="1248" t="e">
        <f>'[3]BVA (USD)'!Y76</f>
        <v>#REF!</v>
      </c>
      <c r="R58" s="1246" t="e">
        <f>'[3]BVA (USD)'!Z76</f>
        <v>#REF!</v>
      </c>
      <c r="S58" s="1249" t="e">
        <f t="shared" ref="S58:S67" si="28">H58+SUM(M58:R58)</f>
        <v>#REF!</v>
      </c>
      <c r="T58" s="1249" t="e">
        <f t="shared" ref="T58:T67" si="29">E58-S58</f>
        <v>#REF!</v>
      </c>
      <c r="V58" s="1249" t="e">
        <f t="shared" si="2"/>
        <v>#REF!</v>
      </c>
      <c r="X58" s="1247" t="s">
        <v>255</v>
      </c>
    </row>
    <row r="59" spans="1:32" ht="43.5" customHeight="1" x14ac:dyDescent="0.25">
      <c r="A59" s="3157"/>
      <c r="B59" s="82" t="s">
        <v>256</v>
      </c>
      <c r="C59" s="83" t="s">
        <v>15</v>
      </c>
      <c r="D59" s="2573" t="s">
        <v>206</v>
      </c>
      <c r="E59" s="84">
        <v>12000</v>
      </c>
      <c r="F59" s="1243">
        <v>0.5</v>
      </c>
      <c r="G59" s="1244">
        <v>6000</v>
      </c>
      <c r="H59" s="85">
        <f>'[3]BVA (USD)'!N77</f>
        <v>7770</v>
      </c>
      <c r="I59" s="86">
        <f t="shared" si="3"/>
        <v>0.64749999999999996</v>
      </c>
      <c r="J59" s="1245">
        <f t="shared" si="26"/>
        <v>0.5</v>
      </c>
      <c r="K59" s="1246">
        <f t="shared" si="27"/>
        <v>3885</v>
      </c>
      <c r="L59" s="1247" t="s">
        <v>257</v>
      </c>
      <c r="M59" s="1248" t="e">
        <f>'[3]BVA (USD)'!U77</f>
        <v>#REF!</v>
      </c>
      <c r="N59" s="1248" t="e">
        <f>'[3]BVA (USD)'!V77</f>
        <v>#REF!</v>
      </c>
      <c r="O59" s="1248">
        <f>'[3]BVA (USD)'!W77</f>
        <v>2000</v>
      </c>
      <c r="P59" s="1248" t="e">
        <f>'[3]BVA (USD)'!X77</f>
        <v>#REF!</v>
      </c>
      <c r="Q59" s="1248" t="e">
        <f>'[3]BVA (USD)'!Y77</f>
        <v>#REF!</v>
      </c>
      <c r="R59" s="1246" t="e">
        <f>'[3]BVA (USD)'!Z77</f>
        <v>#REF!</v>
      </c>
      <c r="S59" s="1249" t="e">
        <f t="shared" si="28"/>
        <v>#REF!</v>
      </c>
      <c r="T59" s="1249" t="e">
        <f t="shared" si="29"/>
        <v>#REF!</v>
      </c>
      <c r="V59" s="1249" t="e">
        <f t="shared" si="2"/>
        <v>#REF!</v>
      </c>
      <c r="X59" s="1247" t="s">
        <v>258</v>
      </c>
    </row>
    <row r="60" spans="1:32" s="93" customFormat="1" ht="57.75" customHeight="1" x14ac:dyDescent="0.25">
      <c r="A60" s="3158"/>
      <c r="B60" s="87" t="s">
        <v>209</v>
      </c>
      <c r="C60" s="88" t="s">
        <v>17</v>
      </c>
      <c r="D60" s="89" t="s">
        <v>206</v>
      </c>
      <c r="E60" s="84">
        <v>5040</v>
      </c>
      <c r="F60" s="745">
        <v>0.5</v>
      </c>
      <c r="G60" s="746">
        <v>2520</v>
      </c>
      <c r="H60" s="85">
        <f>'[3]BVA (USD)'!N41</f>
        <v>5252.4140000000007</v>
      </c>
      <c r="I60" s="86">
        <f t="shared" si="3"/>
        <v>1.0421456349206351</v>
      </c>
      <c r="J60" s="1245">
        <f t="shared" si="26"/>
        <v>0.5</v>
      </c>
      <c r="K60" s="1246">
        <f t="shared" si="27"/>
        <v>2626.2070000000003</v>
      </c>
      <c r="L60" s="1247" t="s">
        <v>210</v>
      </c>
      <c r="M60" s="747">
        <f>'[3]BVA (USD)'!U41</f>
        <v>100</v>
      </c>
      <c r="N60" s="747">
        <f>'[3]BVA (USD)'!V41</f>
        <v>100</v>
      </c>
      <c r="O60" s="747">
        <f>'[3]BVA (USD)'!W41</f>
        <v>100</v>
      </c>
      <c r="P60" s="747">
        <f>'[3]BVA (USD)'!X41</f>
        <v>0</v>
      </c>
      <c r="Q60" s="747">
        <f>'[3]BVA (USD)'!Y41</f>
        <v>0</v>
      </c>
      <c r="R60" s="90">
        <f>'[3]BVA (USD)'!Z41</f>
        <v>0</v>
      </c>
      <c r="S60" s="85">
        <f t="shared" si="28"/>
        <v>5552.4140000000007</v>
      </c>
      <c r="T60" s="85">
        <f t="shared" si="29"/>
        <v>-512.41400000000067</v>
      </c>
      <c r="U60" s="94"/>
      <c r="V60" s="85">
        <f t="shared" si="2"/>
        <v>512.41400000000067</v>
      </c>
      <c r="X60" s="92" t="s">
        <v>211</v>
      </c>
    </row>
    <row r="61" spans="1:32" s="93" customFormat="1" ht="56.25" customHeight="1" x14ac:dyDescent="0.25">
      <c r="A61" s="3157"/>
      <c r="B61" s="87" t="s">
        <v>212</v>
      </c>
      <c r="C61" s="88" t="s">
        <v>15</v>
      </c>
      <c r="D61" s="89" t="s">
        <v>206</v>
      </c>
      <c r="E61" s="84">
        <v>1595.88</v>
      </c>
      <c r="F61" s="745">
        <v>0.5</v>
      </c>
      <c r="G61" s="746">
        <v>797.94</v>
      </c>
      <c r="H61" s="85">
        <f>'[3]BVA (USD)'!N47</f>
        <v>1341</v>
      </c>
      <c r="I61" s="86">
        <f t="shared" si="3"/>
        <v>0.84028874351454996</v>
      </c>
      <c r="J61" s="1245">
        <f t="shared" si="26"/>
        <v>0.5</v>
      </c>
      <c r="K61" s="1246">
        <f t="shared" si="27"/>
        <v>670.5</v>
      </c>
      <c r="L61" s="1247" t="s">
        <v>210</v>
      </c>
      <c r="M61" s="747">
        <f>'[3]BVA (USD)'!U47</f>
        <v>0</v>
      </c>
      <c r="N61" s="747">
        <f>'[3]BVA (USD)'!V47</f>
        <v>0</v>
      </c>
      <c r="O61" s="747">
        <f>'[3]BVA (USD)'!W47</f>
        <v>400</v>
      </c>
      <c r="P61" s="747">
        <f>'[3]BVA (USD)'!X47</f>
        <v>0</v>
      </c>
      <c r="Q61" s="747">
        <f>'[3]BVA (USD)'!Y47</f>
        <v>0</v>
      </c>
      <c r="R61" s="90">
        <f>'[3]BVA (USD)'!Z47</f>
        <v>0</v>
      </c>
      <c r="S61" s="85">
        <f t="shared" si="28"/>
        <v>1741</v>
      </c>
      <c r="T61" s="85">
        <f t="shared" si="29"/>
        <v>-145.11999999999989</v>
      </c>
      <c r="U61" s="94"/>
      <c r="V61" s="85">
        <f t="shared" si="2"/>
        <v>145.11999999999989</v>
      </c>
      <c r="X61" s="92" t="s">
        <v>213</v>
      </c>
    </row>
    <row r="62" spans="1:32" s="93" customFormat="1" ht="36" customHeight="1" x14ac:dyDescent="0.25">
      <c r="A62" s="3157"/>
      <c r="B62" s="87" t="s">
        <v>214</v>
      </c>
      <c r="C62" s="88" t="s">
        <v>15</v>
      </c>
      <c r="D62" s="89" t="s">
        <v>206</v>
      </c>
      <c r="E62" s="84">
        <v>300</v>
      </c>
      <c r="F62" s="745">
        <v>0.5</v>
      </c>
      <c r="G62" s="746">
        <v>150</v>
      </c>
      <c r="H62" s="85">
        <f>'[3]BVA (USD)'!N53</f>
        <v>241</v>
      </c>
      <c r="I62" s="86">
        <f t="shared" si="3"/>
        <v>0.80333333333333334</v>
      </c>
      <c r="J62" s="1245">
        <f t="shared" si="26"/>
        <v>0.5</v>
      </c>
      <c r="K62" s="1246">
        <f t="shared" si="27"/>
        <v>120.5</v>
      </c>
      <c r="L62" s="1247" t="s">
        <v>215</v>
      </c>
      <c r="M62" s="747">
        <f>'[3]BVA (USD)'!U53</f>
        <v>0</v>
      </c>
      <c r="N62" s="747">
        <f>'[3]BVA (USD)'!V53</f>
        <v>0</v>
      </c>
      <c r="O62" s="747">
        <f>'[3]BVA (USD)'!W53</f>
        <v>0</v>
      </c>
      <c r="P62" s="747">
        <f>'[3]BVA (USD)'!X53</f>
        <v>0</v>
      </c>
      <c r="Q62" s="747">
        <f>'[3]BVA (USD)'!Y53</f>
        <v>0</v>
      </c>
      <c r="R62" s="90">
        <f>'[3]BVA (USD)'!Z53</f>
        <v>0</v>
      </c>
      <c r="S62" s="85">
        <f t="shared" si="28"/>
        <v>241</v>
      </c>
      <c r="T62" s="85">
        <f t="shared" si="29"/>
        <v>59</v>
      </c>
      <c r="U62" s="94"/>
      <c r="V62" s="85">
        <f t="shared" si="2"/>
        <v>-59</v>
      </c>
      <c r="X62" s="92" t="s">
        <v>216</v>
      </c>
    </row>
    <row r="63" spans="1:32" s="93" customFormat="1" ht="44.25" customHeight="1" x14ac:dyDescent="0.25">
      <c r="A63" s="3157"/>
      <c r="B63" s="87" t="s">
        <v>217</v>
      </c>
      <c r="C63" s="88" t="s">
        <v>14</v>
      </c>
      <c r="D63" s="89" t="s">
        <v>206</v>
      </c>
      <c r="E63" s="84">
        <v>5060</v>
      </c>
      <c r="F63" s="745">
        <v>0</v>
      </c>
      <c r="G63" s="746">
        <v>0</v>
      </c>
      <c r="H63" s="85">
        <f>'[3]BVA (USD)'!N35</f>
        <v>4933.7219999999998</v>
      </c>
      <c r="I63" s="86">
        <f t="shared" si="3"/>
        <v>0.97504387351778654</v>
      </c>
      <c r="J63" s="1245">
        <f t="shared" si="26"/>
        <v>0</v>
      </c>
      <c r="K63" s="1246">
        <f t="shared" si="27"/>
        <v>0</v>
      </c>
      <c r="L63" s="1247"/>
      <c r="M63" s="747">
        <f>'[3]BVA (USD)'!U35</f>
        <v>290</v>
      </c>
      <c r="N63" s="747">
        <f>'[3]BVA (USD)'!V35</f>
        <v>232</v>
      </c>
      <c r="O63" s="747">
        <f>'[3]BVA (USD)'!W35</f>
        <v>435</v>
      </c>
      <c r="P63" s="747">
        <f>'[3]BVA (USD)'!X35</f>
        <v>0</v>
      </c>
      <c r="Q63" s="747">
        <f>'[3]BVA (USD)'!Y35</f>
        <v>0</v>
      </c>
      <c r="R63" s="90">
        <f>'[3]BVA (USD)'!Z35</f>
        <v>0</v>
      </c>
      <c r="S63" s="85">
        <f t="shared" si="28"/>
        <v>5890.7219999999998</v>
      </c>
      <c r="T63" s="85">
        <f t="shared" si="29"/>
        <v>-830.72199999999975</v>
      </c>
      <c r="U63" s="94"/>
      <c r="V63" s="85">
        <f t="shared" si="2"/>
        <v>830.72199999999975</v>
      </c>
      <c r="X63" s="92" t="s">
        <v>218</v>
      </c>
    </row>
    <row r="64" spans="1:32" s="94" customFormat="1" ht="46.5" customHeight="1" x14ac:dyDescent="0.25">
      <c r="A64" s="3157"/>
      <c r="B64" s="87" t="s">
        <v>219</v>
      </c>
      <c r="C64" s="83" t="s">
        <v>14</v>
      </c>
      <c r="D64" s="2573" t="s">
        <v>206</v>
      </c>
      <c r="E64" s="84">
        <v>27048.959999999999</v>
      </c>
      <c r="F64" s="745">
        <v>0.25</v>
      </c>
      <c r="G64" s="746">
        <v>6762.24</v>
      </c>
      <c r="H64" s="85">
        <f>'[3]BVA (USD)'!N10</f>
        <v>22199.702400000009</v>
      </c>
      <c r="I64" s="86">
        <f t="shared" si="3"/>
        <v>0.82072295570698506</v>
      </c>
      <c r="J64" s="1245">
        <f t="shared" si="26"/>
        <v>0.25</v>
      </c>
      <c r="K64" s="1246">
        <f t="shared" si="27"/>
        <v>5549.9256000000023</v>
      </c>
      <c r="L64" s="1247" t="s">
        <v>220</v>
      </c>
      <c r="M64" s="747">
        <f>'[3]BVA (USD)'!U10</f>
        <v>1044.8</v>
      </c>
      <c r="N64" s="747">
        <f>'[3]BVA (USD)'!V10</f>
        <v>691.2</v>
      </c>
      <c r="O64" s="747">
        <f>'[3]BVA (USD)'!W10</f>
        <v>725.76</v>
      </c>
      <c r="P64" s="747">
        <f>'[3]BVA (USD)'!X10</f>
        <v>0</v>
      </c>
      <c r="Q64" s="747">
        <f>'[3]BVA (USD)'!Y10</f>
        <v>0</v>
      </c>
      <c r="R64" s="90">
        <f>'[3]BVA (USD)'!Z10</f>
        <v>0</v>
      </c>
      <c r="S64" s="85">
        <f t="shared" si="28"/>
        <v>24661.462400000011</v>
      </c>
      <c r="T64" s="85">
        <f t="shared" si="29"/>
        <v>2387.4975999999879</v>
      </c>
      <c r="V64" s="85">
        <f t="shared" si="2"/>
        <v>-2387.4975999999879</v>
      </c>
      <c r="W64" s="93"/>
      <c r="X64" s="92" t="s">
        <v>221</v>
      </c>
    </row>
    <row r="65" spans="1:48" s="94" customFormat="1" ht="47.25" customHeight="1" x14ac:dyDescent="0.25">
      <c r="A65" s="3157"/>
      <c r="B65" s="82" t="s">
        <v>222</v>
      </c>
      <c r="C65" s="83" t="s">
        <v>14</v>
      </c>
      <c r="D65" s="2573" t="s">
        <v>206</v>
      </c>
      <c r="E65" s="84">
        <v>9626.36</v>
      </c>
      <c r="F65" s="745">
        <v>0.25</v>
      </c>
      <c r="G65" s="746">
        <v>2406.59</v>
      </c>
      <c r="H65" s="85">
        <f>'[3]BVA (USD)'!N17</f>
        <v>9007.0300000000061</v>
      </c>
      <c r="I65" s="86">
        <f t="shared" si="3"/>
        <v>0.93566311669208357</v>
      </c>
      <c r="J65" s="1245">
        <f t="shared" si="26"/>
        <v>0.25</v>
      </c>
      <c r="K65" s="1246">
        <f t="shared" si="27"/>
        <v>2251.7575000000015</v>
      </c>
      <c r="L65" s="1247" t="s">
        <v>220</v>
      </c>
      <c r="M65" s="747">
        <f>'[3]BVA (USD)'!U17</f>
        <v>485.00599999999991</v>
      </c>
      <c r="N65" s="747">
        <f>'[3]BVA (USD)'!V17</f>
        <v>220.53960000000004</v>
      </c>
      <c r="O65" s="747">
        <f>'[3]BVA (USD)'!W17</f>
        <v>245.04399999999998</v>
      </c>
      <c r="P65" s="747">
        <f>'[3]BVA (USD)'!X17</f>
        <v>0</v>
      </c>
      <c r="Q65" s="747">
        <f>'[3]BVA (USD)'!Y17</f>
        <v>0</v>
      </c>
      <c r="R65" s="90">
        <f>'[3]BVA (USD)'!Z17</f>
        <v>0</v>
      </c>
      <c r="S65" s="85">
        <f t="shared" si="28"/>
        <v>9957.6196000000054</v>
      </c>
      <c r="T65" s="85">
        <f t="shared" si="29"/>
        <v>-331.25960000000487</v>
      </c>
      <c r="V65" s="85">
        <f t="shared" si="2"/>
        <v>331.25960000000487</v>
      </c>
      <c r="W65" s="93"/>
      <c r="X65" s="92" t="s">
        <v>223</v>
      </c>
    </row>
    <row r="66" spans="1:48" s="94" customFormat="1" ht="44.25" customHeight="1" x14ac:dyDescent="0.25">
      <c r="A66" s="3157"/>
      <c r="B66" s="82" t="s">
        <v>224</v>
      </c>
      <c r="C66" s="83" t="s">
        <v>14</v>
      </c>
      <c r="D66" s="2573" t="s">
        <v>206</v>
      </c>
      <c r="E66" s="84">
        <v>6529.12</v>
      </c>
      <c r="F66" s="745">
        <v>0.25</v>
      </c>
      <c r="G66" s="746">
        <v>1632.28</v>
      </c>
      <c r="H66" s="85">
        <f>'[3]BVA (USD)'!N23</f>
        <v>6872.720000000003</v>
      </c>
      <c r="I66" s="86">
        <f t="shared" si="3"/>
        <v>1.0526257749895855</v>
      </c>
      <c r="J66" s="1245">
        <f t="shared" si="26"/>
        <v>0.25</v>
      </c>
      <c r="K66" s="1246">
        <f t="shared" si="27"/>
        <v>1718.1800000000007</v>
      </c>
      <c r="L66" s="1247" t="s">
        <v>220</v>
      </c>
      <c r="M66" s="747">
        <f>'[3]BVA (USD)'!U23</f>
        <v>375.83800000000002</v>
      </c>
      <c r="N66" s="747">
        <f>'[3]BVA (USD)'!V23</f>
        <v>375.83800000000002</v>
      </c>
      <c r="O66" s="747">
        <f>'[3]BVA (USD)'!W23</f>
        <v>563.75699999999995</v>
      </c>
      <c r="P66" s="747">
        <f>'[3]BVA (USD)'!X23</f>
        <v>0</v>
      </c>
      <c r="Q66" s="747">
        <f>'[3]BVA (USD)'!Y23</f>
        <v>0</v>
      </c>
      <c r="R66" s="90">
        <f>'[3]BVA (USD)'!Z23</f>
        <v>0</v>
      </c>
      <c r="S66" s="85">
        <f t="shared" si="28"/>
        <v>8188.153000000003</v>
      </c>
      <c r="T66" s="85">
        <f t="shared" si="29"/>
        <v>-1659.0330000000031</v>
      </c>
      <c r="V66" s="85">
        <f t="shared" si="2"/>
        <v>1659.0330000000031</v>
      </c>
      <c r="W66" s="93"/>
      <c r="X66" s="92" t="s">
        <v>225</v>
      </c>
    </row>
    <row r="67" spans="1:48" s="94" customFormat="1" ht="42.75" customHeight="1" x14ac:dyDescent="0.25">
      <c r="A67" s="3157"/>
      <c r="B67" s="82" t="s">
        <v>226</v>
      </c>
      <c r="C67" s="83" t="s">
        <v>14</v>
      </c>
      <c r="D67" s="2573" t="s">
        <v>206</v>
      </c>
      <c r="E67" s="84">
        <v>4400</v>
      </c>
      <c r="F67" s="745">
        <v>0.25</v>
      </c>
      <c r="G67" s="746">
        <v>1100</v>
      </c>
      <c r="H67" s="85">
        <f>'[3]BVA (USD)'!N29</f>
        <v>2672.26</v>
      </c>
      <c r="I67" s="86">
        <f t="shared" si="3"/>
        <v>0.60733181818181825</v>
      </c>
      <c r="J67" s="1245">
        <f t="shared" si="26"/>
        <v>0.25</v>
      </c>
      <c r="K67" s="1246">
        <f t="shared" si="27"/>
        <v>668.06500000000005</v>
      </c>
      <c r="L67" s="1247" t="s">
        <v>220</v>
      </c>
      <c r="M67" s="747">
        <f>'[3]BVA (USD)'!U29</f>
        <v>172.316</v>
      </c>
      <c r="N67" s="747">
        <f>'[3]BVA (USD)'!V29</f>
        <v>137.85280000000003</v>
      </c>
      <c r="O67" s="747">
        <f>'[3]BVA (USD)'!W29</f>
        <v>258.47400000000005</v>
      </c>
      <c r="P67" s="747">
        <f>'[3]BVA (USD)'!X29</f>
        <v>0</v>
      </c>
      <c r="Q67" s="747">
        <f>'[3]BVA (USD)'!Y29</f>
        <v>0</v>
      </c>
      <c r="R67" s="90">
        <f>'[3]BVA (USD)'!Z29</f>
        <v>0</v>
      </c>
      <c r="S67" s="85">
        <f t="shared" si="28"/>
        <v>3240.9028000000003</v>
      </c>
      <c r="T67" s="85">
        <f t="shared" si="29"/>
        <v>1159.0971999999997</v>
      </c>
      <c r="V67" s="85">
        <f t="shared" si="2"/>
        <v>-1159.0971999999997</v>
      </c>
      <c r="W67" s="93"/>
      <c r="X67" s="92" t="s">
        <v>227</v>
      </c>
    </row>
    <row r="68" spans="1:48" s="46" customFormat="1" x14ac:dyDescent="0.25">
      <c r="A68" s="3157"/>
      <c r="B68" s="95"/>
      <c r="C68" s="96"/>
      <c r="D68" s="2574" t="s">
        <v>0</v>
      </c>
      <c r="E68" s="97">
        <f>SUM(E58:E67)</f>
        <v>88800.319999999992</v>
      </c>
      <c r="F68" s="748">
        <v>0.33748808562852028</v>
      </c>
      <c r="G68" s="749">
        <v>29969.05</v>
      </c>
      <c r="H68" s="98">
        <f>SUM(H58:H67)</f>
        <v>76856.758400000006</v>
      </c>
      <c r="I68" s="99">
        <f t="shared" si="3"/>
        <v>0.86550091711381238</v>
      </c>
      <c r="J68" s="100"/>
      <c r="K68" s="101">
        <f t="shared" ref="K68:T68" si="30">SUM(K58:K67)</f>
        <v>25773.590100000005</v>
      </c>
      <c r="L68" s="102"/>
      <c r="M68" s="750" t="e">
        <f t="shared" ref="M68:R68" si="31">SUM(M58:M67)</f>
        <v>#REF!</v>
      </c>
      <c r="N68" s="750" t="e">
        <f t="shared" si="31"/>
        <v>#REF!</v>
      </c>
      <c r="O68" s="750" t="e">
        <f t="shared" si="31"/>
        <v>#REF!</v>
      </c>
      <c r="P68" s="750" t="e">
        <f t="shared" si="31"/>
        <v>#REF!</v>
      </c>
      <c r="Q68" s="750" t="e">
        <f t="shared" si="31"/>
        <v>#REF!</v>
      </c>
      <c r="R68" s="101" t="e">
        <f t="shared" si="31"/>
        <v>#REF!</v>
      </c>
      <c r="S68" s="98" t="e">
        <f t="shared" si="30"/>
        <v>#REF!</v>
      </c>
      <c r="T68" s="98" t="e">
        <f t="shared" si="30"/>
        <v>#REF!</v>
      </c>
      <c r="U68" s="751"/>
      <c r="V68" s="98" t="e">
        <f t="shared" si="2"/>
        <v>#REF!</v>
      </c>
      <c r="X68" s="102"/>
    </row>
    <row r="69" spans="1:48" s="113" customFormat="1" ht="13.5" thickBot="1" x14ac:dyDescent="0.3">
      <c r="A69" s="103" t="s">
        <v>259</v>
      </c>
      <c r="B69" s="104"/>
      <c r="C69" s="105"/>
      <c r="D69" s="106"/>
      <c r="E69" s="108">
        <f>E68+E57+E47+E32+E22</f>
        <v>730809.6</v>
      </c>
      <c r="F69" s="752">
        <v>0.39615691966826933</v>
      </c>
      <c r="G69" s="753">
        <v>289515.28000000003</v>
      </c>
      <c r="H69" s="108">
        <f>H68+H57+H47+H32+H22</f>
        <v>547828.16200000001</v>
      </c>
      <c r="I69" s="109">
        <f t="shared" si="3"/>
        <v>0.74961817961887756</v>
      </c>
      <c r="J69" s="110"/>
      <c r="K69" s="111">
        <f t="shared" ref="K69:T69" si="32">K68+K57+K47+K32+K22</f>
        <v>207609.05700000003</v>
      </c>
      <c r="L69" s="112"/>
      <c r="M69" s="754" t="e">
        <f t="shared" ref="M69:R69" si="33">M68+M57+M47+M32+M22</f>
        <v>#REF!</v>
      </c>
      <c r="N69" s="754" t="e">
        <f t="shared" si="33"/>
        <v>#REF!</v>
      </c>
      <c r="O69" s="754" t="e">
        <f t="shared" si="33"/>
        <v>#REF!</v>
      </c>
      <c r="P69" s="754" t="e">
        <f t="shared" si="33"/>
        <v>#REF!</v>
      </c>
      <c r="Q69" s="754" t="e">
        <f t="shared" si="33"/>
        <v>#REF!</v>
      </c>
      <c r="R69" s="111" t="e">
        <f t="shared" si="33"/>
        <v>#REF!</v>
      </c>
      <c r="S69" s="108" t="e">
        <f t="shared" si="32"/>
        <v>#REF!</v>
      </c>
      <c r="T69" s="108" t="e">
        <f t="shared" si="32"/>
        <v>#REF!</v>
      </c>
      <c r="U69" s="755"/>
      <c r="V69" s="108" t="e">
        <f t="shared" si="2"/>
        <v>#REF!</v>
      </c>
      <c r="X69" s="112"/>
    </row>
    <row r="70" spans="1:48" s="113" customFormat="1" ht="13.5" thickBot="1" x14ac:dyDescent="0.3">
      <c r="A70" s="103" t="s">
        <v>53</v>
      </c>
      <c r="B70" s="104"/>
      <c r="C70" s="114"/>
      <c r="D70" s="106"/>
      <c r="E70" s="107">
        <f>E69</f>
        <v>730809.6</v>
      </c>
      <c r="F70" s="752">
        <v>0.39615691966826933</v>
      </c>
      <c r="G70" s="753">
        <v>289515.28000000003</v>
      </c>
      <c r="H70" s="108">
        <f>H69</f>
        <v>547828.16200000001</v>
      </c>
      <c r="I70" s="109">
        <f t="shared" si="3"/>
        <v>0.74961817961887756</v>
      </c>
      <c r="J70" s="110"/>
      <c r="K70" s="111">
        <f t="shared" ref="K70:T70" si="34">K69</f>
        <v>207609.05700000003</v>
      </c>
      <c r="L70" s="112"/>
      <c r="M70" s="754" t="e">
        <f t="shared" ref="M70:R70" si="35">M69</f>
        <v>#REF!</v>
      </c>
      <c r="N70" s="754" t="e">
        <f t="shared" si="35"/>
        <v>#REF!</v>
      </c>
      <c r="O70" s="754" t="e">
        <f t="shared" si="35"/>
        <v>#REF!</v>
      </c>
      <c r="P70" s="754" t="e">
        <f t="shared" si="35"/>
        <v>#REF!</v>
      </c>
      <c r="Q70" s="754" t="e">
        <f t="shared" si="35"/>
        <v>#REF!</v>
      </c>
      <c r="R70" s="111" t="e">
        <f t="shared" si="35"/>
        <v>#REF!</v>
      </c>
      <c r="S70" s="108" t="e">
        <f t="shared" si="34"/>
        <v>#REF!</v>
      </c>
      <c r="T70" s="108" t="e">
        <f t="shared" si="34"/>
        <v>#REF!</v>
      </c>
      <c r="U70" s="755"/>
      <c r="V70" s="108" t="e">
        <f t="shared" si="2"/>
        <v>#REF!</v>
      </c>
      <c r="W70" s="756" t="e">
        <f>S70/$S$179</f>
        <v>#REF!</v>
      </c>
      <c r="X70" s="112"/>
    </row>
    <row r="71" spans="1:48" s="117" customFormat="1" ht="12.75" customHeight="1" x14ac:dyDescent="0.25">
      <c r="A71" s="115" t="s">
        <v>260</v>
      </c>
      <c r="B71" s="2575"/>
      <c r="C71" s="2576"/>
      <c r="D71" s="2577"/>
      <c r="E71" s="2578"/>
      <c r="F71" s="2579"/>
      <c r="G71" s="2580"/>
      <c r="H71" s="2578"/>
      <c r="I71" s="2581"/>
      <c r="J71" s="2582"/>
      <c r="K71" s="2583"/>
      <c r="L71" s="2584"/>
      <c r="M71" s="2580"/>
      <c r="N71" s="2580"/>
      <c r="O71" s="2580"/>
      <c r="P71" s="2580"/>
      <c r="Q71" s="2580"/>
      <c r="R71" s="2583"/>
      <c r="S71" s="2578"/>
      <c r="T71" s="2578"/>
      <c r="U71" s="2585"/>
      <c r="V71" s="2578">
        <f t="shared" si="2"/>
        <v>0</v>
      </c>
      <c r="W71" s="70"/>
      <c r="X71" s="2584"/>
      <c r="Y71" s="70"/>
      <c r="Z71" s="70"/>
      <c r="AA71" s="70"/>
      <c r="AB71" s="70"/>
      <c r="AC71" s="70"/>
      <c r="AD71" s="70"/>
      <c r="AE71" s="70"/>
      <c r="AF71" s="70"/>
      <c r="AG71" s="116"/>
      <c r="AH71" s="116"/>
      <c r="AI71" s="116"/>
      <c r="AJ71" s="116"/>
      <c r="AK71" s="116"/>
      <c r="AL71" s="116"/>
      <c r="AM71" s="116"/>
      <c r="AN71" s="116"/>
      <c r="AO71" s="116"/>
      <c r="AP71" s="116"/>
      <c r="AQ71" s="116"/>
      <c r="AR71" s="116"/>
      <c r="AS71" s="116"/>
      <c r="AT71" s="116"/>
      <c r="AU71" s="116"/>
      <c r="AV71" s="116"/>
    </row>
    <row r="72" spans="1:48" s="129" customFormat="1" ht="12.75" customHeight="1" x14ac:dyDescent="0.25">
      <c r="A72" s="118" t="s">
        <v>54</v>
      </c>
      <c r="B72" s="119"/>
      <c r="C72" s="120"/>
      <c r="D72" s="121"/>
      <c r="E72" s="122"/>
      <c r="F72" s="757"/>
      <c r="G72" s="758"/>
      <c r="H72" s="123"/>
      <c r="I72" s="124"/>
      <c r="J72" s="125"/>
      <c r="K72" s="126"/>
      <c r="L72" s="127"/>
      <c r="M72" s="758"/>
      <c r="N72" s="758"/>
      <c r="O72" s="758"/>
      <c r="P72" s="758"/>
      <c r="Q72" s="758"/>
      <c r="R72" s="126"/>
      <c r="S72" s="123"/>
      <c r="T72" s="123"/>
      <c r="U72" s="759"/>
      <c r="V72" s="123">
        <f t="shared" si="2"/>
        <v>0</v>
      </c>
      <c r="W72" s="128"/>
      <c r="X72" s="127"/>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row>
    <row r="73" spans="1:48" s="93" customFormat="1" x14ac:dyDescent="0.25">
      <c r="A73" s="130" t="s">
        <v>261</v>
      </c>
      <c r="B73" s="131"/>
      <c r="C73" s="132"/>
      <c r="D73" s="133"/>
      <c r="E73" s="134"/>
      <c r="F73" s="760"/>
      <c r="G73" s="761"/>
      <c r="H73" s="135"/>
      <c r="I73" s="136"/>
      <c r="J73" s="137"/>
      <c r="K73" s="138"/>
      <c r="L73" s="139"/>
      <c r="M73" s="762"/>
      <c r="N73" s="762"/>
      <c r="O73" s="762"/>
      <c r="P73" s="762"/>
      <c r="Q73" s="762"/>
      <c r="R73" s="138"/>
      <c r="S73" s="135"/>
      <c r="T73" s="135"/>
      <c r="U73" s="94"/>
      <c r="V73" s="135">
        <f t="shared" si="2"/>
        <v>0</v>
      </c>
      <c r="X73" s="139"/>
    </row>
    <row r="74" spans="1:48" s="93" customFormat="1" ht="45" customHeight="1" x14ac:dyDescent="0.25">
      <c r="A74" s="140"/>
      <c r="B74" s="87" t="s">
        <v>262</v>
      </c>
      <c r="C74" s="88" t="s">
        <v>14</v>
      </c>
      <c r="D74" s="89" t="s">
        <v>206</v>
      </c>
      <c r="E74" s="84">
        <v>12537.68</v>
      </c>
      <c r="F74" s="745">
        <v>0</v>
      </c>
      <c r="G74" s="746">
        <v>0</v>
      </c>
      <c r="H74" s="85">
        <f>'[3]BVA (USD)'!N84</f>
        <v>10737.740000000007</v>
      </c>
      <c r="I74" s="86">
        <f t="shared" si="3"/>
        <v>0.85643755463530791</v>
      </c>
      <c r="J74" s="1245">
        <f t="shared" ref="J74:J86" si="36">F74</f>
        <v>0</v>
      </c>
      <c r="K74" s="1246">
        <f t="shared" ref="K74:K86" si="37">H74*J74</f>
        <v>0</v>
      </c>
      <c r="L74" s="1247"/>
      <c r="M74" s="747">
        <f>'[3]BVA (USD)'!U84</f>
        <v>850</v>
      </c>
      <c r="N74" s="747">
        <f>'[3]BVA (USD)'!V84</f>
        <v>510</v>
      </c>
      <c r="O74" s="747">
        <f>'[3]BVA (USD)'!W84</f>
        <v>0</v>
      </c>
      <c r="P74" s="747">
        <f>'[3]BVA (USD)'!X84</f>
        <v>0</v>
      </c>
      <c r="Q74" s="747">
        <f>'[3]BVA (USD)'!Y84</f>
        <v>0</v>
      </c>
      <c r="R74" s="90">
        <f>'[3]BVA (USD)'!Z84</f>
        <v>0</v>
      </c>
      <c r="S74" s="85">
        <f t="shared" ref="S74:S86" si="38">H74+SUM(M74:R74)</f>
        <v>12097.740000000007</v>
      </c>
      <c r="T74" s="85">
        <f t="shared" ref="T74:T86" si="39">E74-S74</f>
        <v>439.93999999999323</v>
      </c>
      <c r="U74" s="94"/>
      <c r="V74" s="85">
        <f t="shared" si="2"/>
        <v>-439.93999999999323</v>
      </c>
      <c r="X74" s="92" t="s">
        <v>263</v>
      </c>
    </row>
    <row r="75" spans="1:48" s="93" customFormat="1" ht="55.5" customHeight="1" x14ac:dyDescent="0.25">
      <c r="A75" s="140"/>
      <c r="B75" s="87" t="s">
        <v>264</v>
      </c>
      <c r="C75" s="88" t="s">
        <v>14</v>
      </c>
      <c r="D75" s="89" t="s">
        <v>206</v>
      </c>
      <c r="E75" s="84">
        <v>10682.5</v>
      </c>
      <c r="F75" s="745">
        <v>0.2</v>
      </c>
      <c r="G75" s="746">
        <v>2136.5</v>
      </c>
      <c r="H75" s="85">
        <f>'[3]BVA (USD)'!N85</f>
        <v>9751.130000000001</v>
      </c>
      <c r="I75" s="86">
        <f t="shared" si="3"/>
        <v>0.912813479990639</v>
      </c>
      <c r="J75" s="1245">
        <f t="shared" si="36"/>
        <v>0.2</v>
      </c>
      <c r="K75" s="1246">
        <f t="shared" si="37"/>
        <v>1950.2260000000003</v>
      </c>
      <c r="L75" s="1247" t="s">
        <v>220</v>
      </c>
      <c r="M75" s="747">
        <f>'[3]BVA (USD)'!U85</f>
        <v>750</v>
      </c>
      <c r="N75" s="747">
        <f>'[3]BVA (USD)'!V85</f>
        <v>450</v>
      </c>
      <c r="O75" s="747">
        <f>'[3]BVA (USD)'!W85</f>
        <v>0</v>
      </c>
      <c r="P75" s="747">
        <f>'[3]BVA (USD)'!X85</f>
        <v>0</v>
      </c>
      <c r="Q75" s="747">
        <f>'[3]BVA (USD)'!Y85</f>
        <v>0</v>
      </c>
      <c r="R75" s="90">
        <f>'[3]BVA (USD)'!Z85</f>
        <v>0</v>
      </c>
      <c r="S75" s="85">
        <f t="shared" si="38"/>
        <v>10951.130000000001</v>
      </c>
      <c r="T75" s="85">
        <f t="shared" si="39"/>
        <v>-268.63000000000102</v>
      </c>
      <c r="U75" s="94"/>
      <c r="V75" s="85">
        <f t="shared" si="2"/>
        <v>268.63000000000102</v>
      </c>
      <c r="X75" s="92" t="s">
        <v>265</v>
      </c>
    </row>
    <row r="76" spans="1:48" s="93" customFormat="1" ht="60.75" customHeight="1" x14ac:dyDescent="0.25">
      <c r="A76" s="140"/>
      <c r="B76" s="87" t="s">
        <v>266</v>
      </c>
      <c r="C76" s="88" t="s">
        <v>14</v>
      </c>
      <c r="D76" s="89" t="s">
        <v>206</v>
      </c>
      <c r="E76" s="84">
        <v>9564.83</v>
      </c>
      <c r="F76" s="745">
        <v>0</v>
      </c>
      <c r="G76" s="746">
        <v>0</v>
      </c>
      <c r="H76" s="85">
        <f>'[3]BVA (USD)'!N86</f>
        <v>8305.5699999999961</v>
      </c>
      <c r="I76" s="86">
        <f t="shared" si="3"/>
        <v>0.86834475887182483</v>
      </c>
      <c r="J76" s="1245">
        <f t="shared" si="36"/>
        <v>0</v>
      </c>
      <c r="K76" s="1246">
        <f t="shared" si="37"/>
        <v>0</v>
      </c>
      <c r="L76" s="1247"/>
      <c r="M76" s="747">
        <f>'[3]BVA (USD)'!U86</f>
        <v>550</v>
      </c>
      <c r="N76" s="747">
        <f>'[3]BVA (USD)'!V86</f>
        <v>0</v>
      </c>
      <c r="O76" s="747">
        <f>'[3]BVA (USD)'!W86</f>
        <v>0</v>
      </c>
      <c r="P76" s="747">
        <f>'[3]BVA (USD)'!X86</f>
        <v>0</v>
      </c>
      <c r="Q76" s="747">
        <f>'[3]BVA (USD)'!Y86</f>
        <v>0</v>
      </c>
      <c r="R76" s="90">
        <f>'[3]BVA (USD)'!Z86</f>
        <v>0</v>
      </c>
      <c r="S76" s="85">
        <f t="shared" si="38"/>
        <v>8855.5699999999961</v>
      </c>
      <c r="T76" s="85">
        <f t="shared" si="39"/>
        <v>709.26000000000386</v>
      </c>
      <c r="U76" s="94"/>
      <c r="V76" s="85">
        <f t="shared" si="2"/>
        <v>-709.26000000000386</v>
      </c>
      <c r="X76" s="92" t="s">
        <v>267</v>
      </c>
    </row>
    <row r="77" spans="1:48" s="93" customFormat="1" ht="62.25" customHeight="1" x14ac:dyDescent="0.25">
      <c r="A77" s="140"/>
      <c r="B77" s="87" t="s">
        <v>268</v>
      </c>
      <c r="C77" s="88" t="s">
        <v>14</v>
      </c>
      <c r="D77" s="89" t="s">
        <v>206</v>
      </c>
      <c r="E77" s="84">
        <v>9609.5999999999985</v>
      </c>
      <c r="F77" s="745">
        <v>0</v>
      </c>
      <c r="G77" s="746">
        <v>0</v>
      </c>
      <c r="H77" s="85">
        <f>'[3]BVA (USD)'!N87</f>
        <v>9943.8000000000011</v>
      </c>
      <c r="I77" s="86">
        <f t="shared" si="3"/>
        <v>1.0347777222777226</v>
      </c>
      <c r="J77" s="1245">
        <f t="shared" si="36"/>
        <v>0</v>
      </c>
      <c r="K77" s="1246">
        <f t="shared" si="37"/>
        <v>0</v>
      </c>
      <c r="L77" s="1247"/>
      <c r="M77" s="747">
        <f>'[3]BVA (USD)'!U87</f>
        <v>1350</v>
      </c>
      <c r="N77" s="747">
        <f>'[3]BVA (USD)'!V87</f>
        <v>0</v>
      </c>
      <c r="O77" s="747">
        <f>'[3]BVA (USD)'!W87</f>
        <v>0</v>
      </c>
      <c r="P77" s="747">
        <f>'[3]BVA (USD)'!X87</f>
        <v>0</v>
      </c>
      <c r="Q77" s="747">
        <f>'[3]BVA (USD)'!Y87</f>
        <v>0</v>
      </c>
      <c r="R77" s="90">
        <f>'[3]BVA (USD)'!Z87</f>
        <v>0</v>
      </c>
      <c r="S77" s="85">
        <f t="shared" si="38"/>
        <v>11293.800000000001</v>
      </c>
      <c r="T77" s="85">
        <f t="shared" si="39"/>
        <v>-1684.2000000000025</v>
      </c>
      <c r="U77" s="94"/>
      <c r="V77" s="85">
        <f t="shared" ref="V77:V140" si="40">S77-E77</f>
        <v>1684.2000000000025</v>
      </c>
      <c r="X77" s="92" t="s">
        <v>269</v>
      </c>
    </row>
    <row r="78" spans="1:48" s="93" customFormat="1" ht="53.25" customHeight="1" x14ac:dyDescent="0.25">
      <c r="A78" s="140"/>
      <c r="B78" s="87" t="s">
        <v>270</v>
      </c>
      <c r="C78" s="88" t="s">
        <v>14</v>
      </c>
      <c r="D78" s="89" t="s">
        <v>206</v>
      </c>
      <c r="E78" s="84">
        <v>6031.8700000000008</v>
      </c>
      <c r="F78" s="745">
        <v>0</v>
      </c>
      <c r="G78" s="746">
        <v>0</v>
      </c>
      <c r="H78" s="85">
        <f>'[3]BVA (USD)'!N88</f>
        <v>6360.98</v>
      </c>
      <c r="I78" s="86">
        <f t="shared" ref="I78:I135" si="41">H78/E78</f>
        <v>1.0545618522945619</v>
      </c>
      <c r="J78" s="1245">
        <f t="shared" si="36"/>
        <v>0</v>
      </c>
      <c r="K78" s="1246">
        <f t="shared" si="37"/>
        <v>0</v>
      </c>
      <c r="L78" s="1247"/>
      <c r="M78" s="747">
        <f>'[3]BVA (USD)'!U88</f>
        <v>0</v>
      </c>
      <c r="N78" s="747">
        <f>'[3]BVA (USD)'!V88</f>
        <v>0</v>
      </c>
      <c r="O78" s="747">
        <f>'[3]BVA (USD)'!W88</f>
        <v>211.2</v>
      </c>
      <c r="P78" s="747">
        <f>'[3]BVA (USD)'!X88</f>
        <v>0</v>
      </c>
      <c r="Q78" s="747">
        <f>'[3]BVA (USD)'!Y88</f>
        <v>0</v>
      </c>
      <c r="R78" s="90">
        <f>'[3]BVA (USD)'!Z88</f>
        <v>0</v>
      </c>
      <c r="S78" s="85">
        <f t="shared" si="38"/>
        <v>6572.1799999999994</v>
      </c>
      <c r="T78" s="85">
        <f t="shared" si="39"/>
        <v>-540.30999999999858</v>
      </c>
      <c r="U78" s="94"/>
      <c r="V78" s="85">
        <f t="shared" si="40"/>
        <v>540.30999999999858</v>
      </c>
      <c r="X78" s="92" t="s">
        <v>271</v>
      </c>
    </row>
    <row r="79" spans="1:48" s="1877" customFormat="1" ht="53.25" customHeight="1" x14ac:dyDescent="0.25">
      <c r="A79" s="1879"/>
      <c r="B79" s="141" t="s">
        <v>272</v>
      </c>
      <c r="C79" s="88" t="s">
        <v>14</v>
      </c>
      <c r="D79" s="89" t="s">
        <v>206</v>
      </c>
      <c r="E79" s="84">
        <v>7324.42</v>
      </c>
      <c r="F79" s="745">
        <v>0</v>
      </c>
      <c r="G79" s="746">
        <v>0</v>
      </c>
      <c r="H79" s="85">
        <f>'[3]BVA (USD)'!N89</f>
        <v>9043.2000000000007</v>
      </c>
      <c r="I79" s="86">
        <f t="shared" si="41"/>
        <v>1.2346643147170699</v>
      </c>
      <c r="J79" s="1245">
        <f t="shared" si="36"/>
        <v>0</v>
      </c>
      <c r="K79" s="1246">
        <f t="shared" si="37"/>
        <v>0</v>
      </c>
      <c r="L79" s="92" t="s">
        <v>1531</v>
      </c>
      <c r="M79" s="747">
        <f>'[3]BVA (USD)'!U89</f>
        <v>0</v>
      </c>
      <c r="N79" s="747">
        <f>'[3]BVA (USD)'!V89</f>
        <v>0</v>
      </c>
      <c r="O79" s="747">
        <f>'[3]BVA (USD)'!W89</f>
        <v>0</v>
      </c>
      <c r="P79" s="747">
        <f>'[3]BVA (USD)'!X89</f>
        <v>0</v>
      </c>
      <c r="Q79" s="747">
        <f>'[3]BVA (USD)'!Y89</f>
        <v>0</v>
      </c>
      <c r="R79" s="90">
        <f>'[3]BVA (USD)'!Z89</f>
        <v>0</v>
      </c>
      <c r="S79" s="85">
        <f t="shared" si="38"/>
        <v>9043.2000000000007</v>
      </c>
      <c r="T79" s="85">
        <f t="shared" si="39"/>
        <v>-1718.7800000000007</v>
      </c>
      <c r="U79" s="94"/>
      <c r="V79" s="85">
        <f t="shared" si="40"/>
        <v>1718.7800000000007</v>
      </c>
      <c r="W79" s="93"/>
      <c r="X79" s="92" t="s">
        <v>273</v>
      </c>
      <c r="Y79" s="93"/>
      <c r="Z79" s="93"/>
      <c r="AA79" s="93"/>
      <c r="AB79" s="93"/>
      <c r="AC79" s="93"/>
      <c r="AD79" s="93"/>
      <c r="AE79" s="93"/>
      <c r="AF79" s="93"/>
    </row>
    <row r="80" spans="1:48" s="93" customFormat="1" ht="26.25" customHeight="1" x14ac:dyDescent="0.25">
      <c r="A80" s="140"/>
      <c r="B80" s="87" t="s">
        <v>274</v>
      </c>
      <c r="C80" s="88" t="s">
        <v>14</v>
      </c>
      <c r="D80" s="89" t="s">
        <v>206</v>
      </c>
      <c r="E80" s="84">
        <v>8444.6200000000008</v>
      </c>
      <c r="F80" s="745">
        <v>0</v>
      </c>
      <c r="G80" s="746">
        <v>0</v>
      </c>
      <c r="H80" s="85">
        <f>'[3]BVA (USD)'!N90</f>
        <v>7329.66</v>
      </c>
      <c r="I80" s="86">
        <f t="shared" si="41"/>
        <v>0.86796800803351715</v>
      </c>
      <c r="J80" s="1245">
        <f t="shared" si="36"/>
        <v>0</v>
      </c>
      <c r="K80" s="1246">
        <f t="shared" si="37"/>
        <v>0</v>
      </c>
      <c r="L80" s="1247"/>
      <c r="M80" s="747">
        <f>'[3]BVA (USD)'!U90</f>
        <v>457.6</v>
      </c>
      <c r="N80" s="747">
        <f>'[3]BVA (USD)'!V90</f>
        <v>274.56</v>
      </c>
      <c r="O80" s="747">
        <f>'[3]BVA (USD)'!W90</f>
        <v>0</v>
      </c>
      <c r="P80" s="747">
        <f>'[3]BVA (USD)'!X90</f>
        <v>0</v>
      </c>
      <c r="Q80" s="747">
        <f>'[3]BVA (USD)'!Y90</f>
        <v>0</v>
      </c>
      <c r="R80" s="90">
        <f>'[3]BVA (USD)'!Z90</f>
        <v>0</v>
      </c>
      <c r="S80" s="85">
        <f t="shared" si="38"/>
        <v>8061.82</v>
      </c>
      <c r="T80" s="85">
        <f t="shared" si="39"/>
        <v>382.80000000000109</v>
      </c>
      <c r="U80" s="94"/>
      <c r="V80" s="85">
        <f t="shared" si="40"/>
        <v>-382.80000000000109</v>
      </c>
      <c r="X80" s="92" t="s">
        <v>275</v>
      </c>
    </row>
    <row r="81" spans="1:32" s="93" customFormat="1" ht="54.75" customHeight="1" x14ac:dyDescent="0.25">
      <c r="A81" s="140"/>
      <c r="B81" s="87" t="s">
        <v>276</v>
      </c>
      <c r="C81" s="88" t="s">
        <v>14</v>
      </c>
      <c r="D81" s="89" t="s">
        <v>206</v>
      </c>
      <c r="E81" s="84">
        <v>9625.5400000000009</v>
      </c>
      <c r="F81" s="745">
        <v>1</v>
      </c>
      <c r="G81" s="746">
        <v>9625.5400000000009</v>
      </c>
      <c r="H81" s="85">
        <f>'[3]BVA (USD)'!N91</f>
        <v>5878.0399999999991</v>
      </c>
      <c r="I81" s="86">
        <f t="shared" si="41"/>
        <v>0.61067119351225996</v>
      </c>
      <c r="J81" s="1245">
        <f t="shared" si="36"/>
        <v>1</v>
      </c>
      <c r="K81" s="1246">
        <f t="shared" si="37"/>
        <v>5878.0399999999991</v>
      </c>
      <c r="L81" s="1247" t="s">
        <v>220</v>
      </c>
      <c r="M81" s="747">
        <f>'[3]BVA (USD)'!U91</f>
        <v>256</v>
      </c>
      <c r="N81" s="747">
        <f>'[3]BVA (USD)'!V91</f>
        <v>0</v>
      </c>
      <c r="O81" s="747">
        <f>'[3]BVA (USD)'!W91</f>
        <v>0</v>
      </c>
      <c r="P81" s="747">
        <f>'[3]BVA (USD)'!X91</f>
        <v>0</v>
      </c>
      <c r="Q81" s="747">
        <f>'[3]BVA (USD)'!Y91</f>
        <v>0</v>
      </c>
      <c r="R81" s="90">
        <f>'[3]BVA (USD)'!Z91</f>
        <v>0</v>
      </c>
      <c r="S81" s="85">
        <f t="shared" si="38"/>
        <v>6134.0399999999991</v>
      </c>
      <c r="T81" s="85">
        <f t="shared" si="39"/>
        <v>3491.5000000000018</v>
      </c>
      <c r="U81" s="94"/>
      <c r="V81" s="85">
        <f t="shared" si="40"/>
        <v>-3491.5000000000018</v>
      </c>
      <c r="X81" s="92" t="s">
        <v>277</v>
      </c>
    </row>
    <row r="82" spans="1:32" s="93" customFormat="1" ht="57.75" customHeight="1" x14ac:dyDescent="0.25">
      <c r="A82" s="140"/>
      <c r="B82" s="87" t="s">
        <v>278</v>
      </c>
      <c r="C82" s="88" t="s">
        <v>14</v>
      </c>
      <c r="D82" s="89" t="s">
        <v>206</v>
      </c>
      <c r="E82" s="84">
        <v>8616.9599999999991</v>
      </c>
      <c r="F82" s="745">
        <v>0.5</v>
      </c>
      <c r="G82" s="746">
        <v>4308.4799999999996</v>
      </c>
      <c r="H82" s="85">
        <f>'[3]BVA (USD)'!N92</f>
        <v>7045.1500000000024</v>
      </c>
      <c r="I82" s="86">
        <f t="shared" si="41"/>
        <v>0.81759112262329214</v>
      </c>
      <c r="J82" s="1245">
        <f t="shared" si="36"/>
        <v>0.5</v>
      </c>
      <c r="K82" s="1246">
        <f t="shared" si="37"/>
        <v>3522.5750000000012</v>
      </c>
      <c r="L82" s="1247" t="s">
        <v>220</v>
      </c>
      <c r="M82" s="747">
        <f>'[3]BVA (USD)'!U92</f>
        <v>750</v>
      </c>
      <c r="N82" s="747">
        <f>'[3]BVA (USD)'!V92</f>
        <v>0</v>
      </c>
      <c r="O82" s="747">
        <f>'[3]BVA (USD)'!W92</f>
        <v>0</v>
      </c>
      <c r="P82" s="747">
        <f>'[3]BVA (USD)'!X92</f>
        <v>0</v>
      </c>
      <c r="Q82" s="747">
        <f>'[3]BVA (USD)'!Y92</f>
        <v>0</v>
      </c>
      <c r="R82" s="90">
        <f>'[3]BVA (USD)'!Z92</f>
        <v>0</v>
      </c>
      <c r="S82" s="85">
        <f t="shared" si="38"/>
        <v>7795.1500000000024</v>
      </c>
      <c r="T82" s="85">
        <f t="shared" si="39"/>
        <v>821.80999999999676</v>
      </c>
      <c r="U82" s="94"/>
      <c r="V82" s="85">
        <f t="shared" si="40"/>
        <v>-821.80999999999676</v>
      </c>
      <c r="X82" s="92" t="s">
        <v>279</v>
      </c>
    </row>
    <row r="83" spans="1:32" s="143" customFormat="1" ht="26.25" customHeight="1" x14ac:dyDescent="0.25">
      <c r="A83" s="142"/>
      <c r="B83" s="87" t="s">
        <v>280</v>
      </c>
      <c r="C83" s="88" t="s">
        <v>14</v>
      </c>
      <c r="D83" s="89" t="s">
        <v>206</v>
      </c>
      <c r="E83" s="84">
        <v>0</v>
      </c>
      <c r="F83" s="745">
        <v>0</v>
      </c>
      <c r="G83" s="746">
        <v>0</v>
      </c>
      <c r="H83" s="85">
        <f>'[3]BVA (USD)'!N93</f>
        <v>0</v>
      </c>
      <c r="I83" s="86">
        <f>IFERROR(H83/E83,0)</f>
        <v>0</v>
      </c>
      <c r="J83" s="1245">
        <f t="shared" si="36"/>
        <v>0</v>
      </c>
      <c r="K83" s="1246">
        <f t="shared" si="37"/>
        <v>0</v>
      </c>
      <c r="L83" s="1247"/>
      <c r="M83" s="747">
        <f>'[3]BVA (USD)'!U93</f>
        <v>0</v>
      </c>
      <c r="N83" s="747">
        <f>'[3]BVA (USD)'!V93</f>
        <v>0</v>
      </c>
      <c r="O83" s="747">
        <f>'[3]BVA (USD)'!W93</f>
        <v>0</v>
      </c>
      <c r="P83" s="747">
        <f>'[3]BVA (USD)'!X93</f>
        <v>0</v>
      </c>
      <c r="Q83" s="747">
        <f>'[3]BVA (USD)'!Y93</f>
        <v>0</v>
      </c>
      <c r="R83" s="90">
        <f>'[3]BVA (USD)'!Z93</f>
        <v>0</v>
      </c>
      <c r="S83" s="85">
        <f t="shared" si="38"/>
        <v>0</v>
      </c>
      <c r="T83" s="85">
        <f t="shared" si="39"/>
        <v>0</v>
      </c>
      <c r="U83" s="94"/>
      <c r="V83" s="85">
        <f t="shared" si="40"/>
        <v>0</v>
      </c>
      <c r="W83" s="93"/>
      <c r="X83" s="92" t="s">
        <v>281</v>
      </c>
      <c r="Y83" s="93"/>
      <c r="Z83" s="93"/>
      <c r="AA83" s="93"/>
      <c r="AB83" s="93"/>
      <c r="AC83" s="93"/>
      <c r="AD83" s="93"/>
      <c r="AE83" s="93"/>
      <c r="AF83" s="93"/>
    </row>
    <row r="84" spans="1:32" s="93" customFormat="1" ht="26.25" customHeight="1" x14ac:dyDescent="0.25">
      <c r="A84" s="140"/>
      <c r="B84" s="87" t="s">
        <v>282</v>
      </c>
      <c r="C84" s="88" t="s">
        <v>14</v>
      </c>
      <c r="D84" s="89" t="s">
        <v>206</v>
      </c>
      <c r="E84" s="84">
        <v>7148.16</v>
      </c>
      <c r="F84" s="745">
        <v>0</v>
      </c>
      <c r="G84" s="746">
        <v>0</v>
      </c>
      <c r="H84" s="85">
        <f>'[3]BVA (USD)'!N94</f>
        <v>7589.2899999999981</v>
      </c>
      <c r="I84" s="86">
        <f t="shared" si="41"/>
        <v>1.0617123847255794</v>
      </c>
      <c r="J84" s="1245">
        <f t="shared" si="36"/>
        <v>0</v>
      </c>
      <c r="K84" s="1246">
        <f t="shared" si="37"/>
        <v>0</v>
      </c>
      <c r="L84" s="1247"/>
      <c r="M84" s="747">
        <f>'[3]BVA (USD)'!U94</f>
        <v>400</v>
      </c>
      <c r="N84" s="747">
        <f>'[3]BVA (USD)'!V94</f>
        <v>0</v>
      </c>
      <c r="O84" s="747">
        <f>'[3]BVA (USD)'!W94</f>
        <v>0</v>
      </c>
      <c r="P84" s="747">
        <f>'[3]BVA (USD)'!X94</f>
        <v>0</v>
      </c>
      <c r="Q84" s="747">
        <f>'[3]BVA (USD)'!Y94</f>
        <v>0</v>
      </c>
      <c r="R84" s="90">
        <f>'[3]BVA (USD)'!Z94</f>
        <v>0</v>
      </c>
      <c r="S84" s="85">
        <f t="shared" si="38"/>
        <v>7989.2899999999981</v>
      </c>
      <c r="T84" s="85">
        <f t="shared" si="39"/>
        <v>-841.12999999999829</v>
      </c>
      <c r="U84" s="94"/>
      <c r="V84" s="85">
        <f t="shared" si="40"/>
        <v>841.12999999999829</v>
      </c>
      <c r="X84" s="92" t="s">
        <v>283</v>
      </c>
    </row>
    <row r="85" spans="1:32" s="93" customFormat="1" ht="26.25" customHeight="1" x14ac:dyDescent="0.25">
      <c r="A85" s="140"/>
      <c r="B85" s="87" t="s">
        <v>284</v>
      </c>
      <c r="C85" s="88" t="s">
        <v>14</v>
      </c>
      <c r="D85" s="89" t="s">
        <v>206</v>
      </c>
      <c r="E85" s="84">
        <v>8667.1500000000015</v>
      </c>
      <c r="F85" s="745">
        <v>0</v>
      </c>
      <c r="G85" s="746">
        <v>0</v>
      </c>
      <c r="H85" s="85">
        <f>'[3]BVA (USD)'!N95</f>
        <v>7292.5000000000009</v>
      </c>
      <c r="I85" s="86">
        <f t="shared" si="41"/>
        <v>0.84139538371898481</v>
      </c>
      <c r="J85" s="1245">
        <f t="shared" si="36"/>
        <v>0</v>
      </c>
      <c r="K85" s="1246">
        <f t="shared" si="37"/>
        <v>0</v>
      </c>
      <c r="L85" s="1247"/>
      <c r="M85" s="747">
        <f>'[3]BVA (USD)'!U95</f>
        <v>310</v>
      </c>
      <c r="N85" s="747">
        <f>'[3]BVA (USD)'!V95</f>
        <v>0</v>
      </c>
      <c r="O85" s="747">
        <f>'[3]BVA (USD)'!W95</f>
        <v>0</v>
      </c>
      <c r="P85" s="747">
        <f>'[3]BVA (USD)'!X95</f>
        <v>0</v>
      </c>
      <c r="Q85" s="747">
        <f>'[3]BVA (USD)'!Y95</f>
        <v>0</v>
      </c>
      <c r="R85" s="90">
        <f>'[3]BVA (USD)'!Z95</f>
        <v>0</v>
      </c>
      <c r="S85" s="85">
        <f t="shared" si="38"/>
        <v>7602.5000000000009</v>
      </c>
      <c r="T85" s="85">
        <f t="shared" si="39"/>
        <v>1064.6500000000005</v>
      </c>
      <c r="U85" s="94"/>
      <c r="V85" s="85">
        <f t="shared" si="40"/>
        <v>-1064.6500000000005</v>
      </c>
      <c r="X85" s="92" t="s">
        <v>285</v>
      </c>
    </row>
    <row r="86" spans="1:32" s="93" customFormat="1" ht="46.5" customHeight="1" x14ac:dyDescent="0.25">
      <c r="A86" s="140"/>
      <c r="B86" s="87" t="s">
        <v>286</v>
      </c>
      <c r="C86" s="88" t="s">
        <v>14</v>
      </c>
      <c r="D86" s="89" t="s">
        <v>206</v>
      </c>
      <c r="E86" s="84">
        <v>1680</v>
      </c>
      <c r="F86" s="745">
        <v>0.5</v>
      </c>
      <c r="G86" s="746">
        <v>840</v>
      </c>
      <c r="H86" s="85">
        <f>'[3]BVA (USD)'!N96</f>
        <v>1094.8900000000001</v>
      </c>
      <c r="I86" s="86">
        <f t="shared" si="41"/>
        <v>0.65172023809523816</v>
      </c>
      <c r="J86" s="1245">
        <f t="shared" si="36"/>
        <v>0.5</v>
      </c>
      <c r="K86" s="1246">
        <f t="shared" si="37"/>
        <v>547.44500000000005</v>
      </c>
      <c r="L86" s="1247" t="s">
        <v>220</v>
      </c>
      <c r="M86" s="747">
        <f>'[3]BVA (USD)'!U96</f>
        <v>0</v>
      </c>
      <c r="N86" s="747">
        <f>'[3]BVA (USD)'!V96</f>
        <v>0</v>
      </c>
      <c r="O86" s="747">
        <f>'[3]BVA (USD)'!W96</f>
        <v>0</v>
      </c>
      <c r="P86" s="747">
        <f>'[3]BVA (USD)'!X96</f>
        <v>0</v>
      </c>
      <c r="Q86" s="747">
        <f>'[3]BVA (USD)'!Y96</f>
        <v>0</v>
      </c>
      <c r="R86" s="90">
        <f>'[3]BVA (USD)'!Z96</f>
        <v>0</v>
      </c>
      <c r="S86" s="85">
        <f t="shared" si="38"/>
        <v>1094.8900000000001</v>
      </c>
      <c r="T86" s="85">
        <f t="shared" si="39"/>
        <v>585.1099999999999</v>
      </c>
      <c r="U86" s="94"/>
      <c r="V86" s="85">
        <f t="shared" si="40"/>
        <v>-585.1099999999999</v>
      </c>
      <c r="X86" s="92" t="s">
        <v>287</v>
      </c>
    </row>
    <row r="87" spans="1:32" s="93" customFormat="1" ht="15.75" customHeight="1" x14ac:dyDescent="0.25">
      <c r="A87" s="130" t="s">
        <v>288</v>
      </c>
      <c r="B87" s="1250"/>
      <c r="C87" s="132"/>
      <c r="D87" s="1251"/>
      <c r="E87" s="134"/>
      <c r="F87" s="760"/>
      <c r="G87" s="761">
        <v>0</v>
      </c>
      <c r="H87" s="135"/>
      <c r="I87" s="136"/>
      <c r="J87" s="137"/>
      <c r="K87" s="138"/>
      <c r="L87" s="139"/>
      <c r="M87" s="762"/>
      <c r="N87" s="762"/>
      <c r="O87" s="762"/>
      <c r="P87" s="762"/>
      <c r="Q87" s="762"/>
      <c r="R87" s="138"/>
      <c r="S87" s="135"/>
      <c r="T87" s="135"/>
      <c r="U87" s="763"/>
      <c r="V87" s="135">
        <f t="shared" si="40"/>
        <v>0</v>
      </c>
      <c r="X87" s="139"/>
    </row>
    <row r="88" spans="1:32" s="93" customFormat="1" ht="29.25" customHeight="1" x14ac:dyDescent="0.25">
      <c r="A88" s="140"/>
      <c r="B88" s="87" t="s">
        <v>289</v>
      </c>
      <c r="C88" s="88" t="s">
        <v>14</v>
      </c>
      <c r="D88" s="89" t="s">
        <v>206</v>
      </c>
      <c r="E88" s="84">
        <v>3782.16</v>
      </c>
      <c r="F88" s="745">
        <v>0</v>
      </c>
      <c r="G88" s="746">
        <v>0</v>
      </c>
      <c r="H88" s="85">
        <f>'[3]BVA (USD)'!N98</f>
        <v>3692.4600000000014</v>
      </c>
      <c r="I88" s="86">
        <f t="shared" si="41"/>
        <v>0.97628339361634664</v>
      </c>
      <c r="J88" s="1245">
        <f t="shared" ref="J88:J89" si="42">F88</f>
        <v>0</v>
      </c>
      <c r="K88" s="1246">
        <f t="shared" ref="K88:K89" si="43">H88*J88</f>
        <v>0</v>
      </c>
      <c r="L88" s="1247"/>
      <c r="M88" s="747" t="e">
        <f>'[3]BVA (USD)'!U98</f>
        <v>#REF!</v>
      </c>
      <c r="N88" s="747">
        <f>'[3]BVA (USD)'!V98</f>
        <v>0</v>
      </c>
      <c r="O88" s="747">
        <f>'[3]BVA (USD)'!W98</f>
        <v>0</v>
      </c>
      <c r="P88" s="747">
        <f>'[3]BVA (USD)'!X98</f>
        <v>0</v>
      </c>
      <c r="Q88" s="747">
        <f>'[3]BVA (USD)'!Y98</f>
        <v>0</v>
      </c>
      <c r="R88" s="90">
        <f>'[3]BVA (USD)'!Z98</f>
        <v>0</v>
      </c>
      <c r="S88" s="85" t="e">
        <f>H88+SUM(M88:R88)</f>
        <v>#REF!</v>
      </c>
      <c r="T88" s="85" t="e">
        <f>E88-S88</f>
        <v>#REF!</v>
      </c>
      <c r="U88" s="94"/>
      <c r="V88" s="85" t="e">
        <f t="shared" si="40"/>
        <v>#REF!</v>
      </c>
      <c r="X88" s="92" t="s">
        <v>290</v>
      </c>
    </row>
    <row r="89" spans="1:32" s="93" customFormat="1" ht="29.25" customHeight="1" x14ac:dyDescent="0.25">
      <c r="A89" s="140"/>
      <c r="B89" s="87" t="s">
        <v>291</v>
      </c>
      <c r="C89" s="88" t="s">
        <v>14</v>
      </c>
      <c r="D89" s="89" t="s">
        <v>206</v>
      </c>
      <c r="E89" s="84">
        <v>1096.2</v>
      </c>
      <c r="F89" s="745">
        <v>0</v>
      </c>
      <c r="G89" s="746">
        <v>0</v>
      </c>
      <c r="H89" s="85">
        <f>'[3]BVA (USD)'!N99</f>
        <v>1224.3800000000001</v>
      </c>
      <c r="I89" s="86">
        <f t="shared" si="41"/>
        <v>1.1169312169312169</v>
      </c>
      <c r="J89" s="1245">
        <f t="shared" si="42"/>
        <v>0</v>
      </c>
      <c r="K89" s="1246">
        <f t="shared" si="43"/>
        <v>0</v>
      </c>
      <c r="L89" s="1247"/>
      <c r="M89" s="747" t="e">
        <f>'[3]BVA (USD)'!U99</f>
        <v>#REF!</v>
      </c>
      <c r="N89" s="747">
        <f>'[3]BVA (USD)'!V99</f>
        <v>0</v>
      </c>
      <c r="O89" s="747">
        <f>'[3]BVA (USD)'!W99</f>
        <v>0</v>
      </c>
      <c r="P89" s="747">
        <f>'[3]BVA (USD)'!X99</f>
        <v>0</v>
      </c>
      <c r="Q89" s="747">
        <f>'[3]BVA (USD)'!Y99</f>
        <v>0</v>
      </c>
      <c r="R89" s="90">
        <f>'[3]BVA (USD)'!Z99</f>
        <v>0</v>
      </c>
      <c r="S89" s="85" t="e">
        <f>H89+SUM(M89:R89)</f>
        <v>#REF!</v>
      </c>
      <c r="T89" s="85" t="e">
        <f>E89-S89</f>
        <v>#REF!</v>
      </c>
      <c r="U89" s="94"/>
      <c r="V89" s="85" t="e">
        <f t="shared" si="40"/>
        <v>#REF!</v>
      </c>
      <c r="X89" s="92" t="s">
        <v>290</v>
      </c>
    </row>
    <row r="90" spans="1:32" s="93" customFormat="1" x14ac:dyDescent="0.25">
      <c r="A90" s="140"/>
      <c r="B90" s="1252" t="s">
        <v>292</v>
      </c>
      <c r="C90" s="132" t="s">
        <v>14</v>
      </c>
      <c r="D90" s="133"/>
      <c r="E90" s="134"/>
      <c r="F90" s="760"/>
      <c r="G90" s="761">
        <v>0</v>
      </c>
      <c r="H90" s="135"/>
      <c r="I90" s="136"/>
      <c r="J90" s="137"/>
      <c r="K90" s="138"/>
      <c r="L90" s="139"/>
      <c r="M90" s="762"/>
      <c r="N90" s="762"/>
      <c r="O90" s="762"/>
      <c r="P90" s="762"/>
      <c r="Q90" s="762"/>
      <c r="R90" s="138"/>
      <c r="S90" s="135"/>
      <c r="T90" s="135"/>
      <c r="U90" s="763"/>
      <c r="V90" s="135">
        <f t="shared" si="40"/>
        <v>0</v>
      </c>
      <c r="X90" s="139"/>
    </row>
    <row r="91" spans="1:32" s="93" customFormat="1" ht="41.25" customHeight="1" x14ac:dyDescent="0.25">
      <c r="A91" s="140"/>
      <c r="B91" s="87" t="s">
        <v>293</v>
      </c>
      <c r="C91" s="88" t="s">
        <v>14</v>
      </c>
      <c r="D91" s="89" t="s">
        <v>206</v>
      </c>
      <c r="E91" s="84">
        <v>2440.87</v>
      </c>
      <c r="F91" s="745">
        <v>0</v>
      </c>
      <c r="G91" s="746">
        <v>0</v>
      </c>
      <c r="H91" s="85">
        <f>'[3]BVA (USD)'!N101</f>
        <v>2785.9299999999985</v>
      </c>
      <c r="I91" s="86">
        <f t="shared" si="41"/>
        <v>1.1413676271165603</v>
      </c>
      <c r="J91" s="1245">
        <f t="shared" ref="J91:J95" si="44">F91</f>
        <v>0</v>
      </c>
      <c r="K91" s="1246">
        <f t="shared" ref="K91:K95" si="45">H91*J91</f>
        <v>0</v>
      </c>
      <c r="L91" s="1247"/>
      <c r="M91" s="747">
        <f>'[3]BVA (USD)'!U101</f>
        <v>0</v>
      </c>
      <c r="N91" s="747">
        <f>'[3]BVA (USD)'!V101</f>
        <v>0</v>
      </c>
      <c r="O91" s="747">
        <f>'[3]BVA (USD)'!W101</f>
        <v>0</v>
      </c>
      <c r="P91" s="747">
        <f>'[3]BVA (USD)'!X101</f>
        <v>0</v>
      </c>
      <c r="Q91" s="747">
        <f>'[3]BVA (USD)'!Y101</f>
        <v>0</v>
      </c>
      <c r="R91" s="90">
        <f>'[3]BVA (USD)'!Z101</f>
        <v>0</v>
      </c>
      <c r="S91" s="85">
        <f>H91+SUM(M91:R91)</f>
        <v>2785.9299999999985</v>
      </c>
      <c r="T91" s="85">
        <f>E91-S91</f>
        <v>-345.05999999999858</v>
      </c>
      <c r="U91" s="94"/>
      <c r="V91" s="85">
        <f t="shared" si="40"/>
        <v>345.05999999999858</v>
      </c>
      <c r="X91" s="92" t="s">
        <v>294</v>
      </c>
    </row>
    <row r="92" spans="1:32" s="1877" customFormat="1" ht="39" x14ac:dyDescent="0.25">
      <c r="A92" s="1879"/>
      <c r="B92" s="87" t="s">
        <v>295</v>
      </c>
      <c r="C92" s="88" t="s">
        <v>14</v>
      </c>
      <c r="D92" s="89" t="s">
        <v>206</v>
      </c>
      <c r="E92" s="84">
        <v>1742.96</v>
      </c>
      <c r="F92" s="745">
        <v>0</v>
      </c>
      <c r="G92" s="746">
        <v>0</v>
      </c>
      <c r="H92" s="85">
        <f>'[3]BVA (USD)'!N102</f>
        <v>2243.1000000000004</v>
      </c>
      <c r="I92" s="86">
        <f t="shared" si="41"/>
        <v>1.2869486390967093</v>
      </c>
      <c r="J92" s="1245">
        <f t="shared" si="44"/>
        <v>0</v>
      </c>
      <c r="K92" s="1246">
        <f t="shared" si="45"/>
        <v>0</v>
      </c>
      <c r="L92" s="92" t="s">
        <v>1532</v>
      </c>
      <c r="M92" s="747" t="e">
        <f>'[3]BVA (USD)'!U102</f>
        <v>#REF!</v>
      </c>
      <c r="N92" s="747">
        <f>'[3]BVA (USD)'!V102</f>
        <v>0</v>
      </c>
      <c r="O92" s="747">
        <f>'[3]BVA (USD)'!W102</f>
        <v>0</v>
      </c>
      <c r="P92" s="747">
        <f>'[3]BVA (USD)'!X102</f>
        <v>0</v>
      </c>
      <c r="Q92" s="747">
        <f>'[3]BVA (USD)'!Y102</f>
        <v>0</v>
      </c>
      <c r="R92" s="90">
        <f>'[3]BVA (USD)'!Z102</f>
        <v>0</v>
      </c>
      <c r="S92" s="85" t="e">
        <f>H92+SUM(M92:R92)</f>
        <v>#REF!</v>
      </c>
      <c r="T92" s="85" t="e">
        <f>E92-S92</f>
        <v>#REF!</v>
      </c>
      <c r="U92" s="94"/>
      <c r="V92" s="85" t="e">
        <f t="shared" si="40"/>
        <v>#REF!</v>
      </c>
      <c r="W92" s="93"/>
      <c r="X92" s="92" t="s">
        <v>296</v>
      </c>
      <c r="Y92" s="93"/>
      <c r="Z92" s="93"/>
      <c r="AA92" s="93"/>
      <c r="AB92" s="93"/>
      <c r="AC92" s="93"/>
      <c r="AD92" s="93"/>
      <c r="AE92" s="93"/>
      <c r="AF92" s="93"/>
    </row>
    <row r="93" spans="1:32" s="93" customFormat="1" ht="28.5" customHeight="1" x14ac:dyDescent="0.25">
      <c r="A93" s="140"/>
      <c r="B93" s="87" t="s">
        <v>297</v>
      </c>
      <c r="C93" s="88" t="s">
        <v>14</v>
      </c>
      <c r="D93" s="89" t="s">
        <v>206</v>
      </c>
      <c r="E93" s="84">
        <v>697.91000000000008</v>
      </c>
      <c r="F93" s="745">
        <v>0</v>
      </c>
      <c r="G93" s="746">
        <v>0</v>
      </c>
      <c r="H93" s="85">
        <f>'[3]BVA (USD)'!N103</f>
        <v>680.81</v>
      </c>
      <c r="I93" s="86">
        <f t="shared" si="41"/>
        <v>0.97549827341634288</v>
      </c>
      <c r="J93" s="1245">
        <f t="shared" si="44"/>
        <v>0</v>
      </c>
      <c r="K93" s="1246">
        <f t="shared" si="45"/>
        <v>0</v>
      </c>
      <c r="L93" s="1247"/>
      <c r="M93" s="747">
        <f>'[3]BVA (USD)'!U103</f>
        <v>0</v>
      </c>
      <c r="N93" s="747">
        <f>'[3]BVA (USD)'!V103</f>
        <v>0</v>
      </c>
      <c r="O93" s="747">
        <f>'[3]BVA (USD)'!W103</f>
        <v>0</v>
      </c>
      <c r="P93" s="747">
        <f>'[3]BVA (USD)'!X103</f>
        <v>0</v>
      </c>
      <c r="Q93" s="747">
        <f>'[3]BVA (USD)'!Y103</f>
        <v>0</v>
      </c>
      <c r="R93" s="90">
        <f>'[3]BVA (USD)'!Z103</f>
        <v>0</v>
      </c>
      <c r="S93" s="85">
        <f>H93+SUM(M93:R93)</f>
        <v>680.81</v>
      </c>
      <c r="T93" s="85">
        <f>E93-S93</f>
        <v>17.100000000000136</v>
      </c>
      <c r="U93" s="94"/>
      <c r="V93" s="85">
        <f t="shared" si="40"/>
        <v>-17.100000000000136</v>
      </c>
      <c r="X93" s="92" t="s">
        <v>298</v>
      </c>
    </row>
    <row r="94" spans="1:32" s="1877" customFormat="1" ht="42" customHeight="1" x14ac:dyDescent="0.25">
      <c r="A94" s="1879"/>
      <c r="B94" s="87" t="s">
        <v>299</v>
      </c>
      <c r="C94" s="88" t="s">
        <v>14</v>
      </c>
      <c r="D94" s="89" t="s">
        <v>206</v>
      </c>
      <c r="E94" s="84">
        <v>657.72</v>
      </c>
      <c r="F94" s="745">
        <v>0</v>
      </c>
      <c r="G94" s="746">
        <v>0</v>
      </c>
      <c r="H94" s="85">
        <f>'[3]BVA (USD)'!N104</f>
        <v>804.98999999999933</v>
      </c>
      <c r="I94" s="86">
        <f t="shared" si="41"/>
        <v>1.2239098704615936</v>
      </c>
      <c r="J94" s="1245">
        <f t="shared" si="44"/>
        <v>0</v>
      </c>
      <c r="K94" s="1246">
        <f t="shared" si="45"/>
        <v>0</v>
      </c>
      <c r="L94" s="92" t="s">
        <v>1533</v>
      </c>
      <c r="M94" s="747" t="e">
        <f>'[3]BVA (USD)'!U104</f>
        <v>#REF!</v>
      </c>
      <c r="N94" s="747">
        <f>'[3]BVA (USD)'!V104</f>
        <v>0</v>
      </c>
      <c r="O94" s="747">
        <f>'[3]BVA (USD)'!W104</f>
        <v>0</v>
      </c>
      <c r="P94" s="747">
        <f>'[3]BVA (USD)'!X104</f>
        <v>0</v>
      </c>
      <c r="Q94" s="747">
        <f>'[3]BVA (USD)'!Y104</f>
        <v>0</v>
      </c>
      <c r="R94" s="90">
        <f>'[3]BVA (USD)'!Z104</f>
        <v>0</v>
      </c>
      <c r="S94" s="85" t="e">
        <f>H94+SUM(M94:R94)</f>
        <v>#REF!</v>
      </c>
      <c r="T94" s="85" t="e">
        <f>E94-S94</f>
        <v>#REF!</v>
      </c>
      <c r="U94" s="94"/>
      <c r="V94" s="85" t="e">
        <f t="shared" si="40"/>
        <v>#REF!</v>
      </c>
      <c r="W94" s="93"/>
      <c r="X94" s="92" t="s">
        <v>298</v>
      </c>
      <c r="Y94" s="93"/>
      <c r="Z94" s="93"/>
      <c r="AA94" s="93"/>
      <c r="AB94" s="93"/>
      <c r="AC94" s="93"/>
      <c r="AD94" s="93"/>
      <c r="AE94" s="93"/>
      <c r="AF94" s="93"/>
    </row>
    <row r="95" spans="1:32" s="93" customFormat="1" ht="28.5" customHeight="1" x14ac:dyDescent="0.25">
      <c r="A95" s="140"/>
      <c r="B95" s="87" t="s">
        <v>300</v>
      </c>
      <c r="C95" s="88" t="s">
        <v>14</v>
      </c>
      <c r="D95" s="89" t="s">
        <v>206</v>
      </c>
      <c r="E95" s="84">
        <v>584.64</v>
      </c>
      <c r="F95" s="745">
        <v>0</v>
      </c>
      <c r="G95" s="746">
        <v>0</v>
      </c>
      <c r="H95" s="85">
        <f>'[3]BVA (USD)'!N105</f>
        <v>325.61999999999995</v>
      </c>
      <c r="I95" s="86">
        <f t="shared" si="41"/>
        <v>0.55695812807881762</v>
      </c>
      <c r="J95" s="1245">
        <f t="shared" si="44"/>
        <v>0</v>
      </c>
      <c r="K95" s="1246">
        <f t="shared" si="45"/>
        <v>0</v>
      </c>
      <c r="L95" s="1247"/>
      <c r="M95" s="747">
        <f>'[3]BVA (USD)'!U105</f>
        <v>0</v>
      </c>
      <c r="N95" s="747">
        <f>'[3]BVA (USD)'!V105</f>
        <v>0</v>
      </c>
      <c r="O95" s="747">
        <f>'[3]BVA (USD)'!W105</f>
        <v>0</v>
      </c>
      <c r="P95" s="747">
        <f>'[3]BVA (USD)'!X105</f>
        <v>0</v>
      </c>
      <c r="Q95" s="747">
        <f>'[3]BVA (USD)'!Y105</f>
        <v>0</v>
      </c>
      <c r="R95" s="90">
        <f>'[3]BVA (USD)'!Z105</f>
        <v>0</v>
      </c>
      <c r="S95" s="85">
        <f>H95+SUM(M95:R95)</f>
        <v>325.61999999999995</v>
      </c>
      <c r="T95" s="85">
        <f>E95-S95</f>
        <v>259.02000000000004</v>
      </c>
      <c r="U95" s="94"/>
      <c r="V95" s="85">
        <f t="shared" si="40"/>
        <v>-259.02000000000004</v>
      </c>
      <c r="X95" s="92" t="s">
        <v>301</v>
      </c>
    </row>
    <row r="96" spans="1:32" s="93" customFormat="1" x14ac:dyDescent="0.25">
      <c r="A96" s="140"/>
      <c r="B96" s="1252" t="s">
        <v>302</v>
      </c>
      <c r="C96" s="132"/>
      <c r="D96" s="133"/>
      <c r="E96" s="134"/>
      <c r="F96" s="760"/>
      <c r="G96" s="761">
        <v>0</v>
      </c>
      <c r="H96" s="135"/>
      <c r="I96" s="136"/>
      <c r="J96" s="137"/>
      <c r="K96" s="138"/>
      <c r="L96" s="139"/>
      <c r="M96" s="762"/>
      <c r="N96" s="762"/>
      <c r="O96" s="762"/>
      <c r="P96" s="762"/>
      <c r="Q96" s="762"/>
      <c r="R96" s="138"/>
      <c r="S96" s="135"/>
      <c r="T96" s="135"/>
      <c r="U96" s="763"/>
      <c r="V96" s="135">
        <f t="shared" si="40"/>
        <v>0</v>
      </c>
      <c r="X96" s="139"/>
    </row>
    <row r="97" spans="1:24" s="93" customFormat="1" ht="46.5" customHeight="1" x14ac:dyDescent="0.25">
      <c r="A97" s="140"/>
      <c r="B97" s="87" t="s">
        <v>303</v>
      </c>
      <c r="C97" s="88" t="s">
        <v>14</v>
      </c>
      <c r="D97" s="89" t="s">
        <v>206</v>
      </c>
      <c r="E97" s="84">
        <v>1996.8</v>
      </c>
      <c r="F97" s="745">
        <v>0.25</v>
      </c>
      <c r="G97" s="746">
        <v>499.2</v>
      </c>
      <c r="H97" s="85">
        <f>'[3]BVA (USD)'!N107</f>
        <v>1262.0100000000004</v>
      </c>
      <c r="I97" s="86">
        <f t="shared" si="41"/>
        <v>0.63201622596153872</v>
      </c>
      <c r="J97" s="1245">
        <f t="shared" ref="J97:J103" si="46">F97</f>
        <v>0.25</v>
      </c>
      <c r="K97" s="1246">
        <f t="shared" ref="K97:K103" si="47">H97*J97</f>
        <v>315.50250000000011</v>
      </c>
      <c r="L97" s="1247" t="s">
        <v>220</v>
      </c>
      <c r="M97" s="747" t="e">
        <f>'[3]BVA (USD)'!U107</f>
        <v>#REF!</v>
      </c>
      <c r="N97" s="747">
        <f>'[3]BVA (USD)'!V107</f>
        <v>0</v>
      </c>
      <c r="O97" s="747">
        <f>'[3]BVA (USD)'!W107</f>
        <v>0</v>
      </c>
      <c r="P97" s="747">
        <f>'[3]BVA (USD)'!X107</f>
        <v>0</v>
      </c>
      <c r="Q97" s="747">
        <f>'[3]BVA (USD)'!Y107</f>
        <v>0</v>
      </c>
      <c r="R97" s="90">
        <f>'[3]BVA (USD)'!Z107</f>
        <v>0</v>
      </c>
      <c r="S97" s="85" t="e">
        <f t="shared" ref="S97:S103" si="48">H97+SUM(M97:R97)</f>
        <v>#REF!</v>
      </c>
      <c r="T97" s="85" t="e">
        <f t="shared" ref="T97:T103" si="49">E97-S97</f>
        <v>#REF!</v>
      </c>
      <c r="U97" s="94"/>
      <c r="V97" s="85" t="e">
        <f t="shared" si="40"/>
        <v>#REF!</v>
      </c>
      <c r="X97" s="92" t="s">
        <v>304</v>
      </c>
    </row>
    <row r="98" spans="1:24" s="93" customFormat="1" ht="45" customHeight="1" x14ac:dyDescent="0.25">
      <c r="A98" s="140"/>
      <c r="B98" s="87" t="s">
        <v>305</v>
      </c>
      <c r="C98" s="88" t="s">
        <v>14</v>
      </c>
      <c r="D98" s="89" t="s">
        <v>206</v>
      </c>
      <c r="E98" s="84">
        <v>2728.3199999999997</v>
      </c>
      <c r="F98" s="745">
        <v>0</v>
      </c>
      <c r="G98" s="746">
        <v>0</v>
      </c>
      <c r="H98" s="85">
        <f>'[3]BVA (USD)'!N108</f>
        <v>2382.63</v>
      </c>
      <c r="I98" s="86">
        <f t="shared" si="41"/>
        <v>0.87329565446868418</v>
      </c>
      <c r="J98" s="1245">
        <f t="shared" si="46"/>
        <v>0</v>
      </c>
      <c r="K98" s="1246">
        <f t="shared" si="47"/>
        <v>0</v>
      </c>
      <c r="L98" s="1247"/>
      <c r="M98" s="747" t="e">
        <f>'[3]BVA (USD)'!U108</f>
        <v>#REF!</v>
      </c>
      <c r="N98" s="747">
        <f>'[3]BVA (USD)'!V108</f>
        <v>0</v>
      </c>
      <c r="O98" s="747">
        <f>'[3]BVA (USD)'!W108</f>
        <v>0</v>
      </c>
      <c r="P98" s="747">
        <f>'[3]BVA (USD)'!X108</f>
        <v>0</v>
      </c>
      <c r="Q98" s="747">
        <f>'[3]BVA (USD)'!Y108</f>
        <v>0</v>
      </c>
      <c r="R98" s="90">
        <f>'[3]BVA (USD)'!Z108</f>
        <v>0</v>
      </c>
      <c r="S98" s="85" t="e">
        <f t="shared" si="48"/>
        <v>#REF!</v>
      </c>
      <c r="T98" s="85" t="e">
        <f t="shared" si="49"/>
        <v>#REF!</v>
      </c>
      <c r="U98" s="94"/>
      <c r="V98" s="85" t="e">
        <f t="shared" si="40"/>
        <v>#REF!</v>
      </c>
      <c r="X98" s="92" t="s">
        <v>306</v>
      </c>
    </row>
    <row r="99" spans="1:24" s="93" customFormat="1" ht="43.5" customHeight="1" x14ac:dyDescent="0.25">
      <c r="A99" s="140"/>
      <c r="B99" s="87" t="s">
        <v>307</v>
      </c>
      <c r="C99" s="88" t="s">
        <v>14</v>
      </c>
      <c r="D99" s="89" t="s">
        <v>206</v>
      </c>
      <c r="E99" s="84">
        <v>2093.04</v>
      </c>
      <c r="F99" s="745">
        <v>0.25</v>
      </c>
      <c r="G99" s="746">
        <v>523.26</v>
      </c>
      <c r="H99" s="85">
        <f>'[3]BVA (USD)'!N109</f>
        <v>2913.3600000000006</v>
      </c>
      <c r="I99" s="86">
        <f t="shared" si="41"/>
        <v>1.391927531246417</v>
      </c>
      <c r="J99" s="1245">
        <f t="shared" si="46"/>
        <v>0.25</v>
      </c>
      <c r="K99" s="1246">
        <f t="shared" si="47"/>
        <v>728.34000000000015</v>
      </c>
      <c r="L99" s="1247" t="s">
        <v>220</v>
      </c>
      <c r="M99" s="747" t="e">
        <f>'[3]BVA (USD)'!U109</f>
        <v>#REF!</v>
      </c>
      <c r="N99" s="747">
        <f>'[3]BVA (USD)'!V109</f>
        <v>0</v>
      </c>
      <c r="O99" s="747">
        <f>'[3]BVA (USD)'!W109</f>
        <v>0</v>
      </c>
      <c r="P99" s="747">
        <f>'[3]BVA (USD)'!X109</f>
        <v>0</v>
      </c>
      <c r="Q99" s="747">
        <f>'[3]BVA (USD)'!Y109</f>
        <v>0</v>
      </c>
      <c r="R99" s="90">
        <f>'[3]BVA (USD)'!Z109</f>
        <v>0</v>
      </c>
      <c r="S99" s="85" t="e">
        <f t="shared" si="48"/>
        <v>#REF!</v>
      </c>
      <c r="T99" s="85" t="e">
        <f t="shared" si="49"/>
        <v>#REF!</v>
      </c>
      <c r="U99" s="94"/>
      <c r="V99" s="85" t="e">
        <f t="shared" si="40"/>
        <v>#REF!</v>
      </c>
      <c r="X99" s="92" t="s">
        <v>308</v>
      </c>
    </row>
    <row r="100" spans="1:24" s="93" customFormat="1" ht="47.25" customHeight="1" x14ac:dyDescent="0.25">
      <c r="A100" s="140"/>
      <c r="B100" s="87" t="s">
        <v>309</v>
      </c>
      <c r="C100" s="88" t="s">
        <v>14</v>
      </c>
      <c r="D100" s="89" t="s">
        <v>206</v>
      </c>
      <c r="E100" s="84">
        <v>1605.5500000000002</v>
      </c>
      <c r="F100" s="745">
        <v>0.25</v>
      </c>
      <c r="G100" s="746">
        <v>401.38750000000005</v>
      </c>
      <c r="H100" s="85">
        <f>'[3]BVA (USD)'!N110</f>
        <v>2035.9100000000003</v>
      </c>
      <c r="I100" s="86">
        <f t="shared" si="41"/>
        <v>1.2680452181495439</v>
      </c>
      <c r="J100" s="1245">
        <f t="shared" si="46"/>
        <v>0.25</v>
      </c>
      <c r="K100" s="1246">
        <f t="shared" si="47"/>
        <v>508.97750000000008</v>
      </c>
      <c r="L100" s="1247" t="s">
        <v>220</v>
      </c>
      <c r="M100" s="747" t="e">
        <f>'[3]BVA (USD)'!U110</f>
        <v>#REF!</v>
      </c>
      <c r="N100" s="747">
        <f>'[3]BVA (USD)'!V110</f>
        <v>0</v>
      </c>
      <c r="O100" s="747">
        <f>'[3]BVA (USD)'!W110</f>
        <v>0</v>
      </c>
      <c r="P100" s="747">
        <f>'[3]BVA (USD)'!X110</f>
        <v>0</v>
      </c>
      <c r="Q100" s="747">
        <f>'[3]BVA (USD)'!Y110</f>
        <v>0</v>
      </c>
      <c r="R100" s="90">
        <f>'[3]BVA (USD)'!Z110</f>
        <v>0</v>
      </c>
      <c r="S100" s="85" t="e">
        <f t="shared" si="48"/>
        <v>#REF!</v>
      </c>
      <c r="T100" s="85" t="e">
        <f t="shared" si="49"/>
        <v>#REF!</v>
      </c>
      <c r="U100" s="94"/>
      <c r="V100" s="85" t="e">
        <f t="shared" si="40"/>
        <v>#REF!</v>
      </c>
      <c r="X100" s="92" t="s">
        <v>308</v>
      </c>
    </row>
    <row r="101" spans="1:24" s="93" customFormat="1" ht="53.25" customHeight="1" x14ac:dyDescent="0.25">
      <c r="A101" s="140"/>
      <c r="B101" s="87" t="s">
        <v>310</v>
      </c>
      <c r="C101" s="88" t="s">
        <v>14</v>
      </c>
      <c r="D101" s="89" t="s">
        <v>206</v>
      </c>
      <c r="E101" s="84">
        <v>1851.3600000000001</v>
      </c>
      <c r="F101" s="745">
        <v>0</v>
      </c>
      <c r="G101" s="746">
        <v>0</v>
      </c>
      <c r="H101" s="85">
        <f>'[3]BVA (USD)'!N111</f>
        <v>2295.1999999999998</v>
      </c>
      <c r="I101" s="86">
        <f t="shared" si="41"/>
        <v>1.2397372742200325</v>
      </c>
      <c r="J101" s="1245">
        <f t="shared" si="46"/>
        <v>0</v>
      </c>
      <c r="K101" s="1246">
        <f t="shared" si="47"/>
        <v>0</v>
      </c>
      <c r="L101" s="1247"/>
      <c r="M101" s="747" t="e">
        <f>'[3]BVA (USD)'!U111</f>
        <v>#REF!</v>
      </c>
      <c r="N101" s="747">
        <f>'[3]BVA (USD)'!V111</f>
        <v>0</v>
      </c>
      <c r="O101" s="747">
        <f>'[3]BVA (USD)'!W111</f>
        <v>0</v>
      </c>
      <c r="P101" s="747">
        <f>'[3]BVA (USD)'!X111</f>
        <v>0</v>
      </c>
      <c r="Q101" s="747">
        <f>'[3]BVA (USD)'!Y111</f>
        <v>0</v>
      </c>
      <c r="R101" s="90">
        <f>'[3]BVA (USD)'!Z111</f>
        <v>0</v>
      </c>
      <c r="S101" s="85" t="e">
        <f t="shared" si="48"/>
        <v>#REF!</v>
      </c>
      <c r="T101" s="85" t="e">
        <f t="shared" si="49"/>
        <v>#REF!</v>
      </c>
      <c r="U101" s="94"/>
      <c r="V101" s="85" t="e">
        <f t="shared" si="40"/>
        <v>#REF!</v>
      </c>
      <c r="X101" s="92" t="s">
        <v>311</v>
      </c>
    </row>
    <row r="102" spans="1:24" s="93" customFormat="1" ht="34.5" customHeight="1" x14ac:dyDescent="0.25">
      <c r="A102" s="140"/>
      <c r="B102" s="87" t="s">
        <v>312</v>
      </c>
      <c r="C102" s="88" t="s">
        <v>14</v>
      </c>
      <c r="D102" s="89" t="s">
        <v>206</v>
      </c>
      <c r="E102" s="84">
        <v>1169.28</v>
      </c>
      <c r="F102" s="745">
        <v>0</v>
      </c>
      <c r="G102" s="746">
        <v>0</v>
      </c>
      <c r="H102" s="85">
        <f>'[3]BVA (USD)'!N112</f>
        <v>1022.6899999999998</v>
      </c>
      <c r="I102" s="86">
        <f t="shared" si="41"/>
        <v>0.87463225232621766</v>
      </c>
      <c r="J102" s="1245">
        <f t="shared" si="46"/>
        <v>0</v>
      </c>
      <c r="K102" s="1246">
        <f t="shared" si="47"/>
        <v>0</v>
      </c>
      <c r="L102" s="1247"/>
      <c r="M102" s="747" t="e">
        <f>'[3]BVA (USD)'!U112</f>
        <v>#REF!</v>
      </c>
      <c r="N102" s="747">
        <f>'[3]BVA (USD)'!V112</f>
        <v>0</v>
      </c>
      <c r="O102" s="747">
        <f>'[3]BVA (USD)'!W112</f>
        <v>0</v>
      </c>
      <c r="P102" s="747">
        <f>'[3]BVA (USD)'!X112</f>
        <v>0</v>
      </c>
      <c r="Q102" s="747">
        <f>'[3]BVA (USD)'!Y112</f>
        <v>0</v>
      </c>
      <c r="R102" s="90">
        <f>'[3]BVA (USD)'!Z112</f>
        <v>0</v>
      </c>
      <c r="S102" s="85" t="e">
        <f t="shared" si="48"/>
        <v>#REF!</v>
      </c>
      <c r="T102" s="85" t="e">
        <f t="shared" si="49"/>
        <v>#REF!</v>
      </c>
      <c r="U102" s="94"/>
      <c r="V102" s="85" t="e">
        <f t="shared" si="40"/>
        <v>#REF!</v>
      </c>
      <c r="X102" s="92" t="s">
        <v>313</v>
      </c>
    </row>
    <row r="103" spans="1:24" s="93" customFormat="1" ht="34.5" customHeight="1" x14ac:dyDescent="0.25">
      <c r="A103" s="140"/>
      <c r="B103" s="87" t="s">
        <v>314</v>
      </c>
      <c r="C103" s="88" t="s">
        <v>14</v>
      </c>
      <c r="D103" s="89" t="s">
        <v>206</v>
      </c>
      <c r="E103" s="84">
        <v>1945.92</v>
      </c>
      <c r="F103" s="745">
        <v>0</v>
      </c>
      <c r="G103" s="746">
        <v>0</v>
      </c>
      <c r="H103" s="85">
        <f>'[3]BVA (USD)'!N113</f>
        <v>2067.9100000000003</v>
      </c>
      <c r="I103" s="86">
        <f t="shared" si="41"/>
        <v>1.0626901414241079</v>
      </c>
      <c r="J103" s="1245">
        <f t="shared" si="46"/>
        <v>0</v>
      </c>
      <c r="K103" s="1246">
        <f t="shared" si="47"/>
        <v>0</v>
      </c>
      <c r="L103" s="1247"/>
      <c r="M103" s="747" t="e">
        <f>'[3]BVA (USD)'!U113</f>
        <v>#REF!</v>
      </c>
      <c r="N103" s="747">
        <f>'[3]BVA (USD)'!V113</f>
        <v>0</v>
      </c>
      <c r="O103" s="747">
        <f>'[3]BVA (USD)'!W113</f>
        <v>0</v>
      </c>
      <c r="P103" s="747">
        <f>'[3]BVA (USD)'!X113</f>
        <v>0</v>
      </c>
      <c r="Q103" s="747">
        <f>'[3]BVA (USD)'!Y113</f>
        <v>0</v>
      </c>
      <c r="R103" s="90">
        <f>'[3]BVA (USD)'!Z113</f>
        <v>0</v>
      </c>
      <c r="S103" s="85" t="e">
        <f t="shared" si="48"/>
        <v>#REF!</v>
      </c>
      <c r="T103" s="85" t="e">
        <f t="shared" si="49"/>
        <v>#REF!</v>
      </c>
      <c r="U103" s="94"/>
      <c r="V103" s="85" t="e">
        <f t="shared" si="40"/>
        <v>#REF!</v>
      </c>
      <c r="X103" s="92" t="s">
        <v>315</v>
      </c>
    </row>
    <row r="104" spans="1:24" s="93" customFormat="1" x14ac:dyDescent="0.25">
      <c r="A104" s="140"/>
      <c r="B104" s="1252" t="s">
        <v>316</v>
      </c>
      <c r="C104" s="132"/>
      <c r="D104" s="133" t="s">
        <v>206</v>
      </c>
      <c r="E104" s="134"/>
      <c r="F104" s="760"/>
      <c r="G104" s="761">
        <v>0</v>
      </c>
      <c r="H104" s="135"/>
      <c r="I104" s="136"/>
      <c r="J104" s="137"/>
      <c r="K104" s="138"/>
      <c r="L104" s="139"/>
      <c r="M104" s="762"/>
      <c r="N104" s="762"/>
      <c r="O104" s="762"/>
      <c r="P104" s="762"/>
      <c r="Q104" s="762"/>
      <c r="R104" s="138"/>
      <c r="S104" s="135"/>
      <c r="T104" s="135"/>
      <c r="U104" s="763"/>
      <c r="V104" s="135">
        <f t="shared" si="40"/>
        <v>0</v>
      </c>
      <c r="X104" s="139"/>
    </row>
    <row r="105" spans="1:24" s="93" customFormat="1" ht="30.75" customHeight="1" x14ac:dyDescent="0.25">
      <c r="A105" s="140"/>
      <c r="B105" s="87" t="s">
        <v>317</v>
      </c>
      <c r="C105" s="88" t="s">
        <v>14</v>
      </c>
      <c r="D105" s="89" t="s">
        <v>206</v>
      </c>
      <c r="E105" s="84">
        <v>1534.6799999999998</v>
      </c>
      <c r="F105" s="745">
        <v>0</v>
      </c>
      <c r="G105" s="746">
        <v>0</v>
      </c>
      <c r="H105" s="85">
        <f>'[3]BVA (USD)'!N115</f>
        <v>1665.3100000000002</v>
      </c>
      <c r="I105" s="86">
        <f t="shared" si="41"/>
        <v>1.0851187218182294</v>
      </c>
      <c r="J105" s="1245">
        <f t="shared" ref="J105:J107" si="50">F105</f>
        <v>0</v>
      </c>
      <c r="K105" s="1246">
        <f t="shared" ref="K105:K107" si="51">H105*J105</f>
        <v>0</v>
      </c>
      <c r="L105" s="1247"/>
      <c r="M105" s="747" t="e">
        <f>'[3]BVA (USD)'!U115</f>
        <v>#REF!</v>
      </c>
      <c r="N105" s="747">
        <f>'[3]BVA (USD)'!V115</f>
        <v>0</v>
      </c>
      <c r="O105" s="747">
        <f>'[3]BVA (USD)'!W115</f>
        <v>0</v>
      </c>
      <c r="P105" s="747">
        <f>'[3]BVA (USD)'!X115</f>
        <v>0</v>
      </c>
      <c r="Q105" s="747">
        <f>'[3]BVA (USD)'!Y115</f>
        <v>0</v>
      </c>
      <c r="R105" s="90">
        <f>'[3]BVA (USD)'!Z115</f>
        <v>0</v>
      </c>
      <c r="S105" s="85" t="e">
        <f>H105+SUM(M105:R105)</f>
        <v>#REF!</v>
      </c>
      <c r="T105" s="85" t="e">
        <f>E105-S105</f>
        <v>#REF!</v>
      </c>
      <c r="U105" s="94"/>
      <c r="V105" s="85" t="e">
        <f t="shared" si="40"/>
        <v>#REF!</v>
      </c>
      <c r="X105" s="92" t="s">
        <v>318</v>
      </c>
    </row>
    <row r="106" spans="1:24" s="93" customFormat="1" ht="30.75" customHeight="1" x14ac:dyDescent="0.25">
      <c r="A106" s="140"/>
      <c r="B106" s="87" t="s">
        <v>319</v>
      </c>
      <c r="C106" s="88" t="s">
        <v>14</v>
      </c>
      <c r="D106" s="89" t="s">
        <v>206</v>
      </c>
      <c r="E106" s="84">
        <v>4029.15</v>
      </c>
      <c r="F106" s="745">
        <v>0</v>
      </c>
      <c r="G106" s="746">
        <v>0</v>
      </c>
      <c r="H106" s="85">
        <f>'[3]BVA (USD)'!N116</f>
        <v>3087.1899999999996</v>
      </c>
      <c r="I106" s="86">
        <f t="shared" si="41"/>
        <v>0.76621371753347467</v>
      </c>
      <c r="J106" s="1245">
        <f t="shared" si="50"/>
        <v>0</v>
      </c>
      <c r="K106" s="1246">
        <f t="shared" si="51"/>
        <v>0</v>
      </c>
      <c r="L106" s="1247"/>
      <c r="M106" s="747" t="e">
        <f>'[3]BVA (USD)'!U116</f>
        <v>#REF!</v>
      </c>
      <c r="N106" s="747">
        <f>'[3]BVA (USD)'!V116</f>
        <v>0</v>
      </c>
      <c r="O106" s="747">
        <f>'[3]BVA (USD)'!W116</f>
        <v>0</v>
      </c>
      <c r="P106" s="747">
        <f>'[3]BVA (USD)'!X116</f>
        <v>0</v>
      </c>
      <c r="Q106" s="747">
        <f>'[3]BVA (USD)'!Y116</f>
        <v>0</v>
      </c>
      <c r="R106" s="90">
        <f>'[3]BVA (USD)'!Z116</f>
        <v>0</v>
      </c>
      <c r="S106" s="85" t="e">
        <f>H106+SUM(M106:R106)</f>
        <v>#REF!</v>
      </c>
      <c r="T106" s="85" t="e">
        <f>E106-S106</f>
        <v>#REF!</v>
      </c>
      <c r="U106" s="94"/>
      <c r="V106" s="85" t="e">
        <f t="shared" si="40"/>
        <v>#REF!</v>
      </c>
      <c r="X106" s="92" t="s">
        <v>320</v>
      </c>
    </row>
    <row r="107" spans="1:24" s="93" customFormat="1" ht="44.25" customHeight="1" x14ac:dyDescent="0.25">
      <c r="A107" s="140"/>
      <c r="B107" s="87" t="s">
        <v>321</v>
      </c>
      <c r="C107" s="88" t="s">
        <v>14</v>
      </c>
      <c r="D107" s="89" t="s">
        <v>206</v>
      </c>
      <c r="E107" s="84">
        <v>635.79999999999995</v>
      </c>
      <c r="F107" s="745">
        <v>0</v>
      </c>
      <c r="G107" s="746">
        <v>0</v>
      </c>
      <c r="H107" s="85">
        <f>'[3]BVA (USD)'!N117</f>
        <v>779.81999999999982</v>
      </c>
      <c r="I107" s="86">
        <f t="shared" si="41"/>
        <v>1.2265177728845547</v>
      </c>
      <c r="J107" s="1245">
        <f t="shared" si="50"/>
        <v>0</v>
      </c>
      <c r="K107" s="1246">
        <f t="shared" si="51"/>
        <v>0</v>
      </c>
      <c r="L107" s="1247"/>
      <c r="M107" s="747" t="e">
        <f>'[3]BVA (USD)'!U117</f>
        <v>#REF!</v>
      </c>
      <c r="N107" s="747">
        <f>'[3]BVA (USD)'!V117</f>
        <v>0</v>
      </c>
      <c r="O107" s="747">
        <f>'[3]BVA (USD)'!W117</f>
        <v>0</v>
      </c>
      <c r="P107" s="747">
        <f>'[3]BVA (USD)'!X117</f>
        <v>0</v>
      </c>
      <c r="Q107" s="747">
        <f>'[3]BVA (USD)'!Y117</f>
        <v>0</v>
      </c>
      <c r="R107" s="90">
        <f>'[3]BVA (USD)'!Z117</f>
        <v>0</v>
      </c>
      <c r="S107" s="85" t="e">
        <f>H107+SUM(M107:R107)</f>
        <v>#REF!</v>
      </c>
      <c r="T107" s="85" t="e">
        <f>E107-S107</f>
        <v>#REF!</v>
      </c>
      <c r="U107" s="94"/>
      <c r="V107" s="85" t="e">
        <f t="shared" si="40"/>
        <v>#REF!</v>
      </c>
      <c r="X107" s="92" t="s">
        <v>322</v>
      </c>
    </row>
    <row r="108" spans="1:24" s="93" customFormat="1" x14ac:dyDescent="0.25">
      <c r="A108" s="140"/>
      <c r="B108" s="1252" t="s">
        <v>323</v>
      </c>
      <c r="C108" s="132"/>
      <c r="D108" s="133" t="s">
        <v>206</v>
      </c>
      <c r="E108" s="134"/>
      <c r="F108" s="760"/>
      <c r="G108" s="761">
        <v>0</v>
      </c>
      <c r="H108" s="135"/>
      <c r="I108" s="136"/>
      <c r="J108" s="137"/>
      <c r="K108" s="138"/>
      <c r="L108" s="139"/>
      <c r="M108" s="762"/>
      <c r="N108" s="762"/>
      <c r="O108" s="762"/>
      <c r="P108" s="762"/>
      <c r="Q108" s="762"/>
      <c r="R108" s="138"/>
      <c r="S108" s="135"/>
      <c r="T108" s="135"/>
      <c r="U108" s="763"/>
      <c r="V108" s="135">
        <f t="shared" si="40"/>
        <v>0</v>
      </c>
      <c r="X108" s="139"/>
    </row>
    <row r="109" spans="1:24" s="93" customFormat="1" ht="34.5" customHeight="1" x14ac:dyDescent="0.25">
      <c r="A109" s="140"/>
      <c r="B109" s="87" t="s">
        <v>324</v>
      </c>
      <c r="C109" s="88" t="s">
        <v>14</v>
      </c>
      <c r="D109" s="89" t="s">
        <v>206</v>
      </c>
      <c r="E109" s="84">
        <v>1036.26</v>
      </c>
      <c r="F109" s="745">
        <v>0</v>
      </c>
      <c r="G109" s="746">
        <v>0</v>
      </c>
      <c r="H109" s="85">
        <f>'[3]BVA (USD)'!N119</f>
        <v>68.55</v>
      </c>
      <c r="I109" s="86">
        <f t="shared" si="41"/>
        <v>6.6151351977302986E-2</v>
      </c>
      <c r="J109" s="1245">
        <f t="shared" ref="J109:J121" si="52">F109</f>
        <v>0</v>
      </c>
      <c r="K109" s="1246">
        <f t="shared" ref="K109:K121" si="53">H109*J109</f>
        <v>0</v>
      </c>
      <c r="L109" s="1247"/>
      <c r="M109" s="747" t="e">
        <f>'[3]BVA (USD)'!U119</f>
        <v>#REF!</v>
      </c>
      <c r="N109" s="747">
        <f>'[3]BVA (USD)'!V119</f>
        <v>0</v>
      </c>
      <c r="O109" s="747">
        <f>'[3]BVA (USD)'!W119</f>
        <v>0</v>
      </c>
      <c r="P109" s="747">
        <f>'[3]BVA (USD)'!X119</f>
        <v>0</v>
      </c>
      <c r="Q109" s="747">
        <f>'[3]BVA (USD)'!Y119</f>
        <v>0</v>
      </c>
      <c r="R109" s="90">
        <f>'[3]BVA (USD)'!Z119</f>
        <v>0</v>
      </c>
      <c r="S109" s="85" t="e">
        <f t="shared" ref="S109:S121" si="54">H109+SUM(M109:R109)</f>
        <v>#REF!</v>
      </c>
      <c r="T109" s="85" t="e">
        <f t="shared" ref="T109:T121" si="55">E109-S109</f>
        <v>#REF!</v>
      </c>
      <c r="U109" s="94"/>
      <c r="V109" s="85" t="e">
        <f t="shared" si="40"/>
        <v>#REF!</v>
      </c>
      <c r="X109" s="92" t="s">
        <v>325</v>
      </c>
    </row>
    <row r="110" spans="1:24" s="93" customFormat="1" ht="34.5" customHeight="1" x14ac:dyDescent="0.25">
      <c r="A110" s="140"/>
      <c r="B110" s="87" t="s">
        <v>326</v>
      </c>
      <c r="C110" s="88" t="s">
        <v>14</v>
      </c>
      <c r="D110" s="89" t="s">
        <v>206</v>
      </c>
      <c r="E110" s="84">
        <v>1483.2</v>
      </c>
      <c r="F110" s="745">
        <v>0</v>
      </c>
      <c r="G110" s="746">
        <v>0</v>
      </c>
      <c r="H110" s="85">
        <f>'[3]BVA (USD)'!N120</f>
        <v>1510.79</v>
      </c>
      <c r="I110" s="86">
        <f t="shared" si="41"/>
        <v>1.0186016720604099</v>
      </c>
      <c r="J110" s="1245">
        <f t="shared" si="52"/>
        <v>0</v>
      </c>
      <c r="K110" s="1246">
        <f t="shared" si="53"/>
        <v>0</v>
      </c>
      <c r="L110" s="1247"/>
      <c r="M110" s="747" t="e">
        <f>'[3]BVA (USD)'!U120</f>
        <v>#REF!</v>
      </c>
      <c r="N110" s="747">
        <f>'[3]BVA (USD)'!V120</f>
        <v>0</v>
      </c>
      <c r="O110" s="747">
        <f>'[3]BVA (USD)'!W120</f>
        <v>0</v>
      </c>
      <c r="P110" s="747">
        <f>'[3]BVA (USD)'!X120</f>
        <v>0</v>
      </c>
      <c r="Q110" s="747">
        <f>'[3]BVA (USD)'!Y120</f>
        <v>0</v>
      </c>
      <c r="R110" s="90">
        <f>'[3]BVA (USD)'!Z120</f>
        <v>0</v>
      </c>
      <c r="S110" s="85" t="e">
        <f t="shared" si="54"/>
        <v>#REF!</v>
      </c>
      <c r="T110" s="85" t="e">
        <f t="shared" si="55"/>
        <v>#REF!</v>
      </c>
      <c r="U110" s="94"/>
      <c r="V110" s="85" t="e">
        <f t="shared" si="40"/>
        <v>#REF!</v>
      </c>
      <c r="X110" s="92" t="s">
        <v>327</v>
      </c>
    </row>
    <row r="111" spans="1:24" s="93" customFormat="1" ht="34.5" customHeight="1" x14ac:dyDescent="0.25">
      <c r="A111" s="140"/>
      <c r="B111" s="87" t="s">
        <v>328</v>
      </c>
      <c r="C111" s="88" t="s">
        <v>14</v>
      </c>
      <c r="D111" s="89" t="s">
        <v>206</v>
      </c>
      <c r="E111" s="84">
        <v>974.4</v>
      </c>
      <c r="F111" s="745">
        <v>0</v>
      </c>
      <c r="G111" s="746">
        <v>0</v>
      </c>
      <c r="H111" s="85">
        <f>'[3]BVA (USD)'!N121</f>
        <v>966.55000000000018</v>
      </c>
      <c r="I111" s="86">
        <f t="shared" si="41"/>
        <v>0.99194376026272602</v>
      </c>
      <c r="J111" s="1245">
        <f t="shared" si="52"/>
        <v>0</v>
      </c>
      <c r="K111" s="1246">
        <f t="shared" si="53"/>
        <v>0</v>
      </c>
      <c r="L111" s="1247"/>
      <c r="M111" s="747" t="e">
        <f>'[3]BVA (USD)'!U121</f>
        <v>#REF!</v>
      </c>
      <c r="N111" s="747">
        <f>'[3]BVA (USD)'!V121</f>
        <v>0</v>
      </c>
      <c r="O111" s="747">
        <f>'[3]BVA (USD)'!W121</f>
        <v>0</v>
      </c>
      <c r="P111" s="747">
        <f>'[3]BVA (USD)'!X121</f>
        <v>0</v>
      </c>
      <c r="Q111" s="747">
        <f>'[3]BVA (USD)'!Y121</f>
        <v>0</v>
      </c>
      <c r="R111" s="90">
        <f>'[3]BVA (USD)'!Z121</f>
        <v>0</v>
      </c>
      <c r="S111" s="85" t="e">
        <f t="shared" si="54"/>
        <v>#REF!</v>
      </c>
      <c r="T111" s="85" t="e">
        <f t="shared" si="55"/>
        <v>#REF!</v>
      </c>
      <c r="U111" s="94"/>
      <c r="V111" s="85" t="e">
        <f t="shared" si="40"/>
        <v>#REF!</v>
      </c>
      <c r="X111" s="92" t="s">
        <v>327</v>
      </c>
    </row>
    <row r="112" spans="1:24" s="93" customFormat="1" ht="34.5" customHeight="1" x14ac:dyDescent="0.25">
      <c r="A112" s="140"/>
      <c r="B112" s="87" t="s">
        <v>329</v>
      </c>
      <c r="C112" s="88" t="s">
        <v>14</v>
      </c>
      <c r="D112" s="89" t="s">
        <v>206</v>
      </c>
      <c r="E112" s="84">
        <v>1100.17</v>
      </c>
      <c r="F112" s="745">
        <v>0</v>
      </c>
      <c r="G112" s="746">
        <v>0</v>
      </c>
      <c r="H112" s="85">
        <f>'[3]BVA (USD)'!N122</f>
        <v>704.97999999999968</v>
      </c>
      <c r="I112" s="86">
        <f t="shared" si="41"/>
        <v>0.6407918776189131</v>
      </c>
      <c r="J112" s="1245">
        <f t="shared" si="52"/>
        <v>0</v>
      </c>
      <c r="K112" s="1246">
        <f t="shared" si="53"/>
        <v>0</v>
      </c>
      <c r="L112" s="1247"/>
      <c r="M112" s="747" t="e">
        <f>'[3]BVA (USD)'!U122</f>
        <v>#REF!</v>
      </c>
      <c r="N112" s="747">
        <f>'[3]BVA (USD)'!V122</f>
        <v>0</v>
      </c>
      <c r="O112" s="747">
        <f>'[3]BVA (USD)'!W122</f>
        <v>0</v>
      </c>
      <c r="P112" s="747">
        <f>'[3]BVA (USD)'!X122</f>
        <v>0</v>
      </c>
      <c r="Q112" s="747">
        <f>'[3]BVA (USD)'!Y122</f>
        <v>0</v>
      </c>
      <c r="R112" s="90">
        <f>'[3]BVA (USD)'!Z122</f>
        <v>0</v>
      </c>
      <c r="S112" s="85" t="e">
        <f t="shared" si="54"/>
        <v>#REF!</v>
      </c>
      <c r="T112" s="85" t="e">
        <f t="shared" si="55"/>
        <v>#REF!</v>
      </c>
      <c r="U112" s="94"/>
      <c r="V112" s="85" t="e">
        <f t="shared" si="40"/>
        <v>#REF!</v>
      </c>
      <c r="X112" s="92" t="s">
        <v>330</v>
      </c>
    </row>
    <row r="113" spans="1:32" s="143" customFormat="1" ht="34.5" customHeight="1" x14ac:dyDescent="0.25">
      <c r="A113" s="142"/>
      <c r="B113" s="87" t="s">
        <v>331</v>
      </c>
      <c r="C113" s="88" t="s">
        <v>14</v>
      </c>
      <c r="D113" s="89" t="s">
        <v>206</v>
      </c>
      <c r="E113" s="84">
        <v>475.02</v>
      </c>
      <c r="F113" s="745">
        <v>0</v>
      </c>
      <c r="G113" s="746">
        <v>0</v>
      </c>
      <c r="H113" s="85">
        <f>'[3]BVA (USD)'!N123</f>
        <v>602.18999999999983</v>
      </c>
      <c r="I113" s="86">
        <f t="shared" si="41"/>
        <v>1.2677150435771123</v>
      </c>
      <c r="J113" s="1245">
        <f t="shared" si="52"/>
        <v>0</v>
      </c>
      <c r="K113" s="1246">
        <f t="shared" si="53"/>
        <v>0</v>
      </c>
      <c r="L113" s="1247"/>
      <c r="M113" s="747" t="e">
        <f>'[3]BVA (USD)'!U123</f>
        <v>#REF!</v>
      </c>
      <c r="N113" s="747">
        <f>'[3]BVA (USD)'!V123</f>
        <v>0</v>
      </c>
      <c r="O113" s="747">
        <f>'[3]BVA (USD)'!W123</f>
        <v>0</v>
      </c>
      <c r="P113" s="747">
        <f>'[3]BVA (USD)'!X123</f>
        <v>0</v>
      </c>
      <c r="Q113" s="747">
        <f>'[3]BVA (USD)'!Y123</f>
        <v>0</v>
      </c>
      <c r="R113" s="90">
        <f>'[3]BVA (USD)'!Z123</f>
        <v>0</v>
      </c>
      <c r="S113" s="85" t="e">
        <f t="shared" si="54"/>
        <v>#REF!</v>
      </c>
      <c r="T113" s="85" t="e">
        <f t="shared" si="55"/>
        <v>#REF!</v>
      </c>
      <c r="U113" s="94"/>
      <c r="V113" s="85" t="e">
        <f t="shared" si="40"/>
        <v>#REF!</v>
      </c>
      <c r="W113" s="93"/>
      <c r="X113" s="92" t="s">
        <v>332</v>
      </c>
      <c r="Y113" s="93"/>
      <c r="Z113" s="93"/>
      <c r="AA113" s="93"/>
      <c r="AB113" s="93"/>
      <c r="AC113" s="93"/>
      <c r="AD113" s="93"/>
      <c r="AE113" s="93"/>
      <c r="AF113" s="93"/>
    </row>
    <row r="114" spans="1:32" s="93" customFormat="1" ht="34.5" customHeight="1" x14ac:dyDescent="0.25">
      <c r="A114" s="140"/>
      <c r="B114" s="87" t="s">
        <v>333</v>
      </c>
      <c r="C114" s="88" t="s">
        <v>14</v>
      </c>
      <c r="D114" s="89" t="s">
        <v>206</v>
      </c>
      <c r="E114" s="84">
        <v>456.75</v>
      </c>
      <c r="F114" s="745">
        <v>0</v>
      </c>
      <c r="G114" s="746">
        <v>0</v>
      </c>
      <c r="H114" s="85">
        <f>'[3]BVA (USD)'!N124</f>
        <v>342.84999999999997</v>
      </c>
      <c r="I114" s="86">
        <f t="shared" si="41"/>
        <v>0.75062944718117119</v>
      </c>
      <c r="J114" s="1245">
        <f t="shared" si="52"/>
        <v>0</v>
      </c>
      <c r="K114" s="1246">
        <f t="shared" si="53"/>
        <v>0</v>
      </c>
      <c r="L114" s="1247"/>
      <c r="M114" s="747" t="e">
        <f>'[3]BVA (USD)'!U124</f>
        <v>#REF!</v>
      </c>
      <c r="N114" s="747">
        <f>'[3]BVA (USD)'!V124</f>
        <v>0</v>
      </c>
      <c r="O114" s="747">
        <f>'[3]BVA (USD)'!W124</f>
        <v>0</v>
      </c>
      <c r="P114" s="747">
        <f>'[3]BVA (USD)'!X124</f>
        <v>0</v>
      </c>
      <c r="Q114" s="747">
        <f>'[3]BVA (USD)'!Y124</f>
        <v>0</v>
      </c>
      <c r="R114" s="90">
        <f>'[3]BVA (USD)'!Z124</f>
        <v>0</v>
      </c>
      <c r="S114" s="85" t="e">
        <f t="shared" si="54"/>
        <v>#REF!</v>
      </c>
      <c r="T114" s="85" t="e">
        <f t="shared" si="55"/>
        <v>#REF!</v>
      </c>
      <c r="U114" s="94"/>
      <c r="V114" s="85" t="e">
        <f t="shared" si="40"/>
        <v>#REF!</v>
      </c>
      <c r="X114" s="92" t="s">
        <v>334</v>
      </c>
    </row>
    <row r="115" spans="1:32" s="93" customFormat="1" ht="34.5" customHeight="1" x14ac:dyDescent="0.25">
      <c r="A115" s="140"/>
      <c r="B115" s="87" t="s">
        <v>335</v>
      </c>
      <c r="C115" s="88" t="s">
        <v>14</v>
      </c>
      <c r="D115" s="89" t="s">
        <v>206</v>
      </c>
      <c r="E115" s="84">
        <v>177.71</v>
      </c>
      <c r="F115" s="745">
        <v>0</v>
      </c>
      <c r="G115" s="746">
        <v>0</v>
      </c>
      <c r="H115" s="85">
        <f>'[3]BVA (USD)'!N125</f>
        <v>137.20000000000002</v>
      </c>
      <c r="I115" s="86">
        <f t="shared" si="41"/>
        <v>0.77204434190535143</v>
      </c>
      <c r="J115" s="1245">
        <f t="shared" si="52"/>
        <v>0</v>
      </c>
      <c r="K115" s="1246">
        <f t="shared" si="53"/>
        <v>0</v>
      </c>
      <c r="L115" s="1247"/>
      <c r="M115" s="747" t="e">
        <f>'[3]BVA (USD)'!U125</f>
        <v>#REF!</v>
      </c>
      <c r="N115" s="747">
        <f>'[3]BVA (USD)'!V125</f>
        <v>0</v>
      </c>
      <c r="O115" s="747">
        <f>'[3]BVA (USD)'!W125</f>
        <v>0</v>
      </c>
      <c r="P115" s="747">
        <f>'[3]BVA (USD)'!X125</f>
        <v>0</v>
      </c>
      <c r="Q115" s="747">
        <f>'[3]BVA (USD)'!Y125</f>
        <v>0</v>
      </c>
      <c r="R115" s="90">
        <f>'[3]BVA (USD)'!Z125</f>
        <v>0</v>
      </c>
      <c r="S115" s="85" t="e">
        <f t="shared" si="54"/>
        <v>#REF!</v>
      </c>
      <c r="T115" s="85" t="e">
        <f t="shared" si="55"/>
        <v>#REF!</v>
      </c>
      <c r="U115" s="94"/>
      <c r="V115" s="85" t="e">
        <f t="shared" si="40"/>
        <v>#REF!</v>
      </c>
      <c r="X115" s="92" t="s">
        <v>336</v>
      </c>
    </row>
    <row r="116" spans="1:32" s="93" customFormat="1" ht="42.75" customHeight="1" x14ac:dyDescent="0.25">
      <c r="A116" s="140"/>
      <c r="B116" s="87" t="s">
        <v>337</v>
      </c>
      <c r="C116" s="88" t="s">
        <v>14</v>
      </c>
      <c r="D116" s="89" t="s">
        <v>206</v>
      </c>
      <c r="E116" s="84">
        <v>1074.2800000000002</v>
      </c>
      <c r="F116" s="745">
        <v>0</v>
      </c>
      <c r="G116" s="746">
        <v>0</v>
      </c>
      <c r="H116" s="85">
        <f>'[3]BVA (USD)'!N126</f>
        <v>1404.5800000000006</v>
      </c>
      <c r="I116" s="86">
        <f t="shared" si="41"/>
        <v>1.3074617418177759</v>
      </c>
      <c r="J116" s="1245">
        <f t="shared" si="52"/>
        <v>0</v>
      </c>
      <c r="K116" s="1246">
        <f t="shared" si="53"/>
        <v>0</v>
      </c>
      <c r="L116" s="1247"/>
      <c r="M116" s="747" t="e">
        <f>'[3]BVA (USD)'!U126</f>
        <v>#REF!</v>
      </c>
      <c r="N116" s="747">
        <f>'[3]BVA (USD)'!V126</f>
        <v>0</v>
      </c>
      <c r="O116" s="747">
        <f>'[3]BVA (USD)'!W126</f>
        <v>0</v>
      </c>
      <c r="P116" s="747">
        <f>'[3]BVA (USD)'!X126</f>
        <v>0</v>
      </c>
      <c r="Q116" s="747">
        <f>'[3]BVA (USD)'!Y126</f>
        <v>0</v>
      </c>
      <c r="R116" s="90">
        <f>'[3]BVA (USD)'!Z126</f>
        <v>0</v>
      </c>
      <c r="S116" s="85" t="e">
        <f t="shared" si="54"/>
        <v>#REF!</v>
      </c>
      <c r="T116" s="85" t="e">
        <f t="shared" si="55"/>
        <v>#REF!</v>
      </c>
      <c r="U116" s="94"/>
      <c r="V116" s="85" t="e">
        <f t="shared" si="40"/>
        <v>#REF!</v>
      </c>
      <c r="X116" s="92" t="s">
        <v>338</v>
      </c>
    </row>
    <row r="117" spans="1:32" s="93" customFormat="1" ht="34.5" customHeight="1" x14ac:dyDescent="0.25">
      <c r="A117" s="140"/>
      <c r="B117" s="87" t="s">
        <v>339</v>
      </c>
      <c r="C117" s="88" t="s">
        <v>14</v>
      </c>
      <c r="D117" s="89" t="s">
        <v>206</v>
      </c>
      <c r="E117" s="84">
        <v>1169.28</v>
      </c>
      <c r="F117" s="745">
        <v>0</v>
      </c>
      <c r="G117" s="746">
        <v>0</v>
      </c>
      <c r="H117" s="85">
        <f>'[3]BVA (USD)'!N127</f>
        <v>1210.2900000000002</v>
      </c>
      <c r="I117" s="86">
        <f t="shared" si="41"/>
        <v>1.0350728653530379</v>
      </c>
      <c r="J117" s="1245">
        <f t="shared" si="52"/>
        <v>0</v>
      </c>
      <c r="K117" s="1246">
        <f t="shared" si="53"/>
        <v>0</v>
      </c>
      <c r="L117" s="1247"/>
      <c r="M117" s="747" t="e">
        <f>'[3]BVA (USD)'!U127</f>
        <v>#REF!</v>
      </c>
      <c r="N117" s="747">
        <f>'[3]BVA (USD)'!V127</f>
        <v>0</v>
      </c>
      <c r="O117" s="747">
        <f>'[3]BVA (USD)'!W127</f>
        <v>0</v>
      </c>
      <c r="P117" s="747">
        <f>'[3]BVA (USD)'!X127</f>
        <v>0</v>
      </c>
      <c r="Q117" s="747">
        <f>'[3]BVA (USD)'!Y127</f>
        <v>0</v>
      </c>
      <c r="R117" s="90">
        <f>'[3]BVA (USD)'!Z127</f>
        <v>0</v>
      </c>
      <c r="S117" s="85" t="e">
        <f t="shared" si="54"/>
        <v>#REF!</v>
      </c>
      <c r="T117" s="85" t="e">
        <f t="shared" si="55"/>
        <v>#REF!</v>
      </c>
      <c r="U117" s="94"/>
      <c r="V117" s="85" t="e">
        <f t="shared" si="40"/>
        <v>#REF!</v>
      </c>
      <c r="X117" s="92" t="s">
        <v>340</v>
      </c>
    </row>
    <row r="118" spans="1:32" s="93" customFormat="1" ht="43.5" customHeight="1" x14ac:dyDescent="0.25">
      <c r="A118" s="140"/>
      <c r="B118" s="87" t="s">
        <v>341</v>
      </c>
      <c r="C118" s="88" t="s">
        <v>14</v>
      </c>
      <c r="D118" s="89" t="s">
        <v>206</v>
      </c>
      <c r="E118" s="84">
        <v>584.64</v>
      </c>
      <c r="F118" s="745">
        <v>0.5</v>
      </c>
      <c r="G118" s="746">
        <v>292.32</v>
      </c>
      <c r="H118" s="85">
        <f>'[3]BVA (USD)'!N128</f>
        <v>724.18999999999983</v>
      </c>
      <c r="I118" s="86">
        <f t="shared" si="41"/>
        <v>1.2386938970990693</v>
      </c>
      <c r="J118" s="1245">
        <f t="shared" si="52"/>
        <v>0.5</v>
      </c>
      <c r="K118" s="1246">
        <f t="shared" si="53"/>
        <v>362.09499999999991</v>
      </c>
      <c r="L118" s="1247" t="s">
        <v>220</v>
      </c>
      <c r="M118" s="747" t="e">
        <f>'[3]BVA (USD)'!U128</f>
        <v>#REF!</v>
      </c>
      <c r="N118" s="747">
        <f>'[3]BVA (USD)'!V128</f>
        <v>0</v>
      </c>
      <c r="O118" s="747">
        <f>'[3]BVA (USD)'!W128</f>
        <v>0</v>
      </c>
      <c r="P118" s="747">
        <f>'[3]BVA (USD)'!X128</f>
        <v>0</v>
      </c>
      <c r="Q118" s="747">
        <f>'[3]BVA (USD)'!Y128</f>
        <v>0</v>
      </c>
      <c r="R118" s="90">
        <f>'[3]BVA (USD)'!Z128</f>
        <v>0</v>
      </c>
      <c r="S118" s="85" t="e">
        <f t="shared" si="54"/>
        <v>#REF!</v>
      </c>
      <c r="T118" s="85" t="e">
        <f t="shared" si="55"/>
        <v>#REF!</v>
      </c>
      <c r="U118" s="94"/>
      <c r="V118" s="85" t="e">
        <f t="shared" si="40"/>
        <v>#REF!</v>
      </c>
      <c r="X118" s="92" t="s">
        <v>342</v>
      </c>
    </row>
    <row r="119" spans="1:32" s="93" customFormat="1" ht="45.75" customHeight="1" x14ac:dyDescent="0.25">
      <c r="A119" s="140"/>
      <c r="B119" s="87" t="s">
        <v>343</v>
      </c>
      <c r="C119" s="88" t="s">
        <v>14</v>
      </c>
      <c r="D119" s="89" t="s">
        <v>206</v>
      </c>
      <c r="E119" s="84">
        <v>1832.4</v>
      </c>
      <c r="F119" s="745">
        <v>0.25</v>
      </c>
      <c r="G119" s="746">
        <v>458.1</v>
      </c>
      <c r="H119" s="85">
        <f>'[3]BVA (USD)'!N129</f>
        <v>1875.74</v>
      </c>
      <c r="I119" s="86">
        <f t="shared" si="41"/>
        <v>1.0236520410390744</v>
      </c>
      <c r="J119" s="1245">
        <f t="shared" si="52"/>
        <v>0.25</v>
      </c>
      <c r="K119" s="1246">
        <f t="shared" si="53"/>
        <v>468.935</v>
      </c>
      <c r="L119" s="1247" t="s">
        <v>220</v>
      </c>
      <c r="M119" s="747" t="e">
        <f>'[3]BVA (USD)'!U129</f>
        <v>#REF!</v>
      </c>
      <c r="N119" s="747">
        <f>'[3]BVA (USD)'!V129</f>
        <v>0</v>
      </c>
      <c r="O119" s="747">
        <f>'[3]BVA (USD)'!W129</f>
        <v>0</v>
      </c>
      <c r="P119" s="747">
        <f>'[3]BVA (USD)'!X129</f>
        <v>0</v>
      </c>
      <c r="Q119" s="747">
        <f>'[3]BVA (USD)'!Y129</f>
        <v>0</v>
      </c>
      <c r="R119" s="90">
        <f>'[3]BVA (USD)'!Z129</f>
        <v>0</v>
      </c>
      <c r="S119" s="85" t="e">
        <f t="shared" si="54"/>
        <v>#REF!</v>
      </c>
      <c r="T119" s="85" t="e">
        <f t="shared" si="55"/>
        <v>#REF!</v>
      </c>
      <c r="U119" s="94"/>
      <c r="V119" s="85" t="e">
        <f t="shared" si="40"/>
        <v>#REF!</v>
      </c>
      <c r="X119" s="92" t="s">
        <v>344</v>
      </c>
    </row>
    <row r="120" spans="1:32" s="143" customFormat="1" ht="34.5" customHeight="1" x14ac:dyDescent="0.25">
      <c r="A120" s="142"/>
      <c r="B120" s="87" t="s">
        <v>345</v>
      </c>
      <c r="C120" s="88" t="s">
        <v>14</v>
      </c>
      <c r="D120" s="89" t="s">
        <v>206</v>
      </c>
      <c r="E120" s="84">
        <v>0</v>
      </c>
      <c r="F120" s="745">
        <v>0</v>
      </c>
      <c r="G120" s="746">
        <v>0</v>
      </c>
      <c r="H120" s="85">
        <v>0</v>
      </c>
      <c r="I120" s="86">
        <f>IFERROR(H120/E120,0)</f>
        <v>0</v>
      </c>
      <c r="J120" s="1245">
        <f t="shared" si="52"/>
        <v>0</v>
      </c>
      <c r="K120" s="1246">
        <f t="shared" si="53"/>
        <v>0</v>
      </c>
      <c r="L120" s="1247"/>
      <c r="M120" s="747">
        <v>0</v>
      </c>
      <c r="N120" s="747">
        <v>0</v>
      </c>
      <c r="O120" s="747">
        <v>0</v>
      </c>
      <c r="P120" s="747">
        <v>0</v>
      </c>
      <c r="Q120" s="747">
        <v>0</v>
      </c>
      <c r="R120" s="90">
        <v>0</v>
      </c>
      <c r="S120" s="85">
        <f t="shared" si="54"/>
        <v>0</v>
      </c>
      <c r="T120" s="85">
        <f t="shared" si="55"/>
        <v>0</v>
      </c>
      <c r="U120" s="94"/>
      <c r="V120" s="85">
        <f t="shared" si="40"/>
        <v>0</v>
      </c>
      <c r="W120" s="93"/>
      <c r="X120" s="92" t="s">
        <v>346</v>
      </c>
      <c r="Y120" s="93"/>
      <c r="Z120" s="93"/>
      <c r="AA120" s="93"/>
      <c r="AB120" s="93"/>
      <c r="AC120" s="93"/>
      <c r="AD120" s="93"/>
      <c r="AE120" s="93"/>
      <c r="AF120" s="93"/>
    </row>
    <row r="121" spans="1:32" s="93" customFormat="1" ht="42" customHeight="1" x14ac:dyDescent="0.25">
      <c r="A121" s="140"/>
      <c r="B121" s="87" t="s">
        <v>347</v>
      </c>
      <c r="C121" s="88" t="s">
        <v>14</v>
      </c>
      <c r="D121" s="89" t="s">
        <v>206</v>
      </c>
      <c r="E121" s="84">
        <v>272.64999999999998</v>
      </c>
      <c r="F121" s="745">
        <v>0</v>
      </c>
      <c r="G121" s="746">
        <v>0</v>
      </c>
      <c r="H121" s="85">
        <f>'[3]BVA (USD)'!N130</f>
        <v>293.75</v>
      </c>
      <c r="I121" s="86">
        <f t="shared" si="41"/>
        <v>1.0773885934348066</v>
      </c>
      <c r="J121" s="1245">
        <f t="shared" si="52"/>
        <v>0</v>
      </c>
      <c r="K121" s="1246">
        <f t="shared" si="53"/>
        <v>0</v>
      </c>
      <c r="L121" s="1247"/>
      <c r="M121" s="747">
        <f>'[3]BVA (USD)'!U130</f>
        <v>5</v>
      </c>
      <c r="N121" s="747">
        <f>'[3]BVA (USD)'!V130</f>
        <v>0</v>
      </c>
      <c r="O121" s="747">
        <f>'[3]BVA (USD)'!W130</f>
        <v>0</v>
      </c>
      <c r="P121" s="747">
        <f>'[3]BVA (USD)'!X130</f>
        <v>0</v>
      </c>
      <c r="Q121" s="747">
        <f>'[3]BVA (USD)'!Y130</f>
        <v>0</v>
      </c>
      <c r="R121" s="90">
        <f>'[3]BVA (USD)'!Z130</f>
        <v>0</v>
      </c>
      <c r="S121" s="85">
        <f t="shared" si="54"/>
        <v>298.75</v>
      </c>
      <c r="T121" s="85">
        <f t="shared" si="55"/>
        <v>-26.100000000000023</v>
      </c>
      <c r="U121" s="94"/>
      <c r="V121" s="85">
        <f t="shared" si="40"/>
        <v>26.100000000000023</v>
      </c>
      <c r="X121" s="92" t="s">
        <v>348</v>
      </c>
    </row>
    <row r="122" spans="1:32" s="93" customFormat="1" x14ac:dyDescent="0.25">
      <c r="A122" s="130" t="s">
        <v>349</v>
      </c>
      <c r="B122" s="131"/>
      <c r="C122" s="132"/>
      <c r="D122" s="133"/>
      <c r="E122" s="134"/>
      <c r="F122" s="760"/>
      <c r="G122" s="761">
        <v>0</v>
      </c>
      <c r="H122" s="135"/>
      <c r="I122" s="136"/>
      <c r="J122" s="137"/>
      <c r="K122" s="138"/>
      <c r="L122" s="139"/>
      <c r="M122" s="762"/>
      <c r="N122" s="762"/>
      <c r="O122" s="762"/>
      <c r="P122" s="762"/>
      <c r="Q122" s="762"/>
      <c r="R122" s="138"/>
      <c r="S122" s="135"/>
      <c r="T122" s="135"/>
      <c r="U122" s="763"/>
      <c r="V122" s="135">
        <f t="shared" si="40"/>
        <v>0</v>
      </c>
      <c r="X122" s="139"/>
    </row>
    <row r="123" spans="1:32" s="93" customFormat="1" ht="44.25" customHeight="1" x14ac:dyDescent="0.25">
      <c r="A123" s="140"/>
      <c r="B123" s="87" t="s">
        <v>350</v>
      </c>
      <c r="C123" s="88" t="s">
        <v>14</v>
      </c>
      <c r="D123" s="89" t="s">
        <v>206</v>
      </c>
      <c r="E123" s="84">
        <v>33811.199999999997</v>
      </c>
      <c r="F123" s="745">
        <v>0.25</v>
      </c>
      <c r="G123" s="746">
        <v>8452.7999999999993</v>
      </c>
      <c r="H123" s="85">
        <f>'[3]BVA (USD)'!N11</f>
        <v>27749.628000000012</v>
      </c>
      <c r="I123" s="86">
        <f t="shared" si="41"/>
        <v>0.82072295570698506</v>
      </c>
      <c r="J123" s="1245">
        <f t="shared" ref="J123" si="56">F123</f>
        <v>0.25</v>
      </c>
      <c r="K123" s="1246">
        <f t="shared" ref="K123" si="57">H123*J123</f>
        <v>6937.4070000000029</v>
      </c>
      <c r="L123" s="1247" t="s">
        <v>220</v>
      </c>
      <c r="M123" s="747">
        <f>'[3]BVA (USD)'!U11</f>
        <v>1305.9999999999998</v>
      </c>
      <c r="N123" s="747">
        <f>'[3]BVA (USD)'!V11</f>
        <v>864</v>
      </c>
      <c r="O123" s="747">
        <f>'[3]BVA (USD)'!W11</f>
        <v>907.19999999999993</v>
      </c>
      <c r="P123" s="747">
        <f>'[3]BVA (USD)'!X11</f>
        <v>0</v>
      </c>
      <c r="Q123" s="747">
        <f>'[3]BVA (USD)'!Y11</f>
        <v>0</v>
      </c>
      <c r="R123" s="747">
        <f>'[3]BVA (USD)'!Z11</f>
        <v>0</v>
      </c>
      <c r="S123" s="85">
        <f>H123+SUM(M123:R123)</f>
        <v>30826.828000000012</v>
      </c>
      <c r="T123" s="85">
        <f>E123-S123</f>
        <v>2984.3719999999848</v>
      </c>
      <c r="U123" s="94"/>
      <c r="V123" s="85">
        <f t="shared" si="40"/>
        <v>-2984.3719999999848</v>
      </c>
      <c r="X123" s="92" t="s">
        <v>351</v>
      </c>
    </row>
    <row r="124" spans="1:32" s="93" customFormat="1" x14ac:dyDescent="0.25">
      <c r="A124" s="140"/>
      <c r="B124" s="144"/>
      <c r="C124" s="88"/>
      <c r="D124" s="89"/>
      <c r="E124" s="84"/>
      <c r="F124" s="745"/>
      <c r="G124" s="746">
        <v>0</v>
      </c>
      <c r="H124" s="85"/>
      <c r="I124" s="86"/>
      <c r="J124" s="145"/>
      <c r="K124" s="90"/>
      <c r="L124" s="92"/>
      <c r="M124" s="747"/>
      <c r="N124" s="747"/>
      <c r="O124" s="747"/>
      <c r="P124" s="747"/>
      <c r="Q124" s="747"/>
      <c r="R124" s="90"/>
      <c r="S124" s="85">
        <f>H124+SUM(M124:R124)</f>
        <v>0</v>
      </c>
      <c r="T124" s="85">
        <f>E124-S124</f>
        <v>0</v>
      </c>
      <c r="U124" s="94"/>
      <c r="V124" s="85">
        <f t="shared" si="40"/>
        <v>0</v>
      </c>
      <c r="X124" s="92"/>
    </row>
    <row r="125" spans="1:32" s="93" customFormat="1" x14ac:dyDescent="0.25">
      <c r="A125" s="146"/>
      <c r="B125" s="147"/>
      <c r="C125" s="148"/>
      <c r="D125" s="2574" t="s">
        <v>0</v>
      </c>
      <c r="E125" s="97">
        <v>174973.64999999997</v>
      </c>
      <c r="F125" s="748">
        <v>0.15738133999033574</v>
      </c>
      <c r="G125" s="749">
        <v>27537.587500000001</v>
      </c>
      <c r="H125" s="98">
        <f>SUM(H74:H124)</f>
        <v>159232.55800000002</v>
      </c>
      <c r="I125" s="99">
        <f t="shared" si="41"/>
        <v>0.91003735705347666</v>
      </c>
      <c r="J125" s="100"/>
      <c r="K125" s="101">
        <f t="shared" ref="K125:T125" si="58">SUM(K74:K124)</f>
        <v>21219.543000000005</v>
      </c>
      <c r="L125" s="102"/>
      <c r="M125" s="750" t="e">
        <f t="shared" ref="M125:R125" si="59">SUM(M74:M124)</f>
        <v>#REF!</v>
      </c>
      <c r="N125" s="750">
        <f t="shared" si="59"/>
        <v>2098.56</v>
      </c>
      <c r="O125" s="750">
        <f t="shared" si="59"/>
        <v>1118.3999999999999</v>
      </c>
      <c r="P125" s="750">
        <f t="shared" si="59"/>
        <v>0</v>
      </c>
      <c r="Q125" s="750">
        <f t="shared" si="59"/>
        <v>0</v>
      </c>
      <c r="R125" s="101">
        <f t="shared" si="59"/>
        <v>0</v>
      </c>
      <c r="S125" s="98" t="e">
        <f t="shared" si="58"/>
        <v>#REF!</v>
      </c>
      <c r="T125" s="98" t="e">
        <f t="shared" si="58"/>
        <v>#REF!</v>
      </c>
      <c r="V125" s="98" t="e">
        <f t="shared" si="40"/>
        <v>#REF!</v>
      </c>
      <c r="X125" s="102"/>
    </row>
    <row r="126" spans="1:32" s="93" customFormat="1" x14ac:dyDescent="0.25">
      <c r="A126" s="118" t="s">
        <v>55</v>
      </c>
      <c r="B126" s="119"/>
      <c r="C126" s="120"/>
      <c r="D126" s="149"/>
      <c r="E126" s="150"/>
      <c r="F126" s="764"/>
      <c r="G126" s="765">
        <v>0</v>
      </c>
      <c r="H126" s="151"/>
      <c r="I126" s="152"/>
      <c r="J126" s="153"/>
      <c r="K126" s="154"/>
      <c r="L126" s="127"/>
      <c r="M126" s="765"/>
      <c r="N126" s="765"/>
      <c r="O126" s="765"/>
      <c r="P126" s="765"/>
      <c r="Q126" s="765"/>
      <c r="R126" s="154"/>
      <c r="S126" s="151"/>
      <c r="T126" s="151"/>
      <c r="U126" s="94"/>
      <c r="V126" s="151">
        <f t="shared" si="40"/>
        <v>0</v>
      </c>
      <c r="X126" s="127"/>
    </row>
    <row r="127" spans="1:32" s="93" customFormat="1" ht="30" customHeight="1" x14ac:dyDescent="0.25">
      <c r="A127" s="146"/>
      <c r="B127" s="155" t="s">
        <v>352</v>
      </c>
      <c r="C127" s="88" t="s">
        <v>36</v>
      </c>
      <c r="D127" s="89" t="s">
        <v>206</v>
      </c>
      <c r="E127" s="84">
        <v>17000</v>
      </c>
      <c r="F127" s="745">
        <v>0</v>
      </c>
      <c r="G127" s="746">
        <v>0</v>
      </c>
      <c r="H127" s="85">
        <f>'[3]BVA (USD)'!N133</f>
        <v>19487.900000000005</v>
      </c>
      <c r="I127" s="86">
        <f t="shared" si="41"/>
        <v>1.1463470588235296</v>
      </c>
      <c r="J127" s="1245">
        <f t="shared" ref="J127" si="60">F127</f>
        <v>0</v>
      </c>
      <c r="K127" s="1246">
        <f t="shared" ref="K127" si="61">H127*J127</f>
        <v>0</v>
      </c>
      <c r="L127" s="1247"/>
      <c r="M127" s="747">
        <f>'[3]BVA (USD)'!U133</f>
        <v>3</v>
      </c>
      <c r="N127" s="747">
        <f>'[3]BVA (USD)'!V133</f>
        <v>5</v>
      </c>
      <c r="O127" s="747" t="e">
        <f>'[3]BVA (USD)'!W133</f>
        <v>#REF!</v>
      </c>
      <c r="P127" s="747" t="e">
        <f>'[3]BVA (USD)'!X133</f>
        <v>#REF!</v>
      </c>
      <c r="Q127" s="747" t="e">
        <f>'[3]BVA (USD)'!Y133</f>
        <v>#REF!</v>
      </c>
      <c r="R127" s="747" t="e">
        <f>'[3]BVA (USD)'!Z133</f>
        <v>#REF!</v>
      </c>
      <c r="S127" s="85" t="e">
        <f>H127+SUM(M127:R127)</f>
        <v>#REF!</v>
      </c>
      <c r="T127" s="85" t="e">
        <f>E127-S127</f>
        <v>#REF!</v>
      </c>
      <c r="U127" s="94"/>
      <c r="V127" s="85" t="e">
        <f t="shared" si="40"/>
        <v>#REF!</v>
      </c>
      <c r="X127" s="92" t="s">
        <v>353</v>
      </c>
    </row>
    <row r="128" spans="1:32" s="93" customFormat="1" x14ac:dyDescent="0.25">
      <c r="A128" s="146"/>
      <c r="B128" s="144"/>
      <c r="C128" s="88"/>
      <c r="D128" s="89"/>
      <c r="E128" s="84"/>
      <c r="F128" s="745"/>
      <c r="G128" s="746">
        <v>0</v>
      </c>
      <c r="H128" s="85"/>
      <c r="I128" s="86"/>
      <c r="J128" s="145"/>
      <c r="K128" s="90"/>
      <c r="L128" s="92"/>
      <c r="M128" s="747"/>
      <c r="N128" s="747"/>
      <c r="O128" s="747"/>
      <c r="P128" s="747"/>
      <c r="Q128" s="747"/>
      <c r="R128" s="90"/>
      <c r="S128" s="85">
        <f>H128+SUM(M128:R128)</f>
        <v>0</v>
      </c>
      <c r="T128" s="85">
        <f>E128-S128</f>
        <v>0</v>
      </c>
      <c r="U128" s="94"/>
      <c r="V128" s="85">
        <f t="shared" si="40"/>
        <v>0</v>
      </c>
      <c r="X128" s="92"/>
    </row>
    <row r="129" spans="1:32" s="93" customFormat="1" x14ac:dyDescent="0.25">
      <c r="A129" s="146"/>
      <c r="B129" s="144"/>
      <c r="C129" s="88"/>
      <c r="D129" s="89"/>
      <c r="E129" s="84"/>
      <c r="F129" s="745"/>
      <c r="G129" s="746">
        <v>0</v>
      </c>
      <c r="H129" s="85"/>
      <c r="I129" s="86"/>
      <c r="J129" s="145"/>
      <c r="K129" s="90"/>
      <c r="L129" s="92"/>
      <c r="M129" s="747"/>
      <c r="N129" s="747"/>
      <c r="O129" s="747"/>
      <c r="P129" s="747"/>
      <c r="Q129" s="747"/>
      <c r="R129" s="90"/>
      <c r="S129" s="85">
        <f>H129+SUM(M129:R129)</f>
        <v>0</v>
      </c>
      <c r="T129" s="85">
        <f>E129-S129</f>
        <v>0</v>
      </c>
      <c r="U129" s="94"/>
      <c r="V129" s="85">
        <f t="shared" si="40"/>
        <v>0</v>
      </c>
      <c r="X129" s="92"/>
    </row>
    <row r="130" spans="1:32" s="93" customFormat="1" x14ac:dyDescent="0.25">
      <c r="A130" s="146"/>
      <c r="B130" s="147"/>
      <c r="C130" s="148"/>
      <c r="D130" s="2574" t="s">
        <v>0</v>
      </c>
      <c r="E130" s="97">
        <v>17000</v>
      </c>
      <c r="F130" s="748">
        <v>0</v>
      </c>
      <c r="G130" s="749">
        <v>0</v>
      </c>
      <c r="H130" s="98">
        <f>H127</f>
        <v>19487.900000000005</v>
      </c>
      <c r="I130" s="99">
        <f t="shared" si="41"/>
        <v>1.1463470588235296</v>
      </c>
      <c r="J130" s="100"/>
      <c r="K130" s="101">
        <f t="shared" ref="K130:T130" si="62">K127</f>
        <v>0</v>
      </c>
      <c r="L130" s="102"/>
      <c r="M130" s="750">
        <f t="shared" ref="M130:S130" si="63">M127</f>
        <v>3</v>
      </c>
      <c r="N130" s="750">
        <f t="shared" si="63"/>
        <v>5</v>
      </c>
      <c r="O130" s="750" t="e">
        <f t="shared" si="63"/>
        <v>#REF!</v>
      </c>
      <c r="P130" s="750" t="e">
        <f t="shared" si="63"/>
        <v>#REF!</v>
      </c>
      <c r="Q130" s="750" t="e">
        <f t="shared" si="63"/>
        <v>#REF!</v>
      </c>
      <c r="R130" s="101" t="e">
        <f t="shared" si="63"/>
        <v>#REF!</v>
      </c>
      <c r="S130" s="98" t="e">
        <f t="shared" si="63"/>
        <v>#REF!</v>
      </c>
      <c r="T130" s="98" t="e">
        <f t="shared" si="62"/>
        <v>#REF!</v>
      </c>
      <c r="V130" s="98" t="e">
        <f t="shared" si="40"/>
        <v>#REF!</v>
      </c>
      <c r="X130" s="102"/>
    </row>
    <row r="131" spans="1:32" s="93" customFormat="1" x14ac:dyDescent="0.25">
      <c r="A131" s="118" t="s">
        <v>56</v>
      </c>
      <c r="B131" s="119"/>
      <c r="C131" s="120"/>
      <c r="D131" s="149"/>
      <c r="E131" s="150"/>
      <c r="F131" s="764"/>
      <c r="G131" s="765">
        <v>0</v>
      </c>
      <c r="H131" s="151"/>
      <c r="I131" s="152"/>
      <c r="J131" s="153"/>
      <c r="K131" s="154"/>
      <c r="L131" s="127"/>
      <c r="M131" s="765"/>
      <c r="N131" s="765"/>
      <c r="O131" s="765"/>
      <c r="P131" s="765"/>
      <c r="Q131" s="765"/>
      <c r="R131" s="154"/>
      <c r="S131" s="151"/>
      <c r="T131" s="151"/>
      <c r="U131" s="94"/>
      <c r="V131" s="151">
        <f t="shared" si="40"/>
        <v>0</v>
      </c>
      <c r="X131" s="127"/>
    </row>
    <row r="132" spans="1:32" s="93" customFormat="1" ht="23.25" customHeight="1" x14ac:dyDescent="0.25">
      <c r="A132" s="146"/>
      <c r="B132" s="155" t="s">
        <v>354</v>
      </c>
      <c r="C132" s="88" t="s">
        <v>36</v>
      </c>
      <c r="D132" s="89"/>
      <c r="E132" s="84">
        <v>33000</v>
      </c>
      <c r="F132" s="745">
        <v>0</v>
      </c>
      <c r="G132" s="746">
        <v>0</v>
      </c>
      <c r="H132" s="85">
        <f>'[3]BVA (USD)'!N136</f>
        <v>38758.99</v>
      </c>
      <c r="I132" s="86">
        <f t="shared" si="41"/>
        <v>1.1745148484848484</v>
      </c>
      <c r="J132" s="1245">
        <f t="shared" ref="J132" si="64">F132</f>
        <v>0</v>
      </c>
      <c r="K132" s="1246">
        <f t="shared" ref="K132" si="65">H132*J132</f>
        <v>0</v>
      </c>
      <c r="L132" s="1247"/>
      <c r="M132" s="747" t="e">
        <f>'[3]BVA (USD)'!U136</f>
        <v>#REF!</v>
      </c>
      <c r="N132" s="747" t="e">
        <f>'[3]BVA (USD)'!V136</f>
        <v>#REF!</v>
      </c>
      <c r="O132" s="747" t="e">
        <f>'[3]BVA (USD)'!W136</f>
        <v>#REF!</v>
      </c>
      <c r="P132" s="747" t="e">
        <f>'[3]BVA (USD)'!X136</f>
        <v>#REF!</v>
      </c>
      <c r="Q132" s="747" t="e">
        <f>'[3]BVA (USD)'!Y136</f>
        <v>#REF!</v>
      </c>
      <c r="R132" s="747" t="e">
        <f>'[3]BVA (USD)'!Z136</f>
        <v>#REF!</v>
      </c>
      <c r="S132" s="85" t="e">
        <f>H132+SUM(M132:R132)</f>
        <v>#REF!</v>
      </c>
      <c r="T132" s="85" t="e">
        <f>E132-S132</f>
        <v>#REF!</v>
      </c>
      <c r="U132" s="94"/>
      <c r="V132" s="85" t="e">
        <f t="shared" si="40"/>
        <v>#REF!</v>
      </c>
      <c r="X132" s="92" t="s">
        <v>355</v>
      </c>
    </row>
    <row r="133" spans="1:32" s="93" customFormat="1" x14ac:dyDescent="0.25">
      <c r="A133" s="146"/>
      <c r="B133" s="144"/>
      <c r="C133" s="88"/>
      <c r="D133" s="89"/>
      <c r="E133" s="84"/>
      <c r="F133" s="745"/>
      <c r="G133" s="746">
        <v>0</v>
      </c>
      <c r="H133" s="85"/>
      <c r="I133" s="86"/>
      <c r="J133" s="145"/>
      <c r="K133" s="90"/>
      <c r="L133" s="92"/>
      <c r="M133" s="747"/>
      <c r="N133" s="747"/>
      <c r="O133" s="747"/>
      <c r="P133" s="747"/>
      <c r="Q133" s="747"/>
      <c r="R133" s="90"/>
      <c r="S133" s="85">
        <f>H133+SUM(M133:R133)</f>
        <v>0</v>
      </c>
      <c r="T133" s="85">
        <f>E133-S133</f>
        <v>0</v>
      </c>
      <c r="U133" s="94"/>
      <c r="V133" s="85">
        <f t="shared" si="40"/>
        <v>0</v>
      </c>
      <c r="X133" s="92"/>
    </row>
    <row r="134" spans="1:32" s="93" customFormat="1" x14ac:dyDescent="0.25">
      <c r="A134" s="146"/>
      <c r="B134" s="144"/>
      <c r="C134" s="88"/>
      <c r="D134" s="89"/>
      <c r="E134" s="84"/>
      <c r="F134" s="745"/>
      <c r="G134" s="746">
        <v>0</v>
      </c>
      <c r="H134" s="85"/>
      <c r="I134" s="86"/>
      <c r="J134" s="145"/>
      <c r="K134" s="90"/>
      <c r="L134" s="92"/>
      <c r="M134" s="747"/>
      <c r="N134" s="747"/>
      <c r="O134" s="747"/>
      <c r="P134" s="747"/>
      <c r="Q134" s="747"/>
      <c r="R134" s="90"/>
      <c r="S134" s="85">
        <f>H134+SUM(M134:R134)</f>
        <v>0</v>
      </c>
      <c r="T134" s="85">
        <f>E134-S134</f>
        <v>0</v>
      </c>
      <c r="U134" s="94"/>
      <c r="V134" s="85">
        <f t="shared" si="40"/>
        <v>0</v>
      </c>
      <c r="X134" s="92"/>
    </row>
    <row r="135" spans="1:32" s="93" customFormat="1" x14ac:dyDescent="0.25">
      <c r="A135" s="146"/>
      <c r="B135" s="156"/>
      <c r="C135" s="96"/>
      <c r="D135" s="2574" t="s">
        <v>0</v>
      </c>
      <c r="E135" s="97">
        <v>33000</v>
      </c>
      <c r="F135" s="748">
        <v>0</v>
      </c>
      <c r="G135" s="749">
        <v>0</v>
      </c>
      <c r="H135" s="98">
        <f>H132</f>
        <v>38758.99</v>
      </c>
      <c r="I135" s="99">
        <f t="shared" si="41"/>
        <v>1.1745148484848484</v>
      </c>
      <c r="J135" s="100"/>
      <c r="K135" s="101">
        <f t="shared" ref="K135:T135" si="66">K132</f>
        <v>0</v>
      </c>
      <c r="L135" s="102"/>
      <c r="M135" s="750" t="e">
        <f t="shared" ref="M135:S135" si="67">M132</f>
        <v>#REF!</v>
      </c>
      <c r="N135" s="750" t="e">
        <f t="shared" si="67"/>
        <v>#REF!</v>
      </c>
      <c r="O135" s="750" t="e">
        <f t="shared" si="67"/>
        <v>#REF!</v>
      </c>
      <c r="P135" s="750" t="e">
        <f t="shared" si="67"/>
        <v>#REF!</v>
      </c>
      <c r="Q135" s="750" t="e">
        <f t="shared" si="67"/>
        <v>#REF!</v>
      </c>
      <c r="R135" s="101" t="e">
        <f t="shared" si="67"/>
        <v>#REF!</v>
      </c>
      <c r="S135" s="98" t="e">
        <f t="shared" si="67"/>
        <v>#REF!</v>
      </c>
      <c r="T135" s="98" t="e">
        <f t="shared" si="66"/>
        <v>#REF!</v>
      </c>
      <c r="V135" s="98" t="e">
        <f t="shared" si="40"/>
        <v>#REF!</v>
      </c>
      <c r="X135" s="102"/>
    </row>
    <row r="136" spans="1:32" s="93" customFormat="1" x14ac:dyDescent="0.25">
      <c r="A136" s="118" t="s">
        <v>57</v>
      </c>
      <c r="B136" s="119"/>
      <c r="C136" s="120"/>
      <c r="D136" s="149"/>
      <c r="E136" s="150"/>
      <c r="F136" s="764"/>
      <c r="G136" s="765">
        <v>0</v>
      </c>
      <c r="H136" s="151"/>
      <c r="I136" s="152"/>
      <c r="J136" s="153"/>
      <c r="K136" s="154"/>
      <c r="L136" s="127"/>
      <c r="M136" s="765"/>
      <c r="N136" s="765"/>
      <c r="O136" s="765"/>
      <c r="P136" s="765"/>
      <c r="Q136" s="765"/>
      <c r="R136" s="154"/>
      <c r="S136" s="151"/>
      <c r="T136" s="151"/>
      <c r="U136" s="94"/>
      <c r="V136" s="151">
        <f t="shared" si="40"/>
        <v>0</v>
      </c>
      <c r="X136" s="127"/>
    </row>
    <row r="137" spans="1:32" s="93" customFormat="1" x14ac:dyDescent="0.25">
      <c r="A137" s="146"/>
      <c r="B137" s="144"/>
      <c r="C137" s="88"/>
      <c r="D137" s="89"/>
      <c r="E137" s="84"/>
      <c r="F137" s="745"/>
      <c r="G137" s="746">
        <v>0</v>
      </c>
      <c r="H137" s="85"/>
      <c r="I137" s="86"/>
      <c r="J137" s="145"/>
      <c r="K137" s="90"/>
      <c r="L137" s="92"/>
      <c r="M137" s="747"/>
      <c r="N137" s="747"/>
      <c r="O137" s="747"/>
      <c r="P137" s="747"/>
      <c r="Q137" s="747"/>
      <c r="R137" s="90"/>
      <c r="S137" s="85">
        <f>H137+SUM(M137:R137)</f>
        <v>0</v>
      </c>
      <c r="T137" s="85">
        <f>E137-S137</f>
        <v>0</v>
      </c>
      <c r="U137" s="94"/>
      <c r="V137" s="85">
        <f t="shared" si="40"/>
        <v>0</v>
      </c>
      <c r="X137" s="92"/>
    </row>
    <row r="138" spans="1:32" s="93" customFormat="1" x14ac:dyDescent="0.25">
      <c r="A138" s="146"/>
      <c r="B138" s="144"/>
      <c r="C138" s="88"/>
      <c r="D138" s="89"/>
      <c r="E138" s="84"/>
      <c r="F138" s="745"/>
      <c r="G138" s="746">
        <v>0</v>
      </c>
      <c r="H138" s="85"/>
      <c r="I138" s="86"/>
      <c r="J138" s="145"/>
      <c r="K138" s="90"/>
      <c r="L138" s="92"/>
      <c r="M138" s="747"/>
      <c r="N138" s="747"/>
      <c r="O138" s="747"/>
      <c r="P138" s="747"/>
      <c r="Q138" s="747"/>
      <c r="R138" s="90"/>
      <c r="S138" s="85">
        <f>H138+SUM(M138:R138)</f>
        <v>0</v>
      </c>
      <c r="T138" s="85">
        <f>E138-S138</f>
        <v>0</v>
      </c>
      <c r="U138" s="94"/>
      <c r="V138" s="85">
        <f t="shared" si="40"/>
        <v>0</v>
      </c>
      <c r="X138" s="92"/>
    </row>
    <row r="139" spans="1:32" s="93" customFormat="1" x14ac:dyDescent="0.25">
      <c r="A139" s="146"/>
      <c r="B139" s="144"/>
      <c r="C139" s="88"/>
      <c r="D139" s="89"/>
      <c r="E139" s="84"/>
      <c r="F139" s="745"/>
      <c r="G139" s="746">
        <v>0</v>
      </c>
      <c r="H139" s="85"/>
      <c r="I139" s="86"/>
      <c r="J139" s="145"/>
      <c r="K139" s="90"/>
      <c r="L139" s="92"/>
      <c r="M139" s="747"/>
      <c r="N139" s="747"/>
      <c r="O139" s="747"/>
      <c r="P139" s="747"/>
      <c r="Q139" s="747"/>
      <c r="R139" s="90"/>
      <c r="S139" s="85">
        <f>H139+SUM(M139:R139)</f>
        <v>0</v>
      </c>
      <c r="T139" s="85">
        <f>E139-S139</f>
        <v>0</v>
      </c>
      <c r="U139" s="94"/>
      <c r="V139" s="85">
        <f t="shared" si="40"/>
        <v>0</v>
      </c>
      <c r="X139" s="92"/>
    </row>
    <row r="140" spans="1:32" s="93" customFormat="1" x14ac:dyDescent="0.25">
      <c r="A140" s="146"/>
      <c r="B140" s="156"/>
      <c r="C140" s="157"/>
      <c r="D140" s="2574" t="s">
        <v>0</v>
      </c>
      <c r="E140" s="97"/>
      <c r="F140" s="766"/>
      <c r="G140" s="767">
        <v>0</v>
      </c>
      <c r="H140" s="158"/>
      <c r="I140" s="159"/>
      <c r="J140" s="160"/>
      <c r="K140" s="161"/>
      <c r="L140" s="162"/>
      <c r="M140" s="768"/>
      <c r="N140" s="768"/>
      <c r="O140" s="768"/>
      <c r="P140" s="768"/>
      <c r="Q140" s="768"/>
      <c r="R140" s="161"/>
      <c r="S140" s="158"/>
      <c r="T140" s="158"/>
      <c r="U140" s="94"/>
      <c r="V140" s="158">
        <f t="shared" si="40"/>
        <v>0</v>
      </c>
      <c r="X140" s="162"/>
    </row>
    <row r="141" spans="1:32" s="93" customFormat="1" x14ac:dyDescent="0.25">
      <c r="A141" s="118" t="s">
        <v>59</v>
      </c>
      <c r="B141" s="119"/>
      <c r="C141" s="120"/>
      <c r="D141" s="149"/>
      <c r="E141" s="150"/>
      <c r="F141" s="764"/>
      <c r="G141" s="765">
        <v>0</v>
      </c>
      <c r="H141" s="151"/>
      <c r="I141" s="152"/>
      <c r="J141" s="153"/>
      <c r="K141" s="154"/>
      <c r="L141" s="127"/>
      <c r="M141" s="765"/>
      <c r="N141" s="765"/>
      <c r="O141" s="765"/>
      <c r="P141" s="765"/>
      <c r="Q141" s="765"/>
      <c r="R141" s="154"/>
      <c r="S141" s="151"/>
      <c r="T141" s="151"/>
      <c r="U141" s="94"/>
      <c r="V141" s="151">
        <f t="shared" ref="V141:V179" si="68">S141-E141</f>
        <v>0</v>
      </c>
      <c r="X141" s="127"/>
    </row>
    <row r="142" spans="1:32" s="93" customFormat="1" ht="23.25" customHeight="1" x14ac:dyDescent="0.25">
      <c r="A142" s="146"/>
      <c r="B142" s="155" t="s">
        <v>356</v>
      </c>
      <c r="C142" s="88" t="s">
        <v>17</v>
      </c>
      <c r="D142" s="89" t="s">
        <v>206</v>
      </c>
      <c r="E142" s="84">
        <v>16034.55</v>
      </c>
      <c r="F142" s="745">
        <v>0</v>
      </c>
      <c r="G142" s="746">
        <v>0</v>
      </c>
      <c r="H142" s="85">
        <f>'[3]BVA (USD)'!N142</f>
        <v>16502.02</v>
      </c>
      <c r="I142" s="86">
        <f t="shared" ref="I142:I179" si="69">H142/E142</f>
        <v>1.0291539207523754</v>
      </c>
      <c r="J142" s="1245">
        <f t="shared" ref="J142:J144" si="70">F142</f>
        <v>0</v>
      </c>
      <c r="K142" s="1246">
        <f t="shared" ref="K142:K144" si="71">H142*J142</f>
        <v>0</v>
      </c>
      <c r="L142" s="1247"/>
      <c r="M142" s="747">
        <f>'[3]BVA (USD)'!U142</f>
        <v>450</v>
      </c>
      <c r="N142" s="747">
        <f>'[3]BVA (USD)'!V142</f>
        <v>450</v>
      </c>
      <c r="O142" s="747">
        <f>'[3]BVA (USD)'!W142</f>
        <v>450</v>
      </c>
      <c r="P142" s="747" t="e">
        <f>'[3]BVA (USD)'!X142</f>
        <v>#REF!</v>
      </c>
      <c r="Q142" s="747" t="e">
        <f>'[3]BVA (USD)'!Y142</f>
        <v>#REF!</v>
      </c>
      <c r="R142" s="747" t="e">
        <f>'[3]BVA (USD)'!Z142</f>
        <v>#REF!</v>
      </c>
      <c r="S142" s="85" t="e">
        <f>H142+SUM(M142:R142)</f>
        <v>#REF!</v>
      </c>
      <c r="T142" s="85" t="e">
        <f>E142-S142</f>
        <v>#REF!</v>
      </c>
      <c r="U142" s="94"/>
      <c r="V142" s="85" t="e">
        <f t="shared" si="68"/>
        <v>#REF!</v>
      </c>
      <c r="X142" s="92" t="s">
        <v>357</v>
      </c>
    </row>
    <row r="143" spans="1:32" s="1877" customFormat="1" ht="39" x14ac:dyDescent="0.25">
      <c r="A143" s="1880"/>
      <c r="B143" s="155" t="s">
        <v>358</v>
      </c>
      <c r="C143" s="88" t="s">
        <v>17</v>
      </c>
      <c r="D143" s="89" t="s">
        <v>206</v>
      </c>
      <c r="E143" s="84">
        <v>18400</v>
      </c>
      <c r="F143" s="745">
        <v>0</v>
      </c>
      <c r="G143" s="746">
        <v>0</v>
      </c>
      <c r="H143" s="85">
        <f>'[3]BVA (USD)'!N143</f>
        <v>25258.719999999994</v>
      </c>
      <c r="I143" s="86">
        <f t="shared" si="69"/>
        <v>1.3727565217391302</v>
      </c>
      <c r="J143" s="1245">
        <f t="shared" si="70"/>
        <v>0</v>
      </c>
      <c r="K143" s="1246">
        <f t="shared" si="71"/>
        <v>0</v>
      </c>
      <c r="L143" s="92" t="s">
        <v>1534</v>
      </c>
      <c r="M143" s="747">
        <f>'[3]BVA (USD)'!U143</f>
        <v>300</v>
      </c>
      <c r="N143" s="747">
        <f>'[3]BVA (USD)'!V143</f>
        <v>300</v>
      </c>
      <c r="O143" s="747">
        <f>'[3]BVA (USD)'!W143</f>
        <v>300</v>
      </c>
      <c r="P143" s="747">
        <f>'[3]BVA (USD)'!X143</f>
        <v>250</v>
      </c>
      <c r="Q143" s="747" t="e">
        <f>'[3]BVA (USD)'!Y143</f>
        <v>#REF!</v>
      </c>
      <c r="R143" s="747" t="e">
        <f>'[3]BVA (USD)'!Z143</f>
        <v>#REF!</v>
      </c>
      <c r="S143" s="85" t="e">
        <f>H143+SUM(M143:R143)</f>
        <v>#REF!</v>
      </c>
      <c r="T143" s="85" t="e">
        <f>E143-S143</f>
        <v>#REF!</v>
      </c>
      <c r="U143" s="94"/>
      <c r="V143" s="85" t="e">
        <f t="shared" si="68"/>
        <v>#REF!</v>
      </c>
      <c r="W143" s="93"/>
      <c r="X143" s="92" t="s">
        <v>359</v>
      </c>
      <c r="Y143" s="93"/>
      <c r="Z143" s="93"/>
      <c r="AA143" s="93"/>
      <c r="AB143" s="93"/>
      <c r="AC143" s="93"/>
      <c r="AD143" s="93"/>
      <c r="AE143" s="93"/>
      <c r="AF143" s="93"/>
    </row>
    <row r="144" spans="1:32" s="93" customFormat="1" ht="23.25" customHeight="1" x14ac:dyDescent="0.25">
      <c r="A144" s="146"/>
      <c r="B144" s="155" t="s">
        <v>360</v>
      </c>
      <c r="C144" s="88" t="s">
        <v>17</v>
      </c>
      <c r="D144" s="89" t="s">
        <v>206</v>
      </c>
      <c r="E144" s="84">
        <v>5292</v>
      </c>
      <c r="F144" s="745">
        <v>0</v>
      </c>
      <c r="G144" s="746">
        <v>0</v>
      </c>
      <c r="H144" s="85">
        <f>'[3]BVA (USD)'!N144</f>
        <v>5749.3400000000038</v>
      </c>
      <c r="I144" s="86">
        <f t="shared" si="69"/>
        <v>1.086421012849585</v>
      </c>
      <c r="J144" s="1245">
        <f t="shared" si="70"/>
        <v>0</v>
      </c>
      <c r="K144" s="1246">
        <f t="shared" si="71"/>
        <v>0</v>
      </c>
      <c r="L144" s="1247"/>
      <c r="M144" s="747">
        <f>'[3]BVA (USD)'!U144</f>
        <v>150</v>
      </c>
      <c r="N144" s="747">
        <f>'[3]BVA (USD)'!V144</f>
        <v>75</v>
      </c>
      <c r="O144" s="747" t="e">
        <f>'[3]BVA (USD)'!W144</f>
        <v>#REF!</v>
      </c>
      <c r="P144" s="747" t="e">
        <f>'[3]BVA (USD)'!X144</f>
        <v>#REF!</v>
      </c>
      <c r="Q144" s="747" t="e">
        <f>'[3]BVA (USD)'!Y144</f>
        <v>#REF!</v>
      </c>
      <c r="R144" s="747" t="e">
        <f>'[3]BVA (USD)'!Z144</f>
        <v>#REF!</v>
      </c>
      <c r="S144" s="85" t="e">
        <f>H144+SUM(M144:R144)</f>
        <v>#REF!</v>
      </c>
      <c r="T144" s="85" t="e">
        <f>E144-S144</f>
        <v>#REF!</v>
      </c>
      <c r="U144" s="94"/>
      <c r="V144" s="85" t="e">
        <f t="shared" si="68"/>
        <v>#REF!</v>
      </c>
      <c r="X144" s="92" t="s">
        <v>361</v>
      </c>
    </row>
    <row r="145" spans="1:24" s="93" customFormat="1" x14ac:dyDescent="0.25">
      <c r="A145" s="146"/>
      <c r="B145" s="144"/>
      <c r="C145" s="88"/>
      <c r="D145" s="89"/>
      <c r="E145" s="84"/>
      <c r="F145" s="745"/>
      <c r="G145" s="746">
        <v>0</v>
      </c>
      <c r="H145" s="85"/>
      <c r="I145" s="86"/>
      <c r="J145" s="145"/>
      <c r="K145" s="90"/>
      <c r="L145" s="92"/>
      <c r="M145" s="747"/>
      <c r="N145" s="747"/>
      <c r="O145" s="747"/>
      <c r="P145" s="747"/>
      <c r="Q145" s="747"/>
      <c r="R145" s="747"/>
      <c r="S145" s="85">
        <f>H145+SUM(M145:R145)</f>
        <v>0</v>
      </c>
      <c r="T145" s="85">
        <f>E145-S145</f>
        <v>0</v>
      </c>
      <c r="U145" s="94"/>
      <c r="V145" s="85">
        <f t="shared" si="68"/>
        <v>0</v>
      </c>
      <c r="X145" s="92"/>
    </row>
    <row r="146" spans="1:24" s="93" customFormat="1" x14ac:dyDescent="0.25">
      <c r="A146" s="146"/>
      <c r="B146" s="156"/>
      <c r="C146" s="96"/>
      <c r="D146" s="2574" t="s">
        <v>0</v>
      </c>
      <c r="E146" s="97">
        <v>39726.550000000003</v>
      </c>
      <c r="F146" s="748">
        <v>0</v>
      </c>
      <c r="G146" s="749">
        <v>0</v>
      </c>
      <c r="H146" s="98">
        <f>SUM(H142:H145)</f>
        <v>47510.079999999994</v>
      </c>
      <c r="I146" s="99">
        <f t="shared" si="69"/>
        <v>1.1959276604688802</v>
      </c>
      <c r="J146" s="100"/>
      <c r="K146" s="101">
        <f t="shared" ref="K146:T146" si="72">SUM(K142:K145)</f>
        <v>0</v>
      </c>
      <c r="L146" s="102"/>
      <c r="M146" s="750">
        <f t="shared" ref="M146:R146" si="73">SUM(M142:M145)</f>
        <v>900</v>
      </c>
      <c r="N146" s="750">
        <f t="shared" si="73"/>
        <v>825</v>
      </c>
      <c r="O146" s="750" t="e">
        <f t="shared" si="73"/>
        <v>#REF!</v>
      </c>
      <c r="P146" s="750" t="e">
        <f t="shared" si="73"/>
        <v>#REF!</v>
      </c>
      <c r="Q146" s="750" t="e">
        <f t="shared" si="73"/>
        <v>#REF!</v>
      </c>
      <c r="R146" s="101" t="e">
        <f t="shared" si="73"/>
        <v>#REF!</v>
      </c>
      <c r="S146" s="98" t="e">
        <f t="shared" si="72"/>
        <v>#REF!</v>
      </c>
      <c r="T146" s="98" t="e">
        <f t="shared" si="72"/>
        <v>#REF!</v>
      </c>
      <c r="V146" s="98" t="e">
        <f t="shared" si="68"/>
        <v>#REF!</v>
      </c>
      <c r="X146" s="102"/>
    </row>
    <row r="147" spans="1:24" s="93" customFormat="1" x14ac:dyDescent="0.25">
      <c r="A147" s="118" t="s">
        <v>60</v>
      </c>
      <c r="B147" s="119"/>
      <c r="C147" s="120"/>
      <c r="D147" s="149"/>
      <c r="E147" s="150"/>
      <c r="F147" s="764"/>
      <c r="G147" s="765">
        <v>0</v>
      </c>
      <c r="H147" s="151"/>
      <c r="I147" s="152"/>
      <c r="J147" s="153"/>
      <c r="K147" s="154"/>
      <c r="L147" s="127"/>
      <c r="M147" s="765"/>
      <c r="N147" s="765"/>
      <c r="O147" s="765"/>
      <c r="P147" s="765"/>
      <c r="Q147" s="765"/>
      <c r="R147" s="154"/>
      <c r="S147" s="151"/>
      <c r="T147" s="151"/>
      <c r="U147" s="94"/>
      <c r="V147" s="151">
        <f t="shared" si="68"/>
        <v>0</v>
      </c>
      <c r="X147" s="127"/>
    </row>
    <row r="148" spans="1:24" s="93" customFormat="1" x14ac:dyDescent="0.25">
      <c r="A148" s="146"/>
      <c r="B148" s="144"/>
      <c r="C148" s="88"/>
      <c r="D148" s="89"/>
      <c r="E148" s="84"/>
      <c r="F148" s="745"/>
      <c r="G148" s="746">
        <v>0</v>
      </c>
      <c r="H148" s="85"/>
      <c r="I148" s="86"/>
      <c r="J148" s="145"/>
      <c r="K148" s="90"/>
      <c r="L148" s="92"/>
      <c r="M148" s="747"/>
      <c r="N148" s="747"/>
      <c r="O148" s="747"/>
      <c r="P148" s="747"/>
      <c r="Q148" s="747"/>
      <c r="R148" s="90"/>
      <c r="S148" s="85">
        <f>H148+SUM(M148:R148)</f>
        <v>0</v>
      </c>
      <c r="T148" s="85">
        <f>E148-S148</f>
        <v>0</v>
      </c>
      <c r="U148" s="94"/>
      <c r="V148" s="85">
        <f t="shared" si="68"/>
        <v>0</v>
      </c>
      <c r="X148" s="92"/>
    </row>
    <row r="149" spans="1:24" s="93" customFormat="1" x14ac:dyDescent="0.25">
      <c r="A149" s="146"/>
      <c r="B149" s="144"/>
      <c r="C149" s="88"/>
      <c r="D149" s="89"/>
      <c r="E149" s="84"/>
      <c r="F149" s="745"/>
      <c r="G149" s="746">
        <v>0</v>
      </c>
      <c r="H149" s="85"/>
      <c r="I149" s="86"/>
      <c r="J149" s="145"/>
      <c r="K149" s="90"/>
      <c r="L149" s="92"/>
      <c r="M149" s="747"/>
      <c r="N149" s="747"/>
      <c r="O149" s="747"/>
      <c r="P149" s="747"/>
      <c r="Q149" s="747"/>
      <c r="R149" s="90"/>
      <c r="S149" s="85">
        <f>H149+SUM(M149:R149)</f>
        <v>0</v>
      </c>
      <c r="T149" s="85">
        <f>E149-S149</f>
        <v>0</v>
      </c>
      <c r="U149" s="94"/>
      <c r="V149" s="85">
        <f t="shared" si="68"/>
        <v>0</v>
      </c>
      <c r="X149" s="92"/>
    </row>
    <row r="150" spans="1:24" s="93" customFormat="1" x14ac:dyDescent="0.25">
      <c r="A150" s="146"/>
      <c r="B150" s="144"/>
      <c r="C150" s="88"/>
      <c r="D150" s="89"/>
      <c r="E150" s="84"/>
      <c r="F150" s="745"/>
      <c r="G150" s="746">
        <v>0</v>
      </c>
      <c r="H150" s="85"/>
      <c r="I150" s="86"/>
      <c r="J150" s="145"/>
      <c r="K150" s="90"/>
      <c r="L150" s="92"/>
      <c r="M150" s="747"/>
      <c r="N150" s="747"/>
      <c r="O150" s="747"/>
      <c r="P150" s="747"/>
      <c r="Q150" s="747"/>
      <c r="R150" s="90"/>
      <c r="S150" s="85">
        <f>H150+SUM(M150:R150)</f>
        <v>0</v>
      </c>
      <c r="T150" s="85">
        <f>E150-S150</f>
        <v>0</v>
      </c>
      <c r="U150" s="94"/>
      <c r="V150" s="85">
        <f t="shared" si="68"/>
        <v>0</v>
      </c>
      <c r="X150" s="92"/>
    </row>
    <row r="151" spans="1:24" s="93" customFormat="1" x14ac:dyDescent="0.25">
      <c r="A151" s="146"/>
      <c r="B151" s="156"/>
      <c r="C151" s="157"/>
      <c r="D151" s="2574" t="s">
        <v>0</v>
      </c>
      <c r="E151" s="97"/>
      <c r="F151" s="766"/>
      <c r="G151" s="767">
        <v>0</v>
      </c>
      <c r="H151" s="158"/>
      <c r="I151" s="159"/>
      <c r="J151" s="160"/>
      <c r="K151" s="161"/>
      <c r="L151" s="162"/>
      <c r="M151" s="768"/>
      <c r="N151" s="768"/>
      <c r="O151" s="768"/>
      <c r="P151" s="768"/>
      <c r="Q151" s="768"/>
      <c r="R151" s="161"/>
      <c r="S151" s="158"/>
      <c r="T151" s="158"/>
      <c r="U151" s="94"/>
      <c r="V151" s="158">
        <f t="shared" si="68"/>
        <v>0</v>
      </c>
      <c r="X151" s="162"/>
    </row>
    <row r="152" spans="1:24" s="93" customFormat="1" x14ac:dyDescent="0.25">
      <c r="A152" s="118" t="s">
        <v>58</v>
      </c>
      <c r="B152" s="119"/>
      <c r="C152" s="120"/>
      <c r="D152" s="149"/>
      <c r="E152" s="150"/>
      <c r="F152" s="764"/>
      <c r="G152" s="765">
        <v>0</v>
      </c>
      <c r="H152" s="151"/>
      <c r="I152" s="152"/>
      <c r="J152" s="153"/>
      <c r="K152" s="154"/>
      <c r="L152" s="127"/>
      <c r="M152" s="765"/>
      <c r="N152" s="765"/>
      <c r="O152" s="765"/>
      <c r="P152" s="765"/>
      <c r="Q152" s="765"/>
      <c r="R152" s="154"/>
      <c r="S152" s="151"/>
      <c r="T152" s="151"/>
      <c r="U152" s="94"/>
      <c r="V152" s="151">
        <f t="shared" si="68"/>
        <v>0</v>
      </c>
      <c r="X152" s="127"/>
    </row>
    <row r="153" spans="1:24" s="93" customFormat="1" ht="26" x14ac:dyDescent="0.25">
      <c r="A153" s="163"/>
      <c r="B153" s="164" t="s">
        <v>362</v>
      </c>
      <c r="C153" s="132"/>
      <c r="D153" s="133" t="s">
        <v>206</v>
      </c>
      <c r="E153" s="134"/>
      <c r="F153" s="760"/>
      <c r="G153" s="761">
        <v>0</v>
      </c>
      <c r="H153" s="135"/>
      <c r="I153" s="136"/>
      <c r="J153" s="137"/>
      <c r="K153" s="138"/>
      <c r="L153" s="139"/>
      <c r="M153" s="762"/>
      <c r="N153" s="762"/>
      <c r="O153" s="762"/>
      <c r="P153" s="762"/>
      <c r="Q153" s="762"/>
      <c r="R153" s="138"/>
      <c r="S153" s="135"/>
      <c r="T153" s="135"/>
      <c r="U153" s="763"/>
      <c r="V153" s="135">
        <f t="shared" si="68"/>
        <v>0</v>
      </c>
      <c r="X153" s="139"/>
    </row>
    <row r="154" spans="1:24" s="93" customFormat="1" ht="42.75" customHeight="1" x14ac:dyDescent="0.25">
      <c r="A154" s="146"/>
      <c r="B154" s="87" t="s">
        <v>363</v>
      </c>
      <c r="C154" s="88" t="s">
        <v>19</v>
      </c>
      <c r="D154" s="89" t="s">
        <v>206</v>
      </c>
      <c r="E154" s="84">
        <v>3906</v>
      </c>
      <c r="F154" s="745">
        <v>0</v>
      </c>
      <c r="G154" s="746">
        <v>0</v>
      </c>
      <c r="H154" s="85">
        <f>'[3]BVA (USD)'!N151</f>
        <v>3830.2300000000005</v>
      </c>
      <c r="I154" s="86">
        <f t="shared" si="69"/>
        <v>0.98060163850486448</v>
      </c>
      <c r="J154" s="1245">
        <f t="shared" ref="J154:J160" si="74">F154</f>
        <v>0</v>
      </c>
      <c r="K154" s="1246">
        <f t="shared" ref="K154:K160" si="75">H154*J154</f>
        <v>0</v>
      </c>
      <c r="L154" s="1247"/>
      <c r="M154" s="747">
        <f>'[3]BVA (USD)'!U151</f>
        <v>50</v>
      </c>
      <c r="N154" s="747">
        <f>'[3]BVA (USD)'!V151</f>
        <v>50</v>
      </c>
      <c r="O154" s="747" t="e">
        <f>'[3]BVA (USD)'!W151</f>
        <v>#REF!</v>
      </c>
      <c r="P154" s="747" t="e">
        <f>'[3]BVA (USD)'!X151</f>
        <v>#REF!</v>
      </c>
      <c r="Q154" s="747" t="e">
        <f>'[3]BVA (USD)'!Y151</f>
        <v>#REF!</v>
      </c>
      <c r="R154" s="747" t="e">
        <f>'[3]BVA (USD)'!Z151</f>
        <v>#REF!</v>
      </c>
      <c r="S154" s="85" t="e">
        <f t="shared" ref="S154:S160" si="76">H154+SUM(M154:R154)</f>
        <v>#REF!</v>
      </c>
      <c r="T154" s="85" t="e">
        <f t="shared" ref="T154:T160" si="77">E154-S154</f>
        <v>#REF!</v>
      </c>
      <c r="U154" s="94"/>
      <c r="V154" s="85" t="e">
        <f t="shared" si="68"/>
        <v>#REF!</v>
      </c>
      <c r="X154" s="92" t="s">
        <v>364</v>
      </c>
    </row>
    <row r="155" spans="1:24" s="93" customFormat="1" ht="30.75" customHeight="1" x14ac:dyDescent="0.25">
      <c r="A155" s="146"/>
      <c r="B155" s="87" t="s">
        <v>365</v>
      </c>
      <c r="C155" s="88" t="s">
        <v>19</v>
      </c>
      <c r="D155" s="89" t="s">
        <v>206</v>
      </c>
      <c r="E155" s="84">
        <v>1260</v>
      </c>
      <c r="F155" s="745">
        <v>0</v>
      </c>
      <c r="G155" s="746">
        <v>0</v>
      </c>
      <c r="H155" s="85">
        <f>'[3]BVA (USD)'!N152</f>
        <v>465.25000000000006</v>
      </c>
      <c r="I155" s="86">
        <f t="shared" si="69"/>
        <v>0.36924603174603177</v>
      </c>
      <c r="J155" s="1245">
        <f t="shared" si="74"/>
        <v>0</v>
      </c>
      <c r="K155" s="1246">
        <f t="shared" si="75"/>
        <v>0</v>
      </c>
      <c r="L155" s="1247"/>
      <c r="M155" s="747">
        <f>'[3]BVA (USD)'!U152</f>
        <v>7.94</v>
      </c>
      <c r="N155" s="747">
        <f>'[3]BVA (USD)'!V152</f>
        <v>0.79400000000000004</v>
      </c>
      <c r="O155" s="747" t="e">
        <f>'[3]BVA (USD)'!W152</f>
        <v>#REF!</v>
      </c>
      <c r="P155" s="747" t="e">
        <f>'[3]BVA (USD)'!X152</f>
        <v>#REF!</v>
      </c>
      <c r="Q155" s="747" t="e">
        <f>'[3]BVA (USD)'!Y152</f>
        <v>#REF!</v>
      </c>
      <c r="R155" s="747" t="e">
        <f>'[3]BVA (USD)'!Z152</f>
        <v>#REF!</v>
      </c>
      <c r="S155" s="85" t="e">
        <f t="shared" si="76"/>
        <v>#REF!</v>
      </c>
      <c r="T155" s="85" t="e">
        <f t="shared" si="77"/>
        <v>#REF!</v>
      </c>
      <c r="U155" s="94"/>
      <c r="V155" s="85" t="e">
        <f t="shared" si="68"/>
        <v>#REF!</v>
      </c>
      <c r="X155" s="92" t="s">
        <v>366</v>
      </c>
    </row>
    <row r="156" spans="1:24" s="93" customFormat="1" ht="54" customHeight="1" x14ac:dyDescent="0.25">
      <c r="A156" s="146"/>
      <c r="B156" s="87" t="s">
        <v>367</v>
      </c>
      <c r="C156" s="88" t="s">
        <v>19</v>
      </c>
      <c r="D156" s="89" t="s">
        <v>206</v>
      </c>
      <c r="E156" s="84">
        <v>10080</v>
      </c>
      <c r="F156" s="745">
        <v>0</v>
      </c>
      <c r="G156" s="746">
        <v>0</v>
      </c>
      <c r="H156" s="85">
        <f>'[3]BVA (USD)'!N153</f>
        <v>9854.2400000000016</v>
      </c>
      <c r="I156" s="86">
        <f t="shared" si="69"/>
        <v>0.97760317460317481</v>
      </c>
      <c r="J156" s="1245">
        <f t="shared" si="74"/>
        <v>0</v>
      </c>
      <c r="K156" s="1246">
        <f t="shared" si="75"/>
        <v>0</v>
      </c>
      <c r="L156" s="1247"/>
      <c r="M156" s="747">
        <f>'[3]BVA (USD)'!U153</f>
        <v>299.745</v>
      </c>
      <c r="N156" s="747">
        <f>'[3]BVA (USD)'!V153</f>
        <v>29.974500000000003</v>
      </c>
      <c r="O156" s="747" t="e">
        <f>'[3]BVA (USD)'!W153</f>
        <v>#REF!</v>
      </c>
      <c r="P156" s="747" t="e">
        <f>'[3]BVA (USD)'!X153</f>
        <v>#REF!</v>
      </c>
      <c r="Q156" s="747" t="e">
        <f>'[3]BVA (USD)'!Y153</f>
        <v>#REF!</v>
      </c>
      <c r="R156" s="747" t="e">
        <f>'[3]BVA (USD)'!Z153</f>
        <v>#REF!</v>
      </c>
      <c r="S156" s="85" t="e">
        <f t="shared" si="76"/>
        <v>#REF!</v>
      </c>
      <c r="T156" s="85" t="e">
        <f t="shared" si="77"/>
        <v>#REF!</v>
      </c>
      <c r="U156" s="94"/>
      <c r="V156" s="85" t="e">
        <f t="shared" si="68"/>
        <v>#REF!</v>
      </c>
      <c r="X156" s="92" t="s">
        <v>368</v>
      </c>
    </row>
    <row r="157" spans="1:24" s="93" customFormat="1" ht="39" x14ac:dyDescent="0.25">
      <c r="A157" s="146"/>
      <c r="B157" s="87" t="s">
        <v>369</v>
      </c>
      <c r="C157" s="88" t="s">
        <v>19</v>
      </c>
      <c r="D157" s="89" t="s">
        <v>206</v>
      </c>
      <c r="E157" s="84">
        <v>5040</v>
      </c>
      <c r="F157" s="745">
        <v>0</v>
      </c>
      <c r="G157" s="746">
        <v>0</v>
      </c>
      <c r="H157" s="85">
        <f>'[3]BVA (USD)'!N154</f>
        <v>4244.72</v>
      </c>
      <c r="I157" s="86">
        <f t="shared" si="69"/>
        <v>0.84220634920634929</v>
      </c>
      <c r="J157" s="1245">
        <f t="shared" si="74"/>
        <v>0</v>
      </c>
      <c r="K157" s="1246">
        <f t="shared" si="75"/>
        <v>0</v>
      </c>
      <c r="L157" s="1247"/>
      <c r="M157" s="747">
        <f>'[3]BVA (USD)'!U154</f>
        <v>131.99</v>
      </c>
      <c r="N157" s="747">
        <f>'[3]BVA (USD)'!V154</f>
        <v>13.199000000000002</v>
      </c>
      <c r="O157" s="747" t="e">
        <f>'[3]BVA (USD)'!W154</f>
        <v>#REF!</v>
      </c>
      <c r="P157" s="747" t="e">
        <f>'[3]BVA (USD)'!X154</f>
        <v>#REF!</v>
      </c>
      <c r="Q157" s="747" t="e">
        <f>'[3]BVA (USD)'!Y154</f>
        <v>#REF!</v>
      </c>
      <c r="R157" s="747" t="e">
        <f>'[3]BVA (USD)'!Z154</f>
        <v>#REF!</v>
      </c>
      <c r="S157" s="85" t="e">
        <f t="shared" si="76"/>
        <v>#REF!</v>
      </c>
      <c r="T157" s="85" t="e">
        <f t="shared" si="77"/>
        <v>#REF!</v>
      </c>
      <c r="U157" s="94"/>
      <c r="V157" s="85" t="e">
        <f t="shared" si="68"/>
        <v>#REF!</v>
      </c>
      <c r="X157" s="92" t="s">
        <v>370</v>
      </c>
    </row>
    <row r="158" spans="1:24" s="93" customFormat="1" ht="67.5" customHeight="1" x14ac:dyDescent="0.25">
      <c r="A158" s="146"/>
      <c r="B158" s="87" t="s">
        <v>371</v>
      </c>
      <c r="C158" s="88" t="s">
        <v>19</v>
      </c>
      <c r="D158" s="89" t="s">
        <v>206</v>
      </c>
      <c r="E158" s="84">
        <v>4536</v>
      </c>
      <c r="F158" s="745">
        <v>0</v>
      </c>
      <c r="G158" s="746">
        <v>0</v>
      </c>
      <c r="H158" s="85">
        <f>'[3]BVA (USD)'!N155</f>
        <v>4696.0000000000437</v>
      </c>
      <c r="I158" s="86">
        <f t="shared" si="69"/>
        <v>1.0352733686067115</v>
      </c>
      <c r="J158" s="1245">
        <f t="shared" si="74"/>
        <v>0</v>
      </c>
      <c r="K158" s="1246">
        <f t="shared" si="75"/>
        <v>0</v>
      </c>
      <c r="L158" s="1247"/>
      <c r="M158" s="747">
        <f>'[3]BVA (USD)'!U155</f>
        <v>48.540000000000191</v>
      </c>
      <c r="N158" s="747" t="e">
        <f>'[3]BVA (USD)'!V155</f>
        <v>#REF!</v>
      </c>
      <c r="O158" s="747" t="e">
        <f>'[3]BVA (USD)'!W155</f>
        <v>#REF!</v>
      </c>
      <c r="P158" s="747" t="e">
        <f>'[3]BVA (USD)'!X155</f>
        <v>#REF!</v>
      </c>
      <c r="Q158" s="747" t="e">
        <f>'[3]BVA (USD)'!Y155</f>
        <v>#REF!</v>
      </c>
      <c r="R158" s="747" t="e">
        <f>'[3]BVA (USD)'!Z155</f>
        <v>#REF!</v>
      </c>
      <c r="S158" s="85" t="e">
        <f t="shared" si="76"/>
        <v>#REF!</v>
      </c>
      <c r="T158" s="85" t="e">
        <f t="shared" si="77"/>
        <v>#REF!</v>
      </c>
      <c r="U158" s="94"/>
      <c r="V158" s="85" t="e">
        <f t="shared" si="68"/>
        <v>#REF!</v>
      </c>
      <c r="X158" s="92" t="s">
        <v>372</v>
      </c>
    </row>
    <row r="159" spans="1:24" s="93" customFormat="1" ht="24.75" customHeight="1" x14ac:dyDescent="0.25">
      <c r="A159" s="146"/>
      <c r="B159" s="87" t="s">
        <v>373</v>
      </c>
      <c r="C159" s="88" t="s">
        <v>19</v>
      </c>
      <c r="D159" s="89" t="s">
        <v>206</v>
      </c>
      <c r="E159" s="84">
        <v>5040</v>
      </c>
      <c r="F159" s="745">
        <v>0</v>
      </c>
      <c r="G159" s="746">
        <v>0</v>
      </c>
      <c r="H159" s="85">
        <f>'[3]BVA (USD)'!N156</f>
        <v>3487.49</v>
      </c>
      <c r="I159" s="86">
        <f t="shared" si="69"/>
        <v>0.69196230158730154</v>
      </c>
      <c r="J159" s="1245">
        <f t="shared" si="74"/>
        <v>0</v>
      </c>
      <c r="K159" s="1246">
        <f t="shared" si="75"/>
        <v>0</v>
      </c>
      <c r="L159" s="1247"/>
      <c r="M159" s="747">
        <f>'[3]BVA (USD)'!U156</f>
        <v>144.345</v>
      </c>
      <c r="N159" s="747">
        <f>'[3]BVA (USD)'!V156</f>
        <v>14.4345</v>
      </c>
      <c r="O159" s="747" t="e">
        <f>'[3]BVA (USD)'!W156</f>
        <v>#REF!</v>
      </c>
      <c r="P159" s="747" t="e">
        <f>'[3]BVA (USD)'!X156</f>
        <v>#REF!</v>
      </c>
      <c r="Q159" s="747" t="e">
        <f>'[3]BVA (USD)'!Y156</f>
        <v>#REF!</v>
      </c>
      <c r="R159" s="747" t="e">
        <f>'[3]BVA (USD)'!Z156</f>
        <v>#REF!</v>
      </c>
      <c r="S159" s="85" t="e">
        <f t="shared" si="76"/>
        <v>#REF!</v>
      </c>
      <c r="T159" s="85" t="e">
        <f t="shared" si="77"/>
        <v>#REF!</v>
      </c>
      <c r="U159" s="94"/>
      <c r="V159" s="85" t="e">
        <f t="shared" si="68"/>
        <v>#REF!</v>
      </c>
      <c r="X159" s="92" t="s">
        <v>374</v>
      </c>
    </row>
    <row r="160" spans="1:24" s="93" customFormat="1" ht="32.25" customHeight="1" x14ac:dyDescent="0.25">
      <c r="A160" s="146"/>
      <c r="B160" s="87" t="s">
        <v>375</v>
      </c>
      <c r="C160" s="88" t="s">
        <v>19</v>
      </c>
      <c r="D160" s="89" t="s">
        <v>206</v>
      </c>
      <c r="E160" s="84">
        <v>3780</v>
      </c>
      <c r="F160" s="745">
        <v>0</v>
      </c>
      <c r="G160" s="746">
        <v>0</v>
      </c>
      <c r="H160" s="85">
        <f>'[3]BVA (USD)'!N157</f>
        <v>5204.9900000000007</v>
      </c>
      <c r="I160" s="86">
        <f t="shared" si="69"/>
        <v>1.3769814814814816</v>
      </c>
      <c r="J160" s="1245">
        <f t="shared" si="74"/>
        <v>0</v>
      </c>
      <c r="K160" s="1246">
        <f t="shared" si="75"/>
        <v>0</v>
      </c>
      <c r="L160" s="1247"/>
      <c r="M160" s="747">
        <f>'[3]BVA (USD)'!U157</f>
        <v>111.94</v>
      </c>
      <c r="N160" s="747">
        <f>'[3]BVA (USD)'!V157</f>
        <v>11.194000000000001</v>
      </c>
      <c r="O160" s="747" t="e">
        <f>'[3]BVA (USD)'!W157</f>
        <v>#REF!</v>
      </c>
      <c r="P160" s="747" t="e">
        <f>'[3]BVA (USD)'!X157</f>
        <v>#REF!</v>
      </c>
      <c r="Q160" s="747" t="e">
        <f>'[3]BVA (USD)'!Y157</f>
        <v>#REF!</v>
      </c>
      <c r="R160" s="747" t="e">
        <f>'[3]BVA (USD)'!Z157</f>
        <v>#REF!</v>
      </c>
      <c r="S160" s="85" t="e">
        <f t="shared" si="76"/>
        <v>#REF!</v>
      </c>
      <c r="T160" s="85" t="e">
        <f t="shared" si="77"/>
        <v>#REF!</v>
      </c>
      <c r="U160" s="94"/>
      <c r="V160" s="85" t="e">
        <f t="shared" si="68"/>
        <v>#REF!</v>
      </c>
      <c r="X160" s="92" t="s">
        <v>366</v>
      </c>
    </row>
    <row r="161" spans="1:24" s="93" customFormat="1" ht="26" x14ac:dyDescent="0.25">
      <c r="A161" s="163"/>
      <c r="B161" s="164" t="s">
        <v>376</v>
      </c>
      <c r="C161" s="132"/>
      <c r="D161" s="133" t="s">
        <v>206</v>
      </c>
      <c r="E161" s="134"/>
      <c r="F161" s="760"/>
      <c r="G161" s="761">
        <v>0</v>
      </c>
      <c r="H161" s="135"/>
      <c r="I161" s="136"/>
      <c r="J161" s="137"/>
      <c r="K161" s="138"/>
      <c r="L161" s="139"/>
      <c r="M161" s="762"/>
      <c r="N161" s="762"/>
      <c r="O161" s="762"/>
      <c r="P161" s="762"/>
      <c r="Q161" s="762"/>
      <c r="R161" s="138"/>
      <c r="S161" s="135"/>
      <c r="T161" s="135"/>
      <c r="U161" s="763"/>
      <c r="V161" s="135">
        <f t="shared" si="68"/>
        <v>0</v>
      </c>
      <c r="X161" s="139"/>
    </row>
    <row r="162" spans="1:24" s="93" customFormat="1" ht="39" x14ac:dyDescent="0.25">
      <c r="A162" s="146"/>
      <c r="B162" s="87" t="s">
        <v>377</v>
      </c>
      <c r="C162" s="88" t="s">
        <v>19</v>
      </c>
      <c r="D162" s="89" t="s">
        <v>206</v>
      </c>
      <c r="E162" s="84">
        <v>17640</v>
      </c>
      <c r="F162" s="745">
        <v>0</v>
      </c>
      <c r="G162" s="746">
        <v>0</v>
      </c>
      <c r="H162" s="85">
        <f>'[3]BVA (USD)'!N159</f>
        <v>16610.16</v>
      </c>
      <c r="I162" s="86">
        <f t="shared" si="69"/>
        <v>0.94161904761904758</v>
      </c>
      <c r="J162" s="1245">
        <f t="shared" ref="J162:J169" si="78">F162</f>
        <v>0</v>
      </c>
      <c r="K162" s="1246">
        <f t="shared" ref="K162:K169" si="79">H162*J162</f>
        <v>0</v>
      </c>
      <c r="L162" s="1247"/>
      <c r="M162" s="747">
        <f>'[3]BVA (USD)'!U159</f>
        <v>925</v>
      </c>
      <c r="N162" s="747">
        <f>'[3]BVA (USD)'!V159</f>
        <v>908.04</v>
      </c>
      <c r="O162" s="747">
        <f>'[3]BVA (USD)'!W159</f>
        <v>925</v>
      </c>
      <c r="P162" s="747" t="e">
        <f>'[3]BVA (USD)'!X159</f>
        <v>#REF!</v>
      </c>
      <c r="Q162" s="747" t="e">
        <f>'[3]BVA (USD)'!Y159</f>
        <v>#REF!</v>
      </c>
      <c r="R162" s="747" t="e">
        <f>'[3]BVA (USD)'!Z159</f>
        <v>#REF!</v>
      </c>
      <c r="S162" s="85" t="e">
        <f t="shared" ref="S162:S169" si="80">H162+SUM(M162:R162)</f>
        <v>#REF!</v>
      </c>
      <c r="T162" s="85" t="e">
        <f t="shared" ref="T162:T169" si="81">E162-S162</f>
        <v>#REF!</v>
      </c>
      <c r="U162" s="94"/>
      <c r="V162" s="85" t="e">
        <f t="shared" si="68"/>
        <v>#REF!</v>
      </c>
      <c r="X162" s="92" t="s">
        <v>378</v>
      </c>
    </row>
    <row r="163" spans="1:24" s="93" customFormat="1" ht="32.25" customHeight="1" x14ac:dyDescent="0.25">
      <c r="A163" s="146"/>
      <c r="B163" s="87" t="s">
        <v>379</v>
      </c>
      <c r="C163" s="88" t="s">
        <v>19</v>
      </c>
      <c r="D163" s="89" t="s">
        <v>206</v>
      </c>
      <c r="E163" s="84">
        <v>12600</v>
      </c>
      <c r="F163" s="745">
        <v>0</v>
      </c>
      <c r="G163" s="746">
        <v>0</v>
      </c>
      <c r="H163" s="85">
        <f>'[3]BVA (USD)'!N160</f>
        <v>11233.5</v>
      </c>
      <c r="I163" s="86">
        <f t="shared" si="69"/>
        <v>0.89154761904761903</v>
      </c>
      <c r="J163" s="1245">
        <f t="shared" si="78"/>
        <v>0</v>
      </c>
      <c r="K163" s="1246">
        <f t="shared" si="79"/>
        <v>0</v>
      </c>
      <c r="L163" s="1247"/>
      <c r="M163" s="747">
        <f>'[3]BVA (USD)'!U160</f>
        <v>525</v>
      </c>
      <c r="N163" s="747">
        <f>'[3]BVA (USD)'!V160</f>
        <v>490.83</v>
      </c>
      <c r="O163" s="747">
        <f>'[3]BVA (USD)'!W160</f>
        <v>525</v>
      </c>
      <c r="P163" s="747" t="e">
        <f>'[3]BVA (USD)'!X160</f>
        <v>#REF!</v>
      </c>
      <c r="Q163" s="747" t="e">
        <f>'[3]BVA (USD)'!Y160</f>
        <v>#REF!</v>
      </c>
      <c r="R163" s="747" t="e">
        <f>'[3]BVA (USD)'!Z160</f>
        <v>#REF!</v>
      </c>
      <c r="S163" s="85" t="e">
        <f t="shared" si="80"/>
        <v>#REF!</v>
      </c>
      <c r="T163" s="85" t="e">
        <f t="shared" si="81"/>
        <v>#REF!</v>
      </c>
      <c r="U163" s="94"/>
      <c r="V163" s="85" t="e">
        <f t="shared" si="68"/>
        <v>#REF!</v>
      </c>
      <c r="X163" s="92" t="s">
        <v>380</v>
      </c>
    </row>
    <row r="164" spans="1:24" s="93" customFormat="1" ht="32.25" customHeight="1" x14ac:dyDescent="0.25">
      <c r="A164" s="146"/>
      <c r="B164" s="87" t="s">
        <v>381</v>
      </c>
      <c r="C164" s="88" t="s">
        <v>19</v>
      </c>
      <c r="D164" s="89" t="s">
        <v>206</v>
      </c>
      <c r="E164" s="84">
        <v>5670</v>
      </c>
      <c r="F164" s="745">
        <v>0</v>
      </c>
      <c r="G164" s="746">
        <v>0</v>
      </c>
      <c r="H164" s="85">
        <f>'[3]BVA (USD)'!N161</f>
        <v>4836.26</v>
      </c>
      <c r="I164" s="86">
        <f t="shared" si="69"/>
        <v>0.85295590828924162</v>
      </c>
      <c r="J164" s="1245">
        <f t="shared" si="78"/>
        <v>0</v>
      </c>
      <c r="K164" s="1246">
        <f t="shared" si="79"/>
        <v>0</v>
      </c>
      <c r="L164" s="1247"/>
      <c r="M164" s="747">
        <f>'[3]BVA (USD)'!U161</f>
        <v>225</v>
      </c>
      <c r="N164" s="747">
        <f>'[3]BVA (USD)'!V161</f>
        <v>220.87999999999997</v>
      </c>
      <c r="O164" s="747">
        <f>'[3]BVA (USD)'!W161</f>
        <v>225</v>
      </c>
      <c r="P164" s="747" t="e">
        <f>'[3]BVA (USD)'!X161</f>
        <v>#REF!</v>
      </c>
      <c r="Q164" s="747" t="e">
        <f>'[3]BVA (USD)'!Y161</f>
        <v>#REF!</v>
      </c>
      <c r="R164" s="747" t="e">
        <f>'[3]BVA (USD)'!Z161</f>
        <v>#REF!</v>
      </c>
      <c r="S164" s="85" t="e">
        <f t="shared" si="80"/>
        <v>#REF!</v>
      </c>
      <c r="T164" s="85" t="e">
        <f t="shared" si="81"/>
        <v>#REF!</v>
      </c>
      <c r="U164" s="94"/>
      <c r="V164" s="85" t="e">
        <f t="shared" si="68"/>
        <v>#REF!</v>
      </c>
      <c r="X164" s="92" t="s">
        <v>382</v>
      </c>
    </row>
    <row r="165" spans="1:24" s="93" customFormat="1" ht="32.25" customHeight="1" x14ac:dyDescent="0.25">
      <c r="A165" s="146"/>
      <c r="B165" s="87" t="s">
        <v>383</v>
      </c>
      <c r="C165" s="88" t="s">
        <v>19</v>
      </c>
      <c r="D165" s="89" t="s">
        <v>206</v>
      </c>
      <c r="E165" s="84">
        <v>6360</v>
      </c>
      <c r="F165" s="745">
        <v>0</v>
      </c>
      <c r="G165" s="746">
        <v>0</v>
      </c>
      <c r="H165" s="85">
        <f>'[3]BVA (USD)'!N162</f>
        <v>3320.38</v>
      </c>
      <c r="I165" s="86">
        <f t="shared" si="69"/>
        <v>0.52207232704402518</v>
      </c>
      <c r="J165" s="1245">
        <f t="shared" si="78"/>
        <v>0</v>
      </c>
      <c r="K165" s="1246">
        <f t="shared" si="79"/>
        <v>0</v>
      </c>
      <c r="L165" s="1247"/>
      <c r="M165" s="747">
        <f>'[3]BVA (USD)'!U162</f>
        <v>200</v>
      </c>
      <c r="N165" s="747">
        <f>'[3]BVA (USD)'!V162</f>
        <v>196.33</v>
      </c>
      <c r="O165" s="747">
        <f>'[3]BVA (USD)'!W162</f>
        <v>200</v>
      </c>
      <c r="P165" s="747">
        <f>'[3]BVA (USD)'!X162</f>
        <v>200</v>
      </c>
      <c r="Q165" s="747" t="e">
        <f>'[3]BVA (USD)'!Y162</f>
        <v>#REF!</v>
      </c>
      <c r="R165" s="747" t="e">
        <f>'[3]BVA (USD)'!Z162</f>
        <v>#REF!</v>
      </c>
      <c r="S165" s="85" t="e">
        <f t="shared" si="80"/>
        <v>#REF!</v>
      </c>
      <c r="T165" s="85" t="e">
        <f t="shared" si="81"/>
        <v>#REF!</v>
      </c>
      <c r="U165" s="94"/>
      <c r="V165" s="85" t="e">
        <f t="shared" si="68"/>
        <v>#REF!</v>
      </c>
      <c r="X165" s="92" t="s">
        <v>384</v>
      </c>
    </row>
    <row r="166" spans="1:24" s="93" customFormat="1" ht="32.25" customHeight="1" x14ac:dyDescent="0.25">
      <c r="A166" s="146"/>
      <c r="B166" s="87" t="s">
        <v>385</v>
      </c>
      <c r="C166" s="88" t="s">
        <v>19</v>
      </c>
      <c r="D166" s="89" t="s">
        <v>206</v>
      </c>
      <c r="E166" s="84">
        <v>6960</v>
      </c>
      <c r="F166" s="745">
        <v>0</v>
      </c>
      <c r="G166" s="746">
        <v>0</v>
      </c>
      <c r="H166" s="85">
        <f>'[3]BVA (USD)'!N163</f>
        <v>3060.48</v>
      </c>
      <c r="I166" s="86">
        <f t="shared" si="69"/>
        <v>0.43972413793103449</v>
      </c>
      <c r="J166" s="1245">
        <f t="shared" si="78"/>
        <v>0</v>
      </c>
      <c r="K166" s="1246">
        <f t="shared" si="79"/>
        <v>0</v>
      </c>
      <c r="L166" s="1247"/>
      <c r="M166" s="747">
        <f>'[3]BVA (USD)'!U163</f>
        <v>200</v>
      </c>
      <c r="N166" s="747">
        <f>'[3]BVA (USD)'!V163</f>
        <v>169.93</v>
      </c>
      <c r="O166" s="747">
        <f>'[3]BVA (USD)'!W163</f>
        <v>200</v>
      </c>
      <c r="P166" s="747" t="e">
        <f>'[3]BVA (USD)'!X163</f>
        <v>#REF!</v>
      </c>
      <c r="Q166" s="747" t="e">
        <f>'[3]BVA (USD)'!Y163</f>
        <v>#REF!</v>
      </c>
      <c r="R166" s="747" t="e">
        <f>'[3]BVA (USD)'!Z163</f>
        <v>#REF!</v>
      </c>
      <c r="S166" s="85" t="e">
        <f t="shared" si="80"/>
        <v>#REF!</v>
      </c>
      <c r="T166" s="85" t="e">
        <f t="shared" si="81"/>
        <v>#REF!</v>
      </c>
      <c r="U166" s="94"/>
      <c r="V166" s="85" t="e">
        <f t="shared" si="68"/>
        <v>#REF!</v>
      </c>
      <c r="X166" s="92" t="s">
        <v>386</v>
      </c>
    </row>
    <row r="167" spans="1:24" s="93" customFormat="1" ht="39" x14ac:dyDescent="0.25">
      <c r="A167" s="146"/>
      <c r="B167" s="87" t="s">
        <v>387</v>
      </c>
      <c r="C167" s="88" t="s">
        <v>19</v>
      </c>
      <c r="D167" s="89" t="s">
        <v>206</v>
      </c>
      <c r="E167" s="84">
        <v>2520</v>
      </c>
      <c r="F167" s="745">
        <v>0</v>
      </c>
      <c r="G167" s="746">
        <v>0</v>
      </c>
      <c r="H167" s="85">
        <f>'[3]BVA (USD)'!N164</f>
        <v>120</v>
      </c>
      <c r="I167" s="86">
        <f t="shared" si="69"/>
        <v>4.7619047619047616E-2</v>
      </c>
      <c r="J167" s="1245">
        <f t="shared" si="78"/>
        <v>0</v>
      </c>
      <c r="K167" s="1246">
        <f t="shared" si="79"/>
        <v>0</v>
      </c>
      <c r="L167" s="1247"/>
      <c r="M167" s="747">
        <f>'[3]BVA (USD)'!U164</f>
        <v>50</v>
      </c>
      <c r="N167" s="747">
        <f>'[3]BVA (USD)'!V164</f>
        <v>0</v>
      </c>
      <c r="O167" s="747" t="e">
        <f>'[3]BVA (USD)'!W164</f>
        <v>#REF!</v>
      </c>
      <c r="P167" s="747" t="e">
        <f>'[3]BVA (USD)'!X164</f>
        <v>#REF!</v>
      </c>
      <c r="Q167" s="747" t="e">
        <f>'[3]BVA (USD)'!Y164</f>
        <v>#REF!</v>
      </c>
      <c r="R167" s="747" t="e">
        <f>'[3]BVA (USD)'!Z164</f>
        <v>#REF!</v>
      </c>
      <c r="S167" s="85" t="e">
        <f t="shared" si="80"/>
        <v>#REF!</v>
      </c>
      <c r="T167" s="85" t="e">
        <f t="shared" si="81"/>
        <v>#REF!</v>
      </c>
      <c r="U167" s="94"/>
      <c r="V167" s="85" t="e">
        <f t="shared" si="68"/>
        <v>#REF!</v>
      </c>
      <c r="X167" s="92" t="s">
        <v>388</v>
      </c>
    </row>
    <row r="168" spans="1:24" s="93" customFormat="1" ht="52" x14ac:dyDescent="0.25">
      <c r="A168" s="146"/>
      <c r="B168" s="87" t="s">
        <v>389</v>
      </c>
      <c r="C168" s="88" t="s">
        <v>19</v>
      </c>
      <c r="D168" s="89" t="s">
        <v>206</v>
      </c>
      <c r="E168" s="84">
        <v>30137.120000000003</v>
      </c>
      <c r="F168" s="745">
        <v>0</v>
      </c>
      <c r="G168" s="746">
        <v>0</v>
      </c>
      <c r="H168" s="85">
        <f>'[3]BVA (USD)'!N165</f>
        <v>24929.94000000001</v>
      </c>
      <c r="I168" s="86">
        <f t="shared" si="69"/>
        <v>0.82721706652792326</v>
      </c>
      <c r="J168" s="1245">
        <f t="shared" si="78"/>
        <v>0</v>
      </c>
      <c r="K168" s="1246">
        <f t="shared" si="79"/>
        <v>0</v>
      </c>
      <c r="L168" s="1247"/>
      <c r="M168" s="747">
        <f>'[3]BVA (USD)'!U165</f>
        <v>1200</v>
      </c>
      <c r="N168" s="747">
        <f>'[3]BVA (USD)'!V165</f>
        <v>1367.1400000000003</v>
      </c>
      <c r="O168" s="747">
        <f>'[3]BVA (USD)'!W165</f>
        <v>900</v>
      </c>
      <c r="P168" s="747" t="e">
        <f>'[3]BVA (USD)'!X165</f>
        <v>#REF!</v>
      </c>
      <c r="Q168" s="747" t="e">
        <f>'[3]BVA (USD)'!Y165</f>
        <v>#REF!</v>
      </c>
      <c r="R168" s="747" t="e">
        <f>'[3]BVA (USD)'!Z165</f>
        <v>#REF!</v>
      </c>
      <c r="S168" s="85" t="e">
        <f t="shared" si="80"/>
        <v>#REF!</v>
      </c>
      <c r="T168" s="85" t="e">
        <f t="shared" si="81"/>
        <v>#REF!</v>
      </c>
      <c r="U168" s="94"/>
      <c r="V168" s="85" t="e">
        <f t="shared" si="68"/>
        <v>#REF!</v>
      </c>
      <c r="X168" s="92" t="s">
        <v>390</v>
      </c>
    </row>
    <row r="169" spans="1:24" s="93" customFormat="1" ht="39" x14ac:dyDescent="0.25">
      <c r="A169" s="146"/>
      <c r="B169" s="87" t="s">
        <v>391</v>
      </c>
      <c r="C169" s="88" t="s">
        <v>19</v>
      </c>
      <c r="D169" s="89" t="s">
        <v>206</v>
      </c>
      <c r="E169" s="84">
        <v>8120</v>
      </c>
      <c r="F169" s="745">
        <v>0</v>
      </c>
      <c r="G169" s="746">
        <v>0</v>
      </c>
      <c r="H169" s="85">
        <f>'[3]BVA (USD)'!N166</f>
        <v>5787.7100000000019</v>
      </c>
      <c r="I169" s="86">
        <f t="shared" si="69"/>
        <v>0.7127721674876849</v>
      </c>
      <c r="J169" s="1245">
        <f t="shared" si="78"/>
        <v>0</v>
      </c>
      <c r="K169" s="1246">
        <f t="shared" si="79"/>
        <v>0</v>
      </c>
      <c r="L169" s="1247"/>
      <c r="M169" s="747">
        <f>'[3]BVA (USD)'!U166</f>
        <v>200</v>
      </c>
      <c r="N169" s="747">
        <f>'[3]BVA (USD)'!V166</f>
        <v>223.7</v>
      </c>
      <c r="O169" s="747">
        <f>'[3]BVA (USD)'!W166</f>
        <v>200</v>
      </c>
      <c r="P169" s="747" t="e">
        <f>'[3]BVA (USD)'!X166</f>
        <v>#REF!</v>
      </c>
      <c r="Q169" s="747" t="e">
        <f>'[3]BVA (USD)'!Y166</f>
        <v>#REF!</v>
      </c>
      <c r="R169" s="747" t="e">
        <f>'[3]BVA (USD)'!Z166</f>
        <v>#REF!</v>
      </c>
      <c r="S169" s="85" t="e">
        <f t="shared" si="80"/>
        <v>#REF!</v>
      </c>
      <c r="T169" s="85" t="e">
        <f t="shared" si="81"/>
        <v>#REF!</v>
      </c>
      <c r="U169" s="94"/>
      <c r="V169" s="85" t="e">
        <f t="shared" si="68"/>
        <v>#REF!</v>
      </c>
      <c r="X169" s="92" t="s">
        <v>388</v>
      </c>
    </row>
    <row r="170" spans="1:24" s="93" customFormat="1" x14ac:dyDescent="0.25">
      <c r="A170" s="146"/>
      <c r="B170" s="144"/>
      <c r="C170" s="88"/>
      <c r="D170" s="89"/>
      <c r="E170" s="84"/>
      <c r="F170" s="745"/>
      <c r="G170" s="746">
        <v>0</v>
      </c>
      <c r="H170" s="85"/>
      <c r="I170" s="86"/>
      <c r="J170" s="145"/>
      <c r="K170" s="90"/>
      <c r="L170" s="92"/>
      <c r="M170" s="747"/>
      <c r="N170" s="747"/>
      <c r="O170" s="747"/>
      <c r="P170" s="747"/>
      <c r="Q170" s="747"/>
      <c r="R170" s="90"/>
      <c r="S170" s="85"/>
      <c r="T170" s="85"/>
      <c r="U170" s="94"/>
      <c r="V170" s="85">
        <f t="shared" si="68"/>
        <v>0</v>
      </c>
      <c r="X170" s="85"/>
    </row>
    <row r="171" spans="1:24" s="93" customFormat="1" ht="13.5" thickBot="1" x14ac:dyDescent="0.3">
      <c r="A171" s="146"/>
      <c r="B171" s="147"/>
      <c r="C171" s="165"/>
      <c r="D171" s="2574" t="s">
        <v>0</v>
      </c>
      <c r="E171" s="97">
        <v>123649.12</v>
      </c>
      <c r="F171" s="748">
        <v>0</v>
      </c>
      <c r="G171" s="749">
        <v>0</v>
      </c>
      <c r="H171" s="98">
        <f>SUM(H153:H170)</f>
        <v>101681.35000000005</v>
      </c>
      <c r="I171" s="99">
        <f t="shared" si="69"/>
        <v>0.82233783790778336</v>
      </c>
      <c r="J171" s="100"/>
      <c r="K171" s="101">
        <f t="shared" ref="K171:T171" si="82">SUM(K153:K170)</f>
        <v>0</v>
      </c>
      <c r="L171" s="102"/>
      <c r="M171" s="750">
        <f t="shared" ref="M171:R171" si="83">SUM(M153:M170)</f>
        <v>4319.5</v>
      </c>
      <c r="N171" s="750" t="e">
        <f t="shared" si="83"/>
        <v>#REF!</v>
      </c>
      <c r="O171" s="750" t="e">
        <f t="shared" si="83"/>
        <v>#REF!</v>
      </c>
      <c r="P171" s="750" t="e">
        <f t="shared" si="83"/>
        <v>#REF!</v>
      </c>
      <c r="Q171" s="750" t="e">
        <f t="shared" si="83"/>
        <v>#REF!</v>
      </c>
      <c r="R171" s="101" t="e">
        <f t="shared" si="83"/>
        <v>#REF!</v>
      </c>
      <c r="S171" s="98" t="e">
        <f t="shared" si="82"/>
        <v>#REF!</v>
      </c>
      <c r="T171" s="98" t="e">
        <f t="shared" si="82"/>
        <v>#REF!</v>
      </c>
      <c r="V171" s="98" t="e">
        <f t="shared" si="68"/>
        <v>#REF!</v>
      </c>
      <c r="X171" s="98"/>
    </row>
    <row r="172" spans="1:24" s="171" customFormat="1" ht="13.5" thickBot="1" x14ac:dyDescent="0.3">
      <c r="A172" s="103" t="s">
        <v>51</v>
      </c>
      <c r="B172" s="104"/>
      <c r="C172" s="166"/>
      <c r="D172" s="106"/>
      <c r="E172" s="167">
        <v>388349.31999999995</v>
      </c>
      <c r="F172" s="752">
        <v>7.0909323338071012E-2</v>
      </c>
      <c r="G172" s="769">
        <v>27537.587500000001</v>
      </c>
      <c r="H172" s="168">
        <f>H171+H146+H135+H130+H125</f>
        <v>366670.87800000003</v>
      </c>
      <c r="I172" s="109">
        <f t="shared" si="69"/>
        <v>0.94417798388317009</v>
      </c>
      <c r="J172" s="110"/>
      <c r="K172" s="169">
        <f t="shared" ref="K172:T172" si="84">K171+K146+K135+K130+K125</f>
        <v>21219.543000000005</v>
      </c>
      <c r="L172" s="170"/>
      <c r="M172" s="770" t="e">
        <f t="shared" ref="M172:R172" si="85">M171+M146+M135+M130+M125</f>
        <v>#REF!</v>
      </c>
      <c r="N172" s="770" t="e">
        <f t="shared" si="85"/>
        <v>#REF!</v>
      </c>
      <c r="O172" s="770" t="e">
        <f t="shared" si="85"/>
        <v>#REF!</v>
      </c>
      <c r="P172" s="770" t="e">
        <f t="shared" si="85"/>
        <v>#REF!</v>
      </c>
      <c r="Q172" s="770" t="e">
        <f t="shared" si="85"/>
        <v>#REF!</v>
      </c>
      <c r="R172" s="169" t="e">
        <f t="shared" si="85"/>
        <v>#REF!</v>
      </c>
      <c r="S172" s="168" t="e">
        <f t="shared" si="84"/>
        <v>#REF!</v>
      </c>
      <c r="T172" s="168" t="e">
        <f t="shared" si="84"/>
        <v>#REF!</v>
      </c>
      <c r="V172" s="168" t="e">
        <f t="shared" si="68"/>
        <v>#REF!</v>
      </c>
      <c r="W172" s="771" t="e">
        <f>S172/$S$179</f>
        <v>#REF!</v>
      </c>
      <c r="X172" s="168"/>
    </row>
    <row r="173" spans="1:24" s="182" customFormat="1" x14ac:dyDescent="0.25">
      <c r="A173" s="172" t="s">
        <v>392</v>
      </c>
      <c r="B173" s="173"/>
      <c r="C173" s="174"/>
      <c r="D173" s="175"/>
      <c r="E173" s="176"/>
      <c r="F173" s="772"/>
      <c r="G173" s="773"/>
      <c r="H173" s="177"/>
      <c r="I173" s="178"/>
      <c r="J173" s="179"/>
      <c r="K173" s="180"/>
      <c r="L173" s="181"/>
      <c r="M173" s="774"/>
      <c r="N173" s="774"/>
      <c r="O173" s="774"/>
      <c r="P173" s="774"/>
      <c r="Q173" s="774"/>
      <c r="R173" s="180"/>
      <c r="S173" s="177"/>
      <c r="T173" s="177"/>
      <c r="V173" s="177">
        <f t="shared" si="68"/>
        <v>0</v>
      </c>
      <c r="W173" s="113"/>
      <c r="X173" s="177"/>
    </row>
    <row r="174" spans="1:24" s="113" customFormat="1" x14ac:dyDescent="0.25">
      <c r="A174" s="183"/>
      <c r="B174" s="184"/>
      <c r="C174" s="185"/>
      <c r="D174" s="186"/>
      <c r="E174" s="187">
        <v>1119158.92</v>
      </c>
      <c r="F174" s="775">
        <v>0.28329566233542602</v>
      </c>
      <c r="G174" s="776">
        <v>317052.86750000005</v>
      </c>
      <c r="H174" s="176">
        <f>H172+H70</f>
        <v>914499.04</v>
      </c>
      <c r="I174" s="188">
        <f t="shared" si="69"/>
        <v>0.81713063592434232</v>
      </c>
      <c r="J174" s="189"/>
      <c r="K174" s="190">
        <f t="shared" ref="K174:T174" si="86">K172+K70</f>
        <v>228828.60000000003</v>
      </c>
      <c r="L174" s="191"/>
      <c r="M174" s="777" t="e">
        <f t="shared" ref="M174:S174" si="87">M172+M70</f>
        <v>#REF!</v>
      </c>
      <c r="N174" s="777" t="e">
        <f t="shared" si="87"/>
        <v>#REF!</v>
      </c>
      <c r="O174" s="777" t="e">
        <f t="shared" si="87"/>
        <v>#REF!</v>
      </c>
      <c r="P174" s="777" t="e">
        <f t="shared" si="87"/>
        <v>#REF!</v>
      </c>
      <c r="Q174" s="777" t="e">
        <f t="shared" si="87"/>
        <v>#REF!</v>
      </c>
      <c r="R174" s="190" t="e">
        <f t="shared" si="87"/>
        <v>#REF!</v>
      </c>
      <c r="S174" s="176" t="e">
        <f t="shared" si="87"/>
        <v>#REF!</v>
      </c>
      <c r="T174" s="176" t="e">
        <f t="shared" si="86"/>
        <v>#REF!</v>
      </c>
      <c r="V174" s="176" t="e">
        <f t="shared" si="68"/>
        <v>#REF!</v>
      </c>
      <c r="X174" s="176"/>
    </row>
    <row r="175" spans="1:24" s="94" customFormat="1" ht="9" customHeight="1" x14ac:dyDescent="0.25">
      <c r="A175" s="192"/>
      <c r="B175" s="193"/>
      <c r="C175" s="194"/>
      <c r="D175" s="195"/>
      <c r="E175" s="196"/>
      <c r="F175" s="778"/>
      <c r="G175" s="779"/>
      <c r="H175" s="197"/>
      <c r="I175" s="198"/>
      <c r="J175" s="199"/>
      <c r="K175" s="200"/>
      <c r="L175" s="201"/>
      <c r="M175" s="780"/>
      <c r="N175" s="780"/>
      <c r="O175" s="780"/>
      <c r="P175" s="780"/>
      <c r="Q175" s="780"/>
      <c r="R175" s="200"/>
      <c r="S175" s="197"/>
      <c r="T175" s="197"/>
      <c r="V175" s="197">
        <f t="shared" si="68"/>
        <v>0</v>
      </c>
      <c r="W175" s="93"/>
      <c r="X175" s="197"/>
    </row>
    <row r="176" spans="1:24" s="46" customFormat="1" ht="12.75" customHeight="1" x14ac:dyDescent="0.25">
      <c r="A176" s="202"/>
      <c r="B176" s="203"/>
      <c r="C176" s="204"/>
      <c r="D176" s="205" t="s">
        <v>393</v>
      </c>
      <c r="E176" s="206">
        <v>78341.124400000001</v>
      </c>
      <c r="F176" s="781">
        <v>0</v>
      </c>
      <c r="G176" s="782">
        <v>0</v>
      </c>
      <c r="H176" s="206">
        <f>ROUND(H174*7%,2)</f>
        <v>64014.93</v>
      </c>
      <c r="I176" s="207">
        <f t="shared" si="69"/>
        <v>0.81713060018321615</v>
      </c>
      <c r="J176" s="208"/>
      <c r="K176" s="209">
        <f t="shared" ref="K176:T176" si="88">ROUND(K174*7%,2)</f>
        <v>16018</v>
      </c>
      <c r="L176" s="210"/>
      <c r="M176" s="783" t="e">
        <f t="shared" ref="M176:S176" si="89">ROUND(M174*7%,2)</f>
        <v>#REF!</v>
      </c>
      <c r="N176" s="783" t="e">
        <f t="shared" si="89"/>
        <v>#REF!</v>
      </c>
      <c r="O176" s="783" t="e">
        <f t="shared" si="89"/>
        <v>#REF!</v>
      </c>
      <c r="P176" s="783" t="e">
        <f t="shared" si="89"/>
        <v>#REF!</v>
      </c>
      <c r="Q176" s="783" t="e">
        <f t="shared" si="89"/>
        <v>#REF!</v>
      </c>
      <c r="R176" s="209" t="e">
        <f t="shared" si="89"/>
        <v>#REF!</v>
      </c>
      <c r="S176" s="206" t="e">
        <f t="shared" si="89"/>
        <v>#REF!</v>
      </c>
      <c r="T176" s="206" t="e">
        <f t="shared" si="88"/>
        <v>#REF!</v>
      </c>
      <c r="V176" s="206" t="e">
        <f t="shared" si="68"/>
        <v>#REF!</v>
      </c>
      <c r="X176" s="206"/>
    </row>
    <row r="177" spans="1:24" x14ac:dyDescent="0.25">
      <c r="A177" s="211" t="s">
        <v>394</v>
      </c>
      <c r="B177" s="212"/>
      <c r="C177" s="213"/>
      <c r="D177" s="214"/>
      <c r="E177" s="215"/>
      <c r="F177" s="784"/>
      <c r="G177" s="785">
        <v>0</v>
      </c>
      <c r="H177" s="216"/>
      <c r="I177" s="217"/>
      <c r="J177" s="218"/>
      <c r="K177" s="219"/>
      <c r="L177" s="220"/>
      <c r="M177" s="786"/>
      <c r="N177" s="786"/>
      <c r="O177" s="786"/>
      <c r="P177" s="786"/>
      <c r="Q177" s="786"/>
      <c r="R177" s="219"/>
      <c r="S177" s="216"/>
      <c r="T177" s="216"/>
      <c r="V177" s="216">
        <f t="shared" si="68"/>
        <v>0</v>
      </c>
      <c r="X177" s="216"/>
    </row>
    <row r="178" spans="1:24" ht="12.75" customHeight="1" x14ac:dyDescent="0.25">
      <c r="A178" s="221"/>
      <c r="B178" s="222"/>
      <c r="C178" s="223"/>
      <c r="D178" s="224" t="s">
        <v>395</v>
      </c>
      <c r="E178" s="225"/>
      <c r="F178" s="787"/>
      <c r="G178" s="788">
        <v>0</v>
      </c>
      <c r="H178" s="226"/>
      <c r="I178" s="227"/>
      <c r="J178" s="228"/>
      <c r="K178" s="229"/>
      <c r="L178" s="230"/>
      <c r="M178" s="789"/>
      <c r="N178" s="789"/>
      <c r="O178" s="789"/>
      <c r="P178" s="789"/>
      <c r="Q178" s="789"/>
      <c r="R178" s="229"/>
      <c r="S178" s="226"/>
      <c r="T178" s="226"/>
      <c r="V178" s="226">
        <f t="shared" si="68"/>
        <v>0</v>
      </c>
      <c r="X178" s="226"/>
    </row>
    <row r="179" spans="1:24" s="239" customFormat="1" ht="15" thickBot="1" x14ac:dyDescent="0.3">
      <c r="A179" s="231"/>
      <c r="B179" s="232"/>
      <c r="C179" s="233"/>
      <c r="D179" s="234" t="s">
        <v>26</v>
      </c>
      <c r="E179" s="235">
        <v>1197500.0444</v>
      </c>
      <c r="F179" s="790">
        <v>0.26476230124806172</v>
      </c>
      <c r="G179" s="791">
        <v>317052.86750000005</v>
      </c>
      <c r="H179" s="235">
        <f>H176+H174</f>
        <v>978513.97000000009</v>
      </c>
      <c r="I179" s="236">
        <f t="shared" si="69"/>
        <v>0.81713063358613769</v>
      </c>
      <c r="J179" s="792"/>
      <c r="K179" s="237">
        <f t="shared" ref="K179:T179" si="90">K176+K174</f>
        <v>244846.60000000003</v>
      </c>
      <c r="L179" s="238">
        <f>K179/H179</f>
        <v>0.2502228966644186</v>
      </c>
      <c r="M179" s="793" t="e">
        <f t="shared" ref="M179:S179" si="91">M176+M174</f>
        <v>#REF!</v>
      </c>
      <c r="N179" s="793" t="e">
        <f t="shared" si="91"/>
        <v>#REF!</v>
      </c>
      <c r="O179" s="793" t="e">
        <f t="shared" si="91"/>
        <v>#REF!</v>
      </c>
      <c r="P179" s="793" t="e">
        <f t="shared" si="91"/>
        <v>#REF!</v>
      </c>
      <c r="Q179" s="793" t="e">
        <f t="shared" si="91"/>
        <v>#REF!</v>
      </c>
      <c r="R179" s="237" t="e">
        <f t="shared" si="91"/>
        <v>#REF!</v>
      </c>
      <c r="S179" s="235" t="e">
        <f t="shared" si="91"/>
        <v>#REF!</v>
      </c>
      <c r="T179" s="235" t="e">
        <f t="shared" si="90"/>
        <v>#REF!</v>
      </c>
      <c r="V179" s="235" t="e">
        <f t="shared" si="68"/>
        <v>#REF!</v>
      </c>
      <c r="X179" s="235"/>
    </row>
    <row r="180" spans="1:24" x14ac:dyDescent="0.25">
      <c r="A180" s="46"/>
      <c r="E180" s="242" t="b">
        <v>1</v>
      </c>
      <c r="G180" s="242"/>
      <c r="H180" s="242" t="b">
        <f>ROUND(SUM(H153:H170,H142:H145,H132:H134,H127:H128,H123:H124,H109:H121,H105:H107,H97:H103,H91:H95,H88:H89,H74:H86,H58:H67,H48:H56,H33:H46,H23:H31,H13:H21),2)=ROUND(H174,2)</f>
        <v>1</v>
      </c>
      <c r="I180" s="243"/>
      <c r="J180" s="243"/>
      <c r="K180" s="242" t="b">
        <f t="shared" ref="K180:T180" si="92">ROUND(SUM(K153:K170,K142:K145,K132:K134,K127:K128,K123:K124,K109:K121,K105:K107,K97:K103,K91:K95,K88:K89,K74:K86,K58:K67,K48:K56,K33:K46,K23:K31,K13:K21),2)=ROUND(K174,2)</f>
        <v>1</v>
      </c>
      <c r="L180" s="242"/>
      <c r="M180" s="242" t="e">
        <f t="shared" ref="M180:N180" si="93">ROUND(SUM(M153:M170,M142:M145,M132:M134,M127:M128,M123:M124,M109:M121,M105:M107,M97:M103,M91:M95,M88:M89,M74:M86,M58:M67,M48:M56,M33:M46,M23:M31,M13:M21),2)=ROUND(M174,2)</f>
        <v>#REF!</v>
      </c>
      <c r="N180" s="242" t="e">
        <f t="shared" si="93"/>
        <v>#REF!</v>
      </c>
      <c r="O180" s="242" t="e">
        <f t="shared" si="92"/>
        <v>#REF!</v>
      </c>
      <c r="P180" s="242" t="e">
        <f t="shared" si="92"/>
        <v>#REF!</v>
      </c>
      <c r="Q180" s="242" t="e">
        <f t="shared" si="92"/>
        <v>#REF!</v>
      </c>
      <c r="R180" s="242" t="e">
        <f t="shared" si="92"/>
        <v>#REF!</v>
      </c>
      <c r="S180" s="242" t="e">
        <f t="shared" si="92"/>
        <v>#REF!</v>
      </c>
      <c r="T180" s="242" t="e">
        <f t="shared" si="92"/>
        <v>#REF!</v>
      </c>
      <c r="U180" s="242"/>
      <c r="V180" s="242" t="e">
        <f>ROUND(SUM(V153:V170,V142:V145,V132:V134,V127:V128,V123:V124,V109:V121,V105:V107,V97:V103,V91:V95,V88:V89,V74:V86,V58:V67,V48:V56,V33:V46,V23:V31,V13:V21),2)=ROUND(V174,2)</f>
        <v>#REF!</v>
      </c>
      <c r="X180" s="242"/>
    </row>
    <row r="181" spans="1:24" x14ac:dyDescent="0.25">
      <c r="A181" s="244" t="s">
        <v>5</v>
      </c>
      <c r="B181" s="245"/>
      <c r="C181" s="246"/>
      <c r="D181" s="247"/>
      <c r="E181" s="59"/>
      <c r="H181" s="59" t="b">
        <f>ROUND(H179,2)=ROUND('[3]BVA (USD)'!N171,2)</f>
        <v>1</v>
      </c>
      <c r="J181" s="248"/>
      <c r="S181" s="249" t="e">
        <f>S179/E179</f>
        <v>#REF!</v>
      </c>
    </row>
    <row r="182" spans="1:24" x14ac:dyDescent="0.25">
      <c r="A182" s="250" t="s">
        <v>27</v>
      </c>
      <c r="B182" s="54"/>
      <c r="C182" s="251"/>
      <c r="D182" s="57"/>
      <c r="E182" s="59"/>
      <c r="J182" s="248"/>
      <c r="M182" s="794" t="e">
        <f>M179-'[3]BVA (USD)'!U171</f>
        <v>#REF!</v>
      </c>
      <c r="N182" s="794" t="e">
        <f>N179-'[3]BVA (USD)'!V171</f>
        <v>#REF!</v>
      </c>
      <c r="O182" s="794" t="e">
        <f>O179-'[3]BVA (USD)'!W171</f>
        <v>#REF!</v>
      </c>
      <c r="P182" s="794" t="e">
        <f>P179-'[3]BVA (USD)'!X171</f>
        <v>#REF!</v>
      </c>
      <c r="Q182" s="794" t="e">
        <f>Q179-'[3]BVA (USD)'!Y171</f>
        <v>#REF!</v>
      </c>
      <c r="R182" s="794" t="e">
        <f>R179-'[3]BVA (USD)'!Z171</f>
        <v>#REF!</v>
      </c>
      <c r="S182" s="59" t="e">
        <f>ROUND(S179,0)=ROUND('[3]BVA (USD)'!AD171,0)</f>
        <v>#REF!</v>
      </c>
    </row>
    <row r="183" spans="1:24" x14ac:dyDescent="0.25">
      <c r="A183" s="3159" t="s">
        <v>46</v>
      </c>
      <c r="B183" s="3160"/>
      <c r="C183" s="3160"/>
      <c r="D183" s="3160"/>
      <c r="E183" s="252"/>
      <c r="F183" s="795"/>
      <c r="G183" s="252"/>
      <c r="H183" s="252"/>
      <c r="I183" s="253"/>
      <c r="J183" s="253"/>
      <c r="K183" s="252"/>
      <c r="L183" s="252"/>
      <c r="M183" s="252"/>
      <c r="N183" s="252"/>
      <c r="O183" s="252"/>
      <c r="P183" s="252"/>
      <c r="Q183" s="252"/>
      <c r="R183" s="252"/>
      <c r="S183" s="252" t="e">
        <f>ROUND(S179,0)=ROUND('[3]BVA (USD)'!AD171,0)</f>
        <v>#REF!</v>
      </c>
      <c r="T183" s="252"/>
      <c r="V183" s="252"/>
      <c r="X183" s="252"/>
    </row>
    <row r="184" spans="1:24" x14ac:dyDescent="0.25">
      <c r="A184" s="250" t="s">
        <v>62</v>
      </c>
      <c r="B184" s="55"/>
      <c r="C184" s="56"/>
      <c r="D184" s="254"/>
      <c r="J184" s="248"/>
    </row>
    <row r="185" spans="1:24" x14ac:dyDescent="0.25">
      <c r="A185" s="250"/>
      <c r="B185" s="55" t="s">
        <v>33</v>
      </c>
      <c r="C185" s="56"/>
      <c r="D185" s="57"/>
    </row>
    <row r="186" spans="1:24" x14ac:dyDescent="0.25">
      <c r="A186" s="250"/>
      <c r="B186" s="55" t="s">
        <v>34</v>
      </c>
      <c r="C186" s="56"/>
      <c r="D186" s="57"/>
    </row>
    <row r="187" spans="1:24" ht="12.75" customHeight="1" x14ac:dyDescent="0.25">
      <c r="A187" s="3159" t="s">
        <v>63</v>
      </c>
      <c r="B187" s="3160"/>
      <c r="C187" s="3160"/>
      <c r="D187" s="3160"/>
    </row>
    <row r="188" spans="1:24" x14ac:dyDescent="0.25">
      <c r="A188" s="3161" t="s">
        <v>396</v>
      </c>
      <c r="B188" s="3162"/>
      <c r="C188" s="3162"/>
      <c r="D188" s="3162"/>
    </row>
    <row r="190" spans="1:24" x14ac:dyDescent="0.25">
      <c r="A190" s="245" t="s">
        <v>49</v>
      </c>
      <c r="B190" s="255"/>
      <c r="C190" s="256"/>
      <c r="D190" s="257"/>
    </row>
    <row r="191" spans="1:24" x14ac:dyDescent="0.25">
      <c r="A191" s="54" t="s">
        <v>14</v>
      </c>
      <c r="B191" s="55"/>
      <c r="C191" s="56"/>
      <c r="D191" s="57"/>
    </row>
    <row r="192" spans="1:24" x14ac:dyDescent="0.25">
      <c r="A192" s="54" t="s">
        <v>15</v>
      </c>
      <c r="B192" s="55"/>
      <c r="C192" s="56"/>
      <c r="D192" s="57"/>
    </row>
    <row r="193" spans="1:4" x14ac:dyDescent="0.25">
      <c r="A193" s="54" t="s">
        <v>36</v>
      </c>
      <c r="B193" s="55"/>
      <c r="C193" s="56"/>
      <c r="D193" s="57"/>
    </row>
    <row r="194" spans="1:4" x14ac:dyDescent="0.25">
      <c r="A194" s="54" t="s">
        <v>47</v>
      </c>
      <c r="B194" s="55"/>
      <c r="C194" s="56"/>
      <c r="D194" s="57"/>
    </row>
    <row r="195" spans="1:4" x14ac:dyDescent="0.25">
      <c r="A195" s="54" t="s">
        <v>17</v>
      </c>
      <c r="B195" s="55"/>
      <c r="C195" s="56"/>
      <c r="D195" s="57"/>
    </row>
    <row r="196" spans="1:4" x14ac:dyDescent="0.25">
      <c r="A196" s="54" t="s">
        <v>48</v>
      </c>
      <c r="B196" s="55"/>
      <c r="C196" s="56"/>
      <c r="D196" s="57"/>
    </row>
    <row r="197" spans="1:4" x14ac:dyDescent="0.25">
      <c r="A197" s="258" t="s">
        <v>19</v>
      </c>
      <c r="B197" s="259"/>
      <c r="C197" s="194"/>
      <c r="D197" s="260"/>
    </row>
  </sheetData>
  <mergeCells count="9">
    <mergeCell ref="H8:K8"/>
    <mergeCell ref="A58:A68"/>
    <mergeCell ref="A183:D183"/>
    <mergeCell ref="A187:D187"/>
    <mergeCell ref="A188:D188"/>
    <mergeCell ref="A13:A22"/>
    <mergeCell ref="A23:A32"/>
    <mergeCell ref="A33:A47"/>
    <mergeCell ref="A48:A57"/>
  </mergeCells>
  <conditionalFormatting sqref="B2:B10 B69:B1048576">
    <cfRule type="duplicateValues" dxfId="29" priority="30"/>
  </conditionalFormatting>
  <conditionalFormatting sqref="B49">
    <cfRule type="duplicateValues" dxfId="28" priority="29"/>
  </conditionalFormatting>
  <conditionalFormatting sqref="B60">
    <cfRule type="duplicateValues" dxfId="27" priority="28"/>
  </conditionalFormatting>
  <conditionalFormatting sqref="B39">
    <cfRule type="duplicateValues" dxfId="26" priority="27"/>
  </conditionalFormatting>
  <conditionalFormatting sqref="B24">
    <cfRule type="duplicateValues" dxfId="25" priority="26"/>
  </conditionalFormatting>
  <conditionalFormatting sqref="B14">
    <cfRule type="duplicateValues" dxfId="24" priority="25"/>
  </conditionalFormatting>
  <conditionalFormatting sqref="B15:B16">
    <cfRule type="duplicateValues" dxfId="23" priority="24"/>
  </conditionalFormatting>
  <conditionalFormatting sqref="B25:B26">
    <cfRule type="duplicateValues" dxfId="22" priority="23"/>
  </conditionalFormatting>
  <conditionalFormatting sqref="B50:B51">
    <cfRule type="duplicateValues" dxfId="21" priority="22"/>
  </conditionalFormatting>
  <conditionalFormatting sqref="B61:B62 B64">
    <cfRule type="duplicateValues" dxfId="20" priority="21"/>
  </conditionalFormatting>
  <conditionalFormatting sqref="E180 R180 K180:L180">
    <cfRule type="cellIs" dxfId="19" priority="20" operator="equal">
      <formula>0</formula>
    </cfRule>
  </conditionalFormatting>
  <conditionalFormatting sqref="G180">
    <cfRule type="cellIs" dxfId="18" priority="19" operator="equal">
      <formula>0</formula>
    </cfRule>
  </conditionalFormatting>
  <conditionalFormatting sqref="B17">
    <cfRule type="duplicateValues" dxfId="17" priority="18"/>
  </conditionalFormatting>
  <conditionalFormatting sqref="B27">
    <cfRule type="duplicateValues" dxfId="16" priority="17"/>
  </conditionalFormatting>
  <conditionalFormatting sqref="B42">
    <cfRule type="duplicateValues" dxfId="15" priority="16"/>
  </conditionalFormatting>
  <conditionalFormatting sqref="B52">
    <cfRule type="duplicateValues" dxfId="14" priority="15"/>
  </conditionalFormatting>
  <conditionalFormatting sqref="B63">
    <cfRule type="duplicateValues" dxfId="13" priority="14"/>
  </conditionalFormatting>
  <conditionalFormatting sqref="H180:J180">
    <cfRule type="cellIs" dxfId="12" priority="13" operator="equal">
      <formula>0</formula>
    </cfRule>
  </conditionalFormatting>
  <conditionalFormatting sqref="T180:V180">
    <cfRule type="cellIs" dxfId="11" priority="12" operator="equal">
      <formula>0</formula>
    </cfRule>
  </conditionalFormatting>
  <conditionalFormatting sqref="R180:XFD181 A180:L182 M182:XFD182">
    <cfRule type="containsText" dxfId="10" priority="11" operator="containsText" text="f">
      <formula>NOT(ISERROR(SEARCH("f",A180)))</formula>
    </cfRule>
  </conditionalFormatting>
  <conditionalFormatting sqref="S180">
    <cfRule type="cellIs" dxfId="9" priority="10" operator="equal">
      <formula>0</formula>
    </cfRule>
  </conditionalFormatting>
  <conditionalFormatting sqref="S180">
    <cfRule type="containsText" dxfId="8" priority="9" operator="containsText" text="f">
      <formula>NOT(ISERROR(SEARCH("f",S180)))</formula>
    </cfRule>
  </conditionalFormatting>
  <conditionalFormatting sqref="X180">
    <cfRule type="cellIs" dxfId="7" priority="8" operator="equal">
      <formula>0</formula>
    </cfRule>
  </conditionalFormatting>
  <conditionalFormatting sqref="X180">
    <cfRule type="containsText" dxfId="6" priority="7" operator="containsText" text="f">
      <formula>NOT(ISERROR(SEARCH("f",X180)))</formula>
    </cfRule>
  </conditionalFormatting>
  <conditionalFormatting sqref="W172">
    <cfRule type="cellIs" dxfId="5" priority="6" operator="greaterThan">
      <formula>0.35</formula>
    </cfRule>
  </conditionalFormatting>
  <conditionalFormatting sqref="W70">
    <cfRule type="cellIs" dxfId="4" priority="5" operator="lessThan">
      <formula>0.6</formula>
    </cfRule>
  </conditionalFormatting>
  <conditionalFormatting sqref="N180:Q180">
    <cfRule type="cellIs" dxfId="3" priority="4" operator="equal">
      <formula>0</formula>
    </cfRule>
  </conditionalFormatting>
  <conditionalFormatting sqref="N180:Q181">
    <cfRule type="containsText" dxfId="2" priority="3" operator="containsText" text="f">
      <formula>NOT(ISERROR(SEARCH("f",N180)))</formula>
    </cfRule>
  </conditionalFormatting>
  <conditionalFormatting sqref="M180">
    <cfRule type="cellIs" dxfId="1" priority="2" operator="equal">
      <formula>0</formula>
    </cfRule>
  </conditionalFormatting>
  <conditionalFormatting sqref="M180:M181">
    <cfRule type="containsText" dxfId="0" priority="1" operator="containsText" text="f">
      <formula>NOT(ISERROR(SEARCH("f",M180)))</formula>
    </cfRule>
  </conditionalFormatting>
  <dataValidations count="1">
    <dataValidation type="list" allowBlank="1" showInputMessage="1" showErrorMessage="1" sqref="C13:C171" xr:uid="{00000000-0002-0000-0400-000000000000}">
      <formula1>categories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219"/>
  <sheetViews>
    <sheetView topLeftCell="B1" zoomScale="52" zoomScaleNormal="80" workbookViewId="0">
      <selection activeCell="N113" sqref="N113"/>
    </sheetView>
  </sheetViews>
  <sheetFormatPr baseColWidth="10" defaultColWidth="11.453125" defaultRowHeight="14" x14ac:dyDescent="0.3"/>
  <cols>
    <col min="1" max="1" width="44.453125" style="905" hidden="1" customWidth="1"/>
    <col min="2" max="2" width="41.81640625" style="1917" customWidth="1"/>
    <col min="3" max="3" width="39.453125" style="905" customWidth="1"/>
    <col min="4" max="4" width="16" style="1918" customWidth="1"/>
    <col min="5" max="5" width="9.453125" style="905" customWidth="1"/>
    <col min="6" max="6" width="9.7265625" style="905" bestFit="1" customWidth="1"/>
    <col min="7" max="7" width="9.453125" style="905" bestFit="1" customWidth="1"/>
    <col min="8" max="8" width="10.54296875" style="905" bestFit="1" customWidth="1"/>
    <col min="9" max="9" width="14.453125" style="1670" customWidth="1"/>
    <col min="10" max="10" width="9.26953125" style="905" customWidth="1"/>
    <col min="11" max="11" width="9.7265625" style="905" bestFit="1" customWidth="1"/>
    <col min="12" max="12" width="9.453125" style="905" bestFit="1" customWidth="1"/>
    <col min="13" max="13" width="10.54296875" style="905" bestFit="1" customWidth="1"/>
    <col min="14" max="14" width="14.26953125" style="1670" customWidth="1"/>
    <col min="15" max="15" width="9.453125" style="1014" customWidth="1"/>
    <col min="16" max="16" width="18.26953125" style="1670" customWidth="1"/>
    <col min="17" max="17" width="15.453125" style="904" hidden="1" customWidth="1"/>
    <col min="18" max="18" width="16.81640625" style="1919" hidden="1" customWidth="1"/>
    <col min="19" max="19" width="23.26953125" style="905" hidden="1" customWidth="1"/>
    <col min="20" max="20" width="18.453125" style="2619" customWidth="1"/>
    <col min="21" max="21" width="10.453125" style="906" customWidth="1"/>
    <col min="22" max="22" width="40.7265625" style="905" customWidth="1"/>
    <col min="23" max="23" width="10.54296875" style="905" customWidth="1"/>
    <col min="24" max="24" width="13.26953125" style="905" customWidth="1"/>
    <col min="25" max="25" width="18.453125" style="905" customWidth="1"/>
    <col min="26" max="16384" width="11.453125" style="905"/>
  </cols>
  <sheetData>
    <row r="1" spans="1:25" x14ac:dyDescent="0.3">
      <c r="E1" s="935" t="s">
        <v>28</v>
      </c>
      <c r="F1" s="935"/>
      <c r="G1" s="935"/>
      <c r="H1" s="935"/>
    </row>
    <row r="2" spans="1:25" ht="14.5" x14ac:dyDescent="0.35">
      <c r="A2" s="935" t="s">
        <v>23</v>
      </c>
      <c r="B2" s="1920" t="s">
        <v>500</v>
      </c>
    </row>
    <row r="3" spans="1:25" x14ac:dyDescent="0.3">
      <c r="A3" s="935" t="s">
        <v>24</v>
      </c>
      <c r="B3" s="1921" t="s">
        <v>501</v>
      </c>
    </row>
    <row r="4" spans="1:25" x14ac:dyDescent="0.3">
      <c r="A4" s="935" t="s">
        <v>21</v>
      </c>
      <c r="B4" s="1921" t="s">
        <v>1572</v>
      </c>
      <c r="E4" s="1922"/>
      <c r="F4" s="1922"/>
      <c r="G4" s="1922"/>
      <c r="H4" s="1922"/>
      <c r="I4" s="1923"/>
      <c r="J4" s="1922"/>
      <c r="K4" s="1922"/>
      <c r="L4" s="1922"/>
      <c r="M4" s="1922"/>
      <c r="N4" s="1669"/>
      <c r="O4" s="1924"/>
      <c r="P4" s="1923"/>
    </row>
    <row r="5" spans="1:25" ht="14.5" x14ac:dyDescent="0.3">
      <c r="A5" s="935" t="s">
        <v>22</v>
      </c>
      <c r="B5" s="907">
        <f>+P200</f>
        <v>1042056.1</v>
      </c>
      <c r="E5" s="1922"/>
      <c r="F5" s="1922"/>
      <c r="G5" s="1922"/>
      <c r="H5" s="1922"/>
      <c r="I5" s="1923"/>
      <c r="J5" s="1922"/>
      <c r="K5" s="1922"/>
      <c r="L5" s="1922"/>
      <c r="M5" s="1922"/>
      <c r="N5" s="1669"/>
      <c r="O5" s="1924"/>
      <c r="P5" s="1923"/>
    </row>
    <row r="6" spans="1:25" ht="14.5" x14ac:dyDescent="0.3">
      <c r="A6" s="935" t="s">
        <v>37</v>
      </c>
      <c r="B6" s="907">
        <f>+P201</f>
        <v>72943.927000000011</v>
      </c>
      <c r="C6" s="1922"/>
      <c r="D6" s="1925"/>
      <c r="E6" s="1922"/>
      <c r="F6" s="1922"/>
      <c r="G6" s="1922"/>
      <c r="H6" s="1922"/>
      <c r="I6" s="1923"/>
      <c r="J6" s="1922"/>
      <c r="K6" s="1922"/>
      <c r="L6" s="1922"/>
      <c r="M6" s="1922"/>
      <c r="N6" s="1669"/>
      <c r="O6" s="1924"/>
      <c r="P6" s="1923"/>
    </row>
    <row r="7" spans="1:25" ht="14.5" x14ac:dyDescent="0.3">
      <c r="A7" s="935" t="s">
        <v>38</v>
      </c>
      <c r="B7" s="907">
        <f>SUM(B5:B6)</f>
        <v>1115000.027</v>
      </c>
      <c r="C7" s="1922"/>
      <c r="D7" s="1925"/>
      <c r="E7" s="1922"/>
      <c r="F7" s="1922"/>
      <c r="G7" s="1922"/>
      <c r="H7" s="1922"/>
      <c r="I7" s="1923"/>
      <c r="J7" s="1922"/>
      <c r="K7" s="1922"/>
      <c r="L7" s="1922"/>
      <c r="M7" s="1922"/>
      <c r="N7" s="1669"/>
      <c r="O7" s="1924"/>
      <c r="P7" s="1923"/>
    </row>
    <row r="8" spans="1:25" ht="14.5" thickBot="1" x14ac:dyDescent="0.35">
      <c r="T8" s="3255" t="s">
        <v>1676</v>
      </c>
      <c r="U8" s="3256"/>
      <c r="V8" s="3256"/>
      <c r="W8" s="3256"/>
      <c r="X8" s="3256"/>
      <c r="Y8" s="3257"/>
    </row>
    <row r="9" spans="1:25" ht="70" x14ac:dyDescent="0.3">
      <c r="A9" s="908" t="s">
        <v>9</v>
      </c>
      <c r="B9" s="909" t="s">
        <v>10</v>
      </c>
      <c r="C9" s="910" t="s">
        <v>45</v>
      </c>
      <c r="D9" s="1926" t="s">
        <v>1573</v>
      </c>
      <c r="E9" s="910" t="s">
        <v>35</v>
      </c>
      <c r="F9" s="910" t="s">
        <v>6</v>
      </c>
      <c r="G9" s="910" t="s">
        <v>7</v>
      </c>
      <c r="H9" s="910" t="s">
        <v>8</v>
      </c>
      <c r="I9" s="1927" t="s">
        <v>11</v>
      </c>
      <c r="J9" s="1928" t="s">
        <v>25</v>
      </c>
      <c r="K9" s="910" t="s">
        <v>6</v>
      </c>
      <c r="L9" s="910" t="s">
        <v>7</v>
      </c>
      <c r="M9" s="910" t="s">
        <v>8</v>
      </c>
      <c r="N9" s="1927" t="s">
        <v>12</v>
      </c>
      <c r="O9" s="911" t="s">
        <v>25</v>
      </c>
      <c r="P9" s="1927" t="s">
        <v>13</v>
      </c>
      <c r="Q9" s="912" t="s">
        <v>64</v>
      </c>
      <c r="R9" s="913" t="s">
        <v>84</v>
      </c>
      <c r="S9" s="1928" t="s">
        <v>42</v>
      </c>
      <c r="T9" s="2620" t="s">
        <v>79</v>
      </c>
      <c r="U9" s="1929" t="s">
        <v>80</v>
      </c>
      <c r="V9" s="1929" t="s">
        <v>81</v>
      </c>
      <c r="W9" s="1929" t="s">
        <v>82</v>
      </c>
      <c r="X9" s="1929" t="s">
        <v>399</v>
      </c>
      <c r="Y9" s="1930" t="s">
        <v>83</v>
      </c>
    </row>
    <row r="10" spans="1:25" x14ac:dyDescent="0.3">
      <c r="A10" s="3258" t="s">
        <v>52</v>
      </c>
      <c r="B10" s="3253"/>
      <c r="C10" s="3253"/>
      <c r="D10" s="3253"/>
      <c r="E10" s="3253"/>
      <c r="F10" s="3253"/>
      <c r="G10" s="3253"/>
      <c r="H10" s="3253"/>
      <c r="I10" s="3253"/>
      <c r="J10" s="3253"/>
      <c r="K10" s="3253"/>
      <c r="L10" s="3253"/>
      <c r="M10" s="3253"/>
      <c r="N10" s="3253"/>
      <c r="O10" s="3253"/>
      <c r="P10" s="3253"/>
      <c r="Q10" s="3253"/>
      <c r="R10" s="3253"/>
      <c r="S10" s="3253"/>
      <c r="T10" s="3253"/>
      <c r="U10" s="3253"/>
      <c r="V10" s="3253"/>
      <c r="W10" s="3253"/>
      <c r="X10" s="3253"/>
      <c r="Y10" s="3259"/>
    </row>
    <row r="11" spans="1:25" x14ac:dyDescent="0.3">
      <c r="A11" s="3260" t="s">
        <v>502</v>
      </c>
      <c r="B11" s="3261"/>
      <c r="C11" s="3261"/>
      <c r="D11" s="3261"/>
      <c r="E11" s="3261"/>
      <c r="F11" s="3261"/>
      <c r="G11" s="3261"/>
      <c r="H11" s="3261"/>
      <c r="I11" s="3261"/>
      <c r="J11" s="3261"/>
      <c r="K11" s="3261"/>
      <c r="L11" s="3261"/>
      <c r="M11" s="3261"/>
      <c r="N11" s="3261"/>
      <c r="O11" s="3261"/>
      <c r="P11" s="3261"/>
      <c r="Q11" s="3261"/>
      <c r="R11" s="3261"/>
      <c r="S11" s="3261"/>
      <c r="T11" s="3261"/>
      <c r="U11" s="3261"/>
      <c r="V11" s="3261"/>
      <c r="W11" s="3261"/>
      <c r="X11" s="3261"/>
      <c r="Y11" s="3262"/>
    </row>
    <row r="12" spans="1:25" x14ac:dyDescent="0.3">
      <c r="A12" s="3180" t="s">
        <v>503</v>
      </c>
      <c r="B12" s="3200" t="s">
        <v>504</v>
      </c>
      <c r="C12" s="1931" t="s">
        <v>15</v>
      </c>
      <c r="D12" s="1932">
        <v>2687.79</v>
      </c>
      <c r="E12" s="1645" t="s">
        <v>500</v>
      </c>
      <c r="F12" s="1933"/>
      <c r="G12" s="1933"/>
      <c r="H12" s="1933"/>
      <c r="I12" s="1934">
        <v>2400</v>
      </c>
      <c r="J12" s="1935">
        <v>0.3</v>
      </c>
      <c r="K12" s="1935"/>
      <c r="L12" s="1935"/>
      <c r="M12" s="1935"/>
      <c r="N12" s="1934">
        <v>2400</v>
      </c>
      <c r="O12" s="1935">
        <v>0.3</v>
      </c>
      <c r="P12" s="1934">
        <f>+I12+N12</f>
        <v>4800</v>
      </c>
      <c r="Q12" s="914">
        <v>0.3</v>
      </c>
      <c r="R12" s="1936">
        <f>+P12*Q12</f>
        <v>1440</v>
      </c>
      <c r="S12" s="3195"/>
      <c r="T12" s="2621">
        <v>2687.79</v>
      </c>
      <c r="U12" s="3209">
        <f>+T17/P17</f>
        <v>0.63765486725663711</v>
      </c>
      <c r="V12" s="3208" t="s">
        <v>1574</v>
      </c>
      <c r="W12" s="3178">
        <f>X12/P17</f>
        <v>0.19131082280837414</v>
      </c>
      <c r="X12" s="3195">
        <v>13360</v>
      </c>
      <c r="Y12" s="3263"/>
    </row>
    <row r="13" spans="1:25" x14ac:dyDescent="0.3">
      <c r="A13" s="3181"/>
      <c r="B13" s="3184"/>
      <c r="C13" s="1931" t="s">
        <v>47</v>
      </c>
      <c r="D13" s="1932">
        <v>31751.7</v>
      </c>
      <c r="E13" s="1645" t="s">
        <v>500</v>
      </c>
      <c r="F13" s="1933"/>
      <c r="G13" s="1933"/>
      <c r="H13" s="1933"/>
      <c r="I13" s="1934">
        <v>30600</v>
      </c>
      <c r="J13" s="1935"/>
      <c r="K13" s="1935"/>
      <c r="L13" s="1935"/>
      <c r="M13" s="1935"/>
      <c r="N13" s="1934">
        <v>30600</v>
      </c>
      <c r="O13" s="1935"/>
      <c r="P13" s="1934">
        <f>+I13+N13</f>
        <v>61200</v>
      </c>
      <c r="Q13" s="914"/>
      <c r="R13" s="1936"/>
      <c r="S13" s="3190"/>
      <c r="T13" s="2621">
        <v>38751.699999999997</v>
      </c>
      <c r="U13" s="3210"/>
      <c r="V13" s="3206"/>
      <c r="W13" s="3167"/>
      <c r="X13" s="3190"/>
      <c r="Y13" s="3264"/>
    </row>
    <row r="14" spans="1:25" x14ac:dyDescent="0.3">
      <c r="A14" s="3181"/>
      <c r="B14" s="3184"/>
      <c r="C14" s="1931" t="s">
        <v>17</v>
      </c>
      <c r="D14" s="1932">
        <v>1726</v>
      </c>
      <c r="E14" s="1645" t="s">
        <v>500</v>
      </c>
      <c r="F14" s="1933"/>
      <c r="G14" s="1933"/>
      <c r="H14" s="1933"/>
      <c r="I14" s="1934">
        <v>1505</v>
      </c>
      <c r="J14" s="1935"/>
      <c r="K14" s="1935"/>
      <c r="L14" s="1935"/>
      <c r="M14" s="1935"/>
      <c r="N14" s="1934">
        <v>1505</v>
      </c>
      <c r="O14" s="1935"/>
      <c r="P14" s="1934">
        <f>+I14+N14</f>
        <v>3010</v>
      </c>
      <c r="Q14" s="914"/>
      <c r="R14" s="1936"/>
      <c r="S14" s="3190"/>
      <c r="T14" s="2621">
        <v>1726</v>
      </c>
      <c r="U14" s="3210"/>
      <c r="V14" s="3206"/>
      <c r="W14" s="3167"/>
      <c r="X14" s="3190"/>
      <c r="Y14" s="3264"/>
    </row>
    <row r="15" spans="1:25" x14ac:dyDescent="0.3">
      <c r="A15" s="3181"/>
      <c r="B15" s="3184"/>
      <c r="C15" s="1931" t="s">
        <v>48</v>
      </c>
      <c r="D15" s="1932">
        <v>1120</v>
      </c>
      <c r="E15" s="1645" t="s">
        <v>500</v>
      </c>
      <c r="F15" s="1933"/>
      <c r="G15" s="1933"/>
      <c r="H15" s="1933"/>
      <c r="I15" s="1934">
        <v>0</v>
      </c>
      <c r="J15" s="1935"/>
      <c r="K15" s="1935"/>
      <c r="L15" s="1935"/>
      <c r="M15" s="1935"/>
      <c r="N15" s="1934">
        <v>0</v>
      </c>
      <c r="O15" s="1935"/>
      <c r="P15" s="1934">
        <f>+I15+N15</f>
        <v>0</v>
      </c>
      <c r="Q15" s="914"/>
      <c r="R15" s="1936"/>
      <c r="S15" s="3190"/>
      <c r="T15" s="2621">
        <v>1120</v>
      </c>
      <c r="U15" s="3210"/>
      <c r="V15" s="3206"/>
      <c r="W15" s="3167"/>
      <c r="X15" s="3190"/>
      <c r="Y15" s="3264"/>
    </row>
    <row r="16" spans="1:25" ht="26" x14ac:dyDescent="0.3">
      <c r="A16" s="3181"/>
      <c r="B16" s="3184"/>
      <c r="C16" s="1931" t="s">
        <v>1374</v>
      </c>
      <c r="D16" s="1932">
        <v>244.5</v>
      </c>
      <c r="E16" s="1645" t="s">
        <v>500</v>
      </c>
      <c r="F16" s="1933"/>
      <c r="G16" s="1933"/>
      <c r="H16" s="1933"/>
      <c r="I16" s="1934">
        <v>412</v>
      </c>
      <c r="J16" s="1935"/>
      <c r="K16" s="1935"/>
      <c r="L16" s="1935"/>
      <c r="M16" s="1935"/>
      <c r="N16" s="1934">
        <v>412</v>
      </c>
      <c r="O16" s="1935"/>
      <c r="P16" s="1934">
        <f>+I16+N16</f>
        <v>824</v>
      </c>
      <c r="Q16" s="914"/>
      <c r="R16" s="1936"/>
      <c r="S16" s="3190"/>
      <c r="T16" s="2621">
        <v>244.5</v>
      </c>
      <c r="U16" s="3210"/>
      <c r="V16" s="3206"/>
      <c r="W16" s="3167"/>
      <c r="X16" s="3190"/>
      <c r="Y16" s="3264"/>
    </row>
    <row r="17" spans="1:25" x14ac:dyDescent="0.3">
      <c r="A17" s="3181"/>
      <c r="B17" s="3185"/>
      <c r="C17" s="1937" t="s">
        <v>0</v>
      </c>
      <c r="D17" s="1938">
        <f>SUM(D12:D16)</f>
        <v>37529.99</v>
      </c>
      <c r="E17" s="1645" t="s">
        <v>500</v>
      </c>
      <c r="F17" s="1933"/>
      <c r="G17" s="1933"/>
      <c r="H17" s="1933"/>
      <c r="I17" s="1939">
        <f>SUM(I12:I16)</f>
        <v>34917</v>
      </c>
      <c r="J17" s="1935"/>
      <c r="K17" s="1935"/>
      <c r="L17" s="1935"/>
      <c r="M17" s="1935"/>
      <c r="N17" s="1939">
        <f>SUM(N12:N16)</f>
        <v>34917</v>
      </c>
      <c r="O17" s="1935"/>
      <c r="P17" s="1939">
        <f>SUM(P12:P16)</f>
        <v>69834</v>
      </c>
      <c r="Q17" s="914"/>
      <c r="R17" s="1936"/>
      <c r="S17" s="3191"/>
      <c r="T17" s="2622">
        <f>SUM(T12:T16)</f>
        <v>44529.99</v>
      </c>
      <c r="U17" s="3211"/>
      <c r="V17" s="3207"/>
      <c r="W17" s="3168"/>
      <c r="X17" s="3191"/>
      <c r="Y17" s="3265"/>
    </row>
    <row r="18" spans="1:25" x14ac:dyDescent="0.3">
      <c r="A18" s="3181"/>
      <c r="B18" s="3200" t="s">
        <v>505</v>
      </c>
      <c r="C18" s="1931" t="s">
        <v>15</v>
      </c>
      <c r="D18" s="1932">
        <v>12429.67</v>
      </c>
      <c r="E18" s="1645" t="s">
        <v>500</v>
      </c>
      <c r="F18" s="915"/>
      <c r="G18" s="915"/>
      <c r="H18" s="915"/>
      <c r="I18" s="1934">
        <v>4000</v>
      </c>
      <c r="J18" s="1935">
        <v>0.5</v>
      </c>
      <c r="K18" s="1935"/>
      <c r="L18" s="1935"/>
      <c r="M18" s="1935"/>
      <c r="N18" s="1934">
        <v>2000</v>
      </c>
      <c r="O18" s="1940">
        <v>0.5</v>
      </c>
      <c r="P18" s="1934">
        <f>+I18+N18</f>
        <v>6000</v>
      </c>
      <c r="Q18" s="914">
        <v>0.5</v>
      </c>
      <c r="R18" s="1936">
        <f t="shared" ref="R18:R30" si="0">+P18*Q18</f>
        <v>3000</v>
      </c>
      <c r="S18" s="3195"/>
      <c r="T18" s="2621">
        <v>12459.67</v>
      </c>
      <c r="U18" s="3178">
        <f>+T23/P23</f>
        <v>1.2488592755262751</v>
      </c>
      <c r="V18" s="3212" t="s">
        <v>1575</v>
      </c>
      <c r="W18" s="3178">
        <f>X18/P23</f>
        <v>0.62443157871387056</v>
      </c>
      <c r="X18" s="3195">
        <v>56300</v>
      </c>
      <c r="Y18" s="3263"/>
    </row>
    <row r="19" spans="1:25" x14ac:dyDescent="0.3">
      <c r="A19" s="3181"/>
      <c r="B19" s="3184"/>
      <c r="C19" s="1931" t="s">
        <v>47</v>
      </c>
      <c r="D19" s="1932">
        <v>25979.45</v>
      </c>
      <c r="E19" s="1645" t="s">
        <v>500</v>
      </c>
      <c r="F19" s="915"/>
      <c r="G19" s="915"/>
      <c r="H19" s="915"/>
      <c r="I19" s="1934">
        <v>14760</v>
      </c>
      <c r="J19" s="1935"/>
      <c r="K19" s="1935"/>
      <c r="L19" s="1935"/>
      <c r="M19" s="1935"/>
      <c r="N19" s="1934">
        <v>11880</v>
      </c>
      <c r="O19" s="1940"/>
      <c r="P19" s="1934">
        <f>+I19+N19</f>
        <v>26640</v>
      </c>
      <c r="Q19" s="914"/>
      <c r="R19" s="1936"/>
      <c r="S19" s="3190"/>
      <c r="T19" s="2621">
        <v>31399.45</v>
      </c>
      <c r="U19" s="3167"/>
      <c r="V19" s="3213"/>
      <c r="W19" s="3167"/>
      <c r="X19" s="3190"/>
      <c r="Y19" s="3264"/>
    </row>
    <row r="20" spans="1:25" x14ac:dyDescent="0.3">
      <c r="A20" s="3181"/>
      <c r="B20" s="3184"/>
      <c r="C20" s="1931" t="s">
        <v>17</v>
      </c>
      <c r="D20" s="1932">
        <v>13409.07</v>
      </c>
      <c r="E20" s="1645" t="s">
        <v>500</v>
      </c>
      <c r="F20" s="915"/>
      <c r="G20" s="915"/>
      <c r="H20" s="915"/>
      <c r="I20" s="1934">
        <v>8580</v>
      </c>
      <c r="J20" s="1935"/>
      <c r="K20" s="1935"/>
      <c r="L20" s="1935"/>
      <c r="M20" s="1935"/>
      <c r="N20" s="1934">
        <v>4290</v>
      </c>
      <c r="O20" s="1940"/>
      <c r="P20" s="1934">
        <f>+I20+N20</f>
        <v>12870</v>
      </c>
      <c r="Q20" s="914"/>
      <c r="R20" s="1936"/>
      <c r="S20" s="3190"/>
      <c r="T20" s="2621">
        <v>13879.07</v>
      </c>
      <c r="U20" s="3167"/>
      <c r="V20" s="3213"/>
      <c r="W20" s="3167"/>
      <c r="X20" s="3190"/>
      <c r="Y20" s="3264"/>
    </row>
    <row r="21" spans="1:25" x14ac:dyDescent="0.3">
      <c r="A21" s="3181"/>
      <c r="B21" s="3184"/>
      <c r="C21" s="1931" t="s">
        <v>48</v>
      </c>
      <c r="D21" s="1932">
        <v>43239.4</v>
      </c>
      <c r="E21" s="1645" t="s">
        <v>500</v>
      </c>
      <c r="F21" s="915"/>
      <c r="G21" s="915"/>
      <c r="H21" s="915"/>
      <c r="I21" s="1934">
        <v>21600</v>
      </c>
      <c r="J21" s="1935"/>
      <c r="K21" s="1935"/>
      <c r="L21" s="1935"/>
      <c r="M21" s="1935"/>
      <c r="N21" s="1934">
        <v>21600</v>
      </c>
      <c r="O21" s="1940"/>
      <c r="P21" s="1934">
        <f>+I21+N21</f>
        <v>43200</v>
      </c>
      <c r="Q21" s="914"/>
      <c r="R21" s="1936"/>
      <c r="S21" s="3190"/>
      <c r="T21" s="2621">
        <v>50193.5</v>
      </c>
      <c r="U21" s="3167"/>
      <c r="V21" s="3213"/>
      <c r="W21" s="3167"/>
      <c r="X21" s="3190"/>
      <c r="Y21" s="3264"/>
    </row>
    <row r="22" spans="1:25" ht="26" x14ac:dyDescent="0.3">
      <c r="A22" s="3181"/>
      <c r="B22" s="3184"/>
      <c r="C22" s="1931" t="s">
        <v>1374</v>
      </c>
      <c r="D22" s="1932">
        <v>4667.96</v>
      </c>
      <c r="E22" s="1645" t="s">
        <v>500</v>
      </c>
      <c r="F22" s="915"/>
      <c r="G22" s="915"/>
      <c r="H22" s="915"/>
      <c r="I22" s="1934">
        <v>918</v>
      </c>
      <c r="J22" s="1935"/>
      <c r="K22" s="1935"/>
      <c r="L22" s="1935"/>
      <c r="M22" s="1935"/>
      <c r="N22" s="1934">
        <v>534</v>
      </c>
      <c r="O22" s="1940"/>
      <c r="P22" s="1934">
        <f>+I22+N22</f>
        <v>1452</v>
      </c>
      <c r="Q22" s="914"/>
      <c r="R22" s="1936"/>
      <c r="S22" s="3190"/>
      <c r="T22" s="2621">
        <v>4667.96</v>
      </c>
      <c r="U22" s="3167"/>
      <c r="V22" s="3213"/>
      <c r="W22" s="3167"/>
      <c r="X22" s="3190"/>
      <c r="Y22" s="3264"/>
    </row>
    <row r="23" spans="1:25" x14ac:dyDescent="0.3">
      <c r="A23" s="3181"/>
      <c r="B23" s="3185"/>
      <c r="C23" s="1937" t="s">
        <v>0</v>
      </c>
      <c r="D23" s="1938">
        <f>SUM(D18:D22)</f>
        <v>99725.55</v>
      </c>
      <c r="E23" s="1645" t="s">
        <v>500</v>
      </c>
      <c r="F23" s="915"/>
      <c r="G23" s="915"/>
      <c r="H23" s="915"/>
      <c r="I23" s="1939">
        <f>SUM(I18:I22)</f>
        <v>49858</v>
      </c>
      <c r="J23" s="1935"/>
      <c r="K23" s="1935"/>
      <c r="L23" s="1935"/>
      <c r="M23" s="1935"/>
      <c r="N23" s="1939">
        <f>SUM(N18:N22)</f>
        <v>40304</v>
      </c>
      <c r="O23" s="1940"/>
      <c r="P23" s="1939">
        <f>SUM(P18:P22)</f>
        <v>90162</v>
      </c>
      <c r="Q23" s="914"/>
      <c r="R23" s="1936"/>
      <c r="S23" s="3191"/>
      <c r="T23" s="2623">
        <f>SUM(T18:T22)</f>
        <v>112599.65000000001</v>
      </c>
      <c r="U23" s="3168"/>
      <c r="V23" s="3214"/>
      <c r="W23" s="3168"/>
      <c r="X23" s="3191"/>
      <c r="Y23" s="3265"/>
    </row>
    <row r="24" spans="1:25" x14ac:dyDescent="0.3">
      <c r="A24" s="3181"/>
      <c r="B24" s="3200" t="s">
        <v>506</v>
      </c>
      <c r="C24" s="1931" t="s">
        <v>15</v>
      </c>
      <c r="D24" s="1932">
        <v>2443</v>
      </c>
      <c r="E24" s="1645" t="s">
        <v>500</v>
      </c>
      <c r="F24" s="915"/>
      <c r="G24" s="915"/>
      <c r="H24" s="915"/>
      <c r="I24" s="1934">
        <v>1280</v>
      </c>
      <c r="J24" s="1935">
        <v>0.15</v>
      </c>
      <c r="K24" s="1935"/>
      <c r="L24" s="1935"/>
      <c r="M24" s="1935"/>
      <c r="N24" s="1934">
        <v>640</v>
      </c>
      <c r="O24" s="1940">
        <v>0.15</v>
      </c>
      <c r="P24" s="1934">
        <f>+I24+N24</f>
        <v>1920</v>
      </c>
      <c r="Q24" s="914">
        <v>0.15</v>
      </c>
      <c r="R24" s="1936">
        <f t="shared" si="0"/>
        <v>288</v>
      </c>
      <c r="S24" s="3195"/>
      <c r="T24" s="2621">
        <v>2443</v>
      </c>
      <c r="U24" s="3178">
        <f>+T29/P29</f>
        <v>1.0288295392407978</v>
      </c>
      <c r="V24" s="3267" t="s">
        <v>507</v>
      </c>
      <c r="W24" s="3178">
        <f t="shared" ref="W24" si="1">X24/P29</f>
        <v>0.10216709356203413</v>
      </c>
      <c r="X24" s="3195">
        <v>3550</v>
      </c>
      <c r="Y24" s="3263"/>
    </row>
    <row r="25" spans="1:25" x14ac:dyDescent="0.3">
      <c r="A25" s="3181"/>
      <c r="B25" s="3184"/>
      <c r="C25" s="1931" t="s">
        <v>47</v>
      </c>
      <c r="D25" s="1932">
        <v>10750</v>
      </c>
      <c r="E25" s="1645" t="s">
        <v>500</v>
      </c>
      <c r="F25" s="915"/>
      <c r="G25" s="915"/>
      <c r="H25" s="915"/>
      <c r="I25" s="1934">
        <v>0</v>
      </c>
      <c r="J25" s="1935"/>
      <c r="K25" s="1935"/>
      <c r="L25" s="1935"/>
      <c r="M25" s="1935"/>
      <c r="N25" s="1934">
        <v>0</v>
      </c>
      <c r="O25" s="1940"/>
      <c r="P25" s="1934">
        <f>+I25+N25</f>
        <v>0</v>
      </c>
      <c r="Q25" s="914"/>
      <c r="R25" s="1936"/>
      <c r="S25" s="3190"/>
      <c r="T25" s="2621">
        <v>10750</v>
      </c>
      <c r="U25" s="3167"/>
      <c r="V25" s="3268"/>
      <c r="W25" s="3167"/>
      <c r="X25" s="3190"/>
      <c r="Y25" s="3264"/>
    </row>
    <row r="26" spans="1:25" x14ac:dyDescent="0.3">
      <c r="A26" s="3181"/>
      <c r="B26" s="3184"/>
      <c r="C26" s="1931" t="s">
        <v>17</v>
      </c>
      <c r="D26" s="1932">
        <v>7031.59</v>
      </c>
      <c r="E26" s="1645" t="s">
        <v>500</v>
      </c>
      <c r="F26" s="915"/>
      <c r="G26" s="915"/>
      <c r="H26" s="915"/>
      <c r="I26" s="1934">
        <v>1230</v>
      </c>
      <c r="J26" s="1935"/>
      <c r="K26" s="1935"/>
      <c r="L26" s="1935"/>
      <c r="M26" s="1935"/>
      <c r="N26" s="1934">
        <v>865</v>
      </c>
      <c r="O26" s="1940"/>
      <c r="P26" s="1934">
        <f>+I26+N26</f>
        <v>2095</v>
      </c>
      <c r="Q26" s="914"/>
      <c r="R26" s="1936"/>
      <c r="S26" s="3190"/>
      <c r="T26" s="2621">
        <v>7031.59</v>
      </c>
      <c r="U26" s="3167"/>
      <c r="V26" s="3268"/>
      <c r="W26" s="3167"/>
      <c r="X26" s="3190"/>
      <c r="Y26" s="3264"/>
    </row>
    <row r="27" spans="1:25" x14ac:dyDescent="0.3">
      <c r="A27" s="3181"/>
      <c r="B27" s="3184"/>
      <c r="C27" s="1931" t="s">
        <v>48</v>
      </c>
      <c r="D27" s="1932">
        <v>6113.77</v>
      </c>
      <c r="E27" s="1645" t="s">
        <v>500</v>
      </c>
      <c r="F27" s="915"/>
      <c r="G27" s="915"/>
      <c r="H27" s="915"/>
      <c r="I27" s="1934">
        <v>17500</v>
      </c>
      <c r="J27" s="1935"/>
      <c r="K27" s="1935"/>
      <c r="L27" s="1935"/>
      <c r="M27" s="1935"/>
      <c r="N27" s="1934">
        <v>12500</v>
      </c>
      <c r="O27" s="1940"/>
      <c r="P27" s="1934">
        <f>+I27+N27</f>
        <v>30000</v>
      </c>
      <c r="Q27" s="914"/>
      <c r="R27" s="1936"/>
      <c r="S27" s="3190"/>
      <c r="T27" s="2621">
        <v>6113.77</v>
      </c>
      <c r="U27" s="3167"/>
      <c r="V27" s="3268"/>
      <c r="W27" s="3167"/>
      <c r="X27" s="3190"/>
      <c r="Y27" s="3264"/>
    </row>
    <row r="28" spans="1:25" ht="26" x14ac:dyDescent="0.3">
      <c r="A28" s="3181"/>
      <c r="B28" s="3184"/>
      <c r="C28" s="1931" t="s">
        <v>1374</v>
      </c>
      <c r="D28" s="1932">
        <v>9410.3799999999992</v>
      </c>
      <c r="E28" s="1645" t="s">
        <v>500</v>
      </c>
      <c r="F28" s="915"/>
      <c r="G28" s="915"/>
      <c r="H28" s="915"/>
      <c r="I28" s="1934">
        <v>488</v>
      </c>
      <c r="J28" s="1935"/>
      <c r="K28" s="1935"/>
      <c r="L28" s="1935"/>
      <c r="M28" s="1935"/>
      <c r="N28" s="1934">
        <v>244</v>
      </c>
      <c r="O28" s="1940"/>
      <c r="P28" s="1934">
        <f>+I28+N28</f>
        <v>732</v>
      </c>
      <c r="Q28" s="914"/>
      <c r="R28" s="1936"/>
      <c r="S28" s="3190"/>
      <c r="T28" s="2621">
        <v>9410.3799999999992</v>
      </c>
      <c r="U28" s="3167"/>
      <c r="V28" s="3268"/>
      <c r="W28" s="3167"/>
      <c r="X28" s="3190"/>
      <c r="Y28" s="3264"/>
    </row>
    <row r="29" spans="1:25" x14ac:dyDescent="0.3">
      <c r="A29" s="3181"/>
      <c r="B29" s="3185"/>
      <c r="C29" s="1941" t="s">
        <v>0</v>
      </c>
      <c r="D29" s="1938">
        <f>SUM(D24:D28)</f>
        <v>35748.74</v>
      </c>
      <c r="E29" s="1645" t="s">
        <v>500</v>
      </c>
      <c r="F29" s="915"/>
      <c r="G29" s="915"/>
      <c r="H29" s="915"/>
      <c r="I29" s="1939">
        <v>20498</v>
      </c>
      <c r="J29" s="1935"/>
      <c r="K29" s="1935"/>
      <c r="L29" s="1935"/>
      <c r="M29" s="1935"/>
      <c r="N29" s="1939">
        <v>14249</v>
      </c>
      <c r="O29" s="1940"/>
      <c r="P29" s="1939">
        <f>SUM(P24:P28)</f>
        <v>34747</v>
      </c>
      <c r="Q29" s="914"/>
      <c r="R29" s="1936"/>
      <c r="S29" s="3191"/>
      <c r="T29" s="2623">
        <f>SUM(T24:T28)</f>
        <v>35748.74</v>
      </c>
      <c r="U29" s="3168"/>
      <c r="V29" s="3269"/>
      <c r="W29" s="3168"/>
      <c r="X29" s="3191"/>
      <c r="Y29" s="3265"/>
    </row>
    <row r="30" spans="1:25" x14ac:dyDescent="0.3">
      <c r="A30" s="3181"/>
      <c r="B30" s="3192" t="s">
        <v>508</v>
      </c>
      <c r="C30" s="1931" t="s">
        <v>15</v>
      </c>
      <c r="D30" s="1932">
        <v>6825.15</v>
      </c>
      <c r="E30" s="1645" t="s">
        <v>500</v>
      </c>
      <c r="F30" s="915"/>
      <c r="G30" s="915"/>
      <c r="H30" s="915"/>
      <c r="I30" s="1934">
        <v>7980</v>
      </c>
      <c r="J30" s="1935">
        <v>0.5</v>
      </c>
      <c r="K30" s="1935"/>
      <c r="L30" s="1935"/>
      <c r="M30" s="1935"/>
      <c r="N30" s="1934">
        <v>7980</v>
      </c>
      <c r="O30" s="1940">
        <v>0.5</v>
      </c>
      <c r="P30" s="1934">
        <f>+I30+N30</f>
        <v>15960</v>
      </c>
      <c r="Q30" s="914">
        <v>0.5</v>
      </c>
      <c r="R30" s="1936">
        <f t="shared" si="0"/>
        <v>7980</v>
      </c>
      <c r="S30" s="916"/>
      <c r="T30" s="2621">
        <v>13913.65</v>
      </c>
      <c r="U30" s="3178">
        <f>+T35/P35</f>
        <v>1.0310599644983545</v>
      </c>
      <c r="V30" s="3267" t="s">
        <v>507</v>
      </c>
      <c r="W30" s="3178">
        <f>X30/P35</f>
        <v>0.42949086572242146</v>
      </c>
      <c r="X30" s="3195">
        <v>46455.45</v>
      </c>
      <c r="Y30" s="3263"/>
    </row>
    <row r="31" spans="1:25" x14ac:dyDescent="0.3">
      <c r="A31" s="3181"/>
      <c r="B31" s="3193"/>
      <c r="C31" s="1931" t="s">
        <v>47</v>
      </c>
      <c r="D31" s="1942">
        <v>11806.65</v>
      </c>
      <c r="E31" s="1645" t="s">
        <v>500</v>
      </c>
      <c r="F31" s="917"/>
      <c r="G31" s="917"/>
      <c r="H31" s="917"/>
      <c r="I31" s="1943">
        <v>18910</v>
      </c>
      <c r="J31" s="1944"/>
      <c r="K31" s="1944"/>
      <c r="L31" s="1944"/>
      <c r="M31" s="1944"/>
      <c r="N31" s="1943">
        <v>18910</v>
      </c>
      <c r="O31" s="1945"/>
      <c r="P31" s="1934">
        <f>+I31+N31</f>
        <v>37820</v>
      </c>
      <c r="Q31" s="1241"/>
      <c r="R31" s="1946"/>
      <c r="S31" s="918"/>
      <c r="T31" s="2624">
        <v>21314.58</v>
      </c>
      <c r="U31" s="3167"/>
      <c r="V31" s="3268"/>
      <c r="W31" s="3167"/>
      <c r="X31" s="3190"/>
      <c r="Y31" s="3264"/>
    </row>
    <row r="32" spans="1:25" x14ac:dyDescent="0.3">
      <c r="A32" s="3181"/>
      <c r="B32" s="3193"/>
      <c r="C32" s="1931" t="s">
        <v>17</v>
      </c>
      <c r="D32" s="1942">
        <v>7538</v>
      </c>
      <c r="E32" s="1645" t="s">
        <v>500</v>
      </c>
      <c r="F32" s="917"/>
      <c r="G32" s="917"/>
      <c r="H32" s="917"/>
      <c r="I32" s="1943">
        <v>4500</v>
      </c>
      <c r="J32" s="1944"/>
      <c r="K32" s="1944"/>
      <c r="L32" s="1944"/>
      <c r="M32" s="1944"/>
      <c r="N32" s="1943">
        <v>4500</v>
      </c>
      <c r="O32" s="1945"/>
      <c r="P32" s="1934">
        <f>+I32+N32</f>
        <v>9000</v>
      </c>
      <c r="Q32" s="1241"/>
      <c r="R32" s="1946"/>
      <c r="S32" s="918"/>
      <c r="T32" s="2624">
        <v>11058</v>
      </c>
      <c r="U32" s="3167"/>
      <c r="V32" s="3268"/>
      <c r="W32" s="3167"/>
      <c r="X32" s="3190"/>
      <c r="Y32" s="3264"/>
    </row>
    <row r="33" spans="1:25" x14ac:dyDescent="0.3">
      <c r="A33" s="3181"/>
      <c r="B33" s="3193"/>
      <c r="C33" s="1931" t="s">
        <v>48</v>
      </c>
      <c r="D33" s="1942">
        <v>56262.74</v>
      </c>
      <c r="E33" s="1645" t="s">
        <v>500</v>
      </c>
      <c r="F33" s="917"/>
      <c r="G33" s="917"/>
      <c r="H33" s="917"/>
      <c r="I33" s="1943">
        <v>21600</v>
      </c>
      <c r="J33" s="1944"/>
      <c r="K33" s="1944"/>
      <c r="L33" s="1944"/>
      <c r="M33" s="1944"/>
      <c r="N33" s="1943">
        <v>21600</v>
      </c>
      <c r="O33" s="1945"/>
      <c r="P33" s="1934">
        <f>+I33+N33</f>
        <v>43200</v>
      </c>
      <c r="Q33" s="1241"/>
      <c r="R33" s="1946"/>
      <c r="S33" s="918"/>
      <c r="T33" s="2624">
        <v>63372.74</v>
      </c>
      <c r="U33" s="3167"/>
      <c r="V33" s="3268"/>
      <c r="W33" s="3167"/>
      <c r="X33" s="3190"/>
      <c r="Y33" s="3264"/>
    </row>
    <row r="34" spans="1:25" ht="26" x14ac:dyDescent="0.3">
      <c r="A34" s="3181"/>
      <c r="B34" s="3193"/>
      <c r="C34" s="1931" t="s">
        <v>1374</v>
      </c>
      <c r="D34" s="1942">
        <v>1864.6</v>
      </c>
      <c r="E34" s="1645" t="s">
        <v>500</v>
      </c>
      <c r="F34" s="917"/>
      <c r="G34" s="917"/>
      <c r="H34" s="917"/>
      <c r="I34" s="1943">
        <v>1092</v>
      </c>
      <c r="J34" s="1944"/>
      <c r="K34" s="1944"/>
      <c r="L34" s="1944"/>
      <c r="M34" s="1944"/>
      <c r="N34" s="1943">
        <v>1092</v>
      </c>
      <c r="O34" s="1945"/>
      <c r="P34" s="1934">
        <f>+I34+N34</f>
        <v>2184</v>
      </c>
      <c r="Q34" s="1241"/>
      <c r="R34" s="1946"/>
      <c r="S34" s="918"/>
      <c r="T34" s="2624">
        <v>1864.6</v>
      </c>
      <c r="U34" s="3167"/>
      <c r="V34" s="3268"/>
      <c r="W34" s="3167"/>
      <c r="X34" s="3190"/>
      <c r="Y34" s="3264"/>
    </row>
    <row r="35" spans="1:25" ht="14.5" thickBot="1" x14ac:dyDescent="0.35">
      <c r="A35" s="3181"/>
      <c r="B35" s="3193"/>
      <c r="C35" s="1941" t="s">
        <v>0</v>
      </c>
      <c r="D35" s="1947">
        <f>SUM(D30:D34)</f>
        <v>84297.14</v>
      </c>
      <c r="E35" s="1645" t="s">
        <v>500</v>
      </c>
      <c r="F35" s="917"/>
      <c r="G35" s="917"/>
      <c r="H35" s="917"/>
      <c r="I35" s="1948">
        <f>SUM(I30:I34)</f>
        <v>54082</v>
      </c>
      <c r="J35" s="1944"/>
      <c r="K35" s="1944"/>
      <c r="L35" s="1944"/>
      <c r="M35" s="1944"/>
      <c r="N35" s="1948">
        <f>SUM(N30:N34)</f>
        <v>54082</v>
      </c>
      <c r="O35" s="1945"/>
      <c r="P35" s="1939">
        <f>SUM(P30:P34)</f>
        <v>108164</v>
      </c>
      <c r="Q35" s="1241"/>
      <c r="R35" s="1946"/>
      <c r="S35" s="918"/>
      <c r="T35" s="2625">
        <f>SUM(T30:T34)</f>
        <v>111523.57</v>
      </c>
      <c r="U35" s="3168"/>
      <c r="V35" s="3269"/>
      <c r="W35" s="3168"/>
      <c r="X35" s="3191"/>
      <c r="Y35" s="3265"/>
    </row>
    <row r="36" spans="1:25" ht="14.5" thickBot="1" x14ac:dyDescent="0.35">
      <c r="A36" s="3266"/>
      <c r="B36" s="1949"/>
      <c r="C36" s="1950"/>
      <c r="D36" s="1951"/>
      <c r="E36" s="920" t="s">
        <v>0</v>
      </c>
      <c r="F36" s="920"/>
      <c r="G36" s="920"/>
      <c r="H36" s="920"/>
      <c r="I36" s="1646">
        <f>I17+I23+I29+I35</f>
        <v>159355</v>
      </c>
      <c r="J36" s="921"/>
      <c r="K36" s="921"/>
      <c r="L36" s="921"/>
      <c r="M36" s="921"/>
      <c r="N36" s="1646">
        <f>N17+N23+N29+N35</f>
        <v>143552</v>
      </c>
      <c r="O36" s="922"/>
      <c r="P36" s="1647">
        <f>P17+P23+P29+P35</f>
        <v>302907</v>
      </c>
      <c r="Q36" s="923"/>
      <c r="R36" s="924">
        <f>SUM(R12:R35)</f>
        <v>12708</v>
      </c>
      <c r="S36" s="924"/>
      <c r="T36" s="2626">
        <f>T17+T23+T29+T35</f>
        <v>304401.95</v>
      </c>
      <c r="U36" s="925">
        <f>+T36/P36</f>
        <v>1.0049353431911445</v>
      </c>
      <c r="V36" s="1952"/>
      <c r="W36" s="2359">
        <f>X36/P36</f>
        <v>0.39505673358489568</v>
      </c>
      <c r="X36" s="2358">
        <f>SUM(X12:X35)</f>
        <v>119665.45</v>
      </c>
      <c r="Y36" s="926"/>
    </row>
    <row r="37" spans="1:25" ht="14.5" thickBot="1" x14ac:dyDescent="0.35">
      <c r="A37" s="3181" t="s">
        <v>509</v>
      </c>
      <c r="B37" s="3183" t="s">
        <v>510</v>
      </c>
      <c r="C37" s="1931" t="s">
        <v>15</v>
      </c>
      <c r="D37" s="1953">
        <v>495.94</v>
      </c>
      <c r="E37" s="961" t="s">
        <v>500</v>
      </c>
      <c r="F37" s="1954"/>
      <c r="G37" s="1954"/>
      <c r="H37" s="1954"/>
      <c r="I37" s="1934">
        <v>300</v>
      </c>
      <c r="J37" s="1955"/>
      <c r="K37" s="1955"/>
      <c r="L37" s="1955"/>
      <c r="M37" s="1955"/>
      <c r="N37" s="1934">
        <v>300</v>
      </c>
      <c r="O37" s="1956">
        <v>0.15</v>
      </c>
      <c r="P37" s="1934">
        <f>+I37+N37</f>
        <v>600</v>
      </c>
      <c r="Q37" s="1242">
        <v>0.15</v>
      </c>
      <c r="R37" s="1957">
        <f>+P37*Q37</f>
        <v>90</v>
      </c>
      <c r="S37" s="927"/>
      <c r="T37" s="2627">
        <v>495.94</v>
      </c>
      <c r="U37" s="3166">
        <f>+T42/P42</f>
        <v>1.0513133333333333</v>
      </c>
      <c r="V37" s="3205" t="s">
        <v>1234</v>
      </c>
      <c r="W37" s="3166">
        <f>X37/P42</f>
        <v>0.14515</v>
      </c>
      <c r="X37" s="3189">
        <v>435.45</v>
      </c>
      <c r="Y37" s="3270"/>
    </row>
    <row r="38" spans="1:25" ht="14.5" thickBot="1" x14ac:dyDescent="0.35">
      <c r="A38" s="3181"/>
      <c r="B38" s="3184"/>
      <c r="C38" s="1931" t="s">
        <v>47</v>
      </c>
      <c r="D38" s="1953">
        <v>165</v>
      </c>
      <c r="E38" s="961" t="s">
        <v>500</v>
      </c>
      <c r="F38" s="1954"/>
      <c r="G38" s="1954"/>
      <c r="H38" s="1954"/>
      <c r="I38" s="1934">
        <v>1200</v>
      </c>
      <c r="J38" s="1955"/>
      <c r="K38" s="1955"/>
      <c r="L38" s="1955"/>
      <c r="M38" s="1955"/>
      <c r="N38" s="1934">
        <v>1200</v>
      </c>
      <c r="O38" s="1956"/>
      <c r="P38" s="1934">
        <v>2400</v>
      </c>
      <c r="Q38" s="1242"/>
      <c r="R38" s="1957"/>
      <c r="S38" s="927"/>
      <c r="T38" s="2627">
        <v>165</v>
      </c>
      <c r="U38" s="3167"/>
      <c r="V38" s="3206"/>
      <c r="W38" s="3167"/>
      <c r="X38" s="3190"/>
      <c r="Y38" s="3264"/>
    </row>
    <row r="39" spans="1:25" ht="14.5" thickBot="1" x14ac:dyDescent="0.35">
      <c r="A39" s="3181"/>
      <c r="B39" s="3184"/>
      <c r="C39" s="1931" t="s">
        <v>17</v>
      </c>
      <c r="D39" s="1953">
        <v>350</v>
      </c>
      <c r="E39" s="961" t="s">
        <v>500</v>
      </c>
      <c r="F39" s="1954"/>
      <c r="G39" s="1954"/>
      <c r="H39" s="1954"/>
      <c r="I39" s="1934">
        <v>0</v>
      </c>
      <c r="J39" s="1955"/>
      <c r="K39" s="1955"/>
      <c r="L39" s="1955"/>
      <c r="M39" s="1955"/>
      <c r="N39" s="1934">
        <v>0</v>
      </c>
      <c r="O39" s="1956"/>
      <c r="P39" s="1934">
        <v>0</v>
      </c>
      <c r="Q39" s="1242"/>
      <c r="R39" s="1957"/>
      <c r="S39" s="927"/>
      <c r="T39" s="2627">
        <v>350</v>
      </c>
      <c r="U39" s="3167"/>
      <c r="V39" s="3206"/>
      <c r="W39" s="3167"/>
      <c r="X39" s="3190"/>
      <c r="Y39" s="3264"/>
    </row>
    <row r="40" spans="1:25" ht="14.5" thickBot="1" x14ac:dyDescent="0.35">
      <c r="A40" s="3181"/>
      <c r="B40" s="3184"/>
      <c r="C40" s="1931" t="s">
        <v>48</v>
      </c>
      <c r="D40" s="1953">
        <v>1975</v>
      </c>
      <c r="E40" s="961" t="s">
        <v>500</v>
      </c>
      <c r="F40" s="1954"/>
      <c r="G40" s="1954"/>
      <c r="H40" s="1954"/>
      <c r="I40" s="1934">
        <v>0</v>
      </c>
      <c r="J40" s="1955"/>
      <c r="K40" s="1955"/>
      <c r="L40" s="1955"/>
      <c r="M40" s="1955"/>
      <c r="N40" s="1934">
        <v>0</v>
      </c>
      <c r="O40" s="1956"/>
      <c r="P40" s="1934">
        <v>0</v>
      </c>
      <c r="Q40" s="1242"/>
      <c r="R40" s="1957"/>
      <c r="S40" s="927"/>
      <c r="T40" s="2627">
        <v>1975</v>
      </c>
      <c r="U40" s="3167"/>
      <c r="V40" s="3206"/>
      <c r="W40" s="3167"/>
      <c r="X40" s="3190"/>
      <c r="Y40" s="3264"/>
    </row>
    <row r="41" spans="1:25" ht="26.5" thickBot="1" x14ac:dyDescent="0.35">
      <c r="A41" s="3181"/>
      <c r="B41" s="3184"/>
      <c r="C41" s="1931" t="s">
        <v>1374</v>
      </c>
      <c r="D41" s="1953">
        <v>168</v>
      </c>
      <c r="E41" s="961" t="s">
        <v>500</v>
      </c>
      <c r="F41" s="1954"/>
      <c r="G41" s="1954"/>
      <c r="H41" s="1954"/>
      <c r="I41" s="1934">
        <v>0</v>
      </c>
      <c r="J41" s="1955"/>
      <c r="K41" s="1955"/>
      <c r="L41" s="1955"/>
      <c r="M41" s="1955"/>
      <c r="N41" s="1934">
        <v>0</v>
      </c>
      <c r="O41" s="1956"/>
      <c r="P41" s="1934">
        <v>0</v>
      </c>
      <c r="Q41" s="1242"/>
      <c r="R41" s="1957"/>
      <c r="S41" s="927"/>
      <c r="T41" s="2627">
        <v>168</v>
      </c>
      <c r="U41" s="3167"/>
      <c r="V41" s="3206"/>
      <c r="W41" s="3167"/>
      <c r="X41" s="3190"/>
      <c r="Y41" s="3264"/>
    </row>
    <row r="42" spans="1:25" ht="14.5" thickBot="1" x14ac:dyDescent="0.35">
      <c r="A42" s="3181"/>
      <c r="B42" s="3184"/>
      <c r="C42" s="1937" t="s">
        <v>0</v>
      </c>
      <c r="D42" s="1958">
        <f>SUM(D37:D41)</f>
        <v>3153.94</v>
      </c>
      <c r="E42" s="961" t="s">
        <v>500</v>
      </c>
      <c r="F42" s="1954"/>
      <c r="G42" s="1954"/>
      <c r="H42" s="1954"/>
      <c r="I42" s="1939">
        <f>SUM(I37:I41)</f>
        <v>1500</v>
      </c>
      <c r="J42" s="1955"/>
      <c r="K42" s="1955"/>
      <c r="L42" s="1955"/>
      <c r="M42" s="1955"/>
      <c r="N42" s="1939">
        <f>SUM(N37:N41)</f>
        <v>1500</v>
      </c>
      <c r="O42" s="1956"/>
      <c r="P42" s="1939">
        <f>SUM(P37:P41)</f>
        <v>3000</v>
      </c>
      <c r="Q42" s="1242"/>
      <c r="R42" s="1957"/>
      <c r="S42" s="927"/>
      <c r="T42" s="2628">
        <f>SUM(T37:T41)</f>
        <v>3153.94</v>
      </c>
      <c r="U42" s="3168"/>
      <c r="V42" s="3207"/>
      <c r="W42" s="3168"/>
      <c r="X42" s="3191"/>
      <c r="Y42" s="3265"/>
    </row>
    <row r="43" spans="1:25" x14ac:dyDescent="0.3">
      <c r="A43" s="3181"/>
      <c r="B43" s="3200" t="s">
        <v>511</v>
      </c>
      <c r="C43" s="1931" t="s">
        <v>15</v>
      </c>
      <c r="D43" s="1932">
        <v>3949</v>
      </c>
      <c r="E43" s="1645" t="s">
        <v>500</v>
      </c>
      <c r="F43" s="915"/>
      <c r="G43" s="915"/>
      <c r="H43" s="915"/>
      <c r="I43" s="1934">
        <v>0</v>
      </c>
      <c r="J43" s="1935"/>
      <c r="K43" s="1935"/>
      <c r="L43" s="1935"/>
      <c r="M43" s="1935"/>
      <c r="N43" s="1934">
        <v>1050</v>
      </c>
      <c r="O43" s="1940">
        <v>0.15</v>
      </c>
      <c r="P43" s="1934">
        <f>I43+N43</f>
        <v>1050</v>
      </c>
      <c r="Q43" s="914">
        <v>0.15</v>
      </c>
      <c r="R43" s="1957">
        <f t="shared" ref="R43:R49" si="2">+P43*Q43</f>
        <v>157.5</v>
      </c>
      <c r="S43" s="916"/>
      <c r="T43" s="2621">
        <v>3949</v>
      </c>
      <c r="U43" s="3178">
        <f>+T48/P48</f>
        <v>1.3939056603773585</v>
      </c>
      <c r="V43" s="3204" t="s">
        <v>1576</v>
      </c>
      <c r="W43" s="3166">
        <f>X43/P48</f>
        <v>0.20946264150943397</v>
      </c>
      <c r="X43" s="3195">
        <v>2775.38</v>
      </c>
      <c r="Y43" s="3263"/>
    </row>
    <row r="44" spans="1:25" x14ac:dyDescent="0.3">
      <c r="A44" s="3181"/>
      <c r="B44" s="3184"/>
      <c r="C44" s="1931" t="s">
        <v>47</v>
      </c>
      <c r="D44" s="1932">
        <v>1739</v>
      </c>
      <c r="E44" s="1645" t="s">
        <v>500</v>
      </c>
      <c r="F44" s="915"/>
      <c r="G44" s="915"/>
      <c r="H44" s="915"/>
      <c r="I44" s="1934">
        <v>0</v>
      </c>
      <c r="J44" s="1935"/>
      <c r="K44" s="1935"/>
      <c r="L44" s="1935"/>
      <c r="M44" s="1935"/>
      <c r="N44" s="1934">
        <v>3700</v>
      </c>
      <c r="O44" s="1940"/>
      <c r="P44" s="1934">
        <f>+I44+N44</f>
        <v>3700</v>
      </c>
      <c r="Q44" s="914"/>
      <c r="R44" s="1957"/>
      <c r="S44" s="916"/>
      <c r="T44" s="2621">
        <v>1739</v>
      </c>
      <c r="U44" s="3167"/>
      <c r="V44" s="3187"/>
      <c r="W44" s="3167"/>
      <c r="X44" s="3190"/>
      <c r="Y44" s="3264"/>
    </row>
    <row r="45" spans="1:25" x14ac:dyDescent="0.3">
      <c r="A45" s="3181"/>
      <c r="B45" s="3184"/>
      <c r="C45" s="1931" t="s">
        <v>17</v>
      </c>
      <c r="D45" s="1932">
        <v>12096.25</v>
      </c>
      <c r="E45" s="1645" t="s">
        <v>500</v>
      </c>
      <c r="F45" s="915"/>
      <c r="G45" s="915"/>
      <c r="H45" s="915"/>
      <c r="I45" s="1934">
        <v>0</v>
      </c>
      <c r="J45" s="1935"/>
      <c r="K45" s="1935"/>
      <c r="L45" s="1935"/>
      <c r="M45" s="1935"/>
      <c r="N45" s="1934">
        <v>8500</v>
      </c>
      <c r="O45" s="1940"/>
      <c r="P45" s="1934">
        <f>+I45+N45</f>
        <v>8500</v>
      </c>
      <c r="Q45" s="914"/>
      <c r="R45" s="1957"/>
      <c r="S45" s="916"/>
      <c r="T45" s="2621">
        <v>12096.25</v>
      </c>
      <c r="U45" s="3167"/>
      <c r="V45" s="3187"/>
      <c r="W45" s="3167"/>
      <c r="X45" s="3190"/>
      <c r="Y45" s="3264"/>
    </row>
    <row r="46" spans="1:25" x14ac:dyDescent="0.3">
      <c r="A46" s="3181"/>
      <c r="B46" s="3184"/>
      <c r="C46" s="1931" t="s">
        <v>48</v>
      </c>
      <c r="D46" s="1932">
        <v>400</v>
      </c>
      <c r="E46" s="1645" t="s">
        <v>500</v>
      </c>
      <c r="F46" s="915"/>
      <c r="G46" s="915"/>
      <c r="H46" s="915"/>
      <c r="I46" s="1934">
        <v>0</v>
      </c>
      <c r="J46" s="1935"/>
      <c r="K46" s="1935"/>
      <c r="L46" s="1935"/>
      <c r="M46" s="1935"/>
      <c r="N46" s="1934">
        <v>0</v>
      </c>
      <c r="O46" s="1940"/>
      <c r="P46" s="1934">
        <f>+I46+N46</f>
        <v>0</v>
      </c>
      <c r="Q46" s="914"/>
      <c r="R46" s="1957"/>
      <c r="S46" s="916"/>
      <c r="T46" s="2621">
        <v>400</v>
      </c>
      <c r="U46" s="3167"/>
      <c r="V46" s="3187"/>
      <c r="W46" s="3167"/>
      <c r="X46" s="3190"/>
      <c r="Y46" s="3264"/>
    </row>
    <row r="47" spans="1:25" ht="26" x14ac:dyDescent="0.3">
      <c r="A47" s="3181"/>
      <c r="B47" s="3184"/>
      <c r="C47" s="1931" t="s">
        <v>1374</v>
      </c>
      <c r="D47" s="1932">
        <v>285</v>
      </c>
      <c r="E47" s="1645" t="s">
        <v>500</v>
      </c>
      <c r="F47" s="915"/>
      <c r="G47" s="915"/>
      <c r="H47" s="915"/>
      <c r="I47" s="1934">
        <v>0</v>
      </c>
      <c r="J47" s="1935"/>
      <c r="K47" s="1935"/>
      <c r="L47" s="1935"/>
      <c r="M47" s="1935"/>
      <c r="N47" s="1934">
        <v>0</v>
      </c>
      <c r="O47" s="1940"/>
      <c r="P47" s="1934">
        <f>+I47+N47</f>
        <v>0</v>
      </c>
      <c r="Q47" s="914"/>
      <c r="R47" s="1957"/>
      <c r="S47" s="916"/>
      <c r="T47" s="2621">
        <v>285</v>
      </c>
      <c r="U47" s="3167"/>
      <c r="V47" s="3187"/>
      <c r="W47" s="3167"/>
      <c r="X47" s="3190"/>
      <c r="Y47" s="3264"/>
    </row>
    <row r="48" spans="1:25" ht="14.5" thickBot="1" x14ac:dyDescent="0.35">
      <c r="A48" s="3181"/>
      <c r="B48" s="3185"/>
      <c r="C48" s="1937" t="s">
        <v>0</v>
      </c>
      <c r="D48" s="1938">
        <f>SUM(D43:D47)</f>
        <v>18469.25</v>
      </c>
      <c r="E48" s="1645" t="s">
        <v>500</v>
      </c>
      <c r="F48" s="915"/>
      <c r="G48" s="915"/>
      <c r="H48" s="915"/>
      <c r="I48" s="1939">
        <f>SUM(I43:I47)</f>
        <v>0</v>
      </c>
      <c r="J48" s="1935"/>
      <c r="K48" s="1935"/>
      <c r="L48" s="1935"/>
      <c r="M48" s="1935"/>
      <c r="N48" s="1939">
        <f>SUM(N43:N47)</f>
        <v>13250</v>
      </c>
      <c r="O48" s="1940"/>
      <c r="P48" s="1939">
        <f>SUM(P43:P47)</f>
        <v>13250</v>
      </c>
      <c r="Q48" s="914"/>
      <c r="R48" s="1957"/>
      <c r="S48" s="916"/>
      <c r="T48" s="2623">
        <f>SUM(T43:T47)</f>
        <v>18469.25</v>
      </c>
      <c r="U48" s="3168"/>
      <c r="V48" s="3188"/>
      <c r="W48" s="3168"/>
      <c r="X48" s="3191"/>
      <c r="Y48" s="3265"/>
    </row>
    <row r="49" spans="1:25" x14ac:dyDescent="0.3">
      <c r="A49" s="3181"/>
      <c r="B49" s="3200" t="s">
        <v>513</v>
      </c>
      <c r="C49" s="1931" t="s">
        <v>15</v>
      </c>
      <c r="D49" s="1932">
        <v>5730.25</v>
      </c>
      <c r="E49" s="1645" t="s">
        <v>500</v>
      </c>
      <c r="F49" s="915"/>
      <c r="G49" s="915"/>
      <c r="H49" s="915"/>
      <c r="I49" s="1934">
        <v>5700</v>
      </c>
      <c r="J49" s="1935"/>
      <c r="K49" s="1935"/>
      <c r="L49" s="1935"/>
      <c r="M49" s="1935"/>
      <c r="N49" s="1934">
        <v>11400</v>
      </c>
      <c r="O49" s="1940">
        <v>0.15</v>
      </c>
      <c r="P49" s="1959">
        <f t="shared" ref="P49:P50" si="3">+I49+N49</f>
        <v>17100</v>
      </c>
      <c r="Q49" s="914">
        <v>0.15</v>
      </c>
      <c r="R49" s="1957">
        <f t="shared" si="2"/>
        <v>2565</v>
      </c>
      <c r="S49" s="916"/>
      <c r="T49" s="2621">
        <v>5730.25</v>
      </c>
      <c r="U49" s="3178">
        <f>+T54/P54</f>
        <v>1.0629681304156264</v>
      </c>
      <c r="V49" s="3208" t="s">
        <v>1234</v>
      </c>
      <c r="W49" s="3166">
        <f t="shared" ref="W49" si="4">X49/P54</f>
        <v>0.13694864639937337</v>
      </c>
      <c r="X49" s="3195">
        <v>2797.45</v>
      </c>
      <c r="Y49" s="3263"/>
    </row>
    <row r="50" spans="1:25" x14ac:dyDescent="0.3">
      <c r="A50" s="3181"/>
      <c r="B50" s="3184"/>
      <c r="C50" s="3" t="s">
        <v>47</v>
      </c>
      <c r="D50" s="1942">
        <v>7658</v>
      </c>
      <c r="E50" s="1645" t="s">
        <v>500</v>
      </c>
      <c r="F50" s="917"/>
      <c r="G50" s="917"/>
      <c r="H50" s="917"/>
      <c r="I50" s="1943">
        <v>500</v>
      </c>
      <c r="J50" s="1944"/>
      <c r="K50" s="1944"/>
      <c r="L50" s="1944"/>
      <c r="M50" s="1944"/>
      <c r="N50" s="1943">
        <v>1000</v>
      </c>
      <c r="O50" s="1945"/>
      <c r="P50" s="1960">
        <f t="shared" si="3"/>
        <v>1500</v>
      </c>
      <c r="Q50" s="1241"/>
      <c r="R50" s="1961"/>
      <c r="S50" s="918"/>
      <c r="T50" s="2624">
        <v>7658</v>
      </c>
      <c r="U50" s="3167"/>
      <c r="V50" s="3206"/>
      <c r="W50" s="3167"/>
      <c r="X50" s="3190"/>
      <c r="Y50" s="3264"/>
    </row>
    <row r="51" spans="1:25" x14ac:dyDescent="0.3">
      <c r="A51" s="3181"/>
      <c r="B51" s="3184"/>
      <c r="C51" s="1931" t="s">
        <v>17</v>
      </c>
      <c r="D51" s="1942">
        <v>2228</v>
      </c>
      <c r="E51" s="1645" t="s">
        <v>500</v>
      </c>
      <c r="F51" s="917"/>
      <c r="G51" s="917"/>
      <c r="H51" s="917"/>
      <c r="I51" s="1943">
        <v>525</v>
      </c>
      <c r="J51" s="1944"/>
      <c r="K51" s="1944"/>
      <c r="L51" s="1944"/>
      <c r="M51" s="1944"/>
      <c r="N51" s="1943">
        <v>1050</v>
      </c>
      <c r="O51" s="1945"/>
      <c r="P51" s="1960">
        <f>+I51+N51</f>
        <v>1575</v>
      </c>
      <c r="Q51" s="1241"/>
      <c r="R51" s="1961"/>
      <c r="S51" s="918"/>
      <c r="T51" s="2624">
        <v>2228</v>
      </c>
      <c r="U51" s="3167"/>
      <c r="V51" s="3206"/>
      <c r="W51" s="3167"/>
      <c r="X51" s="3190"/>
      <c r="Y51" s="3264"/>
    </row>
    <row r="52" spans="1:25" x14ac:dyDescent="0.3">
      <c r="A52" s="3181"/>
      <c r="B52" s="3184"/>
      <c r="C52" s="1931" t="s">
        <v>48</v>
      </c>
      <c r="D52" s="1942">
        <v>6040</v>
      </c>
      <c r="E52" s="1645" t="s">
        <v>500</v>
      </c>
      <c r="F52" s="917"/>
      <c r="G52" s="917"/>
      <c r="H52" s="917"/>
      <c r="I52" s="1943">
        <v>0</v>
      </c>
      <c r="J52" s="1944"/>
      <c r="K52" s="1944"/>
      <c r="L52" s="1944"/>
      <c r="M52" s="1944"/>
      <c r="N52" s="1943">
        <v>0</v>
      </c>
      <c r="O52" s="1945"/>
      <c r="P52" s="1960">
        <f>+I52+N52</f>
        <v>0</v>
      </c>
      <c r="Q52" s="1241"/>
      <c r="R52" s="1961"/>
      <c r="S52" s="918"/>
      <c r="T52" s="2624">
        <v>6040</v>
      </c>
      <c r="U52" s="3167"/>
      <c r="V52" s="3206"/>
      <c r="W52" s="3167"/>
      <c r="X52" s="3190"/>
      <c r="Y52" s="3264"/>
    </row>
    <row r="53" spans="1:25" ht="26" x14ac:dyDescent="0.3">
      <c r="A53" s="3181"/>
      <c r="B53" s="3184"/>
      <c r="C53" s="1931" t="s">
        <v>1374</v>
      </c>
      <c r="D53" s="1942">
        <v>57</v>
      </c>
      <c r="E53" s="1645" t="s">
        <v>500</v>
      </c>
      <c r="F53" s="917"/>
      <c r="G53" s="917"/>
      <c r="H53" s="917"/>
      <c r="I53" s="1943">
        <v>84</v>
      </c>
      <c r="J53" s="1944"/>
      <c r="K53" s="1944"/>
      <c r="L53" s="1944"/>
      <c r="M53" s="1944"/>
      <c r="N53" s="1943">
        <v>168</v>
      </c>
      <c r="O53" s="1945"/>
      <c r="P53" s="1960">
        <f>+I53+N53</f>
        <v>252</v>
      </c>
      <c r="Q53" s="1241"/>
      <c r="R53" s="1961"/>
      <c r="S53" s="918"/>
      <c r="T53" s="2624">
        <v>57</v>
      </c>
      <c r="U53" s="3167"/>
      <c r="V53" s="3206"/>
      <c r="W53" s="3167"/>
      <c r="X53" s="3190"/>
      <c r="Y53" s="3264"/>
    </row>
    <row r="54" spans="1:25" ht="14.5" thickBot="1" x14ac:dyDescent="0.35">
      <c r="A54" s="3181"/>
      <c r="B54" s="3185"/>
      <c r="C54" s="1937" t="s">
        <v>0</v>
      </c>
      <c r="D54" s="1947">
        <f>SUM(D49:D53)</f>
        <v>21713.25</v>
      </c>
      <c r="E54" s="1645" t="s">
        <v>500</v>
      </c>
      <c r="F54" s="917"/>
      <c r="G54" s="917"/>
      <c r="H54" s="917"/>
      <c r="I54" s="1948">
        <f>SUM(I49:I53)</f>
        <v>6809</v>
      </c>
      <c r="J54" s="1944"/>
      <c r="K54" s="1944"/>
      <c r="L54" s="1944"/>
      <c r="M54" s="1944"/>
      <c r="N54" s="1948">
        <f>SUM(N49:N53)</f>
        <v>13618</v>
      </c>
      <c r="O54" s="1945"/>
      <c r="P54" s="1962">
        <f>SUM(P49:P53)</f>
        <v>20427</v>
      </c>
      <c r="Q54" s="1241"/>
      <c r="R54" s="1961"/>
      <c r="S54" s="918"/>
      <c r="T54" s="2629">
        <f>SUM(T49:T53)</f>
        <v>21713.25</v>
      </c>
      <c r="U54" s="3168"/>
      <c r="V54" s="3207"/>
      <c r="W54" s="3168"/>
      <c r="X54" s="3191"/>
      <c r="Y54" s="3265"/>
    </row>
    <row r="55" spans="1:25" ht="14.5" thickBot="1" x14ac:dyDescent="0.35">
      <c r="A55" s="3182"/>
      <c r="B55" s="1949"/>
      <c r="C55" s="1950"/>
      <c r="D55" s="1951"/>
      <c r="E55" s="920" t="s">
        <v>0</v>
      </c>
      <c r="F55" s="920"/>
      <c r="G55" s="920"/>
      <c r="H55" s="920"/>
      <c r="I55" s="1646">
        <f>I42+I48+I54</f>
        <v>8309</v>
      </c>
      <c r="J55" s="921"/>
      <c r="K55" s="921"/>
      <c r="L55" s="921"/>
      <c r="M55" s="921"/>
      <c r="N55" s="1646">
        <f>N42+N48+N54</f>
        <v>28368</v>
      </c>
      <c r="O55" s="922"/>
      <c r="P55" s="1647">
        <f>P42+P48+P54</f>
        <v>36677</v>
      </c>
      <c r="Q55" s="923"/>
      <c r="R55" s="921">
        <f>SUM(R37:R54)</f>
        <v>2812.5</v>
      </c>
      <c r="S55" s="924"/>
      <c r="T55" s="2630">
        <f>T42+T48+T54</f>
        <v>43336.44</v>
      </c>
      <c r="U55" s="928">
        <f>+T55/P55</f>
        <v>1.1815699212040245</v>
      </c>
      <c r="V55" s="1952"/>
      <c r="W55" s="2360">
        <f>X55/P55</f>
        <v>0.1638160154865447</v>
      </c>
      <c r="X55" s="933">
        <f>SUM(X37:X49)</f>
        <v>6008.28</v>
      </c>
      <c r="Y55" s="930"/>
    </row>
    <row r="56" spans="1:25" ht="14.5" thickBot="1" x14ac:dyDescent="0.35">
      <c r="A56" s="3180" t="s">
        <v>514</v>
      </c>
      <c r="B56" s="3183" t="s">
        <v>515</v>
      </c>
      <c r="C56" s="1931" t="s">
        <v>15</v>
      </c>
      <c r="D56" s="1953">
        <v>1148.2</v>
      </c>
      <c r="E56" s="961" t="s">
        <v>500</v>
      </c>
      <c r="F56" s="1954"/>
      <c r="G56" s="1954"/>
      <c r="H56" s="1954"/>
      <c r="I56" s="1934">
        <v>1100</v>
      </c>
      <c r="J56" s="1955">
        <v>0.3</v>
      </c>
      <c r="K56" s="1955"/>
      <c r="L56" s="1955"/>
      <c r="M56" s="1955"/>
      <c r="N56" s="1934">
        <v>0</v>
      </c>
      <c r="O56" s="1956">
        <v>0.3</v>
      </c>
      <c r="P56" s="1957">
        <f>+I56+N56</f>
        <v>1100</v>
      </c>
      <c r="Q56" s="1242">
        <v>0.3</v>
      </c>
      <c r="R56" s="1957">
        <f>+P56*Q56</f>
        <v>330</v>
      </c>
      <c r="S56" s="927"/>
      <c r="T56" s="2627">
        <v>1148.2</v>
      </c>
      <c r="U56" s="3166">
        <f>+T61/P61</f>
        <v>1.0161799447097259</v>
      </c>
      <c r="V56" s="3186" t="s">
        <v>507</v>
      </c>
      <c r="W56" s="3166">
        <f>X56/P61</f>
        <v>0.313061070620759</v>
      </c>
      <c r="X56" s="3189">
        <v>1245.67</v>
      </c>
      <c r="Y56" s="3270"/>
    </row>
    <row r="57" spans="1:25" ht="14.5" thickBot="1" x14ac:dyDescent="0.35">
      <c r="A57" s="3181"/>
      <c r="B57" s="3184"/>
      <c r="C57" s="1931" t="s">
        <v>47</v>
      </c>
      <c r="D57" s="1953">
        <v>359</v>
      </c>
      <c r="E57" s="961" t="s">
        <v>500</v>
      </c>
      <c r="F57" s="1954"/>
      <c r="G57" s="1954"/>
      <c r="H57" s="1954"/>
      <c r="I57" s="1934">
        <v>1150</v>
      </c>
      <c r="J57" s="1955"/>
      <c r="K57" s="1955"/>
      <c r="L57" s="1955"/>
      <c r="M57" s="1955"/>
      <c r="N57" s="1934">
        <v>0</v>
      </c>
      <c r="O57" s="1956"/>
      <c r="P57" s="1957">
        <f>+I57+N57</f>
        <v>1150</v>
      </c>
      <c r="Q57" s="1242"/>
      <c r="R57" s="1957"/>
      <c r="S57" s="927"/>
      <c r="T57" s="2627">
        <v>359</v>
      </c>
      <c r="U57" s="3167"/>
      <c r="V57" s="3187"/>
      <c r="W57" s="3167"/>
      <c r="X57" s="3190"/>
      <c r="Y57" s="3264"/>
    </row>
    <row r="58" spans="1:25" ht="14.5" thickBot="1" x14ac:dyDescent="0.35">
      <c r="A58" s="3181"/>
      <c r="B58" s="3184"/>
      <c r="C58" s="1931" t="s">
        <v>17</v>
      </c>
      <c r="D58" s="1953">
        <v>2184</v>
      </c>
      <c r="E58" s="961" t="s">
        <v>500</v>
      </c>
      <c r="F58" s="1954"/>
      <c r="G58" s="1954"/>
      <c r="H58" s="1954"/>
      <c r="I58" s="1934">
        <v>1155</v>
      </c>
      <c r="J58" s="1955"/>
      <c r="K58" s="1955"/>
      <c r="L58" s="1955"/>
      <c r="M58" s="1955"/>
      <c r="N58" s="1934">
        <v>0</v>
      </c>
      <c r="O58" s="1956"/>
      <c r="P58" s="1957">
        <f>+I58+N58</f>
        <v>1155</v>
      </c>
      <c r="Q58" s="1242"/>
      <c r="R58" s="1957"/>
      <c r="S58" s="927"/>
      <c r="T58" s="2627">
        <v>2184</v>
      </c>
      <c r="U58" s="3167"/>
      <c r="V58" s="3187"/>
      <c r="W58" s="3167"/>
      <c r="X58" s="3190"/>
      <c r="Y58" s="3264"/>
    </row>
    <row r="59" spans="1:25" ht="14.5" thickBot="1" x14ac:dyDescent="0.35">
      <c r="A59" s="3181"/>
      <c r="B59" s="3184"/>
      <c r="C59" s="1931" t="s">
        <v>48</v>
      </c>
      <c r="D59" s="1953">
        <v>0</v>
      </c>
      <c r="E59" s="961" t="s">
        <v>500</v>
      </c>
      <c r="F59" s="1954"/>
      <c r="G59" s="1954"/>
      <c r="H59" s="1954"/>
      <c r="I59" s="1934">
        <v>0</v>
      </c>
      <c r="J59" s="1955"/>
      <c r="K59" s="1955"/>
      <c r="L59" s="1955"/>
      <c r="M59" s="1955"/>
      <c r="N59" s="1934">
        <v>0</v>
      </c>
      <c r="O59" s="1956"/>
      <c r="P59" s="1957">
        <f>+I59+N59</f>
        <v>0</v>
      </c>
      <c r="Q59" s="1242"/>
      <c r="R59" s="1957"/>
      <c r="S59" s="927"/>
      <c r="T59" s="2627">
        <v>0</v>
      </c>
      <c r="U59" s="3167"/>
      <c r="V59" s="3187"/>
      <c r="W59" s="3167"/>
      <c r="X59" s="3190"/>
      <c r="Y59" s="3264"/>
    </row>
    <row r="60" spans="1:25" ht="26.5" thickBot="1" x14ac:dyDescent="0.35">
      <c r="A60" s="3181"/>
      <c r="B60" s="3184"/>
      <c r="C60" s="1931" t="s">
        <v>1374</v>
      </c>
      <c r="D60" s="1953">
        <v>352.18</v>
      </c>
      <c r="E60" s="961" t="s">
        <v>500</v>
      </c>
      <c r="F60" s="1954"/>
      <c r="G60" s="1954"/>
      <c r="H60" s="1954"/>
      <c r="I60" s="1934">
        <v>574</v>
      </c>
      <c r="J60" s="1955"/>
      <c r="K60" s="1955"/>
      <c r="L60" s="1955"/>
      <c r="M60" s="1955"/>
      <c r="N60" s="1934">
        <v>0</v>
      </c>
      <c r="O60" s="1956"/>
      <c r="P60" s="1957">
        <f>+I60+N60</f>
        <v>574</v>
      </c>
      <c r="Q60" s="1242"/>
      <c r="R60" s="1957"/>
      <c r="S60" s="927"/>
      <c r="T60" s="2627">
        <v>352.18</v>
      </c>
      <c r="U60" s="3167"/>
      <c r="V60" s="3187"/>
      <c r="W60" s="3167"/>
      <c r="X60" s="3190"/>
      <c r="Y60" s="3264"/>
    </row>
    <row r="61" spans="1:25" x14ac:dyDescent="0.3">
      <c r="A61" s="3181"/>
      <c r="B61" s="3185"/>
      <c r="C61" s="1937" t="s">
        <v>0</v>
      </c>
      <c r="D61" s="1958">
        <f>SUM(D56:D60)</f>
        <v>4043.3799999999997</v>
      </c>
      <c r="E61" s="961" t="s">
        <v>500</v>
      </c>
      <c r="F61" s="1954"/>
      <c r="G61" s="1954"/>
      <c r="H61" s="1954"/>
      <c r="I61" s="1939">
        <f>SUM(I56:I60)</f>
        <v>3979</v>
      </c>
      <c r="J61" s="1955"/>
      <c r="K61" s="1955"/>
      <c r="L61" s="1955"/>
      <c r="M61" s="1955"/>
      <c r="N61" s="1939">
        <f>SUM(N56:N60)</f>
        <v>0</v>
      </c>
      <c r="O61" s="1956"/>
      <c r="P61" s="1963">
        <f>SUM(P56:P60)</f>
        <v>3979</v>
      </c>
      <c r="Q61" s="1242"/>
      <c r="R61" s="1957"/>
      <c r="S61" s="927"/>
      <c r="T61" s="2628">
        <f>SUM(T56:T60)</f>
        <v>4043.3799999999997</v>
      </c>
      <c r="U61" s="3168"/>
      <c r="V61" s="3188"/>
      <c r="W61" s="3168"/>
      <c r="X61" s="3191"/>
      <c r="Y61" s="3265"/>
    </row>
    <row r="62" spans="1:25" x14ac:dyDescent="0.3">
      <c r="A62" s="3181"/>
      <c r="B62" s="3192" t="s">
        <v>517</v>
      </c>
      <c r="C62" s="1931" t="s">
        <v>15</v>
      </c>
      <c r="D62" s="1932">
        <v>6150.76</v>
      </c>
      <c r="E62" s="1645" t="s">
        <v>500</v>
      </c>
      <c r="F62" s="915"/>
      <c r="G62" s="915"/>
      <c r="H62" s="915"/>
      <c r="I62" s="1934">
        <v>1860</v>
      </c>
      <c r="J62" s="1935">
        <v>0.5</v>
      </c>
      <c r="K62" s="1935"/>
      <c r="L62" s="1935"/>
      <c r="M62" s="1935"/>
      <c r="N62" s="1934">
        <v>1860</v>
      </c>
      <c r="O62" s="1940">
        <v>0.5</v>
      </c>
      <c r="P62" s="1957">
        <f>+I62+N62</f>
        <v>3720</v>
      </c>
      <c r="Q62" s="914">
        <v>0.5</v>
      </c>
      <c r="R62" s="1957">
        <f t="shared" ref="R62:R72" si="5">+P62*Q62</f>
        <v>1860</v>
      </c>
      <c r="S62" s="916"/>
      <c r="T62" s="2621">
        <v>6150.76</v>
      </c>
      <c r="U62" s="3178">
        <f>+T66/P66</f>
        <v>0.87399888558692429</v>
      </c>
      <c r="V62" s="3197" t="s">
        <v>1577</v>
      </c>
      <c r="W62" s="3178">
        <f>X62/P66</f>
        <v>0.44631686478454674</v>
      </c>
      <c r="X62" s="3195">
        <v>4805.9399999999996</v>
      </c>
      <c r="Y62" s="3263"/>
    </row>
    <row r="63" spans="1:25" x14ac:dyDescent="0.3">
      <c r="A63" s="3181"/>
      <c r="B63" s="3193"/>
      <c r="C63" s="1931" t="s">
        <v>47</v>
      </c>
      <c r="D63" s="1932">
        <v>1319.46</v>
      </c>
      <c r="E63" s="1645" t="s">
        <v>500</v>
      </c>
      <c r="F63" s="915"/>
      <c r="G63" s="915"/>
      <c r="H63" s="915"/>
      <c r="I63" s="1934">
        <v>2040</v>
      </c>
      <c r="J63" s="1935"/>
      <c r="K63" s="1935"/>
      <c r="L63" s="1935"/>
      <c r="M63" s="1935"/>
      <c r="N63" s="1934">
        <v>2040</v>
      </c>
      <c r="O63" s="1940"/>
      <c r="P63" s="1957">
        <f>+I63+N63</f>
        <v>4080</v>
      </c>
      <c r="Q63" s="914"/>
      <c r="R63" s="1957"/>
      <c r="S63" s="916"/>
      <c r="T63" s="2621">
        <v>1319.46</v>
      </c>
      <c r="U63" s="3167"/>
      <c r="V63" s="3198"/>
      <c r="W63" s="3167"/>
      <c r="X63" s="3190"/>
      <c r="Y63" s="3264"/>
    </row>
    <row r="64" spans="1:25" x14ac:dyDescent="0.3">
      <c r="A64" s="3181"/>
      <c r="B64" s="3193"/>
      <c r="C64" s="1931" t="s">
        <v>17</v>
      </c>
      <c r="D64" s="1932">
        <v>1820</v>
      </c>
      <c r="E64" s="1645" t="s">
        <v>500</v>
      </c>
      <c r="F64" s="915"/>
      <c r="G64" s="915"/>
      <c r="H64" s="915"/>
      <c r="I64" s="1934">
        <v>1280</v>
      </c>
      <c r="J64" s="1935"/>
      <c r="K64" s="1935"/>
      <c r="L64" s="1935"/>
      <c r="M64" s="1935"/>
      <c r="N64" s="1934">
        <v>1280</v>
      </c>
      <c r="O64" s="1940"/>
      <c r="P64" s="1957">
        <f>+I64+N64</f>
        <v>2560</v>
      </c>
      <c r="Q64" s="914"/>
      <c r="R64" s="1957"/>
      <c r="S64" s="916"/>
      <c r="T64" s="2621">
        <v>1820</v>
      </c>
      <c r="U64" s="3167"/>
      <c r="V64" s="3198"/>
      <c r="W64" s="3167"/>
      <c r="X64" s="3190"/>
      <c r="Y64" s="3264"/>
    </row>
    <row r="65" spans="1:25" ht="26" x14ac:dyDescent="0.3">
      <c r="A65" s="3181"/>
      <c r="B65" s="3193"/>
      <c r="C65" s="1931" t="s">
        <v>1374</v>
      </c>
      <c r="D65" s="1932">
        <v>121</v>
      </c>
      <c r="E65" s="1645" t="s">
        <v>500</v>
      </c>
      <c r="F65" s="915"/>
      <c r="G65" s="915"/>
      <c r="H65" s="915"/>
      <c r="I65" s="1934">
        <v>204</v>
      </c>
      <c r="J65" s="1935"/>
      <c r="K65" s="1935"/>
      <c r="L65" s="1935"/>
      <c r="M65" s="1935"/>
      <c r="N65" s="1934">
        <v>204</v>
      </c>
      <c r="O65" s="1940"/>
      <c r="P65" s="1957">
        <f>+I65+N65</f>
        <v>408</v>
      </c>
      <c r="Q65" s="914"/>
      <c r="R65" s="1957"/>
      <c r="S65" s="916"/>
      <c r="T65" s="2621">
        <v>121</v>
      </c>
      <c r="U65" s="3167"/>
      <c r="V65" s="3198"/>
      <c r="W65" s="3167"/>
      <c r="X65" s="3190"/>
      <c r="Y65" s="3264"/>
    </row>
    <row r="66" spans="1:25" x14ac:dyDescent="0.3">
      <c r="A66" s="3181"/>
      <c r="B66" s="3194"/>
      <c r="C66" s="1937" t="s">
        <v>0</v>
      </c>
      <c r="D66" s="1938">
        <f>SUM(D62:D65)</f>
        <v>9411.2200000000012</v>
      </c>
      <c r="E66" s="2601" t="s">
        <v>500</v>
      </c>
      <c r="F66" s="1985"/>
      <c r="G66" s="1985"/>
      <c r="H66" s="1985"/>
      <c r="I66" s="1939">
        <f>SUM(I62:I65)</f>
        <v>5384</v>
      </c>
      <c r="J66" s="1935"/>
      <c r="K66" s="1935"/>
      <c r="L66" s="1935"/>
      <c r="M66" s="1935"/>
      <c r="N66" s="1939">
        <f>SUM(N62:N65)</f>
        <v>5384</v>
      </c>
      <c r="O66" s="1940"/>
      <c r="P66" s="1963">
        <f>SUM(P62:P65)</f>
        <v>10768</v>
      </c>
      <c r="Q66" s="914"/>
      <c r="R66" s="1957"/>
      <c r="S66" s="916"/>
      <c r="T66" s="2623">
        <f>SUM(T62:T65)</f>
        <v>9411.2200000000012</v>
      </c>
      <c r="U66" s="3168"/>
      <c r="V66" s="3215"/>
      <c r="W66" s="3168"/>
      <c r="X66" s="3191"/>
      <c r="Y66" s="3265"/>
    </row>
    <row r="67" spans="1:25" ht="112" x14ac:dyDescent="0.3">
      <c r="A67" s="3181"/>
      <c r="B67" s="3200" t="s">
        <v>518</v>
      </c>
      <c r="C67" s="1931" t="s">
        <v>15</v>
      </c>
      <c r="D67" s="1932">
        <v>20306.2</v>
      </c>
      <c r="E67" s="1645" t="s">
        <v>500</v>
      </c>
      <c r="F67" s="915"/>
      <c r="G67" s="915"/>
      <c r="H67" s="915"/>
      <c r="I67" s="1934">
        <v>10200</v>
      </c>
      <c r="J67" s="1935">
        <v>0.15</v>
      </c>
      <c r="K67" s="1935"/>
      <c r="L67" s="1935"/>
      <c r="M67" s="1935"/>
      <c r="N67" s="1934">
        <v>0</v>
      </c>
      <c r="O67" s="1940">
        <v>0.15</v>
      </c>
      <c r="P67" s="1957">
        <f t="shared" ref="P67" si="6">+I67+N67</f>
        <v>10200</v>
      </c>
      <c r="Q67" s="914">
        <v>0.15</v>
      </c>
      <c r="R67" s="1957">
        <f t="shared" si="5"/>
        <v>1530</v>
      </c>
      <c r="S67" s="916"/>
      <c r="T67" s="2621">
        <v>20306.2</v>
      </c>
      <c r="U67" s="3178">
        <f>+T71/P71</f>
        <v>2.3298206495395055</v>
      </c>
      <c r="V67" s="1964" t="s">
        <v>519</v>
      </c>
      <c r="W67" s="3178">
        <f>X67/P71</f>
        <v>0.3563078041686864</v>
      </c>
      <c r="X67" s="3195">
        <v>7350.63</v>
      </c>
      <c r="Y67" s="3263"/>
    </row>
    <row r="68" spans="1:25" x14ac:dyDescent="0.3">
      <c r="A68" s="3181"/>
      <c r="B68" s="3184"/>
      <c r="C68" s="1931" t="s">
        <v>47</v>
      </c>
      <c r="D68" s="1942">
        <v>15906</v>
      </c>
      <c r="E68" s="1645" t="s">
        <v>500</v>
      </c>
      <c r="F68" s="917"/>
      <c r="G68" s="917"/>
      <c r="H68" s="917"/>
      <c r="I68" s="1943">
        <v>8550</v>
      </c>
      <c r="J68" s="1944"/>
      <c r="K68" s="1944"/>
      <c r="L68" s="1944"/>
      <c r="M68" s="1944"/>
      <c r="N68" s="1943">
        <v>0</v>
      </c>
      <c r="O68" s="1945"/>
      <c r="P68" s="1957">
        <f>+I68+N68</f>
        <v>8550</v>
      </c>
      <c r="Q68" s="1241"/>
      <c r="R68" s="1957"/>
      <c r="S68" s="918"/>
      <c r="T68" s="2624">
        <v>15906</v>
      </c>
      <c r="U68" s="3167"/>
      <c r="V68" s="1965"/>
      <c r="W68" s="3167"/>
      <c r="X68" s="3190"/>
      <c r="Y68" s="3264"/>
    </row>
    <row r="69" spans="1:25" x14ac:dyDescent="0.3">
      <c r="A69" s="3181"/>
      <c r="B69" s="3184"/>
      <c r="C69" s="1931" t="s">
        <v>17</v>
      </c>
      <c r="D69" s="1942">
        <v>11127</v>
      </c>
      <c r="E69" s="1645" t="s">
        <v>500</v>
      </c>
      <c r="F69" s="917"/>
      <c r="G69" s="917"/>
      <c r="H69" s="917"/>
      <c r="I69" s="1943">
        <v>1700</v>
      </c>
      <c r="J69" s="1944"/>
      <c r="K69" s="1944"/>
      <c r="L69" s="1944"/>
      <c r="M69" s="1944"/>
      <c r="N69" s="1943">
        <v>0</v>
      </c>
      <c r="O69" s="1945"/>
      <c r="P69" s="1957">
        <f>+I69+N69</f>
        <v>1700</v>
      </c>
      <c r="Q69" s="1241"/>
      <c r="R69" s="1957"/>
      <c r="S69" s="918"/>
      <c r="T69" s="2624">
        <v>11127</v>
      </c>
      <c r="U69" s="3167"/>
      <c r="V69" s="1965"/>
      <c r="W69" s="3167"/>
      <c r="X69" s="3190"/>
      <c r="Y69" s="3264"/>
    </row>
    <row r="70" spans="1:25" ht="26" x14ac:dyDescent="0.3">
      <c r="A70" s="3181"/>
      <c r="B70" s="3184"/>
      <c r="C70" s="1931" t="s">
        <v>1374</v>
      </c>
      <c r="D70" s="1942">
        <v>725</v>
      </c>
      <c r="E70" s="1645" t="s">
        <v>500</v>
      </c>
      <c r="F70" s="917"/>
      <c r="G70" s="917"/>
      <c r="H70" s="917"/>
      <c r="I70" s="1943">
        <v>180</v>
      </c>
      <c r="J70" s="1944"/>
      <c r="K70" s="1944"/>
      <c r="L70" s="1944"/>
      <c r="M70" s="1944"/>
      <c r="N70" s="1943">
        <v>0</v>
      </c>
      <c r="O70" s="1945"/>
      <c r="P70" s="1957">
        <f>+I70+N70</f>
        <v>180</v>
      </c>
      <c r="Q70" s="1241"/>
      <c r="R70" s="1957"/>
      <c r="S70" s="918"/>
      <c r="T70" s="2624">
        <v>725</v>
      </c>
      <c r="U70" s="3167"/>
      <c r="V70" s="1965"/>
      <c r="W70" s="3167"/>
      <c r="X70" s="3190"/>
      <c r="Y70" s="3264"/>
    </row>
    <row r="71" spans="1:25" x14ac:dyDescent="0.3">
      <c r="A71" s="3181"/>
      <c r="B71" s="3185"/>
      <c r="C71" s="1937" t="s">
        <v>0</v>
      </c>
      <c r="D71" s="1947">
        <f>SUM(D67:D70)</f>
        <v>48064.2</v>
      </c>
      <c r="E71" s="2601" t="s">
        <v>500</v>
      </c>
      <c r="F71" s="2602"/>
      <c r="G71" s="2602"/>
      <c r="H71" s="2602"/>
      <c r="I71" s="1948">
        <f>SUM(I67:I70)</f>
        <v>20630</v>
      </c>
      <c r="J71" s="1944"/>
      <c r="K71" s="1944"/>
      <c r="L71" s="1944"/>
      <c r="M71" s="1944"/>
      <c r="N71" s="1943">
        <f>SUM(N67:N70)</f>
        <v>0</v>
      </c>
      <c r="O71" s="1945"/>
      <c r="P71" s="1963">
        <f>+I71+N71</f>
        <v>20630</v>
      </c>
      <c r="Q71" s="1241"/>
      <c r="R71" s="1957"/>
      <c r="S71" s="918"/>
      <c r="T71" s="2625">
        <f>SUM(T67:T70)</f>
        <v>48064.2</v>
      </c>
      <c r="U71" s="3167"/>
      <c r="V71" s="1966"/>
      <c r="W71" s="3168"/>
      <c r="X71" s="3191"/>
      <c r="Y71" s="3265"/>
    </row>
    <row r="72" spans="1:25" x14ac:dyDescent="0.3">
      <c r="A72" s="3181"/>
      <c r="B72" s="3200" t="s">
        <v>520</v>
      </c>
      <c r="C72" s="1931" t="s">
        <v>15</v>
      </c>
      <c r="D72" s="1932">
        <v>10295.950000000001</v>
      </c>
      <c r="E72" s="1645" t="s">
        <v>500</v>
      </c>
      <c r="F72" s="917"/>
      <c r="G72" s="917"/>
      <c r="H72" s="917"/>
      <c r="I72" s="1934">
        <v>0</v>
      </c>
      <c r="J72" s="1935">
        <v>0.5</v>
      </c>
      <c r="K72" s="1935"/>
      <c r="L72" s="1935"/>
      <c r="M72" s="1935"/>
      <c r="N72" s="1934">
        <v>0</v>
      </c>
      <c r="O72" s="1967">
        <v>0.5</v>
      </c>
      <c r="P72" s="1957">
        <f>I72+N72</f>
        <v>0</v>
      </c>
      <c r="Q72" s="914">
        <v>0.5</v>
      </c>
      <c r="R72" s="1957">
        <f t="shared" si="5"/>
        <v>0</v>
      </c>
      <c r="S72" s="963"/>
      <c r="T72" s="2621">
        <v>10295.950000000001</v>
      </c>
      <c r="U72" s="3167">
        <f>+T77/P77</f>
        <v>1.0680303333333334</v>
      </c>
      <c r="V72" s="3197" t="s">
        <v>1578</v>
      </c>
      <c r="W72" s="3178">
        <f>X72/P77</f>
        <v>0.51209749999999998</v>
      </c>
      <c r="X72" s="3195">
        <v>30725.85</v>
      </c>
      <c r="Y72" s="3263"/>
    </row>
    <row r="73" spans="1:25" x14ac:dyDescent="0.3">
      <c r="A73" s="3181"/>
      <c r="B73" s="3184"/>
      <c r="C73" s="1931" t="s">
        <v>47</v>
      </c>
      <c r="D73" s="1932">
        <v>482.75</v>
      </c>
      <c r="E73" s="1645" t="s">
        <v>500</v>
      </c>
      <c r="F73" s="931"/>
      <c r="G73" s="931"/>
      <c r="H73" s="931"/>
      <c r="I73" s="1934">
        <v>60000</v>
      </c>
      <c r="J73" s="1935"/>
      <c r="K73" s="1935"/>
      <c r="L73" s="1935"/>
      <c r="M73" s="1935"/>
      <c r="N73" s="1934">
        <v>0</v>
      </c>
      <c r="O73" s="1967"/>
      <c r="P73" s="1957">
        <f>+I73+N73</f>
        <v>60000</v>
      </c>
      <c r="Q73" s="914"/>
      <c r="R73" s="1957"/>
      <c r="S73" s="963"/>
      <c r="T73" s="2621">
        <v>40894.870000000003</v>
      </c>
      <c r="U73" s="3167"/>
      <c r="V73" s="3198"/>
      <c r="W73" s="3167"/>
      <c r="X73" s="3190"/>
      <c r="Y73" s="3264"/>
    </row>
    <row r="74" spans="1:25" x14ac:dyDescent="0.3">
      <c r="A74" s="3181"/>
      <c r="B74" s="3184"/>
      <c r="C74" s="1931" t="s">
        <v>17</v>
      </c>
      <c r="D74" s="1932">
        <v>1140</v>
      </c>
      <c r="E74" s="1645" t="s">
        <v>500</v>
      </c>
      <c r="F74" s="931"/>
      <c r="G74" s="931"/>
      <c r="H74" s="931"/>
      <c r="I74" s="1934">
        <v>0</v>
      </c>
      <c r="J74" s="1935"/>
      <c r="K74" s="1935"/>
      <c r="L74" s="1935"/>
      <c r="M74" s="1935"/>
      <c r="N74" s="1934">
        <v>0</v>
      </c>
      <c r="O74" s="1967"/>
      <c r="P74" s="1957">
        <f>+I74+N74</f>
        <v>0</v>
      </c>
      <c r="Q74" s="914"/>
      <c r="R74" s="1957"/>
      <c r="S74" s="963"/>
      <c r="T74" s="2621">
        <v>1140</v>
      </c>
      <c r="U74" s="3167"/>
      <c r="V74" s="3198"/>
      <c r="W74" s="3167"/>
      <c r="X74" s="3190"/>
      <c r="Y74" s="3264"/>
    </row>
    <row r="75" spans="1:25" x14ac:dyDescent="0.3">
      <c r="A75" s="3181"/>
      <c r="B75" s="3184"/>
      <c r="C75" s="1931" t="s">
        <v>48</v>
      </c>
      <c r="D75" s="1932">
        <v>11338</v>
      </c>
      <c r="E75" s="1645" t="s">
        <v>500</v>
      </c>
      <c r="F75" s="931"/>
      <c r="G75" s="931"/>
      <c r="H75" s="931"/>
      <c r="I75" s="1934">
        <v>0</v>
      </c>
      <c r="J75" s="1935"/>
      <c r="K75" s="1935"/>
      <c r="L75" s="1935"/>
      <c r="M75" s="1935"/>
      <c r="N75" s="1934">
        <v>0</v>
      </c>
      <c r="O75" s="1967"/>
      <c r="P75" s="1957">
        <f>+I75+N75</f>
        <v>0</v>
      </c>
      <c r="Q75" s="914"/>
      <c r="R75" s="1957"/>
      <c r="S75" s="963"/>
      <c r="T75" s="2621">
        <v>11338</v>
      </c>
      <c r="U75" s="3167"/>
      <c r="V75" s="3198"/>
      <c r="W75" s="3167"/>
      <c r="X75" s="3190"/>
      <c r="Y75" s="3264"/>
    </row>
    <row r="76" spans="1:25" ht="26" x14ac:dyDescent="0.3">
      <c r="A76" s="3181"/>
      <c r="B76" s="3184"/>
      <c r="C76" s="1931" t="s">
        <v>1374</v>
      </c>
      <c r="D76" s="1932">
        <v>413</v>
      </c>
      <c r="E76" s="1645" t="s">
        <v>500</v>
      </c>
      <c r="F76" s="931"/>
      <c r="G76" s="931"/>
      <c r="H76" s="931"/>
      <c r="I76" s="1934">
        <v>0</v>
      </c>
      <c r="J76" s="1935"/>
      <c r="K76" s="1935"/>
      <c r="L76" s="1935"/>
      <c r="M76" s="1935"/>
      <c r="N76" s="1934">
        <v>0</v>
      </c>
      <c r="O76" s="1967"/>
      <c r="P76" s="1957">
        <f>+I76+N76</f>
        <v>0</v>
      </c>
      <c r="Q76" s="914"/>
      <c r="R76" s="1957"/>
      <c r="S76" s="963"/>
      <c r="T76" s="2621">
        <v>413</v>
      </c>
      <c r="U76" s="3167"/>
      <c r="V76" s="3198"/>
      <c r="W76" s="3167"/>
      <c r="X76" s="3190"/>
      <c r="Y76" s="3264"/>
    </row>
    <row r="77" spans="1:25" s="2615" customFormat="1" ht="35.15" customHeight="1" thickBot="1" x14ac:dyDescent="0.35">
      <c r="A77" s="3181"/>
      <c r="B77" s="3184"/>
      <c r="C77" s="2603" t="s">
        <v>0</v>
      </c>
      <c r="D77" s="2604">
        <f>SUM(D72:D76)</f>
        <v>23669.7</v>
      </c>
      <c r="E77" s="2605" t="s">
        <v>500</v>
      </c>
      <c r="F77" s="2606"/>
      <c r="G77" s="2606"/>
      <c r="H77" s="2606"/>
      <c r="I77" s="2607">
        <f>SUM(I72:I76)</f>
        <v>60000</v>
      </c>
      <c r="J77" s="2608"/>
      <c r="K77" s="2608"/>
      <c r="L77" s="2608"/>
      <c r="M77" s="2608"/>
      <c r="N77" s="2609">
        <f>SUM(N72:N76)</f>
        <v>0</v>
      </c>
      <c r="O77" s="2610"/>
      <c r="P77" s="2611">
        <f>SUM(P72:P76)</f>
        <v>60000</v>
      </c>
      <c r="Q77" s="2612"/>
      <c r="R77" s="2613"/>
      <c r="S77" s="2614"/>
      <c r="T77" s="2623">
        <f>SUM(T72:T76)</f>
        <v>64081.820000000007</v>
      </c>
      <c r="U77" s="3179"/>
      <c r="V77" s="3199"/>
      <c r="W77" s="3179"/>
      <c r="X77" s="3196"/>
      <c r="Y77" s="3271"/>
    </row>
    <row r="78" spans="1:25" s="935" customFormat="1" ht="14.5" thickBot="1" x14ac:dyDescent="0.35">
      <c r="A78" s="3182"/>
      <c r="B78" s="1968"/>
      <c r="C78" s="1969"/>
      <c r="D78" s="1970"/>
      <c r="E78" s="920" t="s">
        <v>0</v>
      </c>
      <c r="F78" s="920"/>
      <c r="G78" s="920"/>
      <c r="H78" s="920"/>
      <c r="I78" s="1648">
        <f>I61+I66+I71+I77</f>
        <v>89993</v>
      </c>
      <c r="J78" s="1649"/>
      <c r="K78" s="1649"/>
      <c r="L78" s="1649"/>
      <c r="M78" s="1649"/>
      <c r="N78" s="1650">
        <f>N61+N66+N71+N77</f>
        <v>5384</v>
      </c>
      <c r="O78" s="1651"/>
      <c r="P78" s="1648">
        <f>P61+P66+P71+P77</f>
        <v>95377</v>
      </c>
      <c r="Q78" s="1652"/>
      <c r="R78" s="1653">
        <f>SUM(R56:R72)</f>
        <v>3720</v>
      </c>
      <c r="S78" s="1653"/>
      <c r="T78" s="2631">
        <f>T61+T66+T71+T77</f>
        <v>125600.62</v>
      </c>
      <c r="U78" s="928">
        <f>+T78/P78</f>
        <v>1.3168858320140076</v>
      </c>
      <c r="V78" s="1971"/>
      <c r="W78" s="2360">
        <f>X78/P78</f>
        <v>0.46267014059993494</v>
      </c>
      <c r="X78" s="933">
        <f>SUM(X56:X72)</f>
        <v>44128.09</v>
      </c>
      <c r="Y78" s="934"/>
    </row>
    <row r="79" spans="1:25" ht="14.5" thickBot="1" x14ac:dyDescent="0.35">
      <c r="A79" s="3180" t="s">
        <v>106</v>
      </c>
      <c r="B79" s="3183" t="s">
        <v>521</v>
      </c>
      <c r="C79" s="1931" t="s">
        <v>15</v>
      </c>
      <c r="D79" s="1953">
        <v>930.19</v>
      </c>
      <c r="E79" s="961" t="s">
        <v>500</v>
      </c>
      <c r="F79" s="1954"/>
      <c r="G79" s="1954"/>
      <c r="H79" s="1954"/>
      <c r="I79" s="1934">
        <v>2280</v>
      </c>
      <c r="J79" s="1955">
        <v>0.3</v>
      </c>
      <c r="K79" s="1955"/>
      <c r="L79" s="1955"/>
      <c r="M79" s="1955"/>
      <c r="N79" s="1972">
        <v>2280</v>
      </c>
      <c r="O79" s="1956">
        <v>0.3</v>
      </c>
      <c r="P79" s="1957">
        <f>+I79+N79</f>
        <v>4560</v>
      </c>
      <c r="Q79" s="1242">
        <v>0.3</v>
      </c>
      <c r="R79" s="1973">
        <f>+P79*Q79</f>
        <v>1368</v>
      </c>
      <c r="S79" s="927"/>
      <c r="T79" s="2627">
        <v>7472.69</v>
      </c>
      <c r="U79" s="3216">
        <f>+T84/P84</f>
        <v>2.1701037924151696</v>
      </c>
      <c r="V79" s="3186" t="s">
        <v>1579</v>
      </c>
      <c r="W79" s="3166">
        <f>X79/P84</f>
        <v>0.64435628742514972</v>
      </c>
      <c r="X79" s="3189">
        <v>6456.45</v>
      </c>
      <c r="Y79" s="3270"/>
    </row>
    <row r="80" spans="1:25" ht="14.5" thickBot="1" x14ac:dyDescent="0.35">
      <c r="A80" s="3181"/>
      <c r="B80" s="3184"/>
      <c r="C80" s="1931" t="s">
        <v>47</v>
      </c>
      <c r="D80" s="1953">
        <v>0</v>
      </c>
      <c r="E80" s="961" t="s">
        <v>500</v>
      </c>
      <c r="F80" s="1954"/>
      <c r="G80" s="1954"/>
      <c r="H80" s="1954"/>
      <c r="I80" s="1934">
        <v>1540</v>
      </c>
      <c r="J80" s="1955"/>
      <c r="K80" s="1955"/>
      <c r="L80" s="1955"/>
      <c r="M80" s="1955"/>
      <c r="N80" s="1972">
        <v>1540</v>
      </c>
      <c r="O80" s="1956"/>
      <c r="P80" s="1957">
        <f>+I80+N80</f>
        <v>3080</v>
      </c>
      <c r="Q80" s="1242"/>
      <c r="R80" s="1973"/>
      <c r="S80" s="927"/>
      <c r="T80" s="2627">
        <v>8956.75</v>
      </c>
      <c r="U80" s="3202"/>
      <c r="V80" s="3187"/>
      <c r="W80" s="3167"/>
      <c r="X80" s="3190"/>
      <c r="Y80" s="3264"/>
    </row>
    <row r="81" spans="1:25" ht="14.5" thickBot="1" x14ac:dyDescent="0.35">
      <c r="A81" s="3181"/>
      <c r="B81" s="3184"/>
      <c r="C81" s="1931" t="s">
        <v>17</v>
      </c>
      <c r="D81" s="1953">
        <v>0</v>
      </c>
      <c r="E81" s="961" t="s">
        <v>500</v>
      </c>
      <c r="F81" s="1954"/>
      <c r="G81" s="1954"/>
      <c r="H81" s="1954"/>
      <c r="I81" s="1934">
        <v>935</v>
      </c>
      <c r="J81" s="1955"/>
      <c r="K81" s="1955"/>
      <c r="L81" s="1955"/>
      <c r="M81" s="1955"/>
      <c r="N81" s="1972">
        <v>935</v>
      </c>
      <c r="O81" s="1956"/>
      <c r="P81" s="1957">
        <f>+I81+N81</f>
        <v>1870</v>
      </c>
      <c r="Q81" s="1242"/>
      <c r="R81" s="1973"/>
      <c r="S81" s="927"/>
      <c r="T81" s="2627">
        <v>4765</v>
      </c>
      <c r="U81" s="3202"/>
      <c r="V81" s="3187"/>
      <c r="W81" s="3167"/>
      <c r="X81" s="3190"/>
      <c r="Y81" s="3264"/>
    </row>
    <row r="82" spans="1:25" ht="14.5" thickBot="1" x14ac:dyDescent="0.35">
      <c r="A82" s="3181"/>
      <c r="B82" s="3184"/>
      <c r="C82" s="1931" t="s">
        <v>48</v>
      </c>
      <c r="D82" s="1953">
        <v>0</v>
      </c>
      <c r="E82" s="961" t="s">
        <v>500</v>
      </c>
      <c r="F82" s="1954"/>
      <c r="G82" s="1954"/>
      <c r="H82" s="1954"/>
      <c r="I82" s="1934">
        <v>0</v>
      </c>
      <c r="J82" s="1955"/>
      <c r="K82" s="1955"/>
      <c r="L82" s="1955"/>
      <c r="M82" s="1955"/>
      <c r="N82" s="1972">
        <v>0</v>
      </c>
      <c r="O82" s="1956"/>
      <c r="P82" s="1957">
        <v>0</v>
      </c>
      <c r="Q82" s="1242"/>
      <c r="R82" s="1973"/>
      <c r="S82" s="927"/>
      <c r="T82" s="2627">
        <v>0</v>
      </c>
      <c r="U82" s="3202"/>
      <c r="V82" s="3187"/>
      <c r="W82" s="3167"/>
      <c r="X82" s="3190"/>
      <c r="Y82" s="3264"/>
    </row>
    <row r="83" spans="1:25" ht="26.5" thickBot="1" x14ac:dyDescent="0.35">
      <c r="A83" s="3181"/>
      <c r="B83" s="3184"/>
      <c r="C83" s="1931" t="s">
        <v>1374</v>
      </c>
      <c r="D83" s="1953">
        <v>550</v>
      </c>
      <c r="E83" s="961" t="s">
        <v>500</v>
      </c>
      <c r="F83" s="1954"/>
      <c r="G83" s="1954"/>
      <c r="H83" s="1954"/>
      <c r="I83" s="1934">
        <v>255</v>
      </c>
      <c r="J83" s="1955"/>
      <c r="K83" s="1955"/>
      <c r="L83" s="1955"/>
      <c r="M83" s="1955"/>
      <c r="N83" s="1972">
        <v>255</v>
      </c>
      <c r="O83" s="1956"/>
      <c r="P83" s="1957">
        <f>+I83+N83</f>
        <v>510</v>
      </c>
      <c r="Q83" s="1242"/>
      <c r="R83" s="1973"/>
      <c r="S83" s="927"/>
      <c r="T83" s="2627">
        <v>550</v>
      </c>
      <c r="U83" s="3202"/>
      <c r="V83" s="3187"/>
      <c r="W83" s="3167"/>
      <c r="X83" s="3190"/>
      <c r="Y83" s="3264"/>
    </row>
    <row r="84" spans="1:25" ht="14.5" thickBot="1" x14ac:dyDescent="0.35">
      <c r="A84" s="3181"/>
      <c r="B84" s="3185"/>
      <c r="C84" s="1937" t="s">
        <v>0</v>
      </c>
      <c r="D84" s="1958">
        <f>SUM(D79:D83)</f>
        <v>1480.19</v>
      </c>
      <c r="E84" s="961" t="s">
        <v>500</v>
      </c>
      <c r="F84" s="1954"/>
      <c r="G84" s="1954"/>
      <c r="H84" s="1954"/>
      <c r="I84" s="1939">
        <f>SUM(I79:I83)</f>
        <v>5010</v>
      </c>
      <c r="J84" s="1955"/>
      <c r="K84" s="1955"/>
      <c r="L84" s="1955"/>
      <c r="M84" s="1955"/>
      <c r="N84" s="1974">
        <f>SUM(N79:N83)</f>
        <v>5010</v>
      </c>
      <c r="O84" s="1956"/>
      <c r="P84" s="1963">
        <f>SUM(P79:P83)</f>
        <v>10020</v>
      </c>
      <c r="Q84" s="1242"/>
      <c r="R84" s="1973"/>
      <c r="S84" s="927"/>
      <c r="T84" s="2628">
        <f>SUM(T79:T83)</f>
        <v>21744.44</v>
      </c>
      <c r="U84" s="3203"/>
      <c r="V84" s="3188"/>
      <c r="W84" s="3168"/>
      <c r="X84" s="3191"/>
      <c r="Y84" s="3265"/>
    </row>
    <row r="85" spans="1:25" ht="14.5" thickBot="1" x14ac:dyDescent="0.35">
      <c r="A85" s="3181"/>
      <c r="B85" s="3200" t="s">
        <v>522</v>
      </c>
      <c r="C85" s="1931" t="s">
        <v>15</v>
      </c>
      <c r="D85" s="1932">
        <v>4615.75</v>
      </c>
      <c r="E85" s="961" t="s">
        <v>500</v>
      </c>
      <c r="F85" s="915"/>
      <c r="G85" s="915"/>
      <c r="H85" s="915"/>
      <c r="I85" s="1654">
        <v>4800</v>
      </c>
      <c r="J85" s="1955">
        <v>0.3</v>
      </c>
      <c r="K85" s="1935"/>
      <c r="L85" s="1935"/>
      <c r="M85" s="1935"/>
      <c r="N85" s="1934">
        <v>6000</v>
      </c>
      <c r="O85" s="1975">
        <v>0.3</v>
      </c>
      <c r="P85" s="1957">
        <f>+I85+N85</f>
        <v>10800</v>
      </c>
      <c r="Q85" s="1975">
        <v>0.3</v>
      </c>
      <c r="R85" s="1973">
        <f t="shared" ref="R85:R97" si="7">+P85*Q85</f>
        <v>3240</v>
      </c>
      <c r="S85" s="916"/>
      <c r="T85" s="2621">
        <v>5115.75</v>
      </c>
      <c r="U85" s="3201">
        <f>+T90/P90</f>
        <v>0.9600722311396469</v>
      </c>
      <c r="V85" s="3208" t="s">
        <v>1580</v>
      </c>
      <c r="W85" s="3166">
        <f t="shared" ref="W85" si="8">X85/P90</f>
        <v>0.28357410379882292</v>
      </c>
      <c r="X85" s="3195">
        <v>5300</v>
      </c>
      <c r="Y85" s="3263"/>
    </row>
    <row r="86" spans="1:25" ht="14.5" thickBot="1" x14ac:dyDescent="0.35">
      <c r="A86" s="3181"/>
      <c r="B86" s="3184"/>
      <c r="C86" s="1931" t="s">
        <v>47</v>
      </c>
      <c r="D86" s="1932">
        <v>6640</v>
      </c>
      <c r="E86" s="961" t="s">
        <v>500</v>
      </c>
      <c r="F86" s="915"/>
      <c r="G86" s="915"/>
      <c r="H86" s="915"/>
      <c r="I86" s="1654">
        <v>2100</v>
      </c>
      <c r="J86" s="1955"/>
      <c r="K86" s="1935"/>
      <c r="L86" s="1935"/>
      <c r="M86" s="1935"/>
      <c r="N86" s="1934">
        <v>2600</v>
      </c>
      <c r="O86" s="1975"/>
      <c r="P86" s="1957">
        <f>+I86+N86</f>
        <v>4700</v>
      </c>
      <c r="Q86" s="1975"/>
      <c r="R86" s="1973"/>
      <c r="S86" s="916"/>
      <c r="T86" s="2621">
        <v>6640</v>
      </c>
      <c r="U86" s="3202"/>
      <c r="V86" s="3206"/>
      <c r="W86" s="3167"/>
      <c r="X86" s="3190"/>
      <c r="Y86" s="3264"/>
    </row>
    <row r="87" spans="1:25" ht="14.5" thickBot="1" x14ac:dyDescent="0.35">
      <c r="A87" s="3181"/>
      <c r="B87" s="3184"/>
      <c r="C87" s="1931" t="s">
        <v>17</v>
      </c>
      <c r="D87" s="1932">
        <v>0</v>
      </c>
      <c r="E87" s="961" t="s">
        <v>500</v>
      </c>
      <c r="F87" s="915"/>
      <c r="G87" s="915"/>
      <c r="H87" s="915"/>
      <c r="I87" s="1654">
        <v>980</v>
      </c>
      <c r="J87" s="1955"/>
      <c r="K87" s="1935"/>
      <c r="L87" s="1935"/>
      <c r="M87" s="1935"/>
      <c r="N87" s="1934">
        <v>1000</v>
      </c>
      <c r="O87" s="1975"/>
      <c r="P87" s="1957">
        <f>+I87+N87</f>
        <v>1980</v>
      </c>
      <c r="Q87" s="1975"/>
      <c r="R87" s="1973"/>
      <c r="S87" s="916"/>
      <c r="T87" s="2621">
        <v>3158</v>
      </c>
      <c r="U87" s="3202"/>
      <c r="V87" s="3206"/>
      <c r="W87" s="3167"/>
      <c r="X87" s="3190"/>
      <c r="Y87" s="3264"/>
    </row>
    <row r="88" spans="1:25" ht="14.5" thickBot="1" x14ac:dyDescent="0.35">
      <c r="A88" s="3181"/>
      <c r="B88" s="3184"/>
      <c r="C88" s="1931" t="s">
        <v>48</v>
      </c>
      <c r="D88" s="1932">
        <v>2930</v>
      </c>
      <c r="E88" s="961" t="s">
        <v>500</v>
      </c>
      <c r="F88" s="915"/>
      <c r="G88" s="915"/>
      <c r="H88" s="915"/>
      <c r="I88" s="1654">
        <v>0</v>
      </c>
      <c r="J88" s="1955"/>
      <c r="K88" s="1935"/>
      <c r="L88" s="1935"/>
      <c r="M88" s="1935"/>
      <c r="N88" s="1934">
        <v>0</v>
      </c>
      <c r="O88" s="1975"/>
      <c r="P88" s="1957">
        <f>+I88+N88</f>
        <v>0</v>
      </c>
      <c r="Q88" s="1975"/>
      <c r="R88" s="1973"/>
      <c r="S88" s="916"/>
      <c r="T88" s="2621">
        <v>3030</v>
      </c>
      <c r="U88" s="3202"/>
      <c r="V88" s="3206"/>
      <c r="W88" s="3167"/>
      <c r="X88" s="3190"/>
      <c r="Y88" s="3264"/>
    </row>
    <row r="89" spans="1:25" ht="26.5" thickBot="1" x14ac:dyDescent="0.35">
      <c r="A89" s="3181"/>
      <c r="B89" s="3184"/>
      <c r="C89" s="1931" t="s">
        <v>1374</v>
      </c>
      <c r="D89" s="1932">
        <v>0</v>
      </c>
      <c r="E89" s="961" t="s">
        <v>500</v>
      </c>
      <c r="F89" s="915"/>
      <c r="G89" s="915"/>
      <c r="H89" s="915"/>
      <c r="I89" s="1654">
        <v>605</v>
      </c>
      <c r="J89" s="1955"/>
      <c r="K89" s="1935"/>
      <c r="L89" s="1935"/>
      <c r="M89" s="1935"/>
      <c r="N89" s="1934">
        <v>605</v>
      </c>
      <c r="O89" s="1975"/>
      <c r="P89" s="1957">
        <f>+I89+N89</f>
        <v>1210</v>
      </c>
      <c r="Q89" s="1975"/>
      <c r="R89" s="1973"/>
      <c r="S89" s="916"/>
      <c r="T89" s="2621">
        <v>0</v>
      </c>
      <c r="U89" s="3202"/>
      <c r="V89" s="3206"/>
      <c r="W89" s="3167"/>
      <c r="X89" s="3190"/>
      <c r="Y89" s="3264"/>
    </row>
    <row r="90" spans="1:25" ht="14.5" thickBot="1" x14ac:dyDescent="0.35">
      <c r="A90" s="3181"/>
      <c r="B90" s="3185"/>
      <c r="C90" s="1937" t="s">
        <v>0</v>
      </c>
      <c r="D90" s="1938">
        <f>SUM(D85:D89)</f>
        <v>14185.75</v>
      </c>
      <c r="E90" s="961" t="s">
        <v>500</v>
      </c>
      <c r="F90" s="915"/>
      <c r="G90" s="915"/>
      <c r="H90" s="915"/>
      <c r="I90" s="1655">
        <f>SUM(I85:I89)</f>
        <v>8485</v>
      </c>
      <c r="J90" s="1955"/>
      <c r="K90" s="1935"/>
      <c r="L90" s="1935"/>
      <c r="M90" s="1935"/>
      <c r="N90" s="1939">
        <f>SUM(N85:N89)</f>
        <v>10205</v>
      </c>
      <c r="O90" s="1975"/>
      <c r="P90" s="1963">
        <f>SUM(P85:P89)</f>
        <v>18690</v>
      </c>
      <c r="Q90" s="1975"/>
      <c r="R90" s="1973"/>
      <c r="S90" s="916"/>
      <c r="T90" s="2623">
        <f>SUM(T85:T89)</f>
        <v>17943.75</v>
      </c>
      <c r="U90" s="3203"/>
      <c r="V90" s="3207"/>
      <c r="W90" s="3168"/>
      <c r="X90" s="3191"/>
      <c r="Y90" s="3265"/>
    </row>
    <row r="91" spans="1:25" ht="14.5" thickBot="1" x14ac:dyDescent="0.35">
      <c r="A91" s="3181"/>
      <c r="B91" s="3200" t="s">
        <v>523</v>
      </c>
      <c r="C91" s="1931" t="s">
        <v>15</v>
      </c>
      <c r="D91" s="1932">
        <v>712.84</v>
      </c>
      <c r="E91" s="961" t="s">
        <v>500</v>
      </c>
      <c r="F91" s="915"/>
      <c r="G91" s="915"/>
      <c r="H91" s="915"/>
      <c r="I91" s="1934">
        <v>10425</v>
      </c>
      <c r="J91" s="1955">
        <v>0.3</v>
      </c>
      <c r="K91" s="1935"/>
      <c r="L91" s="1935"/>
      <c r="M91" s="1935"/>
      <c r="N91" s="1934">
        <v>10425</v>
      </c>
      <c r="O91" s="1975">
        <v>0.3</v>
      </c>
      <c r="P91" s="1957">
        <f t="shared" ref="P91:P97" si="9">+I91+N91</f>
        <v>20850</v>
      </c>
      <c r="Q91" s="1975">
        <v>0.3</v>
      </c>
      <c r="R91" s="1973">
        <f t="shared" si="7"/>
        <v>6255</v>
      </c>
      <c r="S91" s="916"/>
      <c r="T91" s="2621">
        <v>712.84</v>
      </c>
      <c r="U91" s="3201">
        <f>+T96/P96</f>
        <v>0.81092688741721852</v>
      </c>
      <c r="V91" s="3204" t="s">
        <v>1581</v>
      </c>
      <c r="W91" s="3166">
        <f t="shared" ref="W91" si="10">X91/P96</f>
        <v>0.24459178807947021</v>
      </c>
      <c r="X91" s="3195">
        <v>9233.34</v>
      </c>
      <c r="Y91" s="3263"/>
    </row>
    <row r="92" spans="1:25" ht="14.5" thickBot="1" x14ac:dyDescent="0.35">
      <c r="A92" s="3181"/>
      <c r="B92" s="3184"/>
      <c r="C92" s="1931" t="s">
        <v>47</v>
      </c>
      <c r="D92" s="1932">
        <v>4540.3999999999996</v>
      </c>
      <c r="E92" s="961" t="s">
        <v>500</v>
      </c>
      <c r="F92" s="915"/>
      <c r="G92" s="915"/>
      <c r="H92" s="915"/>
      <c r="I92" s="1934">
        <v>7350</v>
      </c>
      <c r="J92" s="1955"/>
      <c r="K92" s="1935"/>
      <c r="L92" s="1935"/>
      <c r="M92" s="1935"/>
      <c r="N92" s="1934">
        <v>7350</v>
      </c>
      <c r="O92" s="1956"/>
      <c r="P92" s="1957">
        <f t="shared" si="9"/>
        <v>14700</v>
      </c>
      <c r="Q92" s="1975"/>
      <c r="R92" s="1973"/>
      <c r="S92" s="916"/>
      <c r="T92" s="2621">
        <v>4540.3999999999996</v>
      </c>
      <c r="U92" s="3202"/>
      <c r="V92" s="3187"/>
      <c r="W92" s="3167"/>
      <c r="X92" s="3190"/>
      <c r="Y92" s="3264"/>
    </row>
    <row r="93" spans="1:25" ht="14.5" thickBot="1" x14ac:dyDescent="0.35">
      <c r="A93" s="3181"/>
      <c r="B93" s="3184"/>
      <c r="C93" s="1931" t="s">
        <v>17</v>
      </c>
      <c r="D93" s="1932">
        <v>19296.25</v>
      </c>
      <c r="E93" s="961" t="s">
        <v>500</v>
      </c>
      <c r="F93" s="915"/>
      <c r="G93" s="915"/>
      <c r="H93" s="915"/>
      <c r="I93" s="1934">
        <v>820</v>
      </c>
      <c r="J93" s="1955"/>
      <c r="K93" s="1935"/>
      <c r="L93" s="1935"/>
      <c r="M93" s="1935"/>
      <c r="N93" s="1934">
        <v>820</v>
      </c>
      <c r="O93" s="1956"/>
      <c r="P93" s="1957">
        <f>+I93+N93</f>
        <v>1640</v>
      </c>
      <c r="Q93" s="1975"/>
      <c r="R93" s="1973"/>
      <c r="S93" s="916"/>
      <c r="T93" s="2621">
        <v>19296.25</v>
      </c>
      <c r="U93" s="3202"/>
      <c r="V93" s="3187"/>
      <c r="W93" s="3167"/>
      <c r="X93" s="3190"/>
      <c r="Y93" s="3264"/>
    </row>
    <row r="94" spans="1:25" ht="14.5" thickBot="1" x14ac:dyDescent="0.35">
      <c r="A94" s="3181"/>
      <c r="B94" s="3184"/>
      <c r="C94" s="1931" t="s">
        <v>48</v>
      </c>
      <c r="D94" s="1932">
        <v>6000</v>
      </c>
      <c r="E94" s="961" t="s">
        <v>500</v>
      </c>
      <c r="F94" s="915"/>
      <c r="G94" s="915"/>
      <c r="H94" s="915"/>
      <c r="I94" s="1934">
        <v>0</v>
      </c>
      <c r="J94" s="1955"/>
      <c r="K94" s="1935"/>
      <c r="L94" s="1935"/>
      <c r="M94" s="1935"/>
      <c r="N94" s="1934">
        <v>0</v>
      </c>
      <c r="O94" s="1956"/>
      <c r="P94" s="1957">
        <f>+I94+N94</f>
        <v>0</v>
      </c>
      <c r="Q94" s="1975"/>
      <c r="R94" s="1973"/>
      <c r="S94" s="916"/>
      <c r="T94" s="2621">
        <v>6000</v>
      </c>
      <c r="U94" s="3202"/>
      <c r="V94" s="3187"/>
      <c r="W94" s="3167"/>
      <c r="X94" s="3190"/>
      <c r="Y94" s="3264"/>
    </row>
    <row r="95" spans="1:25" ht="26.5" thickBot="1" x14ac:dyDescent="0.35">
      <c r="A95" s="3181"/>
      <c r="B95" s="3184"/>
      <c r="C95" s="1931" t="s">
        <v>1374</v>
      </c>
      <c r="D95" s="1932">
        <v>63</v>
      </c>
      <c r="E95" s="961" t="s">
        <v>500</v>
      </c>
      <c r="F95" s="915"/>
      <c r="G95" s="915"/>
      <c r="H95" s="915"/>
      <c r="I95" s="1934">
        <v>280</v>
      </c>
      <c r="J95" s="1955"/>
      <c r="K95" s="1935"/>
      <c r="L95" s="1935"/>
      <c r="M95" s="1935"/>
      <c r="N95" s="1934">
        <v>280</v>
      </c>
      <c r="O95" s="1956"/>
      <c r="P95" s="1957">
        <f>+I95+N95</f>
        <v>560</v>
      </c>
      <c r="Q95" s="1975"/>
      <c r="R95" s="1973"/>
      <c r="S95" s="916"/>
      <c r="T95" s="2621">
        <v>63</v>
      </c>
      <c r="U95" s="3202"/>
      <c r="V95" s="3187"/>
      <c r="W95" s="3167"/>
      <c r="X95" s="3190"/>
      <c r="Y95" s="3264"/>
    </row>
    <row r="96" spans="1:25" ht="14.5" thickBot="1" x14ac:dyDescent="0.35">
      <c r="A96" s="3181"/>
      <c r="B96" s="3185"/>
      <c r="C96" s="1937" t="s">
        <v>0</v>
      </c>
      <c r="D96" s="1938">
        <f>SUM(D91:D95)</f>
        <v>30612.489999999998</v>
      </c>
      <c r="E96" s="961" t="s">
        <v>500</v>
      </c>
      <c r="F96" s="915"/>
      <c r="G96" s="915"/>
      <c r="H96" s="915"/>
      <c r="I96" s="1939">
        <f>SUM(I91:I95)</f>
        <v>18875</v>
      </c>
      <c r="J96" s="1955"/>
      <c r="K96" s="1935"/>
      <c r="L96" s="1935"/>
      <c r="M96" s="1935"/>
      <c r="N96" s="1939">
        <f>SUM(N91:N95)</f>
        <v>18875</v>
      </c>
      <c r="O96" s="1956"/>
      <c r="P96" s="1976">
        <f>SUM(P91:P95)</f>
        <v>37750</v>
      </c>
      <c r="Q96" s="1975"/>
      <c r="R96" s="1973"/>
      <c r="S96" s="916"/>
      <c r="T96" s="2623">
        <f>SUM(T91:T95)</f>
        <v>30612.489999999998</v>
      </c>
      <c r="U96" s="3203"/>
      <c r="V96" s="3188"/>
      <c r="W96" s="3168"/>
      <c r="X96" s="3191"/>
      <c r="Y96" s="3265"/>
    </row>
    <row r="97" spans="1:25" ht="14.5" thickBot="1" x14ac:dyDescent="0.35">
      <c r="A97" s="3181"/>
      <c r="B97" s="3200" t="s">
        <v>525</v>
      </c>
      <c r="C97" s="1931" t="s">
        <v>15</v>
      </c>
      <c r="D97" s="1932">
        <v>8272.25</v>
      </c>
      <c r="E97" s="961" t="s">
        <v>500</v>
      </c>
      <c r="F97" s="915"/>
      <c r="G97" s="915"/>
      <c r="H97" s="915"/>
      <c r="I97" s="1934">
        <v>0</v>
      </c>
      <c r="J97" s="1935"/>
      <c r="K97" s="1935"/>
      <c r="L97" s="1935"/>
      <c r="M97" s="1935"/>
      <c r="N97" s="1934">
        <v>0</v>
      </c>
      <c r="O97" s="1940">
        <v>0.5</v>
      </c>
      <c r="P97" s="1959">
        <f t="shared" si="9"/>
        <v>0</v>
      </c>
      <c r="Q97" s="914">
        <v>0.5</v>
      </c>
      <c r="R97" s="1973">
        <f t="shared" si="7"/>
        <v>0</v>
      </c>
      <c r="S97" s="916"/>
      <c r="T97" s="2621">
        <v>8882.25</v>
      </c>
      <c r="U97" s="3201">
        <f>+T102/P102</f>
        <v>0.70801242666020525</v>
      </c>
      <c r="V97" s="3197" t="s">
        <v>1582</v>
      </c>
      <c r="W97" s="3166">
        <f>X97/P102</f>
        <v>0.34519860156804377</v>
      </c>
      <c r="X97" s="3195">
        <v>19945.23</v>
      </c>
      <c r="Y97" s="3263"/>
    </row>
    <row r="98" spans="1:25" ht="14.5" thickBot="1" x14ac:dyDescent="0.35">
      <c r="A98" s="3181"/>
      <c r="B98" s="3184"/>
      <c r="C98" s="1931" t="s">
        <v>47</v>
      </c>
      <c r="D98" s="1942">
        <v>11850</v>
      </c>
      <c r="E98" s="961" t="s">
        <v>500</v>
      </c>
      <c r="F98" s="917"/>
      <c r="G98" s="917"/>
      <c r="H98" s="917"/>
      <c r="I98" s="1943">
        <v>0</v>
      </c>
      <c r="J98" s="1944"/>
      <c r="K98" s="1944"/>
      <c r="L98" s="1944"/>
      <c r="M98" s="1944"/>
      <c r="N98" s="1943">
        <v>57779</v>
      </c>
      <c r="O98" s="1945"/>
      <c r="P98" s="1960">
        <f>+I98+N98</f>
        <v>57779</v>
      </c>
      <c r="Q98" s="1241"/>
      <c r="R98" s="1977"/>
      <c r="S98" s="918"/>
      <c r="T98" s="2624">
        <v>13015</v>
      </c>
      <c r="U98" s="3202"/>
      <c r="V98" s="3198"/>
      <c r="W98" s="3167"/>
      <c r="X98" s="3190"/>
      <c r="Y98" s="3264"/>
    </row>
    <row r="99" spans="1:25" ht="14.5" thickBot="1" x14ac:dyDescent="0.35">
      <c r="A99" s="3181"/>
      <c r="B99" s="3184"/>
      <c r="C99" s="1931" t="s">
        <v>17</v>
      </c>
      <c r="D99" s="1942">
        <v>12841</v>
      </c>
      <c r="E99" s="961" t="s">
        <v>500</v>
      </c>
      <c r="F99" s="917"/>
      <c r="G99" s="917"/>
      <c r="H99" s="917"/>
      <c r="I99" s="1943">
        <v>0</v>
      </c>
      <c r="J99" s="1944"/>
      <c r="K99" s="1944"/>
      <c r="L99" s="1944"/>
      <c r="M99" s="1944"/>
      <c r="N99" s="1943">
        <v>0</v>
      </c>
      <c r="O99" s="1945"/>
      <c r="P99" s="1960">
        <f>+I99+N99</f>
        <v>0</v>
      </c>
      <c r="Q99" s="1241"/>
      <c r="R99" s="1977"/>
      <c r="S99" s="918"/>
      <c r="T99" s="2624">
        <v>14266</v>
      </c>
      <c r="U99" s="3202"/>
      <c r="V99" s="3198"/>
      <c r="W99" s="3167"/>
      <c r="X99" s="3190"/>
      <c r="Y99" s="3264"/>
    </row>
    <row r="100" spans="1:25" ht="14.5" thickBot="1" x14ac:dyDescent="0.35">
      <c r="A100" s="3181"/>
      <c r="B100" s="3184"/>
      <c r="C100" s="1931" t="s">
        <v>48</v>
      </c>
      <c r="D100" s="1942">
        <v>1000</v>
      </c>
      <c r="E100" s="961" t="s">
        <v>500</v>
      </c>
      <c r="F100" s="917"/>
      <c r="G100" s="917"/>
      <c r="H100" s="917"/>
      <c r="I100" s="1943">
        <v>0</v>
      </c>
      <c r="J100" s="1944"/>
      <c r="K100" s="1944"/>
      <c r="L100" s="1944"/>
      <c r="M100" s="1944"/>
      <c r="N100" s="1943">
        <v>0</v>
      </c>
      <c r="O100" s="1945"/>
      <c r="P100" s="1960">
        <f>+I100+N100</f>
        <v>0</v>
      </c>
      <c r="Q100" s="1241"/>
      <c r="R100" s="1977"/>
      <c r="S100" s="918"/>
      <c r="T100" s="2624">
        <v>1000</v>
      </c>
      <c r="U100" s="3202"/>
      <c r="V100" s="3198"/>
      <c r="W100" s="3167"/>
      <c r="X100" s="3190"/>
      <c r="Y100" s="3264"/>
    </row>
    <row r="101" spans="1:25" ht="26.5" thickBot="1" x14ac:dyDescent="0.35">
      <c r="A101" s="3181"/>
      <c r="B101" s="3184"/>
      <c r="C101" s="1931" t="s">
        <v>1374</v>
      </c>
      <c r="D101" s="1942">
        <v>3745</v>
      </c>
      <c r="E101" s="961" t="s">
        <v>500</v>
      </c>
      <c r="F101" s="917"/>
      <c r="G101" s="917"/>
      <c r="H101" s="917"/>
      <c r="I101" s="1943">
        <v>0</v>
      </c>
      <c r="J101" s="1944"/>
      <c r="K101" s="1944"/>
      <c r="L101" s="1944"/>
      <c r="M101" s="1944"/>
      <c r="N101" s="1943">
        <v>0</v>
      </c>
      <c r="O101" s="1945"/>
      <c r="P101" s="1960">
        <f>+I101+N101</f>
        <v>0</v>
      </c>
      <c r="Q101" s="1241"/>
      <c r="R101" s="1977"/>
      <c r="S101" s="918"/>
      <c r="T101" s="2624">
        <v>3745</v>
      </c>
      <c r="U101" s="3202"/>
      <c r="V101" s="3198"/>
      <c r="W101" s="3167"/>
      <c r="X101" s="3190"/>
      <c r="Y101" s="3264"/>
    </row>
    <row r="102" spans="1:25" ht="14.5" thickBot="1" x14ac:dyDescent="0.35">
      <c r="A102" s="3181"/>
      <c r="B102" s="3281"/>
      <c r="C102" s="1937" t="s">
        <v>0</v>
      </c>
      <c r="D102" s="1947">
        <f>SUM(D97:D101)</f>
        <v>37708.25</v>
      </c>
      <c r="E102" s="961" t="s">
        <v>500</v>
      </c>
      <c r="F102" s="917"/>
      <c r="G102" s="917"/>
      <c r="H102" s="917"/>
      <c r="I102" s="1948">
        <f>SUM(I97:I101)</f>
        <v>0</v>
      </c>
      <c r="J102" s="1944"/>
      <c r="K102" s="1944"/>
      <c r="L102" s="1944"/>
      <c r="M102" s="1944"/>
      <c r="N102" s="1948">
        <f>SUM(N97:N101)</f>
        <v>57779</v>
      </c>
      <c r="O102" s="1945"/>
      <c r="P102" s="1962">
        <f>SUM(P97:P101)</f>
        <v>57779</v>
      </c>
      <c r="Q102" s="1241"/>
      <c r="R102" s="1977"/>
      <c r="S102" s="918"/>
      <c r="T102" s="2625">
        <f>SUM(T97:T101)</f>
        <v>40908.25</v>
      </c>
      <c r="U102" s="3223"/>
      <c r="V102" s="3199"/>
      <c r="W102" s="3168"/>
      <c r="X102" s="3196"/>
      <c r="Y102" s="3271"/>
    </row>
    <row r="103" spans="1:25" s="935" customFormat="1" ht="14.5" thickBot="1" x14ac:dyDescent="0.35">
      <c r="A103" s="3182"/>
      <c r="B103" s="1949"/>
      <c r="C103" s="1950"/>
      <c r="D103" s="1951"/>
      <c r="E103" s="920" t="s">
        <v>0</v>
      </c>
      <c r="F103" s="920"/>
      <c r="G103" s="920"/>
      <c r="H103" s="920"/>
      <c r="I103" s="1646">
        <f>I84+I90+I96+I102</f>
        <v>32370</v>
      </c>
      <c r="J103" s="921"/>
      <c r="K103" s="921"/>
      <c r="L103" s="921"/>
      <c r="M103" s="921"/>
      <c r="N103" s="1646">
        <f>N84+N90+N96+N102</f>
        <v>91869</v>
      </c>
      <c r="O103" s="922"/>
      <c r="P103" s="1647">
        <f>P84+P90+P96+P102</f>
        <v>124239</v>
      </c>
      <c r="Q103" s="923"/>
      <c r="R103" s="924">
        <f>SUM(R79:R102)</f>
        <v>10863</v>
      </c>
      <c r="S103" s="924"/>
      <c r="T103" s="2632">
        <f>T84+T90+T96+T102</f>
        <v>111208.93</v>
      </c>
      <c r="U103" s="928">
        <f>+T103/P103</f>
        <v>0.89512093625995048</v>
      </c>
      <c r="V103" s="933"/>
      <c r="W103" s="2360">
        <f>X103/P103</f>
        <v>0.32948607120147461</v>
      </c>
      <c r="X103" s="933">
        <f>SUM(X79:X102)</f>
        <v>40935.020000000004</v>
      </c>
      <c r="Y103" s="934"/>
    </row>
    <row r="104" spans="1:25" s="935" customFormat="1" ht="14.5" thickBot="1" x14ac:dyDescent="0.35">
      <c r="A104" s="3282" t="s">
        <v>526</v>
      </c>
      <c r="B104" s="3183" t="s">
        <v>527</v>
      </c>
      <c r="C104" s="1931" t="s">
        <v>15</v>
      </c>
      <c r="D104" s="1978">
        <v>461</v>
      </c>
      <c r="E104" s="961" t="s">
        <v>500</v>
      </c>
      <c r="F104" s="936"/>
      <c r="G104" s="936"/>
      <c r="H104" s="936"/>
      <c r="I104" s="1656">
        <v>3525</v>
      </c>
      <c r="J104" s="937">
        <v>0.5</v>
      </c>
      <c r="K104" s="938"/>
      <c r="L104" s="938"/>
      <c r="M104" s="938"/>
      <c r="N104" s="1656">
        <v>3525</v>
      </c>
      <c r="O104" s="939">
        <v>0.5</v>
      </c>
      <c r="P104" s="1979">
        <f>+I104+N104</f>
        <v>7050</v>
      </c>
      <c r="Q104" s="940">
        <v>0.5</v>
      </c>
      <c r="R104" s="1980">
        <f>+P104*Q104</f>
        <v>3525</v>
      </c>
      <c r="S104" s="941"/>
      <c r="T104" s="2633">
        <v>461</v>
      </c>
      <c r="U104" s="3284">
        <f>+T109/P109</f>
        <v>0.14320850523643289</v>
      </c>
      <c r="V104" s="3285" t="s">
        <v>1583</v>
      </c>
      <c r="W104" s="3166">
        <f>X104/P109</f>
        <v>7.2776896223421136E-2</v>
      </c>
      <c r="X104" s="3286">
        <v>1834.56</v>
      </c>
      <c r="Y104" s="3272"/>
    </row>
    <row r="105" spans="1:25" s="935" customFormat="1" ht="14.5" thickBot="1" x14ac:dyDescent="0.35">
      <c r="A105" s="3283"/>
      <c r="B105" s="3184"/>
      <c r="C105" s="1931" t="s">
        <v>47</v>
      </c>
      <c r="D105" s="1978">
        <v>1524</v>
      </c>
      <c r="E105" s="961" t="s">
        <v>500</v>
      </c>
      <c r="F105" s="936"/>
      <c r="G105" s="936"/>
      <c r="H105" s="936"/>
      <c r="I105" s="1656">
        <v>7050</v>
      </c>
      <c r="J105" s="937"/>
      <c r="K105" s="938"/>
      <c r="L105" s="938"/>
      <c r="M105" s="938"/>
      <c r="N105" s="1656">
        <v>7050</v>
      </c>
      <c r="O105" s="939"/>
      <c r="P105" s="1979">
        <f>+I105+N105</f>
        <v>14100</v>
      </c>
      <c r="Q105" s="940"/>
      <c r="R105" s="1980"/>
      <c r="S105" s="941"/>
      <c r="T105" s="2633">
        <v>1524</v>
      </c>
      <c r="U105" s="3176"/>
      <c r="V105" s="3164"/>
      <c r="W105" s="3167"/>
      <c r="X105" s="3170"/>
      <c r="Y105" s="3273"/>
    </row>
    <row r="106" spans="1:25" s="935" customFormat="1" ht="14.5" thickBot="1" x14ac:dyDescent="0.35">
      <c r="A106" s="3283"/>
      <c r="B106" s="3184"/>
      <c r="C106" s="1931" t="s">
        <v>17</v>
      </c>
      <c r="D106" s="1978">
        <v>985</v>
      </c>
      <c r="E106" s="961" t="s">
        <v>500</v>
      </c>
      <c r="F106" s="936"/>
      <c r="G106" s="936"/>
      <c r="H106" s="936"/>
      <c r="I106" s="1656">
        <v>1825</v>
      </c>
      <c r="J106" s="937"/>
      <c r="K106" s="938"/>
      <c r="L106" s="938"/>
      <c r="M106" s="938"/>
      <c r="N106" s="1656">
        <v>1825</v>
      </c>
      <c r="O106" s="939"/>
      <c r="P106" s="1979">
        <f>+I106+N106</f>
        <v>3650</v>
      </c>
      <c r="Q106" s="940"/>
      <c r="R106" s="1980"/>
      <c r="S106" s="941"/>
      <c r="T106" s="2633">
        <v>985</v>
      </c>
      <c r="U106" s="3176"/>
      <c r="V106" s="3164"/>
      <c r="W106" s="3167"/>
      <c r="X106" s="3170"/>
      <c r="Y106" s="3273"/>
    </row>
    <row r="107" spans="1:25" s="935" customFormat="1" ht="14.5" thickBot="1" x14ac:dyDescent="0.35">
      <c r="A107" s="3283"/>
      <c r="B107" s="3184"/>
      <c r="C107" s="1931" t="s">
        <v>48</v>
      </c>
      <c r="D107" s="1978">
        <v>150</v>
      </c>
      <c r="E107" s="961" t="s">
        <v>500</v>
      </c>
      <c r="F107" s="936"/>
      <c r="G107" s="936"/>
      <c r="H107" s="936"/>
      <c r="I107" s="1656">
        <v>0</v>
      </c>
      <c r="J107" s="937"/>
      <c r="K107" s="938"/>
      <c r="L107" s="938"/>
      <c r="M107" s="938"/>
      <c r="N107" s="1656">
        <v>0</v>
      </c>
      <c r="O107" s="939"/>
      <c r="P107" s="1979">
        <f>+I107+N107</f>
        <v>0</v>
      </c>
      <c r="Q107" s="940"/>
      <c r="R107" s="1980"/>
      <c r="S107" s="941"/>
      <c r="T107" s="2633">
        <v>150</v>
      </c>
      <c r="U107" s="3176"/>
      <c r="V107" s="3164"/>
      <c r="W107" s="3167"/>
      <c r="X107" s="3170"/>
      <c r="Y107" s="3273"/>
    </row>
    <row r="108" spans="1:25" s="935" customFormat="1" ht="26.5" thickBot="1" x14ac:dyDescent="0.35">
      <c r="A108" s="3283"/>
      <c r="B108" s="3184"/>
      <c r="C108" s="1931" t="s">
        <v>1374</v>
      </c>
      <c r="D108" s="1978">
        <v>490</v>
      </c>
      <c r="E108" s="961" t="s">
        <v>500</v>
      </c>
      <c r="F108" s="936"/>
      <c r="G108" s="936"/>
      <c r="H108" s="936"/>
      <c r="I108" s="1656">
        <v>204</v>
      </c>
      <c r="J108" s="937"/>
      <c r="K108" s="938"/>
      <c r="L108" s="938"/>
      <c r="M108" s="938"/>
      <c r="N108" s="1656">
        <v>204</v>
      </c>
      <c r="O108" s="939"/>
      <c r="P108" s="1979">
        <f>+I108+N108</f>
        <v>408</v>
      </c>
      <c r="Q108" s="940"/>
      <c r="R108" s="1980"/>
      <c r="S108" s="941"/>
      <c r="T108" s="2633">
        <v>490</v>
      </c>
      <c r="U108" s="3176"/>
      <c r="V108" s="3164"/>
      <c r="W108" s="3167"/>
      <c r="X108" s="3170"/>
      <c r="Y108" s="3273"/>
    </row>
    <row r="109" spans="1:25" s="935" customFormat="1" ht="14.5" thickBot="1" x14ac:dyDescent="0.35">
      <c r="A109" s="3283"/>
      <c r="B109" s="3185"/>
      <c r="C109" s="1937" t="s">
        <v>0</v>
      </c>
      <c r="D109" s="1981">
        <f>SUM(D104:D108)</f>
        <v>3610</v>
      </c>
      <c r="E109" s="961" t="s">
        <v>500</v>
      </c>
      <c r="F109" s="936"/>
      <c r="G109" s="936"/>
      <c r="H109" s="936"/>
      <c r="I109" s="1657">
        <v>12604</v>
      </c>
      <c r="J109" s="937"/>
      <c r="K109" s="938"/>
      <c r="L109" s="938"/>
      <c r="M109" s="938"/>
      <c r="N109" s="1657">
        <v>12604</v>
      </c>
      <c r="O109" s="939"/>
      <c r="P109" s="944">
        <f>SUM(P104:P108)</f>
        <v>25208</v>
      </c>
      <c r="Q109" s="940"/>
      <c r="R109" s="1980"/>
      <c r="S109" s="941"/>
      <c r="T109" s="2634">
        <f>SUM(T104:T108)</f>
        <v>3610</v>
      </c>
      <c r="U109" s="3177"/>
      <c r="V109" s="3165"/>
      <c r="W109" s="3168"/>
      <c r="X109" s="3171"/>
      <c r="Y109" s="3274"/>
    </row>
    <row r="110" spans="1:25" s="935" customFormat="1" ht="14.5" thickBot="1" x14ac:dyDescent="0.35">
      <c r="A110" s="3283"/>
      <c r="B110" s="3200" t="s">
        <v>528</v>
      </c>
      <c r="C110" s="1931" t="s">
        <v>15</v>
      </c>
      <c r="D110" s="1982">
        <v>1612.66</v>
      </c>
      <c r="E110" s="961" t="s">
        <v>500</v>
      </c>
      <c r="F110" s="942"/>
      <c r="G110" s="942"/>
      <c r="H110" s="942"/>
      <c r="I110" s="1656">
        <v>13600</v>
      </c>
      <c r="J110" s="943">
        <v>0.3</v>
      </c>
      <c r="K110" s="944"/>
      <c r="L110" s="944"/>
      <c r="M110" s="944"/>
      <c r="N110" s="1656">
        <v>13600</v>
      </c>
      <c r="O110" s="945">
        <v>0.3</v>
      </c>
      <c r="P110" s="1979">
        <f t="shared" ref="P110:P119" si="11">+I110+N110</f>
        <v>27200</v>
      </c>
      <c r="Q110" s="945">
        <v>0.3</v>
      </c>
      <c r="R110" s="1980">
        <f t="shared" ref="R110:R119" si="12">+P110*Q110</f>
        <v>8160</v>
      </c>
      <c r="S110" s="946"/>
      <c r="T110" s="2635">
        <v>4615.07</v>
      </c>
      <c r="U110" s="3175">
        <f>+T115/P115</f>
        <v>0.73299139030612248</v>
      </c>
      <c r="V110" s="3163" t="s">
        <v>1584</v>
      </c>
      <c r="W110" s="3166">
        <f>X110/P115</f>
        <v>0.21330803571428572</v>
      </c>
      <c r="X110" s="3169">
        <v>6689.34</v>
      </c>
      <c r="Y110" s="3275"/>
    </row>
    <row r="111" spans="1:25" s="935" customFormat="1" ht="14.5" thickBot="1" x14ac:dyDescent="0.35">
      <c r="A111" s="3283"/>
      <c r="B111" s="3184"/>
      <c r="C111" s="1931" t="s">
        <v>47</v>
      </c>
      <c r="D111" s="1982">
        <v>0</v>
      </c>
      <c r="E111" s="961" t="s">
        <v>500</v>
      </c>
      <c r="F111" s="942"/>
      <c r="G111" s="942"/>
      <c r="H111" s="942"/>
      <c r="I111" s="1656">
        <v>0</v>
      </c>
      <c r="J111" s="937"/>
      <c r="K111" s="944"/>
      <c r="L111" s="944"/>
      <c r="M111" s="944"/>
      <c r="N111" s="1656">
        <v>0</v>
      </c>
      <c r="O111" s="947"/>
      <c r="P111" s="1979">
        <f t="shared" si="11"/>
        <v>0</v>
      </c>
      <c r="Q111" s="947"/>
      <c r="R111" s="1980"/>
      <c r="S111" s="946"/>
      <c r="T111" s="2635">
        <v>0</v>
      </c>
      <c r="U111" s="3176"/>
      <c r="V111" s="3164"/>
      <c r="W111" s="3167"/>
      <c r="X111" s="3170"/>
      <c r="Y111" s="3273"/>
    </row>
    <row r="112" spans="1:25" s="935" customFormat="1" ht="14.5" thickBot="1" x14ac:dyDescent="0.35">
      <c r="A112" s="3283"/>
      <c r="B112" s="3184"/>
      <c r="C112" s="1931" t="s">
        <v>17</v>
      </c>
      <c r="D112" s="1982">
        <v>657.43</v>
      </c>
      <c r="E112" s="961" t="s">
        <v>500</v>
      </c>
      <c r="F112" s="942"/>
      <c r="G112" s="942"/>
      <c r="H112" s="942"/>
      <c r="I112" s="1656">
        <v>1700</v>
      </c>
      <c r="J112" s="937"/>
      <c r="K112" s="944"/>
      <c r="L112" s="944"/>
      <c r="M112" s="944"/>
      <c r="N112" s="1656">
        <v>1700</v>
      </c>
      <c r="O112" s="947"/>
      <c r="P112" s="1979">
        <f>+I112+N112</f>
        <v>3400</v>
      </c>
      <c r="Q112" s="947"/>
      <c r="R112" s="1980"/>
      <c r="S112" s="946"/>
      <c r="T112" s="2635">
        <v>2097.4299999999998</v>
      </c>
      <c r="U112" s="3176"/>
      <c r="V112" s="3164"/>
      <c r="W112" s="3167"/>
      <c r="X112" s="3170"/>
      <c r="Y112" s="3273"/>
    </row>
    <row r="113" spans="1:25" s="935" customFormat="1" ht="14.5" thickBot="1" x14ac:dyDescent="0.35">
      <c r="A113" s="3283"/>
      <c r="B113" s="3184"/>
      <c r="C113" s="1931" t="s">
        <v>48</v>
      </c>
      <c r="D113" s="1982">
        <v>16067.94</v>
      </c>
      <c r="E113" s="961" t="s">
        <v>500</v>
      </c>
      <c r="F113" s="942"/>
      <c r="G113" s="942"/>
      <c r="H113" s="942"/>
      <c r="I113" s="1656">
        <v>0</v>
      </c>
      <c r="J113" s="937"/>
      <c r="K113" s="944"/>
      <c r="L113" s="944"/>
      <c r="M113" s="944"/>
      <c r="N113" s="1656">
        <v>0</v>
      </c>
      <c r="O113" s="947"/>
      <c r="P113" s="1979">
        <f>+I113+N113</f>
        <v>0</v>
      </c>
      <c r="Q113" s="947"/>
      <c r="R113" s="1980"/>
      <c r="S113" s="946"/>
      <c r="T113" s="2635">
        <v>16067.94</v>
      </c>
      <c r="U113" s="3176"/>
      <c r="V113" s="3164"/>
      <c r="W113" s="3167"/>
      <c r="X113" s="3170"/>
      <c r="Y113" s="3273"/>
    </row>
    <row r="114" spans="1:25" s="935" customFormat="1" ht="26.5" thickBot="1" x14ac:dyDescent="0.35">
      <c r="A114" s="3283"/>
      <c r="B114" s="3184"/>
      <c r="C114" s="1931" t="s">
        <v>1374</v>
      </c>
      <c r="D114" s="1982">
        <v>0</v>
      </c>
      <c r="E114" s="961" t="s">
        <v>500</v>
      </c>
      <c r="F114" s="942"/>
      <c r="G114" s="942"/>
      <c r="H114" s="942"/>
      <c r="I114" s="1656">
        <v>380</v>
      </c>
      <c r="J114" s="937"/>
      <c r="K114" s="944"/>
      <c r="L114" s="944"/>
      <c r="M114" s="944"/>
      <c r="N114" s="1656">
        <v>380</v>
      </c>
      <c r="O114" s="947"/>
      <c r="P114" s="1979">
        <f>+I114+N114</f>
        <v>760</v>
      </c>
      <c r="Q114" s="947"/>
      <c r="R114" s="1980"/>
      <c r="S114" s="946"/>
      <c r="T114" s="2635">
        <v>206.17</v>
      </c>
      <c r="U114" s="3176"/>
      <c r="V114" s="3164"/>
      <c r="W114" s="3167"/>
      <c r="X114" s="3170"/>
      <c r="Y114" s="3273"/>
    </row>
    <row r="115" spans="1:25" s="935" customFormat="1" x14ac:dyDescent="0.3">
      <c r="A115" s="3283"/>
      <c r="B115" s="3185"/>
      <c r="C115" s="1937" t="s">
        <v>0</v>
      </c>
      <c r="D115" s="1983">
        <f>SUM(D110:D114)</f>
        <v>18338.03</v>
      </c>
      <c r="E115" s="961" t="s">
        <v>500</v>
      </c>
      <c r="F115" s="942"/>
      <c r="G115" s="942"/>
      <c r="H115" s="942"/>
      <c r="I115" s="1657">
        <v>15680</v>
      </c>
      <c r="J115" s="937"/>
      <c r="K115" s="944"/>
      <c r="L115" s="944"/>
      <c r="M115" s="944"/>
      <c r="N115" s="1657">
        <v>15680</v>
      </c>
      <c r="O115" s="947"/>
      <c r="P115" s="944">
        <f>SUM(P110:P114)</f>
        <v>31360</v>
      </c>
      <c r="Q115" s="947"/>
      <c r="R115" s="1980"/>
      <c r="S115" s="946"/>
      <c r="T115" s="2636">
        <f>SUM(T110:T114)</f>
        <v>22986.61</v>
      </c>
      <c r="U115" s="3177"/>
      <c r="V115" s="3165"/>
      <c r="W115" s="3168"/>
      <c r="X115" s="3171"/>
      <c r="Y115" s="3274"/>
    </row>
    <row r="116" spans="1:25" s="935" customFormat="1" x14ac:dyDescent="0.3">
      <c r="A116" s="3283"/>
      <c r="B116" s="3172" t="s">
        <v>529</v>
      </c>
      <c r="C116" s="1931" t="s">
        <v>15</v>
      </c>
      <c r="D116" s="1982">
        <v>1850</v>
      </c>
      <c r="E116" s="1658" t="s">
        <v>500</v>
      </c>
      <c r="F116" s="942"/>
      <c r="G116" s="942"/>
      <c r="H116" s="942"/>
      <c r="I116" s="1656">
        <v>0</v>
      </c>
      <c r="J116" s="937">
        <v>0.5</v>
      </c>
      <c r="K116" s="944"/>
      <c r="L116" s="944"/>
      <c r="M116" s="944"/>
      <c r="N116" s="1656">
        <v>0</v>
      </c>
      <c r="O116" s="937">
        <v>0.5</v>
      </c>
      <c r="P116" s="1979">
        <f>+I116+N116</f>
        <v>0</v>
      </c>
      <c r="Q116" s="947">
        <v>0.5</v>
      </c>
      <c r="R116" s="1980">
        <f t="shared" si="12"/>
        <v>0</v>
      </c>
      <c r="S116" s="946"/>
      <c r="T116" s="2635">
        <v>1850</v>
      </c>
      <c r="U116" s="3175">
        <f>+T116/P118</f>
        <v>0.48177083333333331</v>
      </c>
      <c r="V116" s="3163" t="s">
        <v>1585</v>
      </c>
      <c r="W116" s="3178">
        <f>X116/P118</f>
        <v>0.37760416666666669</v>
      </c>
      <c r="X116" s="3169">
        <v>1450</v>
      </c>
      <c r="Y116" s="3275"/>
    </row>
    <row r="117" spans="1:25" s="935" customFormat="1" x14ac:dyDescent="0.3">
      <c r="A117" s="3283"/>
      <c r="B117" s="3173"/>
      <c r="C117" s="1931" t="s">
        <v>47</v>
      </c>
      <c r="D117" s="1982">
        <v>0</v>
      </c>
      <c r="E117" s="1658" t="s">
        <v>500</v>
      </c>
      <c r="F117" s="942"/>
      <c r="G117" s="942"/>
      <c r="H117" s="942"/>
      <c r="I117" s="1656">
        <v>1920</v>
      </c>
      <c r="J117" s="937"/>
      <c r="K117" s="944"/>
      <c r="L117" s="944"/>
      <c r="M117" s="944"/>
      <c r="N117" s="1656">
        <v>1920</v>
      </c>
      <c r="O117" s="937"/>
      <c r="P117" s="1979">
        <f>+I117+N117</f>
        <v>3840</v>
      </c>
      <c r="Q117" s="947"/>
      <c r="R117" s="1980"/>
      <c r="S117" s="946"/>
      <c r="T117" s="2635">
        <v>1106</v>
      </c>
      <c r="U117" s="3176"/>
      <c r="V117" s="3164"/>
      <c r="W117" s="3167"/>
      <c r="X117" s="3170"/>
      <c r="Y117" s="3273"/>
    </row>
    <row r="118" spans="1:25" s="935" customFormat="1" x14ac:dyDescent="0.3">
      <c r="A118" s="3283"/>
      <c r="B118" s="3174"/>
      <c r="C118" s="1937" t="s">
        <v>0</v>
      </c>
      <c r="D118" s="1983">
        <f>SUM(D116)</f>
        <v>1850</v>
      </c>
      <c r="E118" s="1658" t="s">
        <v>500</v>
      </c>
      <c r="F118" s="942"/>
      <c r="G118" s="942"/>
      <c r="H118" s="942"/>
      <c r="I118" s="1657">
        <f>SUM(I116:I117)</f>
        <v>1920</v>
      </c>
      <c r="J118" s="937"/>
      <c r="K118" s="944"/>
      <c r="L118" s="944"/>
      <c r="M118" s="944"/>
      <c r="N118" s="1657">
        <f>SUM(N116:N117)</f>
        <v>1920</v>
      </c>
      <c r="O118" s="937"/>
      <c r="P118" s="944">
        <f>SUM(P116:P117)</f>
        <v>3840</v>
      </c>
      <c r="Q118" s="947"/>
      <c r="R118" s="1980"/>
      <c r="S118" s="946"/>
      <c r="T118" s="2636">
        <f>SUM(T116:T117)</f>
        <v>2956</v>
      </c>
      <c r="U118" s="3177"/>
      <c r="V118" s="3165"/>
      <c r="W118" s="3168"/>
      <c r="X118" s="3171"/>
      <c r="Y118" s="3274"/>
    </row>
    <row r="119" spans="1:25" s="935" customFormat="1" ht="28.5" thickBot="1" x14ac:dyDescent="0.35">
      <c r="A119" s="3283"/>
      <c r="B119" s="1984" t="s">
        <v>530</v>
      </c>
      <c r="C119" s="1985"/>
      <c r="D119" s="1983"/>
      <c r="E119" s="1658" t="s">
        <v>500</v>
      </c>
      <c r="F119" s="942"/>
      <c r="G119" s="942"/>
      <c r="H119" s="942"/>
      <c r="I119" s="1656">
        <v>0</v>
      </c>
      <c r="J119" s="1935">
        <v>0.15</v>
      </c>
      <c r="K119" s="944"/>
      <c r="L119" s="944"/>
      <c r="M119" s="944"/>
      <c r="N119" s="1656">
        <v>0</v>
      </c>
      <c r="O119" s="1935">
        <v>0.15</v>
      </c>
      <c r="P119" s="1656">
        <f t="shared" si="11"/>
        <v>0</v>
      </c>
      <c r="Q119" s="1967">
        <v>0.15</v>
      </c>
      <c r="R119" s="1980">
        <f t="shared" si="12"/>
        <v>0</v>
      </c>
      <c r="S119" s="946"/>
      <c r="T119" s="2637">
        <v>0</v>
      </c>
      <c r="U119" s="948">
        <v>0</v>
      </c>
      <c r="V119" s="949"/>
      <c r="W119" s="919"/>
      <c r="X119" s="949"/>
      <c r="Y119" s="950"/>
    </row>
    <row r="120" spans="1:25" s="935" customFormat="1" ht="14.5" thickBot="1" x14ac:dyDescent="0.35">
      <c r="A120" s="1901"/>
      <c r="B120" s="1949"/>
      <c r="C120" s="1986"/>
      <c r="D120" s="1987"/>
      <c r="E120" s="920" t="s">
        <v>0</v>
      </c>
      <c r="F120" s="920"/>
      <c r="G120" s="920"/>
      <c r="H120" s="920"/>
      <c r="I120" s="1646">
        <f>I109+I115+I118</f>
        <v>30204</v>
      </c>
      <c r="J120" s="921"/>
      <c r="K120" s="921"/>
      <c r="L120" s="921"/>
      <c r="M120" s="921"/>
      <c r="N120" s="1646">
        <f>N109+N115+N118</f>
        <v>30204</v>
      </c>
      <c r="O120" s="922"/>
      <c r="P120" s="1659">
        <f>P109+P115+P118</f>
        <v>60408</v>
      </c>
      <c r="Q120" s="923"/>
      <c r="R120" s="924">
        <f>SUM(R104:R119)</f>
        <v>11685</v>
      </c>
      <c r="S120" s="924"/>
      <c r="T120" s="2638">
        <f>T109+T115+T118</f>
        <v>29552.61</v>
      </c>
      <c r="U120" s="951">
        <f>+T120/P120</f>
        <v>0.48921682558601509</v>
      </c>
      <c r="V120" s="952"/>
      <c r="W120" s="2361">
        <f>X120/P120</f>
        <v>0.16510892597007018</v>
      </c>
      <c r="X120" s="952">
        <f>SUM(X104:X119)</f>
        <v>9973.9</v>
      </c>
      <c r="Y120" s="934"/>
    </row>
    <row r="121" spans="1:25" s="935" customFormat="1" ht="24.75" customHeight="1" thickBot="1" x14ac:dyDescent="0.35">
      <c r="A121" s="3279" t="s">
        <v>43</v>
      </c>
      <c r="B121" s="3280"/>
      <c r="C121" s="1899"/>
      <c r="D121" s="1988"/>
      <c r="E121" s="953"/>
      <c r="F121" s="953"/>
      <c r="G121" s="953"/>
      <c r="H121" s="953"/>
      <c r="I121" s="1660">
        <f>I36+I55+I78+I103+I120</f>
        <v>320231</v>
      </c>
      <c r="J121" s="955"/>
      <c r="K121" s="955"/>
      <c r="L121" s="955"/>
      <c r="M121" s="955"/>
      <c r="N121" s="1660">
        <f>N36+N55+N78+N103+N120</f>
        <v>299377</v>
      </c>
      <c r="O121" s="954"/>
      <c r="P121" s="1660">
        <f>P36+P55+P78+P103+P120</f>
        <v>619608</v>
      </c>
      <c r="Q121" s="954"/>
      <c r="R121" s="954">
        <f>R36+R55+R78+R103+R120</f>
        <v>41788.5</v>
      </c>
      <c r="S121" s="954"/>
      <c r="T121" s="2639">
        <f>T36+T55+T78+T103+T120</f>
        <v>614100.54999999993</v>
      </c>
      <c r="U121" s="956">
        <f>+T121/P121</f>
        <v>0.99111139623762112</v>
      </c>
      <c r="V121" s="957"/>
      <c r="W121" s="2364">
        <f>X121/P121</f>
        <v>0.35621028133916927</v>
      </c>
      <c r="X121" s="957">
        <f>X120+X103+X78+X55+X36</f>
        <v>220710.74</v>
      </c>
      <c r="Y121" s="958"/>
    </row>
    <row r="122" spans="1:25" x14ac:dyDescent="0.3">
      <c r="A122" s="3276" t="s">
        <v>531</v>
      </c>
      <c r="B122" s="3277"/>
      <c r="C122" s="3277"/>
      <c r="D122" s="3277"/>
      <c r="E122" s="3277"/>
      <c r="F122" s="3277"/>
      <c r="G122" s="3277"/>
      <c r="H122" s="3277"/>
      <c r="I122" s="3277"/>
      <c r="J122" s="3277"/>
      <c r="K122" s="3277"/>
      <c r="L122" s="3277"/>
      <c r="M122" s="3277"/>
      <c r="N122" s="3277"/>
      <c r="O122" s="3277"/>
      <c r="P122" s="3277"/>
      <c r="Q122" s="3277"/>
      <c r="R122" s="3277"/>
      <c r="S122" s="3277"/>
      <c r="T122" s="3277"/>
      <c r="U122" s="3277"/>
      <c r="V122" s="3277"/>
      <c r="W122" s="3277"/>
      <c r="X122" s="3277"/>
      <c r="Y122" s="3278"/>
    </row>
    <row r="123" spans="1:25" x14ac:dyDescent="0.3">
      <c r="A123" s="3225" t="s">
        <v>532</v>
      </c>
      <c r="B123" s="3192" t="s">
        <v>533</v>
      </c>
      <c r="C123" s="1931" t="s">
        <v>15</v>
      </c>
      <c r="D123" s="1932">
        <v>234.15</v>
      </c>
      <c r="E123" s="1658" t="s">
        <v>500</v>
      </c>
      <c r="F123" s="1933"/>
      <c r="G123" s="1933"/>
      <c r="H123" s="1933"/>
      <c r="I123" s="1989">
        <v>800</v>
      </c>
      <c r="J123" s="937">
        <v>0.5</v>
      </c>
      <c r="K123" s="1935"/>
      <c r="L123" s="1935"/>
      <c r="M123" s="1935"/>
      <c r="N123" s="1989">
        <v>0</v>
      </c>
      <c r="O123" s="937">
        <v>0.5</v>
      </c>
      <c r="P123" s="1935">
        <f>+I123+N123</f>
        <v>800</v>
      </c>
      <c r="Q123" s="937">
        <v>0.5</v>
      </c>
      <c r="R123" s="1990">
        <f>+P123*Q123</f>
        <v>400</v>
      </c>
      <c r="S123" s="916"/>
      <c r="T123" s="2621">
        <v>234.15</v>
      </c>
      <c r="U123" s="3201">
        <f>+T128/P128</f>
        <v>0.84052884615384615</v>
      </c>
      <c r="V123" s="3208" t="s">
        <v>1239</v>
      </c>
      <c r="W123" s="3178">
        <f>X123/P128</f>
        <v>0.4382307692307692</v>
      </c>
      <c r="X123" s="3195">
        <v>455.76</v>
      </c>
      <c r="Y123" s="3195"/>
    </row>
    <row r="124" spans="1:25" x14ac:dyDescent="0.3">
      <c r="A124" s="3226"/>
      <c r="B124" s="3193"/>
      <c r="C124" s="1931" t="s">
        <v>47</v>
      </c>
      <c r="D124" s="1932">
        <v>0</v>
      </c>
      <c r="E124" s="1658" t="s">
        <v>500</v>
      </c>
      <c r="F124" s="1933"/>
      <c r="G124" s="1933"/>
      <c r="H124" s="1933"/>
      <c r="I124" s="1989">
        <v>240</v>
      </c>
      <c r="J124" s="937"/>
      <c r="K124" s="1935"/>
      <c r="L124" s="1935"/>
      <c r="M124" s="1935"/>
      <c r="N124" s="1989">
        <v>0</v>
      </c>
      <c r="O124" s="937"/>
      <c r="P124" s="1935">
        <f>+I124+N124</f>
        <v>240</v>
      </c>
      <c r="Q124" s="937"/>
      <c r="R124" s="1990"/>
      <c r="S124" s="916"/>
      <c r="T124" s="2621">
        <v>0</v>
      </c>
      <c r="U124" s="3202"/>
      <c r="V124" s="3206"/>
      <c r="W124" s="3167"/>
      <c r="X124" s="3190"/>
      <c r="Y124" s="3190"/>
    </row>
    <row r="125" spans="1:25" x14ac:dyDescent="0.3">
      <c r="A125" s="3226"/>
      <c r="B125" s="3193"/>
      <c r="C125" s="1931" t="s">
        <v>17</v>
      </c>
      <c r="D125" s="1932">
        <v>610</v>
      </c>
      <c r="E125" s="1658" t="s">
        <v>500</v>
      </c>
      <c r="F125" s="1933"/>
      <c r="G125" s="1933"/>
      <c r="H125" s="1933"/>
      <c r="I125" s="1989">
        <v>0</v>
      </c>
      <c r="J125" s="937"/>
      <c r="K125" s="1935"/>
      <c r="L125" s="1935"/>
      <c r="M125" s="1935"/>
      <c r="N125" s="1989">
        <v>0</v>
      </c>
      <c r="O125" s="937"/>
      <c r="P125" s="1935">
        <f>+I125+N125</f>
        <v>0</v>
      </c>
      <c r="Q125" s="937"/>
      <c r="R125" s="1990"/>
      <c r="S125" s="916"/>
      <c r="T125" s="2621">
        <v>610</v>
      </c>
      <c r="U125" s="3202"/>
      <c r="V125" s="3206"/>
      <c r="W125" s="3167"/>
      <c r="X125" s="3190"/>
      <c r="Y125" s="3190"/>
    </row>
    <row r="126" spans="1:25" x14ac:dyDescent="0.3">
      <c r="A126" s="3226"/>
      <c r="B126" s="3193"/>
      <c r="C126" s="1931" t="s">
        <v>48</v>
      </c>
      <c r="D126" s="1932">
        <v>0</v>
      </c>
      <c r="E126" s="1658" t="s">
        <v>500</v>
      </c>
      <c r="F126" s="1933"/>
      <c r="G126" s="1933"/>
      <c r="H126" s="1933"/>
      <c r="I126" s="1989">
        <v>0</v>
      </c>
      <c r="J126" s="937"/>
      <c r="K126" s="1935"/>
      <c r="L126" s="1935"/>
      <c r="M126" s="1935"/>
      <c r="N126" s="1989">
        <v>0</v>
      </c>
      <c r="O126" s="937"/>
      <c r="P126" s="1935">
        <f>+I126+N126</f>
        <v>0</v>
      </c>
      <c r="Q126" s="937"/>
      <c r="R126" s="1990"/>
      <c r="S126" s="916"/>
      <c r="T126" s="2621">
        <v>0</v>
      </c>
      <c r="U126" s="3202"/>
      <c r="V126" s="3206"/>
      <c r="W126" s="3167"/>
      <c r="X126" s="3190"/>
      <c r="Y126" s="3190"/>
    </row>
    <row r="127" spans="1:25" ht="26" x14ac:dyDescent="0.3">
      <c r="A127" s="3226"/>
      <c r="B127" s="3193"/>
      <c r="C127" s="1931" t="s">
        <v>1374</v>
      </c>
      <c r="D127" s="1932">
        <v>30</v>
      </c>
      <c r="E127" s="1658" t="s">
        <v>500</v>
      </c>
      <c r="F127" s="1933"/>
      <c r="G127" s="1933"/>
      <c r="H127" s="1933"/>
      <c r="I127" s="1989">
        <v>0</v>
      </c>
      <c r="J127" s="937"/>
      <c r="K127" s="1935"/>
      <c r="L127" s="1935"/>
      <c r="M127" s="1935"/>
      <c r="N127" s="1989">
        <v>0</v>
      </c>
      <c r="O127" s="937"/>
      <c r="P127" s="1935">
        <f>+I127+N127</f>
        <v>0</v>
      </c>
      <c r="Q127" s="937"/>
      <c r="R127" s="1990"/>
      <c r="S127" s="916"/>
      <c r="T127" s="2621">
        <v>30</v>
      </c>
      <c r="U127" s="3202"/>
      <c r="V127" s="3206"/>
      <c r="W127" s="3167"/>
      <c r="X127" s="3190"/>
      <c r="Y127" s="3190"/>
    </row>
    <row r="128" spans="1:25" ht="14.5" thickBot="1" x14ac:dyDescent="0.35">
      <c r="A128" s="3226"/>
      <c r="B128" s="3194"/>
      <c r="C128" s="1937" t="s">
        <v>0</v>
      </c>
      <c r="D128" s="1938">
        <f>SUM(D123:D127)</f>
        <v>874.15</v>
      </c>
      <c r="E128" s="1658" t="s">
        <v>500</v>
      </c>
      <c r="F128" s="1933"/>
      <c r="G128" s="1933"/>
      <c r="H128" s="1933"/>
      <c r="I128" s="1991">
        <f>SUM(I123:I127)</f>
        <v>1040</v>
      </c>
      <c r="J128" s="937"/>
      <c r="K128" s="1935"/>
      <c r="L128" s="1935"/>
      <c r="M128" s="1935"/>
      <c r="N128" s="1991">
        <f>SUM(N123:N127)</f>
        <v>0</v>
      </c>
      <c r="O128" s="937"/>
      <c r="P128" s="1976">
        <f>SUM(P123:P127)</f>
        <v>1040</v>
      </c>
      <c r="Q128" s="937"/>
      <c r="R128" s="1990"/>
      <c r="S128" s="916"/>
      <c r="T128" s="2623">
        <f>SUM(T123:T127)</f>
        <v>874.15</v>
      </c>
      <c r="U128" s="3203"/>
      <c r="V128" s="3207"/>
      <c r="W128" s="3168"/>
      <c r="X128" s="3191"/>
      <c r="Y128" s="3191"/>
    </row>
    <row r="129" spans="1:25" ht="14.5" thickBot="1" x14ac:dyDescent="0.35">
      <c r="A129" s="3226"/>
      <c r="B129" s="3200" t="s">
        <v>535</v>
      </c>
      <c r="C129" s="1931" t="s">
        <v>15</v>
      </c>
      <c r="D129" s="1932">
        <v>7057.35</v>
      </c>
      <c r="E129" s="961" t="s">
        <v>500</v>
      </c>
      <c r="F129" s="1933"/>
      <c r="G129" s="1933"/>
      <c r="H129" s="1933"/>
      <c r="I129" s="1989">
        <v>2100</v>
      </c>
      <c r="J129" s="937">
        <v>0.6</v>
      </c>
      <c r="K129" s="1935"/>
      <c r="L129" s="1935"/>
      <c r="M129" s="1935"/>
      <c r="N129" s="1989">
        <v>1050</v>
      </c>
      <c r="O129" s="937">
        <v>0.6</v>
      </c>
      <c r="P129" s="1935">
        <f t="shared" ref="P129:P145" si="13">+I129+N129</f>
        <v>3150</v>
      </c>
      <c r="Q129" s="937">
        <v>0.6</v>
      </c>
      <c r="R129" s="1990">
        <f t="shared" ref="R129:R147" si="14">+P129*Q129</f>
        <v>1890</v>
      </c>
      <c r="S129" s="916"/>
      <c r="T129" s="2621">
        <v>7057.35</v>
      </c>
      <c r="U129" s="3201">
        <f>+T134/P134</f>
        <v>0.87164391491003812</v>
      </c>
      <c r="V129" s="3208" t="s">
        <v>507</v>
      </c>
      <c r="W129" s="3178">
        <f t="shared" ref="W129" si="15">X129/P134</f>
        <v>0.53787902175485991</v>
      </c>
      <c r="X129" s="3195">
        <v>11150.77</v>
      </c>
      <c r="Y129" s="3195"/>
    </row>
    <row r="130" spans="1:25" ht="14.5" thickBot="1" x14ac:dyDescent="0.35">
      <c r="A130" s="3226"/>
      <c r="B130" s="3184"/>
      <c r="C130" s="1931" t="s">
        <v>47</v>
      </c>
      <c r="D130" s="1932">
        <v>4522.3999999999996</v>
      </c>
      <c r="E130" s="961" t="s">
        <v>500</v>
      </c>
      <c r="F130" s="1933"/>
      <c r="G130" s="1933"/>
      <c r="H130" s="1933"/>
      <c r="I130" s="1989">
        <v>8625</v>
      </c>
      <c r="J130" s="937"/>
      <c r="K130" s="1935"/>
      <c r="L130" s="1935"/>
      <c r="M130" s="1935"/>
      <c r="N130" s="1989">
        <v>3450</v>
      </c>
      <c r="O130" s="937"/>
      <c r="P130" s="1935">
        <f t="shared" si="13"/>
        <v>12075</v>
      </c>
      <c r="Q130" s="937"/>
      <c r="R130" s="1990"/>
      <c r="S130" s="916"/>
      <c r="T130" s="2621">
        <v>4522.3999999999996</v>
      </c>
      <c r="U130" s="3202"/>
      <c r="V130" s="3206"/>
      <c r="W130" s="3167"/>
      <c r="X130" s="3190"/>
      <c r="Y130" s="3190"/>
    </row>
    <row r="131" spans="1:25" ht="14.5" thickBot="1" x14ac:dyDescent="0.35">
      <c r="A131" s="3226"/>
      <c r="B131" s="3184"/>
      <c r="C131" s="1931" t="s">
        <v>17</v>
      </c>
      <c r="D131" s="1932">
        <v>4200</v>
      </c>
      <c r="E131" s="961" t="s">
        <v>500</v>
      </c>
      <c r="F131" s="1933"/>
      <c r="G131" s="1933"/>
      <c r="H131" s="1933"/>
      <c r="I131" s="1989">
        <v>3250</v>
      </c>
      <c r="J131" s="937"/>
      <c r="K131" s="1935"/>
      <c r="L131" s="1935"/>
      <c r="M131" s="1935"/>
      <c r="N131" s="1989">
        <v>1380</v>
      </c>
      <c r="O131" s="937"/>
      <c r="P131" s="1935">
        <f>+I131+N131</f>
        <v>4630</v>
      </c>
      <c r="Q131" s="937"/>
      <c r="R131" s="1990"/>
      <c r="S131" s="916"/>
      <c r="T131" s="2621">
        <v>4200</v>
      </c>
      <c r="U131" s="3202"/>
      <c r="V131" s="3206"/>
      <c r="W131" s="3167"/>
      <c r="X131" s="3190"/>
      <c r="Y131" s="3190"/>
    </row>
    <row r="132" spans="1:25" ht="14.5" thickBot="1" x14ac:dyDescent="0.35">
      <c r="A132" s="3226"/>
      <c r="B132" s="3184"/>
      <c r="C132" s="1931" t="s">
        <v>48</v>
      </c>
      <c r="D132" s="1932">
        <v>350</v>
      </c>
      <c r="E132" s="961" t="s">
        <v>500</v>
      </c>
      <c r="F132" s="1933"/>
      <c r="G132" s="1933"/>
      <c r="H132" s="1933"/>
      <c r="I132" s="1989">
        <v>0</v>
      </c>
      <c r="J132" s="937"/>
      <c r="K132" s="1935"/>
      <c r="L132" s="1935"/>
      <c r="M132" s="1935"/>
      <c r="N132" s="1989">
        <v>0</v>
      </c>
      <c r="O132" s="937"/>
      <c r="P132" s="1935">
        <f>+I132+N132</f>
        <v>0</v>
      </c>
      <c r="Q132" s="937"/>
      <c r="R132" s="1990"/>
      <c r="S132" s="916"/>
      <c r="T132" s="2621">
        <v>350</v>
      </c>
      <c r="U132" s="3202"/>
      <c r="V132" s="3206"/>
      <c r="W132" s="3167"/>
      <c r="X132" s="3190"/>
      <c r="Y132" s="3190"/>
    </row>
    <row r="133" spans="1:25" ht="26.5" thickBot="1" x14ac:dyDescent="0.35">
      <c r="A133" s="3226"/>
      <c r="B133" s="3184"/>
      <c r="C133" s="1931" t="s">
        <v>1374</v>
      </c>
      <c r="D133" s="1932">
        <v>1940.3</v>
      </c>
      <c r="E133" s="961" t="s">
        <v>500</v>
      </c>
      <c r="F133" s="1933"/>
      <c r="G133" s="1933"/>
      <c r="H133" s="1933"/>
      <c r="I133" s="1989">
        <v>584</v>
      </c>
      <c r="J133" s="937"/>
      <c r="K133" s="1935"/>
      <c r="L133" s="1935"/>
      <c r="M133" s="1935"/>
      <c r="N133" s="1989">
        <v>292</v>
      </c>
      <c r="O133" s="937"/>
      <c r="P133" s="1935">
        <f>+I133+N133</f>
        <v>876</v>
      </c>
      <c r="Q133" s="937"/>
      <c r="R133" s="1990"/>
      <c r="S133" s="916"/>
      <c r="T133" s="2621">
        <v>1940.3</v>
      </c>
      <c r="U133" s="3202"/>
      <c r="V133" s="3206"/>
      <c r="W133" s="3167"/>
      <c r="X133" s="3190"/>
      <c r="Y133" s="3190"/>
    </row>
    <row r="134" spans="1:25" ht="14.5" thickBot="1" x14ac:dyDescent="0.35">
      <c r="A134" s="3226"/>
      <c r="B134" s="3185"/>
      <c r="C134" s="1937" t="s">
        <v>0</v>
      </c>
      <c r="D134" s="1938">
        <f>SUM(D129:D133)</f>
        <v>18070.05</v>
      </c>
      <c r="E134" s="961" t="s">
        <v>500</v>
      </c>
      <c r="F134" s="1933"/>
      <c r="G134" s="1933"/>
      <c r="H134" s="1933"/>
      <c r="I134" s="1991">
        <f>SUM(I129:I133)</f>
        <v>14559</v>
      </c>
      <c r="J134" s="937"/>
      <c r="K134" s="1935"/>
      <c r="L134" s="1935"/>
      <c r="M134" s="1935"/>
      <c r="N134" s="1991">
        <f>SUM(N129:N133)</f>
        <v>6172</v>
      </c>
      <c r="O134" s="937"/>
      <c r="P134" s="1976">
        <f>SUM(P129:P133)</f>
        <v>20731</v>
      </c>
      <c r="Q134" s="937"/>
      <c r="R134" s="1990"/>
      <c r="S134" s="916"/>
      <c r="T134" s="2623">
        <f>SUM(T129:T133)</f>
        <v>18070.05</v>
      </c>
      <c r="U134" s="3203"/>
      <c r="V134" s="3207"/>
      <c r="W134" s="3168"/>
      <c r="X134" s="3191"/>
      <c r="Y134" s="3191"/>
    </row>
    <row r="135" spans="1:25" ht="14.5" thickBot="1" x14ac:dyDescent="0.35">
      <c r="A135" s="3226"/>
      <c r="B135" s="3200" t="s">
        <v>536</v>
      </c>
      <c r="C135" s="1931" t="s">
        <v>15</v>
      </c>
      <c r="D135" s="1932">
        <v>3793.75</v>
      </c>
      <c r="E135" s="961" t="s">
        <v>500</v>
      </c>
      <c r="F135" s="1933"/>
      <c r="G135" s="1933"/>
      <c r="H135" s="1933"/>
      <c r="I135" s="1989">
        <v>9900</v>
      </c>
      <c r="J135" s="937">
        <v>0.6</v>
      </c>
      <c r="K135" s="1935"/>
      <c r="L135" s="1935"/>
      <c r="M135" s="1935"/>
      <c r="N135" s="1989">
        <v>9900</v>
      </c>
      <c r="O135" s="937">
        <v>0.6</v>
      </c>
      <c r="P135" s="1935">
        <f t="shared" si="13"/>
        <v>19800</v>
      </c>
      <c r="Q135" s="937">
        <v>0.6</v>
      </c>
      <c r="R135" s="1990">
        <f t="shared" si="14"/>
        <v>11880</v>
      </c>
      <c r="S135" s="916"/>
      <c r="T135" s="2621">
        <v>5771.75</v>
      </c>
      <c r="U135" s="3201">
        <f>+T140/P140</f>
        <v>1.0308004026082012</v>
      </c>
      <c r="V135" s="3267" t="s">
        <v>507</v>
      </c>
      <c r="W135" s="3178">
        <f t="shared" ref="W135" si="16">X135/P140</f>
        <v>0.62106570828410135</v>
      </c>
      <c r="X135" s="3195">
        <v>56767.89</v>
      </c>
      <c r="Y135" s="3195"/>
    </row>
    <row r="136" spans="1:25" ht="14.5" thickBot="1" x14ac:dyDescent="0.35">
      <c r="A136" s="3226"/>
      <c r="B136" s="3184"/>
      <c r="C136" s="1931" t="s">
        <v>47</v>
      </c>
      <c r="D136" s="1932">
        <v>14429.5</v>
      </c>
      <c r="E136" s="961" t="s">
        <v>500</v>
      </c>
      <c r="F136" s="1933"/>
      <c r="G136" s="1933"/>
      <c r="H136" s="1933"/>
      <c r="I136" s="1989">
        <v>6450</v>
      </c>
      <c r="J136" s="937"/>
      <c r="K136" s="1935"/>
      <c r="L136" s="1935"/>
      <c r="M136" s="1935"/>
      <c r="N136" s="1989">
        <v>6450</v>
      </c>
      <c r="O136" s="937"/>
      <c r="P136" s="1935">
        <f t="shared" si="13"/>
        <v>12900</v>
      </c>
      <c r="Q136" s="937"/>
      <c r="R136" s="1990"/>
      <c r="S136" s="916"/>
      <c r="T136" s="2621">
        <v>19057</v>
      </c>
      <c r="U136" s="3202"/>
      <c r="V136" s="3268"/>
      <c r="W136" s="3167"/>
      <c r="X136" s="3190"/>
      <c r="Y136" s="3190"/>
    </row>
    <row r="137" spans="1:25" ht="14.5" thickBot="1" x14ac:dyDescent="0.35">
      <c r="A137" s="3226"/>
      <c r="B137" s="3184"/>
      <c r="C137" s="1931" t="s">
        <v>17</v>
      </c>
      <c r="D137" s="1932">
        <v>9362.2999999999993</v>
      </c>
      <c r="E137" s="961" t="s">
        <v>500</v>
      </c>
      <c r="F137" s="1933"/>
      <c r="G137" s="1933"/>
      <c r="H137" s="1933"/>
      <c r="I137" s="1989">
        <v>6150</v>
      </c>
      <c r="J137" s="937"/>
      <c r="K137" s="1935"/>
      <c r="L137" s="1935"/>
      <c r="M137" s="1935"/>
      <c r="N137" s="1989">
        <v>6150</v>
      </c>
      <c r="O137" s="937"/>
      <c r="P137" s="1935">
        <f>+I137+N137</f>
        <v>12300</v>
      </c>
      <c r="Q137" s="937"/>
      <c r="R137" s="1990"/>
      <c r="S137" s="916"/>
      <c r="T137" s="2621">
        <v>10662.3</v>
      </c>
      <c r="U137" s="3202"/>
      <c r="V137" s="3268"/>
      <c r="W137" s="3167"/>
      <c r="X137" s="3190"/>
      <c r="Y137" s="3190"/>
    </row>
    <row r="138" spans="1:25" ht="14.5" thickBot="1" x14ac:dyDescent="0.35">
      <c r="A138" s="3226"/>
      <c r="B138" s="3184"/>
      <c r="C138" s="1931" t="s">
        <v>48</v>
      </c>
      <c r="D138" s="1932">
        <v>46047.98</v>
      </c>
      <c r="E138" s="961" t="s">
        <v>500</v>
      </c>
      <c r="F138" s="1933"/>
      <c r="G138" s="1933"/>
      <c r="H138" s="1933"/>
      <c r="I138" s="1989">
        <v>21600</v>
      </c>
      <c r="J138" s="937"/>
      <c r="K138" s="1935"/>
      <c r="L138" s="1935"/>
      <c r="M138" s="1935"/>
      <c r="N138" s="1989">
        <v>21600</v>
      </c>
      <c r="O138" s="937"/>
      <c r="P138" s="1935">
        <f>+I138+N138</f>
        <v>43200</v>
      </c>
      <c r="Q138" s="937"/>
      <c r="R138" s="1990"/>
      <c r="S138" s="916"/>
      <c r="T138" s="2621">
        <v>54411.43</v>
      </c>
      <c r="U138" s="3202"/>
      <c r="V138" s="3268"/>
      <c r="W138" s="3167"/>
      <c r="X138" s="3190"/>
      <c r="Y138" s="3190"/>
    </row>
    <row r="139" spans="1:25" ht="26.5" thickBot="1" x14ac:dyDescent="0.35">
      <c r="A139" s="3226"/>
      <c r="B139" s="3184"/>
      <c r="C139" s="1931" t="s">
        <v>1374</v>
      </c>
      <c r="D139" s="1932">
        <v>4316.8</v>
      </c>
      <c r="E139" s="961" t="s">
        <v>500</v>
      </c>
      <c r="F139" s="1933"/>
      <c r="G139" s="1933"/>
      <c r="H139" s="1933"/>
      <c r="I139" s="1989">
        <v>1602</v>
      </c>
      <c r="J139" s="937"/>
      <c r="K139" s="1935"/>
      <c r="L139" s="1935"/>
      <c r="M139" s="1935"/>
      <c r="N139" s="1989">
        <v>1602</v>
      </c>
      <c r="O139" s="937"/>
      <c r="P139" s="1935">
        <f>+I139+N139</f>
        <v>3204</v>
      </c>
      <c r="Q139" s="937"/>
      <c r="R139" s="1990"/>
      <c r="S139" s="916"/>
      <c r="T139" s="2621">
        <v>4316.8</v>
      </c>
      <c r="U139" s="3202"/>
      <c r="V139" s="3268"/>
      <c r="W139" s="3167"/>
      <c r="X139" s="3190"/>
      <c r="Y139" s="3190"/>
    </row>
    <row r="140" spans="1:25" ht="14.5" thickBot="1" x14ac:dyDescent="0.35">
      <c r="A140" s="3226"/>
      <c r="B140" s="3185"/>
      <c r="C140" s="1937" t="s">
        <v>0</v>
      </c>
      <c r="D140" s="1938">
        <f>SUM(D135:D139)</f>
        <v>77950.33</v>
      </c>
      <c r="E140" s="961" t="s">
        <v>500</v>
      </c>
      <c r="F140" s="1933"/>
      <c r="G140" s="1933"/>
      <c r="H140" s="1933"/>
      <c r="I140" s="1991">
        <f>SUM(I135:I139)</f>
        <v>45702</v>
      </c>
      <c r="J140" s="937"/>
      <c r="K140" s="1935"/>
      <c r="L140" s="1935"/>
      <c r="M140" s="1935"/>
      <c r="N140" s="1991">
        <f>SUM(N135:N139)</f>
        <v>45702</v>
      </c>
      <c r="O140" s="937"/>
      <c r="P140" s="1976">
        <f>SUM(P135:P139)</f>
        <v>91404</v>
      </c>
      <c r="Q140" s="937"/>
      <c r="R140" s="1990"/>
      <c r="S140" s="916"/>
      <c r="T140" s="2623">
        <f>SUM(T135:T139)</f>
        <v>94219.280000000013</v>
      </c>
      <c r="U140" s="3203"/>
      <c r="V140" s="3269"/>
      <c r="W140" s="3168"/>
      <c r="X140" s="3191"/>
      <c r="Y140" s="3191"/>
    </row>
    <row r="141" spans="1:25" ht="14.5" thickBot="1" x14ac:dyDescent="0.35">
      <c r="A141" s="3226"/>
      <c r="B141" s="3200" t="s">
        <v>538</v>
      </c>
      <c r="C141" s="1931" t="s">
        <v>15</v>
      </c>
      <c r="D141" s="1932">
        <v>1831.5</v>
      </c>
      <c r="E141" s="961" t="s">
        <v>500</v>
      </c>
      <c r="F141" s="1933"/>
      <c r="G141" s="1933"/>
      <c r="H141" s="1933"/>
      <c r="I141" s="1989">
        <v>650</v>
      </c>
      <c r="J141" s="943">
        <v>0.6</v>
      </c>
      <c r="K141" s="1935"/>
      <c r="L141" s="1935"/>
      <c r="M141" s="1935"/>
      <c r="N141" s="1989">
        <v>0</v>
      </c>
      <c r="O141" s="943">
        <v>0.6</v>
      </c>
      <c r="P141" s="1935">
        <f t="shared" si="13"/>
        <v>650</v>
      </c>
      <c r="Q141" s="937">
        <v>0.6</v>
      </c>
      <c r="R141" s="1990">
        <f t="shared" si="14"/>
        <v>390</v>
      </c>
      <c r="S141" s="916"/>
      <c r="T141" s="2621">
        <v>1831.5</v>
      </c>
      <c r="U141" s="3201">
        <f>+T146/P146</f>
        <v>0.84767484437934826</v>
      </c>
      <c r="V141" s="3267" t="s">
        <v>507</v>
      </c>
      <c r="W141" s="3178">
        <f>X141/P146</f>
        <v>0.51240937385573049</v>
      </c>
      <c r="X141" s="3195">
        <v>2798.78</v>
      </c>
      <c r="Y141" s="3195"/>
    </row>
    <row r="142" spans="1:25" ht="14.5" thickBot="1" x14ac:dyDescent="0.35">
      <c r="A142" s="3226"/>
      <c r="B142" s="3184"/>
      <c r="C142" s="1931" t="s">
        <v>47</v>
      </c>
      <c r="D142" s="1942">
        <v>1291.5</v>
      </c>
      <c r="E142" s="961" t="s">
        <v>500</v>
      </c>
      <c r="F142" s="1992"/>
      <c r="G142" s="1992"/>
      <c r="H142" s="1992"/>
      <c r="I142" s="1993">
        <v>1650</v>
      </c>
      <c r="J142" s="943"/>
      <c r="K142" s="1944"/>
      <c r="L142" s="1944"/>
      <c r="M142" s="1944"/>
      <c r="N142" s="1993">
        <v>0</v>
      </c>
      <c r="O142" s="943"/>
      <c r="P142" s="1935">
        <f t="shared" si="13"/>
        <v>1650</v>
      </c>
      <c r="Q142" s="959"/>
      <c r="R142" s="1994"/>
      <c r="S142" s="918"/>
      <c r="T142" s="2624">
        <v>1291.5</v>
      </c>
      <c r="U142" s="3202"/>
      <c r="V142" s="3268"/>
      <c r="W142" s="3167"/>
      <c r="X142" s="3190"/>
      <c r="Y142" s="3190"/>
    </row>
    <row r="143" spans="1:25" ht="14.5" thickBot="1" x14ac:dyDescent="0.35">
      <c r="A143" s="3226"/>
      <c r="B143" s="3184"/>
      <c r="C143" s="1931" t="s">
        <v>17</v>
      </c>
      <c r="D143" s="1942">
        <v>1425</v>
      </c>
      <c r="E143" s="961" t="s">
        <v>500</v>
      </c>
      <c r="F143" s="1992"/>
      <c r="G143" s="1992"/>
      <c r="H143" s="1992"/>
      <c r="I143" s="1993">
        <v>2850</v>
      </c>
      <c r="J143" s="943"/>
      <c r="K143" s="1944"/>
      <c r="L143" s="1944"/>
      <c r="M143" s="1944"/>
      <c r="N143" s="1993">
        <v>0</v>
      </c>
      <c r="O143" s="943"/>
      <c r="P143" s="1935">
        <f t="shared" si="13"/>
        <v>2850</v>
      </c>
      <c r="Q143" s="959"/>
      <c r="R143" s="1994"/>
      <c r="S143" s="918"/>
      <c r="T143" s="2624">
        <v>1425</v>
      </c>
      <c r="U143" s="3202"/>
      <c r="V143" s="3268"/>
      <c r="W143" s="3167"/>
      <c r="X143" s="3190"/>
      <c r="Y143" s="3190"/>
    </row>
    <row r="144" spans="1:25" ht="14.5" thickBot="1" x14ac:dyDescent="0.35">
      <c r="A144" s="3226"/>
      <c r="B144" s="3184"/>
      <c r="C144" s="1931" t="s">
        <v>48</v>
      </c>
      <c r="D144" s="1942">
        <v>0</v>
      </c>
      <c r="E144" s="961" t="s">
        <v>500</v>
      </c>
      <c r="F144" s="1992"/>
      <c r="G144" s="1992"/>
      <c r="H144" s="1992"/>
      <c r="I144" s="1993">
        <v>0</v>
      </c>
      <c r="J144" s="943"/>
      <c r="K144" s="1944"/>
      <c r="L144" s="1944"/>
      <c r="M144" s="1944"/>
      <c r="N144" s="1993">
        <v>0</v>
      </c>
      <c r="O144" s="943"/>
      <c r="P144" s="1935">
        <f t="shared" si="13"/>
        <v>0</v>
      </c>
      <c r="Q144" s="959"/>
      <c r="R144" s="1994"/>
      <c r="S144" s="918"/>
      <c r="T144" s="2624">
        <v>0</v>
      </c>
      <c r="U144" s="3202"/>
      <c r="V144" s="3268"/>
      <c r="W144" s="3167"/>
      <c r="X144" s="3190"/>
      <c r="Y144" s="3190"/>
    </row>
    <row r="145" spans="1:25" ht="26.5" thickBot="1" x14ac:dyDescent="0.35">
      <c r="A145" s="3226"/>
      <c r="B145" s="3184"/>
      <c r="C145" s="1931" t="s">
        <v>1374</v>
      </c>
      <c r="D145" s="1942">
        <v>82</v>
      </c>
      <c r="E145" s="961" t="s">
        <v>500</v>
      </c>
      <c r="F145" s="1992"/>
      <c r="G145" s="1992"/>
      <c r="H145" s="1992"/>
      <c r="I145" s="1993">
        <v>312</v>
      </c>
      <c r="J145" s="943"/>
      <c r="K145" s="1944"/>
      <c r="L145" s="1944"/>
      <c r="M145" s="1944"/>
      <c r="N145" s="1993">
        <v>0</v>
      </c>
      <c r="O145" s="943"/>
      <c r="P145" s="1935">
        <f t="shared" si="13"/>
        <v>312</v>
      </c>
      <c r="Q145" s="959"/>
      <c r="R145" s="1994"/>
      <c r="S145" s="918"/>
      <c r="T145" s="2624">
        <v>82</v>
      </c>
      <c r="U145" s="3202"/>
      <c r="V145" s="3268"/>
      <c r="W145" s="3167"/>
      <c r="X145" s="3190"/>
      <c r="Y145" s="3190"/>
    </row>
    <row r="146" spans="1:25" ht="14.5" thickBot="1" x14ac:dyDescent="0.35">
      <c r="A146" s="3226"/>
      <c r="B146" s="3185"/>
      <c r="C146" s="1937" t="s">
        <v>0</v>
      </c>
      <c r="D146" s="1995">
        <f>SUM(D141:D145)</f>
        <v>4630</v>
      </c>
      <c r="E146" s="961" t="s">
        <v>500</v>
      </c>
      <c r="F146" s="1992"/>
      <c r="G146" s="1992"/>
      <c r="H146" s="1992"/>
      <c r="I146" s="1996">
        <f>SUM(I141:I145)</f>
        <v>5462</v>
      </c>
      <c r="J146" s="943"/>
      <c r="K146" s="1944"/>
      <c r="L146" s="1944"/>
      <c r="M146" s="1944"/>
      <c r="N146" s="1996">
        <f>SUM(N141:N145)</f>
        <v>0</v>
      </c>
      <c r="O146" s="943"/>
      <c r="P146" s="1976">
        <f>SUM(P141:P145)</f>
        <v>5462</v>
      </c>
      <c r="Q146" s="959"/>
      <c r="R146" s="1994"/>
      <c r="S146" s="918"/>
      <c r="T146" s="2640">
        <f>SUM(T141:T145)</f>
        <v>4630</v>
      </c>
      <c r="U146" s="3203"/>
      <c r="V146" s="3269"/>
      <c r="W146" s="3168"/>
      <c r="X146" s="3191"/>
      <c r="Y146" s="3191"/>
    </row>
    <row r="147" spans="1:25" ht="14.5" thickBot="1" x14ac:dyDescent="0.35">
      <c r="A147" s="3226"/>
      <c r="B147" s="3287" t="s">
        <v>540</v>
      </c>
      <c r="C147" s="1931" t="s">
        <v>15</v>
      </c>
      <c r="D147" s="1942">
        <v>295</v>
      </c>
      <c r="E147" s="961" t="s">
        <v>500</v>
      </c>
      <c r="F147" s="1992"/>
      <c r="G147" s="1992"/>
      <c r="H147" s="1992"/>
      <c r="I147" s="1989">
        <v>240</v>
      </c>
      <c r="J147" s="943">
        <v>0.5</v>
      </c>
      <c r="K147" s="1944"/>
      <c r="L147" s="1944"/>
      <c r="M147" s="1944"/>
      <c r="N147" s="1989">
        <v>240</v>
      </c>
      <c r="O147" s="943">
        <v>0.5</v>
      </c>
      <c r="P147" s="1935">
        <f>+I147+N147</f>
        <v>480</v>
      </c>
      <c r="Q147" s="959">
        <v>0.5</v>
      </c>
      <c r="R147" s="1994">
        <f t="shared" si="14"/>
        <v>240</v>
      </c>
      <c r="S147" s="918"/>
      <c r="T147" s="2621">
        <v>295</v>
      </c>
      <c r="U147" s="3201">
        <f>+T152/P152</f>
        <v>0.5196524064171123</v>
      </c>
      <c r="V147" s="3208" t="s">
        <v>1586</v>
      </c>
      <c r="W147" s="3178">
        <f t="shared" ref="W147" si="17">X147/P152</f>
        <v>0.25267112299465239</v>
      </c>
      <c r="X147" s="3195">
        <v>1889.98</v>
      </c>
      <c r="Y147" s="3290"/>
    </row>
    <row r="148" spans="1:25" ht="14.5" thickBot="1" x14ac:dyDescent="0.35">
      <c r="A148" s="3229"/>
      <c r="B148" s="3288"/>
      <c r="C148" s="1931" t="s">
        <v>47</v>
      </c>
      <c r="D148" s="1997">
        <v>0</v>
      </c>
      <c r="E148" s="961" t="s">
        <v>500</v>
      </c>
      <c r="F148" s="1998"/>
      <c r="G148" s="1998"/>
      <c r="H148" s="1998"/>
      <c r="I148" s="1989">
        <v>0</v>
      </c>
      <c r="J148" s="943"/>
      <c r="K148" s="1999"/>
      <c r="L148" s="1999"/>
      <c r="M148" s="1999"/>
      <c r="N148" s="1989">
        <v>0</v>
      </c>
      <c r="O148" s="943"/>
      <c r="P148" s="1935">
        <f>+I148+N148</f>
        <v>0</v>
      </c>
      <c r="Q148" s="959"/>
      <c r="R148" s="2000"/>
      <c r="S148" s="932"/>
      <c r="T148" s="2621">
        <v>0</v>
      </c>
      <c r="U148" s="3202"/>
      <c r="V148" s="3206"/>
      <c r="W148" s="3167"/>
      <c r="X148" s="3190"/>
      <c r="Y148" s="3290"/>
    </row>
    <row r="149" spans="1:25" ht="14.5" thickBot="1" x14ac:dyDescent="0.35">
      <c r="A149" s="3229"/>
      <c r="B149" s="3288"/>
      <c r="C149" s="1931" t="s">
        <v>17</v>
      </c>
      <c r="D149" s="1997">
        <v>2660</v>
      </c>
      <c r="E149" s="961" t="s">
        <v>500</v>
      </c>
      <c r="F149" s="1998"/>
      <c r="G149" s="1998"/>
      <c r="H149" s="1998"/>
      <c r="I149" s="1989">
        <v>2000</v>
      </c>
      <c r="J149" s="943"/>
      <c r="K149" s="1999"/>
      <c r="L149" s="1999"/>
      <c r="M149" s="1999"/>
      <c r="N149" s="1989">
        <v>2000</v>
      </c>
      <c r="O149" s="943"/>
      <c r="P149" s="1935">
        <f>+I149+N149</f>
        <v>4000</v>
      </c>
      <c r="Q149" s="959"/>
      <c r="R149" s="2000"/>
      <c r="S149" s="932"/>
      <c r="T149" s="2621">
        <v>2660</v>
      </c>
      <c r="U149" s="3202"/>
      <c r="V149" s="3206"/>
      <c r="W149" s="3167"/>
      <c r="X149" s="3190"/>
      <c r="Y149" s="3290"/>
    </row>
    <row r="150" spans="1:25" ht="14.5" thickBot="1" x14ac:dyDescent="0.35">
      <c r="A150" s="3229"/>
      <c r="B150" s="3288"/>
      <c r="C150" s="1931" t="s">
        <v>48</v>
      </c>
      <c r="D150" s="1997">
        <v>560</v>
      </c>
      <c r="E150" s="961" t="s">
        <v>500</v>
      </c>
      <c r="F150" s="1998"/>
      <c r="G150" s="1998"/>
      <c r="H150" s="1998"/>
      <c r="I150" s="1989">
        <v>1500</v>
      </c>
      <c r="J150" s="943"/>
      <c r="K150" s="1999"/>
      <c r="L150" s="1999"/>
      <c r="M150" s="1999"/>
      <c r="N150" s="1989">
        <v>1500</v>
      </c>
      <c r="O150" s="943"/>
      <c r="P150" s="1935">
        <f>+I150+N150</f>
        <v>3000</v>
      </c>
      <c r="Q150" s="959"/>
      <c r="R150" s="2000"/>
      <c r="S150" s="932"/>
      <c r="T150" s="2621">
        <v>560</v>
      </c>
      <c r="U150" s="3202"/>
      <c r="V150" s="3206"/>
      <c r="W150" s="3167"/>
      <c r="X150" s="3190"/>
      <c r="Y150" s="3290"/>
    </row>
    <row r="151" spans="1:25" ht="26.5" thickBot="1" x14ac:dyDescent="0.35">
      <c r="A151" s="3229"/>
      <c r="B151" s="3288"/>
      <c r="C151" s="1931" t="s">
        <v>1374</v>
      </c>
      <c r="D151" s="1997">
        <v>372</v>
      </c>
      <c r="E151" s="961" t="s">
        <v>500</v>
      </c>
      <c r="F151" s="1998"/>
      <c r="G151" s="1998"/>
      <c r="H151" s="1998"/>
      <c r="I151" s="1989">
        <v>0</v>
      </c>
      <c r="J151" s="943"/>
      <c r="K151" s="1999"/>
      <c r="L151" s="1999"/>
      <c r="M151" s="1999"/>
      <c r="N151" s="1989">
        <v>0</v>
      </c>
      <c r="O151" s="943"/>
      <c r="P151" s="1935">
        <f>+I151+N151</f>
        <v>0</v>
      </c>
      <c r="Q151" s="959"/>
      <c r="R151" s="2000"/>
      <c r="S151" s="932"/>
      <c r="T151" s="2621">
        <v>372</v>
      </c>
      <c r="U151" s="3202"/>
      <c r="V151" s="3206"/>
      <c r="W151" s="3167"/>
      <c r="X151" s="3190"/>
      <c r="Y151" s="3290"/>
    </row>
    <row r="152" spans="1:25" ht="14.5" thickBot="1" x14ac:dyDescent="0.35">
      <c r="A152" s="3229"/>
      <c r="B152" s="3289"/>
      <c r="C152" s="1937" t="s">
        <v>0</v>
      </c>
      <c r="D152" s="2001">
        <f>SUM(D147:D151)</f>
        <v>3887</v>
      </c>
      <c r="E152" s="961" t="s">
        <v>500</v>
      </c>
      <c r="F152" s="1998"/>
      <c r="G152" s="1998"/>
      <c r="H152" s="1998"/>
      <c r="I152" s="1991">
        <f>SUM(I147:I151)</f>
        <v>3740</v>
      </c>
      <c r="J152" s="943"/>
      <c r="K152" s="1999"/>
      <c r="L152" s="1999"/>
      <c r="M152" s="1999"/>
      <c r="N152" s="1991">
        <f>SUM(N147:N151)</f>
        <v>3740</v>
      </c>
      <c r="O152" s="943"/>
      <c r="P152" s="1976">
        <f>SUM(P147:P151)</f>
        <v>7480</v>
      </c>
      <c r="Q152" s="959"/>
      <c r="R152" s="2000"/>
      <c r="S152" s="932"/>
      <c r="T152" s="2623">
        <f>SUM(T147:T151)</f>
        <v>3887</v>
      </c>
      <c r="U152" s="3223"/>
      <c r="V152" s="3224"/>
      <c r="W152" s="3168"/>
      <c r="X152" s="3196"/>
      <c r="Y152" s="3290"/>
    </row>
    <row r="153" spans="1:25" ht="14.5" thickBot="1" x14ac:dyDescent="0.35">
      <c r="A153" s="3230"/>
      <c r="B153" s="2002"/>
      <c r="C153" s="1950"/>
      <c r="D153" s="1951"/>
      <c r="E153" s="920" t="s">
        <v>0</v>
      </c>
      <c r="F153" s="920"/>
      <c r="G153" s="920"/>
      <c r="H153" s="920"/>
      <c r="I153" s="1650">
        <f>I128+I134+I140+I146+I152</f>
        <v>70503</v>
      </c>
      <c r="J153" s="1649"/>
      <c r="K153" s="921"/>
      <c r="L153" s="921"/>
      <c r="M153" s="921"/>
      <c r="N153" s="1650">
        <f>N128+N134+N140+N146+N152</f>
        <v>55614</v>
      </c>
      <c r="O153" s="966"/>
      <c r="P153" s="1650">
        <f>P128+P134+P140+P146+P152</f>
        <v>126117</v>
      </c>
      <c r="Q153" s="923"/>
      <c r="R153" s="924">
        <f>SUM(R123:R147)</f>
        <v>14800</v>
      </c>
      <c r="S153" s="924"/>
      <c r="T153" s="2641">
        <f>T128+T134+T140+T146+T152</f>
        <v>121680.48000000001</v>
      </c>
      <c r="U153" s="928">
        <f>+T153/P153</f>
        <v>0.96482218891981264</v>
      </c>
      <c r="V153" s="929"/>
      <c r="W153" s="2360">
        <f>X153/P153</f>
        <v>0.57932855998794763</v>
      </c>
      <c r="X153" s="933">
        <f>SUM(X123:X152)</f>
        <v>73063.179999999993</v>
      </c>
      <c r="Y153" s="960"/>
    </row>
    <row r="154" spans="1:25" ht="14.5" thickBot="1" x14ac:dyDescent="0.35">
      <c r="A154" s="3225" t="s">
        <v>541</v>
      </c>
      <c r="B154" s="3228" t="s">
        <v>542</v>
      </c>
      <c r="C154" s="1931" t="s">
        <v>15</v>
      </c>
      <c r="D154" s="1953">
        <v>0</v>
      </c>
      <c r="E154" s="961" t="s">
        <v>500</v>
      </c>
      <c r="F154" s="1954"/>
      <c r="G154" s="1954"/>
      <c r="H154" s="1954"/>
      <c r="I154" s="2003">
        <v>175</v>
      </c>
      <c r="J154" s="937">
        <v>0.6</v>
      </c>
      <c r="K154" s="1955"/>
      <c r="L154" s="1955"/>
      <c r="M154" s="1955"/>
      <c r="N154" s="2003">
        <v>0</v>
      </c>
      <c r="O154" s="937">
        <v>0.6</v>
      </c>
      <c r="P154" s="2003">
        <f>+I154+N154</f>
        <v>175</v>
      </c>
      <c r="Q154" s="937">
        <v>0.6</v>
      </c>
      <c r="R154" s="2004">
        <f>+P154*Q154</f>
        <v>105</v>
      </c>
      <c r="S154" s="927"/>
      <c r="T154" s="2642">
        <v>0</v>
      </c>
      <c r="U154" s="1900"/>
      <c r="V154" s="3205" t="s">
        <v>1587</v>
      </c>
      <c r="W154" s="3166">
        <f>X154/P156</f>
        <v>0</v>
      </c>
      <c r="X154" s="3189">
        <v>0</v>
      </c>
      <c r="Y154" s="3189"/>
    </row>
    <row r="155" spans="1:25" ht="14.5" thickBot="1" x14ac:dyDescent="0.35">
      <c r="A155" s="3226"/>
      <c r="B155" s="3193"/>
      <c r="C155" s="1931" t="s">
        <v>47</v>
      </c>
      <c r="D155" s="1953">
        <v>0</v>
      </c>
      <c r="E155" s="961" t="s">
        <v>500</v>
      </c>
      <c r="F155" s="1954"/>
      <c r="G155" s="1954"/>
      <c r="H155" s="1954"/>
      <c r="I155" s="2003">
        <v>900</v>
      </c>
      <c r="J155" s="937"/>
      <c r="K155" s="1955"/>
      <c r="L155" s="1955"/>
      <c r="M155" s="1955"/>
      <c r="N155" s="2003">
        <v>0</v>
      </c>
      <c r="O155" s="937"/>
      <c r="P155" s="2003">
        <f>+I155+N155</f>
        <v>900</v>
      </c>
      <c r="Q155" s="937"/>
      <c r="R155" s="2004"/>
      <c r="S155" s="927"/>
      <c r="T155" s="2642">
        <v>0</v>
      </c>
      <c r="U155" s="1900"/>
      <c r="V155" s="3206"/>
      <c r="W155" s="3167"/>
      <c r="X155" s="3190"/>
      <c r="Y155" s="3190"/>
    </row>
    <row r="156" spans="1:25" ht="20.149999999999999" customHeight="1" thickBot="1" x14ac:dyDescent="0.35">
      <c r="A156" s="3226"/>
      <c r="B156" s="3194"/>
      <c r="C156" s="1937" t="s">
        <v>0</v>
      </c>
      <c r="D156" s="1953">
        <f>SUM(D154:D155)</f>
        <v>0</v>
      </c>
      <c r="E156" s="961" t="s">
        <v>500</v>
      </c>
      <c r="F156" s="1954"/>
      <c r="G156" s="1954"/>
      <c r="H156" s="1954"/>
      <c r="I156" s="2005">
        <f>SUM(I154:I155)</f>
        <v>1075</v>
      </c>
      <c r="J156" s="937"/>
      <c r="K156" s="1955"/>
      <c r="L156" s="1955"/>
      <c r="M156" s="1955"/>
      <c r="N156" s="2005">
        <f>SUM(N154:N155)</f>
        <v>0</v>
      </c>
      <c r="O156" s="937"/>
      <c r="P156" s="2005">
        <f>SUM(P154:P155)</f>
        <v>1075</v>
      </c>
      <c r="Q156" s="937"/>
      <c r="R156" s="2004"/>
      <c r="S156" s="927"/>
      <c r="T156" s="2643">
        <f>SUM(T154:T155)</f>
        <v>0</v>
      </c>
      <c r="U156" s="1900">
        <f>T156/P156</f>
        <v>0</v>
      </c>
      <c r="V156" s="3207"/>
      <c r="W156" s="3168"/>
      <c r="X156" s="3191"/>
      <c r="Y156" s="3191"/>
    </row>
    <row r="157" spans="1:25" ht="14.5" thickBot="1" x14ac:dyDescent="0.35">
      <c r="A157" s="3226"/>
      <c r="B157" s="3192" t="s">
        <v>543</v>
      </c>
      <c r="C157" s="1931" t="s">
        <v>15</v>
      </c>
      <c r="D157" s="1932">
        <v>0</v>
      </c>
      <c r="E157" s="961" t="s">
        <v>500</v>
      </c>
      <c r="F157" s="915"/>
      <c r="G157" s="915"/>
      <c r="H157" s="915"/>
      <c r="I157" s="1989">
        <v>0</v>
      </c>
      <c r="J157" s="937">
        <v>0.6</v>
      </c>
      <c r="K157" s="1935"/>
      <c r="L157" s="1935"/>
      <c r="M157" s="1935"/>
      <c r="N157" s="1989">
        <v>370</v>
      </c>
      <c r="O157" s="937">
        <v>0.6</v>
      </c>
      <c r="P157" s="2003">
        <f t="shared" ref="P157:P168" si="18">+I157+N157</f>
        <v>370</v>
      </c>
      <c r="Q157" s="937">
        <v>0.6</v>
      </c>
      <c r="R157" s="2004">
        <f t="shared" ref="R157:R168" si="19">+P157*Q157</f>
        <v>222</v>
      </c>
      <c r="S157" s="916"/>
      <c r="T157" s="2644">
        <v>6836.45</v>
      </c>
      <c r="U157" s="1900"/>
      <c r="V157" s="3208" t="s">
        <v>1588</v>
      </c>
      <c r="W157" s="3178">
        <f>X157/P162</f>
        <v>1.205308775731311</v>
      </c>
      <c r="X157" s="3195">
        <v>8900</v>
      </c>
      <c r="Y157" s="3195"/>
    </row>
    <row r="158" spans="1:25" ht="14.5" thickBot="1" x14ac:dyDescent="0.35">
      <c r="A158" s="3226"/>
      <c r="B158" s="3193"/>
      <c r="C158" s="1931" t="s">
        <v>47</v>
      </c>
      <c r="D158" s="1932">
        <v>0</v>
      </c>
      <c r="E158" s="961" t="s">
        <v>500</v>
      </c>
      <c r="F158" s="915"/>
      <c r="G158" s="915"/>
      <c r="H158" s="915"/>
      <c r="I158" s="1989">
        <v>0</v>
      </c>
      <c r="J158" s="937"/>
      <c r="K158" s="1935"/>
      <c r="L158" s="1935"/>
      <c r="M158" s="1935"/>
      <c r="N158" s="1989">
        <v>4300</v>
      </c>
      <c r="O158" s="937"/>
      <c r="P158" s="2003">
        <f>+I158+N158</f>
        <v>4300</v>
      </c>
      <c r="Q158" s="937"/>
      <c r="R158" s="2004"/>
      <c r="S158" s="916"/>
      <c r="T158" s="2644">
        <v>4287.2</v>
      </c>
      <c r="U158" s="1900"/>
      <c r="V158" s="3206"/>
      <c r="W158" s="3167"/>
      <c r="X158" s="3190"/>
      <c r="Y158" s="3190"/>
    </row>
    <row r="159" spans="1:25" ht="14.5" thickBot="1" x14ac:dyDescent="0.35">
      <c r="A159" s="3226"/>
      <c r="B159" s="3193"/>
      <c r="C159" s="1931" t="s">
        <v>17</v>
      </c>
      <c r="D159" s="1932">
        <v>0</v>
      </c>
      <c r="E159" s="961" t="s">
        <v>500</v>
      </c>
      <c r="F159" s="915"/>
      <c r="G159" s="915"/>
      <c r="H159" s="915"/>
      <c r="I159" s="1989">
        <v>0</v>
      </c>
      <c r="J159" s="937"/>
      <c r="K159" s="1935"/>
      <c r="L159" s="1935"/>
      <c r="M159" s="1935"/>
      <c r="N159" s="1989">
        <v>2450</v>
      </c>
      <c r="O159" s="937"/>
      <c r="P159" s="2003">
        <f>+I159+N159</f>
        <v>2450</v>
      </c>
      <c r="Q159" s="937"/>
      <c r="R159" s="2004"/>
      <c r="S159" s="916"/>
      <c r="T159" s="2644">
        <v>3950</v>
      </c>
      <c r="U159" s="1900"/>
      <c r="V159" s="3206"/>
      <c r="W159" s="3167"/>
      <c r="X159" s="3190"/>
      <c r="Y159" s="3190"/>
    </row>
    <row r="160" spans="1:25" ht="14.5" thickBot="1" x14ac:dyDescent="0.35">
      <c r="A160" s="3226"/>
      <c r="B160" s="3193"/>
      <c r="C160" s="1931" t="s">
        <v>48</v>
      </c>
      <c r="D160" s="1932">
        <v>0</v>
      </c>
      <c r="E160" s="961" t="s">
        <v>500</v>
      </c>
      <c r="F160" s="915"/>
      <c r="G160" s="915"/>
      <c r="H160" s="915"/>
      <c r="I160" s="1989">
        <v>0</v>
      </c>
      <c r="J160" s="937"/>
      <c r="K160" s="1935"/>
      <c r="L160" s="1935"/>
      <c r="M160" s="1935"/>
      <c r="N160" s="1989">
        <v>0</v>
      </c>
      <c r="O160" s="937"/>
      <c r="P160" s="2003">
        <f>+I160+N160</f>
        <v>0</v>
      </c>
      <c r="Q160" s="937"/>
      <c r="R160" s="2004"/>
      <c r="S160" s="916"/>
      <c r="T160" s="2644">
        <v>0</v>
      </c>
      <c r="U160" s="1900"/>
      <c r="V160" s="3206"/>
      <c r="W160" s="3167"/>
      <c r="X160" s="3190"/>
      <c r="Y160" s="3190"/>
    </row>
    <row r="161" spans="1:26" ht="28.5" customHeight="1" thickBot="1" x14ac:dyDescent="0.35">
      <c r="A161" s="3226"/>
      <c r="B161" s="3193"/>
      <c r="C161" s="1931" t="s">
        <v>1374</v>
      </c>
      <c r="D161" s="1932">
        <v>0</v>
      </c>
      <c r="E161" s="961" t="s">
        <v>500</v>
      </c>
      <c r="F161" s="915"/>
      <c r="G161" s="915"/>
      <c r="H161" s="915"/>
      <c r="I161" s="1989">
        <v>0</v>
      </c>
      <c r="J161" s="937"/>
      <c r="K161" s="1935"/>
      <c r="L161" s="1935"/>
      <c r="M161" s="1935"/>
      <c r="N161" s="1989">
        <v>264</v>
      </c>
      <c r="O161" s="937"/>
      <c r="P161" s="2003">
        <f>+I161+N161</f>
        <v>264</v>
      </c>
      <c r="Q161" s="937"/>
      <c r="R161" s="2004"/>
      <c r="S161" s="916"/>
      <c r="T161" s="2644">
        <v>0</v>
      </c>
      <c r="U161" s="1900"/>
      <c r="V161" s="3206"/>
      <c r="W161" s="3167"/>
      <c r="X161" s="3190"/>
      <c r="Y161" s="3190"/>
    </row>
    <row r="162" spans="1:26" ht="18.75" customHeight="1" thickBot="1" x14ac:dyDescent="0.35">
      <c r="A162" s="3226"/>
      <c r="B162" s="3194"/>
      <c r="C162" s="1937" t="s">
        <v>0</v>
      </c>
      <c r="D162" s="1932">
        <f>SUM(D155:D161)</f>
        <v>0</v>
      </c>
      <c r="E162" s="961" t="s">
        <v>500</v>
      </c>
      <c r="F162" s="915"/>
      <c r="G162" s="915"/>
      <c r="H162" s="915"/>
      <c r="I162" s="1991">
        <f>SUM(I157:I161)</f>
        <v>0</v>
      </c>
      <c r="J162" s="937"/>
      <c r="K162" s="1935"/>
      <c r="L162" s="1935"/>
      <c r="M162" s="1935"/>
      <c r="N162" s="1991">
        <f>SUM(N157:N161)</f>
        <v>7384</v>
      </c>
      <c r="O162" s="937"/>
      <c r="P162" s="2005">
        <f>SUM(P157:P161)</f>
        <v>7384</v>
      </c>
      <c r="Q162" s="937"/>
      <c r="R162" s="2004"/>
      <c r="S162" s="916"/>
      <c r="T162" s="2645">
        <f>SUM(T157:T161)</f>
        <v>15073.65</v>
      </c>
      <c r="U162" s="1900">
        <f>T162/P162</f>
        <v>2.0413935536294692</v>
      </c>
      <c r="V162" s="3207"/>
      <c r="W162" s="3168"/>
      <c r="X162" s="3191"/>
      <c r="Y162" s="3191"/>
    </row>
    <row r="163" spans="1:26" ht="28.5" thickBot="1" x14ac:dyDescent="0.35">
      <c r="A163" s="3226"/>
      <c r="B163" s="1984" t="s">
        <v>544</v>
      </c>
      <c r="C163" s="1931" t="s">
        <v>15</v>
      </c>
      <c r="D163" s="1932">
        <v>0</v>
      </c>
      <c r="E163" s="961" t="s">
        <v>500</v>
      </c>
      <c r="F163" s="915"/>
      <c r="G163" s="915"/>
      <c r="H163" s="915"/>
      <c r="I163" s="1989">
        <v>0</v>
      </c>
      <c r="J163" s="937">
        <v>0.6</v>
      </c>
      <c r="K163" s="1935"/>
      <c r="L163" s="1935"/>
      <c r="M163" s="1935"/>
      <c r="N163" s="1989">
        <v>35000</v>
      </c>
      <c r="O163" s="937">
        <v>0.6</v>
      </c>
      <c r="P163" s="2003">
        <f t="shared" si="18"/>
        <v>35000</v>
      </c>
      <c r="Q163" s="937">
        <v>0.6</v>
      </c>
      <c r="R163" s="2004">
        <f t="shared" si="19"/>
        <v>21000</v>
      </c>
      <c r="S163" s="916"/>
      <c r="T163" s="2644">
        <v>29950</v>
      </c>
      <c r="U163" s="1900"/>
      <c r="V163" s="3208" t="s">
        <v>1589</v>
      </c>
      <c r="W163" s="3178">
        <f>X163/P164</f>
        <v>0.51428571428571423</v>
      </c>
      <c r="X163" s="3195">
        <v>18000</v>
      </c>
      <c r="Y163" s="3195"/>
    </row>
    <row r="164" spans="1:26" ht="27" customHeight="1" thickBot="1" x14ac:dyDescent="0.35">
      <c r="A164" s="3226"/>
      <c r="B164" s="1984"/>
      <c r="C164" s="1937" t="s">
        <v>0</v>
      </c>
      <c r="D164" s="1932">
        <f>SUM(D163)</f>
        <v>0</v>
      </c>
      <c r="E164" s="961" t="s">
        <v>500</v>
      </c>
      <c r="F164" s="915"/>
      <c r="G164" s="915"/>
      <c r="H164" s="915"/>
      <c r="I164" s="1989">
        <f>SUM(I163)</f>
        <v>0</v>
      </c>
      <c r="J164" s="937"/>
      <c r="K164" s="1935"/>
      <c r="L164" s="1935"/>
      <c r="M164" s="1935"/>
      <c r="N164" s="1991">
        <f>SUM(N163)</f>
        <v>35000</v>
      </c>
      <c r="O164" s="937"/>
      <c r="P164" s="2005">
        <f>SUM(P163)</f>
        <v>35000</v>
      </c>
      <c r="Q164" s="937"/>
      <c r="R164" s="2004"/>
      <c r="S164" s="916"/>
      <c r="T164" s="2645">
        <f>SUM(T163)</f>
        <v>29950</v>
      </c>
      <c r="U164" s="1900">
        <f>T164/P164</f>
        <v>0.85571428571428576</v>
      </c>
      <c r="V164" s="3207"/>
      <c r="W164" s="3168"/>
      <c r="X164" s="3191"/>
      <c r="Y164" s="3191"/>
    </row>
    <row r="165" spans="1:26" ht="46.5" customHeight="1" thickBot="1" x14ac:dyDescent="0.35">
      <c r="A165" s="3226"/>
      <c r="B165" s="3192" t="s">
        <v>545</v>
      </c>
      <c r="C165" s="1931" t="s">
        <v>15</v>
      </c>
      <c r="D165" s="1932">
        <v>0</v>
      </c>
      <c r="E165" s="961" t="s">
        <v>500</v>
      </c>
      <c r="F165" s="915"/>
      <c r="G165" s="915"/>
      <c r="H165" s="915"/>
      <c r="I165" s="1989">
        <v>0</v>
      </c>
      <c r="J165" s="937">
        <v>0.6</v>
      </c>
      <c r="K165" s="1935"/>
      <c r="L165" s="1935"/>
      <c r="M165" s="1935"/>
      <c r="N165" s="1989">
        <v>600</v>
      </c>
      <c r="O165" s="937">
        <v>0.6</v>
      </c>
      <c r="P165" s="2003">
        <f>+I165+N165</f>
        <v>600</v>
      </c>
      <c r="Q165" s="937">
        <v>0.6</v>
      </c>
      <c r="R165" s="2004">
        <f t="shared" si="19"/>
        <v>360</v>
      </c>
      <c r="S165" s="916"/>
      <c r="T165" s="2644">
        <v>1500</v>
      </c>
      <c r="U165" s="1900"/>
      <c r="V165" s="3208" t="s">
        <v>1590</v>
      </c>
      <c r="W165" s="3178">
        <f>X165/P167</f>
        <v>0.68181818181818177</v>
      </c>
      <c r="X165" s="3195">
        <v>4500</v>
      </c>
      <c r="Y165" s="3195"/>
    </row>
    <row r="166" spans="1:26" ht="19.5" customHeight="1" thickBot="1" x14ac:dyDescent="0.35">
      <c r="A166" s="3226"/>
      <c r="B166" s="3193"/>
      <c r="C166" s="1931" t="s">
        <v>47</v>
      </c>
      <c r="D166" s="1932">
        <v>0</v>
      </c>
      <c r="E166" s="961" t="s">
        <v>500</v>
      </c>
      <c r="F166" s="915"/>
      <c r="G166" s="915"/>
      <c r="H166" s="915"/>
      <c r="I166" s="1989">
        <v>0</v>
      </c>
      <c r="J166" s="937"/>
      <c r="K166" s="1935"/>
      <c r="L166" s="1935"/>
      <c r="M166" s="1935"/>
      <c r="N166" s="1989">
        <v>6000</v>
      </c>
      <c r="O166" s="937"/>
      <c r="P166" s="2003">
        <f>+I166+N166</f>
        <v>6000</v>
      </c>
      <c r="Q166" s="937"/>
      <c r="R166" s="2004"/>
      <c r="S166" s="916"/>
      <c r="T166" s="2644">
        <v>5855</v>
      </c>
      <c r="U166" s="1900"/>
      <c r="V166" s="3206"/>
      <c r="W166" s="3167"/>
      <c r="X166" s="3190"/>
      <c r="Y166" s="3190"/>
    </row>
    <row r="167" spans="1:26" ht="18" customHeight="1" thickBot="1" x14ac:dyDescent="0.35">
      <c r="A167" s="3226"/>
      <c r="B167" s="3194"/>
      <c r="C167" s="1937" t="s">
        <v>0</v>
      </c>
      <c r="D167" s="1932">
        <f>SUM(D165:D166)</f>
        <v>0</v>
      </c>
      <c r="E167" s="961" t="s">
        <v>500</v>
      </c>
      <c r="F167" s="915"/>
      <c r="G167" s="915"/>
      <c r="H167" s="915"/>
      <c r="I167" s="1989">
        <f>SUM(I165:I166)</f>
        <v>0</v>
      </c>
      <c r="J167" s="937"/>
      <c r="K167" s="1935"/>
      <c r="L167" s="1935"/>
      <c r="M167" s="1935"/>
      <c r="N167" s="1991">
        <f>SUM(N165:N166)</f>
        <v>6600</v>
      </c>
      <c r="O167" s="937"/>
      <c r="P167" s="2005">
        <f>SUM(P165:P166)</f>
        <v>6600</v>
      </c>
      <c r="Q167" s="937"/>
      <c r="R167" s="2004"/>
      <c r="S167" s="916"/>
      <c r="T167" s="2645">
        <f>SUM(T165:T166)</f>
        <v>7355</v>
      </c>
      <c r="U167" s="1900">
        <f>T167/P167</f>
        <v>1.1143939393939395</v>
      </c>
      <c r="V167" s="3207"/>
      <c r="W167" s="3168"/>
      <c r="X167" s="3191"/>
      <c r="Y167" s="3191"/>
    </row>
    <row r="168" spans="1:26" ht="52.5" customHeight="1" thickBot="1" x14ac:dyDescent="0.35">
      <c r="A168" s="3226"/>
      <c r="B168" s="3192" t="s">
        <v>546</v>
      </c>
      <c r="C168" s="1931" t="s">
        <v>15</v>
      </c>
      <c r="D168" s="1932">
        <v>0</v>
      </c>
      <c r="E168" s="961" t="s">
        <v>500</v>
      </c>
      <c r="F168" s="964"/>
      <c r="G168" s="964"/>
      <c r="H168" s="964"/>
      <c r="I168" s="1989">
        <v>0</v>
      </c>
      <c r="J168" s="937">
        <v>0.6</v>
      </c>
      <c r="K168" s="1935"/>
      <c r="L168" s="1935"/>
      <c r="M168" s="1935"/>
      <c r="N168" s="1989">
        <v>4640</v>
      </c>
      <c r="O168" s="937">
        <v>0.6</v>
      </c>
      <c r="P168" s="2003">
        <f t="shared" si="18"/>
        <v>4640</v>
      </c>
      <c r="Q168" s="937">
        <v>0.6</v>
      </c>
      <c r="R168" s="2004">
        <f t="shared" si="19"/>
        <v>2784</v>
      </c>
      <c r="S168" s="916"/>
      <c r="T168" s="2644">
        <v>3835</v>
      </c>
      <c r="U168" s="1900"/>
      <c r="V168" s="2006" t="s">
        <v>1591</v>
      </c>
      <c r="W168" s="3178">
        <f>X168/P169</f>
        <v>0.49568965517241381</v>
      </c>
      <c r="X168" s="3195">
        <v>2300</v>
      </c>
      <c r="Y168" s="3195"/>
    </row>
    <row r="169" spans="1:26" x14ac:dyDescent="0.3">
      <c r="A169" s="3226"/>
      <c r="B169" s="3194"/>
      <c r="C169" s="1937" t="s">
        <v>0</v>
      </c>
      <c r="D169" s="1932">
        <f>SUM(D168)</f>
        <v>0</v>
      </c>
      <c r="E169" s="961" t="s">
        <v>500</v>
      </c>
      <c r="F169" s="964"/>
      <c r="G169" s="964"/>
      <c r="H169" s="964"/>
      <c r="I169" s="1989">
        <f>SUM(I168)</f>
        <v>0</v>
      </c>
      <c r="J169" s="1935"/>
      <c r="K169" s="1935"/>
      <c r="L169" s="1935"/>
      <c r="M169" s="1935"/>
      <c r="N169" s="1991">
        <f>SUM(N168)</f>
        <v>4640</v>
      </c>
      <c r="O169" s="1940"/>
      <c r="P169" s="2005">
        <f>SUM(P168)</f>
        <v>4640</v>
      </c>
      <c r="Q169" s="914"/>
      <c r="R169" s="2004"/>
      <c r="S169" s="916"/>
      <c r="T169" s="2645">
        <f>SUM(T168)</f>
        <v>3835</v>
      </c>
      <c r="U169" s="1900">
        <f>T169/P169</f>
        <v>0.82650862068965514</v>
      </c>
      <c r="V169" s="963"/>
      <c r="W169" s="3168"/>
      <c r="X169" s="3191"/>
      <c r="Y169" s="3191"/>
    </row>
    <row r="170" spans="1:26" ht="39.75" customHeight="1" x14ac:dyDescent="0.3">
      <c r="A170" s="3227"/>
      <c r="B170" s="1984"/>
      <c r="C170" s="1985"/>
      <c r="D170" s="1932"/>
      <c r="E170" s="965" t="s">
        <v>0</v>
      </c>
      <c r="F170" s="965"/>
      <c r="G170" s="965"/>
      <c r="H170" s="965"/>
      <c r="I170" s="1661">
        <f>I156+I162+I164+I167+I169</f>
        <v>1075</v>
      </c>
      <c r="J170" s="967"/>
      <c r="K170" s="967"/>
      <c r="L170" s="967"/>
      <c r="M170" s="967"/>
      <c r="N170" s="1661">
        <f>N156+N162+N164+N167+N169</f>
        <v>53624</v>
      </c>
      <c r="O170" s="968"/>
      <c r="P170" s="1661">
        <f>P156+P162+P164+P167+P169</f>
        <v>54699</v>
      </c>
      <c r="Q170" s="969"/>
      <c r="R170" s="970">
        <f>SUM(R154:R169)</f>
        <v>24471</v>
      </c>
      <c r="S170" s="970"/>
      <c r="T170" s="2646">
        <f>T156+T162+T164+T167+T169</f>
        <v>56213.65</v>
      </c>
      <c r="U170" s="971">
        <f>+T170/P170</f>
        <v>1.0276906341980658</v>
      </c>
      <c r="V170" s="972"/>
      <c r="W170" s="2362">
        <f>X170/P170</f>
        <v>0.61609901460721406</v>
      </c>
      <c r="X170" s="991">
        <f>SUM(X154:X168)</f>
        <v>33700</v>
      </c>
      <c r="Y170" s="973"/>
    </row>
    <row r="171" spans="1:26" s="935" customFormat="1" x14ac:dyDescent="0.3">
      <c r="A171" s="3241" t="s">
        <v>547</v>
      </c>
      <c r="B171" s="3242"/>
      <c r="C171" s="1898"/>
      <c r="D171" s="2007"/>
      <c r="E171" s="974"/>
      <c r="F171" s="974"/>
      <c r="G171" s="974"/>
      <c r="H171" s="974"/>
      <c r="I171" s="1662">
        <f>+I153+I170</f>
        <v>71578</v>
      </c>
      <c r="J171" s="975"/>
      <c r="K171" s="975"/>
      <c r="L171" s="975"/>
      <c r="M171" s="975"/>
      <c r="N171" s="1662">
        <f t="shared" ref="N171:R171" si="20">+N153+N170</f>
        <v>109238</v>
      </c>
      <c r="O171" s="975"/>
      <c r="P171" s="1662">
        <f t="shared" si="20"/>
        <v>180816</v>
      </c>
      <c r="Q171" s="975"/>
      <c r="R171" s="975">
        <f t="shared" si="20"/>
        <v>39271</v>
      </c>
      <c r="S171" s="975"/>
      <c r="T171" s="2647">
        <f>+T153+T170</f>
        <v>177894.13</v>
      </c>
      <c r="U171" s="976">
        <f>+T171/P171</f>
        <v>0.9838406446332183</v>
      </c>
      <c r="V171" s="977"/>
      <c r="W171" s="2363">
        <f>X171/P171</f>
        <v>0.59045206176444553</v>
      </c>
      <c r="X171" s="977">
        <f>X170+X153</f>
        <v>106763.18</v>
      </c>
      <c r="Y171" s="977"/>
    </row>
    <row r="172" spans="1:26" s="980" customFormat="1" x14ac:dyDescent="0.3">
      <c r="A172" s="3243" t="s">
        <v>53</v>
      </c>
      <c r="B172" s="3244"/>
      <c r="C172" s="3245"/>
      <c r="D172" s="2008">
        <f>D17+D23+D29+D35+D42+D48+D54+D61+D66+D71+D77+D84+D90+D96+D102+D109+D115+D118+D128+D134+D140+D146+D152</f>
        <v>599022.6</v>
      </c>
      <c r="E172" s="978"/>
      <c r="F172" s="978"/>
      <c r="G172" s="978"/>
      <c r="H172" s="978"/>
      <c r="I172" s="1662">
        <f>+I121+I171</f>
        <v>391809</v>
      </c>
      <c r="J172" s="975"/>
      <c r="K172" s="975"/>
      <c r="L172" s="975"/>
      <c r="M172" s="975"/>
      <c r="N172" s="1662">
        <f t="shared" ref="N172:R172" si="21">+N121+N171</f>
        <v>408615</v>
      </c>
      <c r="O172" s="975"/>
      <c r="P172" s="1662">
        <f t="shared" si="21"/>
        <v>800424</v>
      </c>
      <c r="Q172" s="975"/>
      <c r="R172" s="975">
        <f t="shared" si="21"/>
        <v>81059.5</v>
      </c>
      <c r="S172" s="975"/>
      <c r="T172" s="2647">
        <f>+T121+T171</f>
        <v>791994.67999999993</v>
      </c>
      <c r="U172" s="976">
        <f>+T172/P172</f>
        <v>0.98946893146632275</v>
      </c>
      <c r="V172" s="979"/>
      <c r="W172" s="2365">
        <f>X172/P172</f>
        <v>0.40912556345137074</v>
      </c>
      <c r="X172" s="979">
        <f>X171+X121</f>
        <v>327473.91999999998</v>
      </c>
      <c r="Y172" s="979"/>
    </row>
    <row r="173" spans="1:26" s="2009" customFormat="1" ht="54" customHeight="1" x14ac:dyDescent="0.25">
      <c r="A173" s="3252" t="s">
        <v>85</v>
      </c>
      <c r="B173" s="3253"/>
      <c r="C173" s="3253"/>
      <c r="D173" s="3253"/>
      <c r="E173" s="3253"/>
      <c r="F173" s="3253"/>
      <c r="G173" s="3253"/>
      <c r="H173" s="3253"/>
      <c r="I173" s="3253"/>
      <c r="J173" s="3253"/>
      <c r="K173" s="3253"/>
      <c r="L173" s="3253"/>
      <c r="M173" s="3253"/>
      <c r="N173" s="3253"/>
      <c r="O173" s="3253"/>
      <c r="P173" s="3253"/>
      <c r="Q173" s="3253"/>
      <c r="R173" s="3253"/>
      <c r="S173" s="3253"/>
      <c r="T173" s="3253"/>
      <c r="U173" s="3253"/>
      <c r="V173" s="3253"/>
      <c r="W173" s="3253"/>
      <c r="X173" s="3253"/>
      <c r="Y173" s="3253"/>
    </row>
    <row r="174" spans="1:26" s="2009" customFormat="1" ht="16.5" customHeight="1" x14ac:dyDescent="0.25">
      <c r="A174" s="981" t="s">
        <v>54</v>
      </c>
      <c r="B174" s="982"/>
      <c r="C174" s="982"/>
      <c r="D174" s="2010"/>
      <c r="E174" s="983"/>
      <c r="F174" s="984"/>
      <c r="G174" s="984"/>
      <c r="H174" s="984"/>
      <c r="I174" s="1663"/>
      <c r="J174" s="984"/>
      <c r="K174" s="984"/>
      <c r="L174" s="984"/>
      <c r="M174" s="984"/>
      <c r="N174" s="1663"/>
      <c r="O174" s="986"/>
      <c r="P174" s="1663"/>
      <c r="Q174" s="987"/>
      <c r="R174" s="988"/>
      <c r="S174" s="984"/>
      <c r="T174" s="2648"/>
      <c r="U174" s="985"/>
      <c r="V174" s="984"/>
      <c r="W174" s="984"/>
      <c r="X174" s="984"/>
      <c r="Y174" s="984"/>
    </row>
    <row r="175" spans="1:26" s="935" customFormat="1" x14ac:dyDescent="0.3">
      <c r="A175" s="2011"/>
      <c r="B175" s="3254" t="s">
        <v>1375</v>
      </c>
      <c r="C175" s="3254"/>
      <c r="D175" s="3254"/>
      <c r="E175" s="3254"/>
      <c r="F175" s="3254"/>
      <c r="G175" s="3254"/>
      <c r="H175" s="3254"/>
      <c r="I175" s="3254"/>
      <c r="J175" s="3254"/>
      <c r="K175" s="3254"/>
      <c r="L175" s="3254"/>
      <c r="M175" s="3254"/>
      <c r="N175" s="3254"/>
      <c r="O175" s="3254"/>
      <c r="P175" s="3254"/>
      <c r="Q175" s="3254"/>
      <c r="R175" s="3254"/>
      <c r="S175" s="3254"/>
      <c r="T175" s="3254"/>
      <c r="U175" s="3254"/>
      <c r="V175" s="3254"/>
      <c r="W175" s="3254"/>
      <c r="X175" s="3254"/>
      <c r="Y175" s="3254"/>
      <c r="Z175" s="1664"/>
    </row>
    <row r="176" spans="1:26" s="935" customFormat="1" x14ac:dyDescent="0.3">
      <c r="A176" s="2011"/>
      <c r="B176" s="2012"/>
      <c r="C176" s="2013" t="s">
        <v>14</v>
      </c>
      <c r="D176" s="2014">
        <v>142599.45000000001</v>
      </c>
      <c r="E176" s="962" t="s">
        <v>500</v>
      </c>
      <c r="F176" s="2015"/>
      <c r="G176" s="2015"/>
      <c r="H176" s="2015"/>
      <c r="I176" s="1972">
        <v>79800</v>
      </c>
      <c r="J176" s="2016"/>
      <c r="K176" s="2016"/>
      <c r="L176" s="2016"/>
      <c r="M176" s="2016"/>
      <c r="N176" s="1972">
        <v>79800</v>
      </c>
      <c r="O176" s="2017"/>
      <c r="P176" s="1972">
        <f>+I176+N176</f>
        <v>159600</v>
      </c>
      <c r="Q176" s="2018"/>
      <c r="R176" s="2019"/>
      <c r="S176" s="2019"/>
      <c r="T176" s="2649">
        <v>173333.14</v>
      </c>
      <c r="U176" s="2020"/>
      <c r="V176" s="2021"/>
      <c r="W176" s="2021"/>
      <c r="X176" s="2021">
        <v>0</v>
      </c>
      <c r="Y176" s="2021"/>
    </row>
    <row r="177" spans="1:25" s="935" customFormat="1" x14ac:dyDescent="0.3">
      <c r="A177" s="2022"/>
      <c r="B177" s="2023"/>
      <c r="C177" s="1937" t="s">
        <v>0</v>
      </c>
      <c r="D177" s="2024">
        <f>SUM(D176)</f>
        <v>142599.45000000001</v>
      </c>
      <c r="E177" s="965" t="s">
        <v>0</v>
      </c>
      <c r="F177" s="965"/>
      <c r="G177" s="965"/>
      <c r="H177" s="965"/>
      <c r="I177" s="1661">
        <f>SUM(I176)</f>
        <v>79800</v>
      </c>
      <c r="J177" s="967"/>
      <c r="K177" s="967"/>
      <c r="L177" s="967"/>
      <c r="M177" s="967"/>
      <c r="N177" s="1661">
        <f>SUM(N176)</f>
        <v>79800</v>
      </c>
      <c r="O177" s="968"/>
      <c r="P177" s="1661">
        <f>SUM(P176)</f>
        <v>159600</v>
      </c>
      <c r="Q177" s="969"/>
      <c r="R177" s="970"/>
      <c r="S177" s="970"/>
      <c r="T177" s="2650">
        <f>SUM(T176)</f>
        <v>173333.14</v>
      </c>
      <c r="U177" s="990">
        <f>+T177/P177</f>
        <v>1.0860472431077695</v>
      </c>
      <c r="V177" s="2025" t="s">
        <v>1592</v>
      </c>
      <c r="W177" s="991"/>
      <c r="X177" s="991">
        <f>SUM(X176)</f>
        <v>0</v>
      </c>
      <c r="Y177" s="991"/>
    </row>
    <row r="178" spans="1:25" s="935" customFormat="1" ht="14.5" thickBot="1" x14ac:dyDescent="0.35">
      <c r="A178" s="3247" t="s">
        <v>55</v>
      </c>
      <c r="B178" s="3248"/>
      <c r="C178" s="3248"/>
      <c r="D178" s="3248"/>
      <c r="E178" s="3248"/>
      <c r="F178" s="3248"/>
      <c r="G178" s="3248"/>
      <c r="H178" s="3248"/>
      <c r="I178" s="3248"/>
      <c r="J178" s="3248"/>
      <c r="K178" s="3248"/>
      <c r="L178" s="3248"/>
      <c r="M178" s="3248"/>
      <c r="N178" s="3248"/>
      <c r="O178" s="3248"/>
      <c r="P178" s="3248"/>
      <c r="Q178" s="3248"/>
      <c r="R178" s="3248"/>
      <c r="S178" s="3248"/>
      <c r="T178" s="3248"/>
      <c r="U178" s="3248"/>
      <c r="V178" s="3248"/>
      <c r="W178" s="3248"/>
      <c r="X178" s="3248"/>
      <c r="Y178" s="3248"/>
    </row>
    <row r="179" spans="1:25" s="935" customFormat="1" x14ac:dyDescent="0.3">
      <c r="A179" s="2022"/>
      <c r="B179" s="2023"/>
      <c r="C179" s="1931" t="s">
        <v>15</v>
      </c>
      <c r="D179" s="2026">
        <v>11786.18</v>
      </c>
      <c r="E179" s="961" t="s">
        <v>500</v>
      </c>
      <c r="F179" s="2027"/>
      <c r="G179" s="2027"/>
      <c r="H179" s="2027"/>
      <c r="I179" s="1934">
        <v>6000</v>
      </c>
      <c r="J179" s="1957"/>
      <c r="K179" s="1957"/>
      <c r="L179" s="1957"/>
      <c r="M179" s="1957"/>
      <c r="N179" s="1934">
        <v>6000</v>
      </c>
      <c r="O179" s="2028"/>
      <c r="P179" s="1934">
        <f>+I179+N179</f>
        <v>12000</v>
      </c>
      <c r="Q179" s="2029"/>
      <c r="R179" s="2030"/>
      <c r="S179" s="2030"/>
      <c r="T179" s="2651">
        <v>13884.18</v>
      </c>
      <c r="U179" s="2031"/>
      <c r="V179" s="2011"/>
      <c r="W179" s="2011"/>
      <c r="X179" s="2011">
        <v>0</v>
      </c>
      <c r="Y179" s="2011"/>
    </row>
    <row r="180" spans="1:25" s="935" customFormat="1" ht="14.5" x14ac:dyDescent="0.3">
      <c r="A180" s="2022"/>
      <c r="B180" s="2023"/>
      <c r="C180" s="1937" t="s">
        <v>0</v>
      </c>
      <c r="D180" s="2024">
        <f>SUM(D179:D179)</f>
        <v>11786.18</v>
      </c>
      <c r="E180" s="965" t="s">
        <v>0</v>
      </c>
      <c r="F180" s="965"/>
      <c r="G180" s="965"/>
      <c r="H180" s="965"/>
      <c r="I180" s="1661">
        <v>6000</v>
      </c>
      <c r="J180" s="967"/>
      <c r="K180" s="967"/>
      <c r="L180" s="967"/>
      <c r="M180" s="967"/>
      <c r="N180" s="1661">
        <v>6000</v>
      </c>
      <c r="O180" s="968"/>
      <c r="P180" s="1661">
        <f>SUM(P179)</f>
        <v>12000</v>
      </c>
      <c r="Q180" s="969"/>
      <c r="R180" s="970"/>
      <c r="S180" s="970"/>
      <c r="T180" s="2652">
        <f>SUM(T179)</f>
        <v>13884.18</v>
      </c>
      <c r="U180" s="990">
        <f>+T180/P180</f>
        <v>1.1570150000000001</v>
      </c>
      <c r="V180" s="2025" t="s">
        <v>1593</v>
      </c>
      <c r="W180" s="991"/>
      <c r="X180" s="991">
        <f>SUM(X179)</f>
        <v>0</v>
      </c>
      <c r="Y180" s="991"/>
    </row>
    <row r="181" spans="1:25" s="935" customFormat="1" ht="14.5" thickBot="1" x14ac:dyDescent="0.35">
      <c r="A181" s="3247" t="s">
        <v>56</v>
      </c>
      <c r="B181" s="3248"/>
      <c r="C181" s="3248"/>
      <c r="D181" s="3248"/>
      <c r="E181" s="3248"/>
      <c r="F181" s="3248"/>
      <c r="G181" s="3248"/>
      <c r="H181" s="3248"/>
      <c r="I181" s="3248"/>
      <c r="J181" s="3248"/>
      <c r="K181" s="3248"/>
      <c r="L181" s="3248"/>
      <c r="M181" s="3248"/>
      <c r="N181" s="3248"/>
      <c r="O181" s="3248"/>
      <c r="P181" s="3248"/>
      <c r="Q181" s="3248"/>
      <c r="R181" s="3248"/>
      <c r="S181" s="3248"/>
      <c r="T181" s="3248"/>
      <c r="U181" s="3248"/>
      <c r="V181" s="3248"/>
      <c r="W181" s="3248"/>
      <c r="X181" s="3248"/>
      <c r="Y181" s="3249"/>
    </row>
    <row r="182" spans="1:25" s="935" customFormat="1" ht="14.5" thickBot="1" x14ac:dyDescent="0.35">
      <c r="A182" s="2022"/>
      <c r="B182" s="2023"/>
      <c r="C182" s="2032" t="s">
        <v>36</v>
      </c>
      <c r="D182" s="2026">
        <v>6983.39</v>
      </c>
      <c r="E182" s="961" t="s">
        <v>500</v>
      </c>
      <c r="F182" s="2027"/>
      <c r="G182" s="2027"/>
      <c r="H182" s="2027"/>
      <c r="I182" s="1934">
        <v>4000</v>
      </c>
      <c r="J182" s="1963"/>
      <c r="K182" s="1963"/>
      <c r="L182" s="1963"/>
      <c r="M182" s="1963"/>
      <c r="N182" s="1934">
        <v>0</v>
      </c>
      <c r="O182" s="2033"/>
      <c r="P182" s="1939">
        <f>+I182+N182</f>
        <v>4000</v>
      </c>
      <c r="Q182" s="2029"/>
      <c r="R182" s="2030"/>
      <c r="S182" s="2030"/>
      <c r="T182" s="2653">
        <v>6983.39</v>
      </c>
      <c r="U182" s="2031"/>
      <c r="V182" s="2011"/>
      <c r="W182" s="2011"/>
      <c r="X182" s="2011"/>
      <c r="Y182" s="2011"/>
    </row>
    <row r="183" spans="1:25" s="935" customFormat="1" x14ac:dyDescent="0.3">
      <c r="A183" s="2022"/>
      <c r="B183" s="2023"/>
      <c r="C183" s="1931" t="s">
        <v>15</v>
      </c>
      <c r="D183" s="2026">
        <v>304.38</v>
      </c>
      <c r="E183" s="961" t="s">
        <v>500</v>
      </c>
      <c r="F183" s="2027"/>
      <c r="G183" s="2027"/>
      <c r="H183" s="2027"/>
      <c r="I183" s="1939">
        <v>0</v>
      </c>
      <c r="J183" s="1963"/>
      <c r="K183" s="1963"/>
      <c r="L183" s="1963"/>
      <c r="M183" s="1963"/>
      <c r="N183" s="1934">
        <v>0</v>
      </c>
      <c r="O183" s="2033"/>
      <c r="P183" s="1939">
        <v>0</v>
      </c>
      <c r="Q183" s="2029"/>
      <c r="R183" s="2030"/>
      <c r="S183" s="2030"/>
      <c r="T183" s="2653">
        <v>304.38</v>
      </c>
      <c r="U183" s="2031"/>
      <c r="V183" s="2011"/>
      <c r="W183" s="2011"/>
      <c r="X183" s="2011"/>
      <c r="Y183" s="2011"/>
    </row>
    <row r="184" spans="1:25" s="935" customFormat="1" ht="42" x14ac:dyDescent="0.3">
      <c r="A184" s="2022"/>
      <c r="B184" s="2034"/>
      <c r="C184" s="2022"/>
      <c r="D184" s="2035">
        <f>SUM(D182:D183)</f>
        <v>7287.77</v>
      </c>
      <c r="E184" s="965" t="s">
        <v>0</v>
      </c>
      <c r="F184" s="965"/>
      <c r="G184" s="965"/>
      <c r="H184" s="965"/>
      <c r="I184" s="1661">
        <f>SUM(I182:I183)</f>
        <v>4000</v>
      </c>
      <c r="J184" s="967"/>
      <c r="K184" s="967"/>
      <c r="L184" s="967"/>
      <c r="M184" s="967"/>
      <c r="N184" s="1661">
        <f>SUM(N182:N183)</f>
        <v>0</v>
      </c>
      <c r="O184" s="968"/>
      <c r="P184" s="1661">
        <f>SUM(P182:P183)</f>
        <v>4000</v>
      </c>
      <c r="Q184" s="969"/>
      <c r="R184" s="970"/>
      <c r="S184" s="970"/>
      <c r="T184" s="2654">
        <f>SUM(T182:T183)</f>
        <v>7287.77</v>
      </c>
      <c r="U184" s="990">
        <f>+T184/P184</f>
        <v>1.8219425</v>
      </c>
      <c r="V184" s="2036" t="s">
        <v>1594</v>
      </c>
      <c r="W184" s="991"/>
      <c r="X184" s="991">
        <f>SUM(X182:X183)</f>
        <v>0</v>
      </c>
      <c r="Y184" s="991"/>
    </row>
    <row r="185" spans="1:25" s="935" customFormat="1" ht="14.5" thickBot="1" x14ac:dyDescent="0.35">
      <c r="A185" s="3247" t="s">
        <v>57</v>
      </c>
      <c r="B185" s="3248"/>
      <c r="C185" s="3248"/>
      <c r="D185" s="3248"/>
      <c r="E185" s="3248"/>
      <c r="F185" s="3248"/>
      <c r="G185" s="3248"/>
      <c r="H185" s="3248"/>
      <c r="I185" s="3248"/>
      <c r="J185" s="3248"/>
      <c r="K185" s="3248"/>
      <c r="L185" s="3248"/>
      <c r="M185" s="3248"/>
      <c r="N185" s="3248"/>
      <c r="O185" s="3248"/>
      <c r="P185" s="3248"/>
      <c r="Q185" s="3248"/>
      <c r="R185" s="3248"/>
      <c r="S185" s="3248"/>
      <c r="T185" s="3248"/>
      <c r="U185" s="3248"/>
      <c r="V185" s="3248"/>
      <c r="W185" s="3248"/>
      <c r="X185" s="3248"/>
      <c r="Y185" s="3249"/>
    </row>
    <row r="186" spans="1:25" s="935" customFormat="1" x14ac:dyDescent="0.3">
      <c r="A186" s="2022"/>
      <c r="B186" s="2023"/>
      <c r="C186" s="1931" t="s">
        <v>47</v>
      </c>
      <c r="D186" s="2026">
        <v>24611.63</v>
      </c>
      <c r="E186" s="961" t="s">
        <v>500</v>
      </c>
      <c r="F186" s="2027"/>
      <c r="G186" s="2027"/>
      <c r="H186" s="2027"/>
      <c r="I186" s="1939">
        <v>16800</v>
      </c>
      <c r="J186" s="1963"/>
      <c r="K186" s="1963"/>
      <c r="L186" s="1963"/>
      <c r="M186" s="1963"/>
      <c r="N186" s="1939">
        <v>16800</v>
      </c>
      <c r="O186" s="2033"/>
      <c r="P186" s="1939">
        <f>+I186+N186</f>
        <v>33600</v>
      </c>
      <c r="Q186" s="2029"/>
      <c r="R186" s="2030"/>
      <c r="S186" s="2030"/>
      <c r="T186" s="2655">
        <v>31676.63</v>
      </c>
      <c r="U186" s="2031"/>
      <c r="V186" s="2011"/>
      <c r="W186" s="2011"/>
      <c r="X186" s="2011"/>
      <c r="Y186" s="2011"/>
    </row>
    <row r="187" spans="1:25" s="935" customFormat="1" x14ac:dyDescent="0.3">
      <c r="A187" s="2022"/>
      <c r="B187" s="2034"/>
      <c r="C187" s="1937" t="s">
        <v>0</v>
      </c>
      <c r="D187" s="2035">
        <f>SUM(D186)</f>
        <v>24611.63</v>
      </c>
      <c r="E187" s="965" t="s">
        <v>0</v>
      </c>
      <c r="F187" s="965"/>
      <c r="G187" s="965"/>
      <c r="H187" s="965"/>
      <c r="I187" s="1661">
        <f>SUM(I186)</f>
        <v>16800</v>
      </c>
      <c r="J187" s="967"/>
      <c r="K187" s="967"/>
      <c r="L187" s="967"/>
      <c r="M187" s="967"/>
      <c r="N187" s="1661">
        <f>SUM(N186)</f>
        <v>16800</v>
      </c>
      <c r="O187" s="968"/>
      <c r="P187" s="1661">
        <f>SUM(P186)</f>
        <v>33600</v>
      </c>
      <c r="Q187" s="969"/>
      <c r="R187" s="970"/>
      <c r="S187" s="970"/>
      <c r="T187" s="2656">
        <f>SUM(T186)</f>
        <v>31676.63</v>
      </c>
      <c r="U187" s="990">
        <f>+T187/P187</f>
        <v>0.94275684523809522</v>
      </c>
      <c r="V187" s="2025" t="s">
        <v>507</v>
      </c>
      <c r="W187" s="991"/>
      <c r="X187" s="991">
        <f>SUM(X186)</f>
        <v>0</v>
      </c>
      <c r="Y187" s="991"/>
    </row>
    <row r="188" spans="1:25" s="935" customFormat="1" ht="14.5" thickBot="1" x14ac:dyDescent="0.35">
      <c r="A188" s="3247" t="s">
        <v>59</v>
      </c>
      <c r="B188" s="3248"/>
      <c r="C188" s="3248"/>
      <c r="D188" s="3248"/>
      <c r="E188" s="3248"/>
      <c r="F188" s="3248"/>
      <c r="G188" s="3248"/>
      <c r="H188" s="3248"/>
      <c r="I188" s="3248"/>
      <c r="J188" s="3248"/>
      <c r="K188" s="3248"/>
      <c r="L188" s="3248"/>
      <c r="M188" s="3248"/>
      <c r="N188" s="3248"/>
      <c r="O188" s="3248"/>
      <c r="P188" s="3248"/>
      <c r="Q188" s="3248"/>
      <c r="R188" s="3248"/>
      <c r="S188" s="3248"/>
      <c r="T188" s="3248"/>
      <c r="U188" s="3248"/>
      <c r="V188" s="3248"/>
      <c r="W188" s="3248"/>
      <c r="X188" s="3248"/>
      <c r="Y188" s="3249"/>
    </row>
    <row r="189" spans="1:25" s="935" customFormat="1" x14ac:dyDescent="0.3">
      <c r="A189" s="2022"/>
      <c r="B189" s="2023"/>
      <c r="C189" s="2037" t="s">
        <v>17</v>
      </c>
      <c r="D189" s="2038"/>
      <c r="E189" s="961" t="s">
        <v>500</v>
      </c>
      <c r="F189" s="2027"/>
      <c r="G189" s="2027"/>
      <c r="H189" s="2027"/>
      <c r="I189" s="1939">
        <v>888</v>
      </c>
      <c r="J189" s="1963"/>
      <c r="K189" s="1963"/>
      <c r="L189" s="1963"/>
      <c r="M189" s="1963"/>
      <c r="N189" s="1939">
        <v>888</v>
      </c>
      <c r="O189" s="2033"/>
      <c r="P189" s="1939">
        <f>+I189+N189</f>
        <v>1776</v>
      </c>
      <c r="Q189" s="2029"/>
      <c r="R189" s="2030"/>
      <c r="S189" s="2030"/>
      <c r="T189" s="2657">
        <v>0</v>
      </c>
      <c r="U189" s="2031"/>
      <c r="V189" s="2011"/>
      <c r="W189" s="2011"/>
      <c r="X189" s="2011"/>
      <c r="Y189" s="2011"/>
    </row>
    <row r="190" spans="1:25" s="935" customFormat="1" x14ac:dyDescent="0.3">
      <c r="A190" s="2022"/>
      <c r="B190" s="2034"/>
      <c r="C190" s="2022"/>
      <c r="D190" s="2035"/>
      <c r="E190" s="965" t="s">
        <v>0</v>
      </c>
      <c r="F190" s="965"/>
      <c r="G190" s="965"/>
      <c r="H190" s="965"/>
      <c r="I190" s="1661">
        <f>SUM(I189)</f>
        <v>888</v>
      </c>
      <c r="J190" s="967"/>
      <c r="K190" s="967"/>
      <c r="L190" s="967"/>
      <c r="M190" s="967"/>
      <c r="N190" s="1661">
        <f>SUM(N189)</f>
        <v>888</v>
      </c>
      <c r="O190" s="968"/>
      <c r="P190" s="1661">
        <f>SUM(P189)</f>
        <v>1776</v>
      </c>
      <c r="Q190" s="969"/>
      <c r="R190" s="970"/>
      <c r="S190" s="970"/>
      <c r="T190" s="2658">
        <f>SUM(T189)</f>
        <v>0</v>
      </c>
      <c r="U190" s="990">
        <f>+T190/P190</f>
        <v>0</v>
      </c>
      <c r="V190" s="2025" t="s">
        <v>1595</v>
      </c>
      <c r="W190" s="991"/>
      <c r="X190" s="991">
        <f>SUM(X189)</f>
        <v>0</v>
      </c>
      <c r="Y190" s="991"/>
    </row>
    <row r="191" spans="1:25" s="935" customFormat="1" x14ac:dyDescent="0.3">
      <c r="A191" s="3247" t="s">
        <v>60</v>
      </c>
      <c r="B191" s="3248"/>
      <c r="C191" s="3248"/>
      <c r="D191" s="3248"/>
      <c r="E191" s="3248"/>
      <c r="F191" s="3248"/>
      <c r="G191" s="3248"/>
      <c r="H191" s="3248"/>
      <c r="I191" s="3248"/>
      <c r="J191" s="3248"/>
      <c r="K191" s="3248"/>
      <c r="L191" s="3248"/>
      <c r="M191" s="3248"/>
      <c r="N191" s="3248"/>
      <c r="O191" s="3248"/>
      <c r="P191" s="3248"/>
      <c r="Q191" s="3248"/>
      <c r="R191" s="3248"/>
      <c r="S191" s="3248"/>
      <c r="T191" s="3248"/>
      <c r="U191" s="3248"/>
      <c r="V191" s="3248"/>
      <c r="W191" s="3248"/>
      <c r="X191" s="3248"/>
      <c r="Y191" s="3249"/>
    </row>
    <row r="192" spans="1:25" s="935" customFormat="1" x14ac:dyDescent="0.3">
      <c r="A192" s="2022"/>
      <c r="B192" s="2023"/>
      <c r="C192" s="2039"/>
      <c r="D192" s="2038"/>
      <c r="E192" s="2040"/>
      <c r="F192" s="2027"/>
      <c r="G192" s="2027"/>
      <c r="H192" s="2027"/>
      <c r="I192" s="1939"/>
      <c r="J192" s="1963"/>
      <c r="K192" s="1963"/>
      <c r="L192" s="1963"/>
      <c r="M192" s="1963"/>
      <c r="N192" s="1939"/>
      <c r="O192" s="2033"/>
      <c r="P192" s="1939"/>
      <c r="Q192" s="2029"/>
      <c r="R192" s="2030"/>
      <c r="S192" s="2030"/>
      <c r="T192" s="2657"/>
      <c r="U192" s="2031"/>
      <c r="V192" s="2011"/>
      <c r="W192" s="2011"/>
      <c r="X192" s="2011"/>
      <c r="Y192" s="2011"/>
    </row>
    <row r="193" spans="1:25" s="935" customFormat="1" x14ac:dyDescent="0.3">
      <c r="A193" s="2022"/>
      <c r="B193" s="2023"/>
      <c r="C193" s="2039"/>
      <c r="D193" s="2038"/>
      <c r="E193" s="2040"/>
      <c r="F193" s="2027"/>
      <c r="G193" s="2027"/>
      <c r="H193" s="2027"/>
      <c r="I193" s="1939"/>
      <c r="J193" s="1963"/>
      <c r="K193" s="1963"/>
      <c r="L193" s="1963"/>
      <c r="M193" s="1963"/>
      <c r="N193" s="1939"/>
      <c r="O193" s="2033"/>
      <c r="P193" s="1939"/>
      <c r="Q193" s="2029"/>
      <c r="R193" s="2030"/>
      <c r="S193" s="2030"/>
      <c r="T193" s="2657"/>
      <c r="U193" s="2031"/>
      <c r="V193" s="2011"/>
      <c r="W193" s="2011"/>
      <c r="X193" s="2011"/>
      <c r="Y193" s="2011"/>
    </row>
    <row r="194" spans="1:25" s="935" customFormat="1" x14ac:dyDescent="0.3">
      <c r="A194" s="2022"/>
      <c r="B194" s="2034"/>
      <c r="C194" s="2022"/>
      <c r="D194" s="2035"/>
      <c r="E194" s="965" t="s">
        <v>0</v>
      </c>
      <c r="F194" s="965"/>
      <c r="G194" s="965"/>
      <c r="H194" s="965"/>
      <c r="I194" s="1661">
        <v>0</v>
      </c>
      <c r="J194" s="967"/>
      <c r="K194" s="967"/>
      <c r="L194" s="967"/>
      <c r="M194" s="967"/>
      <c r="N194" s="1661">
        <v>0</v>
      </c>
      <c r="O194" s="968"/>
      <c r="P194" s="1661">
        <v>0</v>
      </c>
      <c r="Q194" s="969"/>
      <c r="R194" s="970"/>
      <c r="S194" s="970"/>
      <c r="T194" s="2658"/>
      <c r="U194" s="989"/>
      <c r="V194" s="991"/>
      <c r="W194" s="991"/>
      <c r="X194" s="991">
        <f>SUM(X192:X193)</f>
        <v>0</v>
      </c>
      <c r="Y194" s="991"/>
    </row>
    <row r="195" spans="1:25" s="935" customFormat="1" ht="14.5" thickBot="1" x14ac:dyDescent="0.35">
      <c r="A195" s="3247" t="s">
        <v>58</v>
      </c>
      <c r="B195" s="3248"/>
      <c r="C195" s="3248"/>
      <c r="D195" s="3248"/>
      <c r="E195" s="3248"/>
      <c r="F195" s="3248"/>
      <c r="G195" s="3248"/>
      <c r="H195" s="3248"/>
      <c r="I195" s="3248"/>
      <c r="J195" s="3248"/>
      <c r="K195" s="3248"/>
      <c r="L195" s="3248"/>
      <c r="M195" s="3248"/>
      <c r="N195" s="3248"/>
      <c r="O195" s="3248"/>
      <c r="P195" s="3248"/>
      <c r="Q195" s="3248"/>
      <c r="R195" s="3248"/>
      <c r="S195" s="3248"/>
      <c r="T195" s="3248"/>
      <c r="U195" s="3248"/>
      <c r="V195" s="3248"/>
      <c r="W195" s="3248"/>
      <c r="X195" s="3248"/>
      <c r="Y195" s="3249"/>
    </row>
    <row r="196" spans="1:25" s="935" customFormat="1" ht="26" x14ac:dyDescent="0.3">
      <c r="A196" s="2022"/>
      <c r="B196" s="2023"/>
      <c r="C196" s="2041" t="s">
        <v>1374</v>
      </c>
      <c r="D196" s="2026">
        <v>17509.830000000002</v>
      </c>
      <c r="E196" s="961" t="s">
        <v>500</v>
      </c>
      <c r="F196" s="2027"/>
      <c r="G196" s="2027"/>
      <c r="H196" s="2027"/>
      <c r="I196" s="1934">
        <v>15600</v>
      </c>
      <c r="J196" s="1957"/>
      <c r="K196" s="1957"/>
      <c r="L196" s="1957"/>
      <c r="M196" s="1957"/>
      <c r="N196" s="1934">
        <v>15056.1</v>
      </c>
      <c r="O196" s="2028"/>
      <c r="P196" s="1934">
        <f>+I196+N196</f>
        <v>30656.1</v>
      </c>
      <c r="Q196" s="2029"/>
      <c r="R196" s="2030"/>
      <c r="S196" s="2030"/>
      <c r="T196" s="2655">
        <v>23879.599999999999</v>
      </c>
      <c r="U196" s="2031"/>
      <c r="V196" s="2011"/>
      <c r="W196" s="2011"/>
      <c r="X196" s="2011"/>
      <c r="Y196" s="2011"/>
    </row>
    <row r="197" spans="1:25" s="935" customFormat="1" x14ac:dyDescent="0.3">
      <c r="A197" s="2022"/>
      <c r="B197" s="2023"/>
      <c r="C197" s="2039" t="s">
        <v>66</v>
      </c>
      <c r="D197" s="2024">
        <f>SUM(D196:D196)</f>
        <v>17509.830000000002</v>
      </c>
      <c r="E197" s="965" t="s">
        <v>0</v>
      </c>
      <c r="F197" s="965"/>
      <c r="G197" s="965"/>
      <c r="H197" s="965"/>
      <c r="I197" s="1661">
        <f>SUM(I196:I196)</f>
        <v>15600</v>
      </c>
      <c r="J197" s="967"/>
      <c r="K197" s="967"/>
      <c r="L197" s="967"/>
      <c r="M197" s="967"/>
      <c r="N197" s="1661">
        <f>SUM(N196:N196)</f>
        <v>15056.1</v>
      </c>
      <c r="O197" s="968"/>
      <c r="P197" s="1661">
        <f>SUM(P196:P196)</f>
        <v>30656.1</v>
      </c>
      <c r="Q197" s="969"/>
      <c r="R197" s="970"/>
      <c r="S197" s="970"/>
      <c r="T197" s="2659">
        <f>SUM(T196)</f>
        <v>23879.599999999999</v>
      </c>
      <c r="U197" s="990">
        <f>+T197/P197</f>
        <v>0.7789510081191019</v>
      </c>
      <c r="V197" s="2025"/>
      <c r="W197" s="991"/>
      <c r="X197" s="991">
        <f>SUM(X196)</f>
        <v>0</v>
      </c>
      <c r="Y197" s="991"/>
    </row>
    <row r="198" spans="1:25" s="992" customFormat="1" x14ac:dyDescent="0.3">
      <c r="A198" s="3241" t="s">
        <v>51</v>
      </c>
      <c r="B198" s="3242"/>
      <c r="C198" s="3246"/>
      <c r="D198" s="2042">
        <f>D177+D180+D184+D187+D197</f>
        <v>203794.86</v>
      </c>
      <c r="E198" s="974"/>
      <c r="F198" s="974"/>
      <c r="G198" s="974"/>
      <c r="H198" s="974"/>
      <c r="I198" s="1662">
        <f>+I177+I180+I184+I187+I190+I194+I197</f>
        <v>123088</v>
      </c>
      <c r="J198" s="975"/>
      <c r="K198" s="975"/>
      <c r="L198" s="975"/>
      <c r="M198" s="975"/>
      <c r="N198" s="1662">
        <f>+N177+N180+N184+N187+N190+N194+N197</f>
        <v>118544.1</v>
      </c>
      <c r="O198" s="975"/>
      <c r="P198" s="1662">
        <f>+P177+P180+P184+P187+P190+P194+P197</f>
        <v>241632.1</v>
      </c>
      <c r="Q198" s="975"/>
      <c r="R198" s="975"/>
      <c r="S198" s="975"/>
      <c r="T198" s="2647">
        <f>+T177+T180+T184+T187+T190+T194+T197</f>
        <v>250061.32</v>
      </c>
      <c r="U198" s="976">
        <f>+T198/P198</f>
        <v>1.0348845207238608</v>
      </c>
      <c r="V198" s="977"/>
      <c r="W198" s="977"/>
      <c r="X198" s="977">
        <f>X197+X194+X190+X187+X184+X180+X177</f>
        <v>0</v>
      </c>
      <c r="Y198" s="977"/>
    </row>
    <row r="199" spans="1:25" x14ac:dyDescent="0.3">
      <c r="A199" s="3231" t="s">
        <v>394</v>
      </c>
      <c r="B199" s="3232"/>
      <c r="C199" s="3233"/>
      <c r="D199" s="3237">
        <f>+D172+D198</f>
        <v>802817.46</v>
      </c>
      <c r="E199" s="3250" t="s">
        <v>50</v>
      </c>
      <c r="F199" s="993"/>
      <c r="G199" s="993"/>
      <c r="H199" s="993"/>
      <c r="I199" s="1665" t="s">
        <v>3</v>
      </c>
      <c r="J199" s="994"/>
      <c r="K199" s="994"/>
      <c r="L199" s="994"/>
      <c r="M199" s="994"/>
      <c r="N199" s="1665" t="s">
        <v>4</v>
      </c>
      <c r="O199" s="995"/>
      <c r="P199" s="2367">
        <f>P198+P172</f>
        <v>1042056.1</v>
      </c>
      <c r="Q199" s="996"/>
      <c r="R199" s="997"/>
      <c r="S199" s="998"/>
      <c r="T199" s="2660"/>
      <c r="U199" s="998"/>
      <c r="V199" s="998"/>
      <c r="W199" s="2368"/>
      <c r="X199" s="2366"/>
      <c r="Y199" s="998"/>
    </row>
    <row r="200" spans="1:25" x14ac:dyDescent="0.3">
      <c r="A200" s="3234"/>
      <c r="B200" s="3235"/>
      <c r="C200" s="3236"/>
      <c r="D200" s="3238"/>
      <c r="E200" s="3251"/>
      <c r="F200" s="993"/>
      <c r="G200" s="993"/>
      <c r="H200" s="993"/>
      <c r="I200" s="1666">
        <f>+I172+I198</f>
        <v>514897</v>
      </c>
      <c r="J200" s="994"/>
      <c r="K200" s="994"/>
      <c r="L200" s="994"/>
      <c r="M200" s="994"/>
      <c r="N200" s="1666">
        <f>+N172+N198</f>
        <v>527159.1</v>
      </c>
      <c r="O200" s="995"/>
      <c r="P200" s="1666">
        <f>+P172+P198</f>
        <v>1042056.1</v>
      </c>
      <c r="Q200" s="996"/>
      <c r="R200" s="997">
        <f>+R172+R198</f>
        <v>81059.5</v>
      </c>
      <c r="S200" s="998"/>
      <c r="T200" s="2661">
        <f>+T172+T198</f>
        <v>1042056</v>
      </c>
      <c r="U200" s="999">
        <f>+T200/P200</f>
        <v>0.9999999040358768</v>
      </c>
      <c r="V200" s="998"/>
      <c r="W200" s="2368">
        <f>X200/P200</f>
        <v>0.31425747615699384</v>
      </c>
      <c r="X200" s="2366">
        <f>X198+X172</f>
        <v>327473.91999999998</v>
      </c>
      <c r="Y200" s="998"/>
    </row>
    <row r="201" spans="1:25" ht="42" x14ac:dyDescent="0.3">
      <c r="A201" s="2043"/>
      <c r="B201" s="905"/>
      <c r="C201" s="1000" t="s">
        <v>393</v>
      </c>
      <c r="D201" s="2044">
        <v>56057.45</v>
      </c>
      <c r="E201" s="1001" t="s">
        <v>61</v>
      </c>
      <c r="F201" s="1001"/>
      <c r="G201" s="1001"/>
      <c r="H201" s="1001"/>
      <c r="I201" s="1667">
        <f>+I200*0.07</f>
        <v>36042.79</v>
      </c>
      <c r="J201" s="1002"/>
      <c r="K201" s="1002"/>
      <c r="L201" s="1002"/>
      <c r="M201" s="1002"/>
      <c r="N201" s="1667">
        <f>+N200*0.07</f>
        <v>36901.137000000002</v>
      </c>
      <c r="O201" s="1002"/>
      <c r="P201" s="1668">
        <f t="shared" ref="P201" si="22">+P200*0.07</f>
        <v>72943.927000000011</v>
      </c>
      <c r="Q201" s="1002"/>
      <c r="R201" s="1002"/>
      <c r="S201" s="1002"/>
      <c r="T201" s="2662">
        <v>72944</v>
      </c>
      <c r="U201" s="1003">
        <f>+T201/P201</f>
        <v>1.0000010007687137</v>
      </c>
      <c r="V201" s="2045" t="s">
        <v>507</v>
      </c>
      <c r="W201" s="1004"/>
      <c r="X201" s="1004">
        <f>X200*7/100</f>
        <v>22923.1744</v>
      </c>
      <c r="Y201" s="1004"/>
    </row>
    <row r="202" spans="1:25" x14ac:dyDescent="0.3">
      <c r="A202" s="3239"/>
      <c r="B202" s="3240"/>
      <c r="C202" s="3240"/>
      <c r="D202" s="2046">
        <f>SUM(D199:D201)</f>
        <v>858874.90999999992</v>
      </c>
      <c r="E202" s="1005" t="s">
        <v>26</v>
      </c>
      <c r="F202" s="1006"/>
      <c r="G202" s="1006"/>
      <c r="H202" s="1006"/>
      <c r="I202" s="1668">
        <f>SUM(I200:I201)</f>
        <v>550939.79</v>
      </c>
      <c r="J202" s="1007"/>
      <c r="K202" s="1007"/>
      <c r="L202" s="1007"/>
      <c r="M202" s="1007"/>
      <c r="N202" s="1668">
        <f>SUM(N200:N201)</f>
        <v>564060.23699999996</v>
      </c>
      <c r="O202" s="1008"/>
      <c r="P202" s="1668">
        <f>SUM(P200:P201)</f>
        <v>1115000.027</v>
      </c>
      <c r="Q202" s="1009"/>
      <c r="R202" s="1004">
        <f>SUM(R200:R201)</f>
        <v>81059.5</v>
      </c>
      <c r="S202" s="1004"/>
      <c r="T202" s="2663">
        <f>SUM(T200:T201)</f>
        <v>1115000</v>
      </c>
      <c r="U202" s="1003">
        <f>+T202/P202</f>
        <v>0.99999997578475397</v>
      </c>
      <c r="V202" s="1004"/>
      <c r="W202" s="2369">
        <f>X202/P202</f>
        <v>0.31425747615699384</v>
      </c>
      <c r="X202" s="1004">
        <f>SUM(X200:X201)</f>
        <v>350397.0944</v>
      </c>
      <c r="Y202" s="1004"/>
    </row>
    <row r="203" spans="1:25" x14ac:dyDescent="0.3">
      <c r="A203" s="935"/>
      <c r="S203" s="2047"/>
    </row>
    <row r="204" spans="1:25" x14ac:dyDescent="0.3">
      <c r="A204" s="1010" t="s">
        <v>5</v>
      </c>
      <c r="B204" s="1011"/>
      <c r="C204" s="1012"/>
      <c r="D204" s="2048"/>
      <c r="E204" s="1012"/>
      <c r="F204" s="1013"/>
      <c r="G204" s="935"/>
      <c r="H204" s="935"/>
      <c r="I204" s="1669"/>
      <c r="J204" s="935"/>
      <c r="K204" s="935"/>
      <c r="L204" s="935"/>
      <c r="M204" s="935"/>
    </row>
    <row r="205" spans="1:25" x14ac:dyDescent="0.3">
      <c r="A205" s="932" t="s">
        <v>27</v>
      </c>
      <c r="F205" s="1015"/>
      <c r="G205" s="935"/>
      <c r="H205" s="935"/>
      <c r="I205" s="1669"/>
      <c r="J205" s="935"/>
      <c r="K205" s="935"/>
      <c r="L205" s="935"/>
      <c r="M205" s="935"/>
    </row>
    <row r="206" spans="1:25" x14ac:dyDescent="0.3">
      <c r="A206" s="3217" t="s">
        <v>46</v>
      </c>
      <c r="B206" s="3218"/>
      <c r="C206" s="3218"/>
      <c r="D206" s="3218"/>
      <c r="E206" s="3218"/>
      <c r="F206" s="3219"/>
    </row>
    <row r="207" spans="1:25" x14ac:dyDescent="0.3">
      <c r="A207" s="932" t="s">
        <v>62</v>
      </c>
      <c r="E207" s="935"/>
      <c r="F207" s="1015"/>
    </row>
    <row r="208" spans="1:25" x14ac:dyDescent="0.3">
      <c r="A208" s="932"/>
      <c r="B208" s="1917" t="s">
        <v>33</v>
      </c>
      <c r="F208" s="1015"/>
    </row>
    <row r="209" spans="1:21" x14ac:dyDescent="0.3">
      <c r="A209" s="932"/>
      <c r="B209" s="1917" t="s">
        <v>34</v>
      </c>
      <c r="F209" s="1015"/>
      <c r="O209" s="905"/>
      <c r="Q209" s="905"/>
      <c r="R209" s="905"/>
      <c r="T209" s="2664"/>
      <c r="U209" s="905"/>
    </row>
    <row r="210" spans="1:21" x14ac:dyDescent="0.3">
      <c r="A210" s="3220" t="s">
        <v>63</v>
      </c>
      <c r="B210" s="3221"/>
      <c r="C210" s="3221"/>
      <c r="D210" s="3221"/>
      <c r="E210" s="3221"/>
      <c r="F210" s="3222"/>
      <c r="O210" s="905"/>
      <c r="Q210" s="905"/>
      <c r="R210" s="905"/>
      <c r="T210" s="2664"/>
      <c r="U210" s="905"/>
    </row>
    <row r="212" spans="1:21" x14ac:dyDescent="0.3">
      <c r="A212" s="1012" t="s">
        <v>49</v>
      </c>
      <c r="B212" s="2049"/>
      <c r="C212" s="1016"/>
      <c r="D212" s="2050"/>
      <c r="E212" s="1016"/>
      <c r="F212" s="1017"/>
      <c r="O212" s="905"/>
      <c r="Q212" s="905"/>
      <c r="R212" s="905"/>
      <c r="T212" s="2664"/>
      <c r="U212" s="905"/>
    </row>
    <row r="213" spans="1:21" x14ac:dyDescent="0.3">
      <c r="A213" s="905" t="s">
        <v>14</v>
      </c>
      <c r="F213" s="1015"/>
      <c r="O213" s="905"/>
      <c r="Q213" s="905"/>
      <c r="R213" s="905"/>
      <c r="T213" s="2664"/>
      <c r="U213" s="905"/>
    </row>
    <row r="214" spans="1:21" x14ac:dyDescent="0.3">
      <c r="A214" s="905" t="s">
        <v>15</v>
      </c>
      <c r="F214" s="1015"/>
      <c r="O214" s="905"/>
      <c r="Q214" s="905"/>
      <c r="R214" s="905"/>
      <c r="T214" s="2664"/>
      <c r="U214" s="905"/>
    </row>
    <row r="215" spans="1:21" x14ac:dyDescent="0.3">
      <c r="A215" s="905" t="s">
        <v>36</v>
      </c>
      <c r="F215" s="1015"/>
      <c r="O215" s="905"/>
      <c r="Q215" s="905"/>
      <c r="R215" s="905"/>
      <c r="T215" s="2664"/>
      <c r="U215" s="905"/>
    </row>
    <row r="216" spans="1:21" x14ac:dyDescent="0.3">
      <c r="A216" s="905" t="s">
        <v>47</v>
      </c>
      <c r="F216" s="1015"/>
      <c r="O216" s="905"/>
      <c r="Q216" s="905"/>
      <c r="R216" s="905"/>
      <c r="T216" s="2664"/>
      <c r="U216" s="905"/>
    </row>
    <row r="217" spans="1:21" x14ac:dyDescent="0.3">
      <c r="A217" s="905" t="s">
        <v>17</v>
      </c>
      <c r="F217" s="1015"/>
      <c r="O217" s="905"/>
      <c r="Q217" s="905"/>
      <c r="R217" s="905"/>
      <c r="T217" s="2664"/>
      <c r="U217" s="905"/>
    </row>
    <row r="218" spans="1:21" x14ac:dyDescent="0.3">
      <c r="A218" s="905" t="s">
        <v>48</v>
      </c>
      <c r="F218" s="1015"/>
      <c r="O218" s="905"/>
      <c r="Q218" s="905"/>
      <c r="R218" s="905"/>
      <c r="T218" s="2664"/>
      <c r="U218" s="905"/>
    </row>
    <row r="219" spans="1:21" x14ac:dyDescent="0.3">
      <c r="A219" s="1018" t="s">
        <v>19</v>
      </c>
      <c r="B219" s="2051"/>
      <c r="C219" s="1018"/>
      <c r="D219" s="2052"/>
      <c r="E219" s="1018"/>
      <c r="F219" s="1019"/>
      <c r="O219" s="905"/>
      <c r="Q219" s="905"/>
      <c r="R219" s="905"/>
      <c r="T219" s="2664"/>
      <c r="U219" s="905"/>
    </row>
  </sheetData>
  <mergeCells count="192">
    <mergeCell ref="W168:W169"/>
    <mergeCell ref="X168:X169"/>
    <mergeCell ref="Y168:Y169"/>
    <mergeCell ref="Y135:Y140"/>
    <mergeCell ref="Y141:Y146"/>
    <mergeCell ref="Y147:Y152"/>
    <mergeCell ref="V154:V156"/>
    <mergeCell ref="V157:V162"/>
    <mergeCell ref="V163:V164"/>
    <mergeCell ref="V165:V167"/>
    <mergeCell ref="W163:W164"/>
    <mergeCell ref="X163:X164"/>
    <mergeCell ref="Y163:Y164"/>
    <mergeCell ref="W165:W167"/>
    <mergeCell ref="V141:V146"/>
    <mergeCell ref="W141:W146"/>
    <mergeCell ref="X141:X146"/>
    <mergeCell ref="B147:B152"/>
    <mergeCell ref="X165:X167"/>
    <mergeCell ref="Y165:Y167"/>
    <mergeCell ref="U135:U140"/>
    <mergeCell ref="V135:V140"/>
    <mergeCell ref="W135:W140"/>
    <mergeCell ref="X135:X140"/>
    <mergeCell ref="B141:B146"/>
    <mergeCell ref="W154:W156"/>
    <mergeCell ref="X154:X156"/>
    <mergeCell ref="Y154:Y156"/>
    <mergeCell ref="W157:W162"/>
    <mergeCell ref="X157:X162"/>
    <mergeCell ref="Y157:Y162"/>
    <mergeCell ref="Y91:Y96"/>
    <mergeCell ref="Y97:Y102"/>
    <mergeCell ref="Y104:Y109"/>
    <mergeCell ref="Y110:Y115"/>
    <mergeCell ref="Y116:Y118"/>
    <mergeCell ref="A122:Y122"/>
    <mergeCell ref="Y123:Y128"/>
    <mergeCell ref="Y129:Y134"/>
    <mergeCell ref="X116:X118"/>
    <mergeCell ref="A121:B121"/>
    <mergeCell ref="X91:X96"/>
    <mergeCell ref="B97:B102"/>
    <mergeCell ref="U97:U102"/>
    <mergeCell ref="V97:V102"/>
    <mergeCell ref="W97:W102"/>
    <mergeCell ref="A104:A119"/>
    <mergeCell ref="B104:B109"/>
    <mergeCell ref="U104:U109"/>
    <mergeCell ref="V104:V109"/>
    <mergeCell ref="W104:W109"/>
    <mergeCell ref="X104:X109"/>
    <mergeCell ref="B110:B115"/>
    <mergeCell ref="U110:U115"/>
    <mergeCell ref="A79:A103"/>
    <mergeCell ref="Y37:Y42"/>
    <mergeCell ref="Y43:Y48"/>
    <mergeCell ref="Y49:Y54"/>
    <mergeCell ref="Y56:Y61"/>
    <mergeCell ref="Y62:Y66"/>
    <mergeCell ref="Y67:Y71"/>
    <mergeCell ref="Y72:Y77"/>
    <mergeCell ref="Y79:Y84"/>
    <mergeCell ref="Y85:Y90"/>
    <mergeCell ref="T8:Y8"/>
    <mergeCell ref="A10:Y10"/>
    <mergeCell ref="A11:Y11"/>
    <mergeCell ref="S12:S17"/>
    <mergeCell ref="Y12:Y17"/>
    <mergeCell ref="S18:S23"/>
    <mergeCell ref="Y18:Y23"/>
    <mergeCell ref="S24:S29"/>
    <mergeCell ref="Y24:Y29"/>
    <mergeCell ref="A12:A36"/>
    <mergeCell ref="V30:V35"/>
    <mergeCell ref="W30:W35"/>
    <mergeCell ref="X30:X35"/>
    <mergeCell ref="Y30:Y35"/>
    <mergeCell ref="B30:B35"/>
    <mergeCell ref="B12:B17"/>
    <mergeCell ref="U24:U29"/>
    <mergeCell ref="V24:V29"/>
    <mergeCell ref="W24:W29"/>
    <mergeCell ref="X24:X29"/>
    <mergeCell ref="B24:B29"/>
    <mergeCell ref="U30:U35"/>
    <mergeCell ref="A199:C200"/>
    <mergeCell ref="D199:D200"/>
    <mergeCell ref="A202:C202"/>
    <mergeCell ref="A171:B171"/>
    <mergeCell ref="A172:C172"/>
    <mergeCell ref="A198:C198"/>
    <mergeCell ref="A178:Y178"/>
    <mergeCell ref="A181:Y181"/>
    <mergeCell ref="A185:Y185"/>
    <mergeCell ref="A188:Y188"/>
    <mergeCell ref="A191:Y191"/>
    <mergeCell ref="A195:Y195"/>
    <mergeCell ref="E199:E200"/>
    <mergeCell ref="A173:Y173"/>
    <mergeCell ref="B175:Y175"/>
    <mergeCell ref="A206:F206"/>
    <mergeCell ref="A210:F210"/>
    <mergeCell ref="U141:U146"/>
    <mergeCell ref="U147:U152"/>
    <mergeCell ref="V147:V152"/>
    <mergeCell ref="W147:W152"/>
    <mergeCell ref="X147:X152"/>
    <mergeCell ref="A154:A170"/>
    <mergeCell ref="B154:B156"/>
    <mergeCell ref="B157:B162"/>
    <mergeCell ref="B165:B167"/>
    <mergeCell ref="B168:B169"/>
    <mergeCell ref="A123:A153"/>
    <mergeCell ref="B123:B128"/>
    <mergeCell ref="U123:U128"/>
    <mergeCell ref="V123:V128"/>
    <mergeCell ref="W123:W128"/>
    <mergeCell ref="X123:X128"/>
    <mergeCell ref="B129:B134"/>
    <mergeCell ref="U129:U134"/>
    <mergeCell ref="V129:V134"/>
    <mergeCell ref="W129:W134"/>
    <mergeCell ref="X129:X134"/>
    <mergeCell ref="B135:B140"/>
    <mergeCell ref="B79:B84"/>
    <mergeCell ref="U79:U84"/>
    <mergeCell ref="V79:V84"/>
    <mergeCell ref="W79:W84"/>
    <mergeCell ref="X79:X84"/>
    <mergeCell ref="B85:B90"/>
    <mergeCell ref="U85:U90"/>
    <mergeCell ref="V85:V90"/>
    <mergeCell ref="W85:W90"/>
    <mergeCell ref="X85:X90"/>
    <mergeCell ref="B72:B77"/>
    <mergeCell ref="U12:U17"/>
    <mergeCell ref="V12:V17"/>
    <mergeCell ref="W12:W17"/>
    <mergeCell ref="X12:X17"/>
    <mergeCell ref="U18:U23"/>
    <mergeCell ref="V18:V23"/>
    <mergeCell ref="W18:W23"/>
    <mergeCell ref="X18:X23"/>
    <mergeCell ref="B18:B23"/>
    <mergeCell ref="U62:U66"/>
    <mergeCell ref="V62:V66"/>
    <mergeCell ref="W62:W66"/>
    <mergeCell ref="X62:X66"/>
    <mergeCell ref="B67:B71"/>
    <mergeCell ref="W67:W71"/>
    <mergeCell ref="X67:X71"/>
    <mergeCell ref="A37:A55"/>
    <mergeCell ref="B37:B42"/>
    <mergeCell ref="U37:U42"/>
    <mergeCell ref="V37:V42"/>
    <mergeCell ref="W37:W42"/>
    <mergeCell ref="X37:X42"/>
    <mergeCell ref="B43:B48"/>
    <mergeCell ref="U43:U48"/>
    <mergeCell ref="V43:V48"/>
    <mergeCell ref="W43:W48"/>
    <mergeCell ref="X43:X48"/>
    <mergeCell ref="B49:B54"/>
    <mergeCell ref="U49:U54"/>
    <mergeCell ref="V49:V54"/>
    <mergeCell ref="W49:W54"/>
    <mergeCell ref="X49:X54"/>
    <mergeCell ref="V110:V115"/>
    <mergeCell ref="W110:W115"/>
    <mergeCell ref="X110:X115"/>
    <mergeCell ref="B116:B118"/>
    <mergeCell ref="U116:U118"/>
    <mergeCell ref="V116:V118"/>
    <mergeCell ref="W116:W118"/>
    <mergeCell ref="U72:U77"/>
    <mergeCell ref="A56:A78"/>
    <mergeCell ref="B56:B61"/>
    <mergeCell ref="U56:U61"/>
    <mergeCell ref="V56:V61"/>
    <mergeCell ref="W56:W61"/>
    <mergeCell ref="X56:X61"/>
    <mergeCell ref="B62:B66"/>
    <mergeCell ref="U67:U71"/>
    <mergeCell ref="X97:X102"/>
    <mergeCell ref="V72:V77"/>
    <mergeCell ref="W72:W77"/>
    <mergeCell ref="X72:X77"/>
    <mergeCell ref="B91:B96"/>
    <mergeCell ref="U91:U96"/>
    <mergeCell ref="V91:V96"/>
    <mergeCell ref="W91:W96"/>
  </mergeCells>
  <dataValidations count="1">
    <dataValidation type="list" allowBlank="1" showInputMessage="1" showErrorMessage="1" sqref="C12:D120 C192:D194 C123:D170 C179:D180 C182:D184 C186:D187 C176:D177 C189:D190 C196:D197 T12:T35 T37:T54 T56:T77 T79:T102 T104:T118 T123:T152 T182:T183 T186 T196" xr:uid="{D88611AB-0C69-4239-AB12-A621A538508F}">
      <formula1>categories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206"/>
  <sheetViews>
    <sheetView topLeftCell="C1" zoomScale="59" zoomScaleNormal="60" workbookViewId="0">
      <selection activeCell="T155" sqref="T155"/>
    </sheetView>
  </sheetViews>
  <sheetFormatPr baseColWidth="10" defaultColWidth="11.453125" defaultRowHeight="13" x14ac:dyDescent="0.3"/>
  <cols>
    <col min="1" max="1" width="5" style="1" customWidth="1"/>
    <col min="2" max="2" width="36.453125" style="1" customWidth="1"/>
    <col min="3" max="3" width="50.453125" style="1" customWidth="1"/>
    <col min="4" max="4" width="23.6328125" style="1" customWidth="1"/>
    <col min="5" max="5" width="14.7265625" style="1" hidden="1" customWidth="1"/>
    <col min="6" max="6" width="6.453125" style="1" hidden="1" customWidth="1"/>
    <col min="7" max="7" width="12.81640625" style="1" hidden="1" customWidth="1"/>
    <col min="8" max="8" width="9.54296875" style="1" hidden="1" customWidth="1"/>
    <col min="9" max="9" width="15.54296875" style="1" customWidth="1"/>
    <col min="10" max="10" width="8.81640625" style="1" customWidth="1"/>
    <col min="11" max="11" width="11.453125" style="1"/>
    <col min="12" max="12" width="12.54296875" style="1" customWidth="1"/>
    <col min="13" max="13" width="11.26953125" style="1" customWidth="1"/>
    <col min="14" max="14" width="14.26953125" style="1" customWidth="1"/>
    <col min="15" max="15" width="17" style="1" customWidth="1"/>
    <col min="16" max="16" width="17.90625" style="41" customWidth="1"/>
    <col min="17" max="17" width="17.453125" style="1" hidden="1" customWidth="1"/>
    <col min="18" max="18" width="19.54296875" style="1" hidden="1" customWidth="1"/>
    <col min="19" max="19" width="20.54296875" style="1" hidden="1" customWidth="1"/>
    <col min="20" max="20" width="16.54296875" style="2694" customWidth="1"/>
    <col min="21" max="21" width="16.453125" style="1" customWidth="1"/>
    <col min="22" max="22" width="73.7265625" style="1" bestFit="1" customWidth="1"/>
    <col min="23" max="23" width="16" style="1" customWidth="1"/>
    <col min="24" max="24" width="15" style="1" customWidth="1"/>
    <col min="25" max="25" width="42.1796875" style="1" customWidth="1"/>
    <col min="26" max="16384" width="11.453125" style="1"/>
  </cols>
  <sheetData>
    <row r="1" spans="1:26" ht="18" customHeight="1" x14ac:dyDescent="0.3">
      <c r="E1" s="41" t="s">
        <v>28</v>
      </c>
      <c r="F1" s="41"/>
      <c r="G1" s="41"/>
      <c r="H1" s="41"/>
    </row>
    <row r="2" spans="1:26" x14ac:dyDescent="0.3">
      <c r="B2" s="2237" t="s">
        <v>23</v>
      </c>
      <c r="C2" s="2238" t="s">
        <v>563</v>
      </c>
      <c r="D2" s="2239"/>
    </row>
    <row r="3" spans="1:26" x14ac:dyDescent="0.3">
      <c r="B3" s="2237" t="s">
        <v>24</v>
      </c>
      <c r="C3" s="275" t="s">
        <v>98</v>
      </c>
    </row>
    <row r="4" spans="1:26" ht="12.75" customHeight="1" x14ac:dyDescent="0.3">
      <c r="B4" s="2237" t="s">
        <v>21</v>
      </c>
      <c r="C4" s="275" t="s">
        <v>1617</v>
      </c>
      <c r="E4" s="2240"/>
      <c r="F4" s="2240"/>
      <c r="G4" s="2240"/>
      <c r="H4" s="2240"/>
      <c r="I4" s="2240"/>
      <c r="J4" s="2240"/>
      <c r="K4" s="2240"/>
      <c r="L4" s="2240"/>
      <c r="M4" s="2240"/>
      <c r="N4" s="2240"/>
      <c r="O4" s="2240"/>
      <c r="P4" s="2900"/>
      <c r="Q4" s="2240"/>
      <c r="R4" s="2240"/>
      <c r="S4" s="2240"/>
      <c r="T4" s="2695"/>
      <c r="U4" s="2240"/>
      <c r="V4" s="2240"/>
    </row>
    <row r="5" spans="1:26" ht="12.75" customHeight="1" x14ac:dyDescent="0.3">
      <c r="B5" s="2241" t="s">
        <v>195</v>
      </c>
      <c r="C5" s="1208">
        <f>P189</f>
        <v>726168.3</v>
      </c>
      <c r="E5" s="2240"/>
      <c r="F5" s="2240"/>
      <c r="G5" s="2240"/>
      <c r="H5" s="2240"/>
      <c r="I5" s="2240"/>
      <c r="J5" s="2240"/>
      <c r="K5" s="2240"/>
      <c r="L5" s="2240"/>
      <c r="M5" s="2240"/>
      <c r="N5" s="2240"/>
      <c r="O5" s="2240"/>
      <c r="P5" s="2900"/>
      <c r="Q5" s="2240"/>
      <c r="R5" s="2240"/>
      <c r="S5" s="2240"/>
      <c r="T5" s="2695"/>
      <c r="U5" s="2240"/>
      <c r="V5" s="2240"/>
    </row>
    <row r="6" spans="1:26" ht="26" x14ac:dyDescent="0.3">
      <c r="B6" s="2058" t="s">
        <v>564</v>
      </c>
      <c r="C6" s="1209">
        <f>C5*0.07</f>
        <v>50831.78100000001</v>
      </c>
      <c r="D6" s="2242"/>
      <c r="E6" s="2240"/>
      <c r="F6" s="2240"/>
      <c r="G6" s="2240"/>
      <c r="H6" s="2240"/>
      <c r="I6" s="2240"/>
      <c r="J6" s="2240"/>
      <c r="K6" s="2240"/>
      <c r="L6" s="2240"/>
      <c r="M6" s="2240"/>
      <c r="N6" s="2240"/>
      <c r="O6" s="2240"/>
      <c r="P6" s="2900"/>
      <c r="Q6" s="2240"/>
      <c r="R6" s="2240"/>
      <c r="S6" s="2240"/>
      <c r="T6" s="2695"/>
      <c r="U6" s="2240"/>
      <c r="V6" s="2240"/>
    </row>
    <row r="7" spans="1:26" ht="12.75" customHeight="1" x14ac:dyDescent="0.3">
      <c r="B7" s="41" t="s">
        <v>197</v>
      </c>
      <c r="C7" s="423">
        <f>C5+C6</f>
        <v>777000.08100000001</v>
      </c>
      <c r="D7" s="2242"/>
      <c r="E7" s="2240"/>
      <c r="F7" s="2240"/>
      <c r="G7" s="2240"/>
      <c r="H7" s="2240"/>
      <c r="I7" s="2240"/>
      <c r="J7" s="2240"/>
      <c r="K7" s="2240"/>
      <c r="L7" s="2240"/>
      <c r="M7" s="2240"/>
      <c r="N7" s="2240"/>
      <c r="O7" s="2240"/>
      <c r="P7" s="2900"/>
      <c r="Q7" s="2240"/>
      <c r="R7" s="2240"/>
      <c r="S7" s="2240"/>
      <c r="T7" s="2695"/>
      <c r="U7" s="2240"/>
      <c r="V7" s="2240"/>
    </row>
    <row r="8" spans="1:26" ht="32.25" customHeight="1" x14ac:dyDescent="0.75">
      <c r="D8" s="2243" t="s">
        <v>1618</v>
      </c>
    </row>
    <row r="9" spans="1:26" ht="27" customHeight="1" x14ac:dyDescent="0.3"/>
    <row r="10" spans="1:26" ht="51" customHeight="1" x14ac:dyDescent="0.3">
      <c r="B10" s="529" t="s">
        <v>9</v>
      </c>
      <c r="C10" s="529" t="s">
        <v>10</v>
      </c>
      <c r="D10" s="529" t="s">
        <v>45</v>
      </c>
      <c r="E10" s="529" t="s">
        <v>35</v>
      </c>
      <c r="F10" s="529" t="s">
        <v>6</v>
      </c>
      <c r="G10" s="529" t="s">
        <v>7</v>
      </c>
      <c r="H10" s="529" t="s">
        <v>8</v>
      </c>
      <c r="I10" s="530" t="s">
        <v>11</v>
      </c>
      <c r="J10" s="530" t="s">
        <v>565</v>
      </c>
      <c r="K10" s="529" t="s">
        <v>6</v>
      </c>
      <c r="L10" s="529" t="s">
        <v>7</v>
      </c>
      <c r="M10" s="529" t="s">
        <v>8</v>
      </c>
      <c r="N10" s="530" t="s">
        <v>12</v>
      </c>
      <c r="O10" s="530" t="s">
        <v>567</v>
      </c>
      <c r="P10" s="2942" t="s">
        <v>13</v>
      </c>
      <c r="Q10" s="530" t="s">
        <v>567</v>
      </c>
      <c r="R10" s="530" t="s">
        <v>566</v>
      </c>
      <c r="S10" s="531" t="s">
        <v>397</v>
      </c>
      <c r="T10" s="2696" t="s">
        <v>1619</v>
      </c>
      <c r="U10" s="2244" t="s">
        <v>1620</v>
      </c>
      <c r="V10" s="2244" t="s">
        <v>1621</v>
      </c>
      <c r="W10" s="2244" t="s">
        <v>82</v>
      </c>
      <c r="X10" s="2244" t="s">
        <v>399</v>
      </c>
      <c r="Y10" s="2244" t="s">
        <v>1130</v>
      </c>
    </row>
    <row r="11" spans="1:26" s="1210" customFormat="1" ht="12.75" customHeight="1" x14ac:dyDescent="0.25">
      <c r="B11" s="2056" t="s">
        <v>52</v>
      </c>
      <c r="C11" s="2057"/>
      <c r="D11" s="2057"/>
      <c r="E11" s="2057"/>
      <c r="F11" s="2057"/>
      <c r="G11" s="2057"/>
      <c r="H11" s="2057"/>
      <c r="I11" s="2057"/>
      <c r="J11" s="2057"/>
      <c r="K11" s="2057"/>
      <c r="L11" s="2057"/>
      <c r="M11" s="2057"/>
      <c r="N11" s="2057"/>
      <c r="O11" s="2057"/>
      <c r="P11" s="2599"/>
      <c r="Q11" s="2057"/>
      <c r="R11" s="2057"/>
      <c r="S11" s="2061"/>
      <c r="T11" s="2697"/>
      <c r="U11" s="2061"/>
      <c r="V11" s="2061"/>
      <c r="W11" s="2061"/>
      <c r="X11" s="2061"/>
      <c r="Y11" s="2061"/>
      <c r="Z11" s="2197"/>
    </row>
    <row r="12" spans="1:26" ht="30" customHeight="1" x14ac:dyDescent="0.3">
      <c r="B12" s="809" t="s">
        <v>568</v>
      </c>
      <c r="C12" s="810"/>
      <c r="D12" s="810"/>
      <c r="E12" s="810"/>
      <c r="F12" s="810"/>
      <c r="G12" s="810"/>
      <c r="H12" s="810"/>
      <c r="I12" s="810"/>
      <c r="J12" s="810"/>
      <c r="K12" s="810"/>
      <c r="L12" s="810"/>
      <c r="M12" s="810"/>
      <c r="N12" s="810"/>
      <c r="O12" s="810"/>
      <c r="P12" s="2943"/>
      <c r="Q12" s="810"/>
      <c r="R12" s="810"/>
      <c r="S12" s="1211"/>
      <c r="T12" s="2698"/>
      <c r="U12" s="1211"/>
      <c r="V12" s="1211"/>
      <c r="W12" s="1211"/>
      <c r="X12" s="1211"/>
      <c r="Y12" s="1211"/>
    </row>
    <row r="13" spans="1:26" ht="15" customHeight="1" x14ac:dyDescent="0.3">
      <c r="B13" s="811" t="s">
        <v>569</v>
      </c>
      <c r="C13" s="812"/>
      <c r="D13" s="812"/>
      <c r="E13" s="812"/>
      <c r="F13" s="812"/>
      <c r="G13" s="813"/>
      <c r="H13" s="813"/>
      <c r="I13" s="813"/>
      <c r="J13" s="814"/>
      <c r="K13" s="814"/>
      <c r="L13" s="814"/>
      <c r="M13" s="814"/>
      <c r="N13" s="814"/>
      <c r="O13" s="814"/>
      <c r="P13" s="2600"/>
      <c r="Q13" s="814"/>
      <c r="R13" s="814"/>
      <c r="S13" s="1212"/>
      <c r="T13" s="2699"/>
      <c r="U13" s="1212"/>
      <c r="V13" s="1212"/>
      <c r="W13" s="7"/>
      <c r="X13" s="7"/>
      <c r="Y13" s="7"/>
    </row>
    <row r="14" spans="1:26" ht="15.5" x14ac:dyDescent="0.3">
      <c r="B14" s="3291" t="s">
        <v>570</v>
      </c>
      <c r="C14" s="815" t="s">
        <v>571</v>
      </c>
      <c r="D14" s="816"/>
      <c r="E14" s="816"/>
      <c r="F14" s="816"/>
      <c r="G14" s="816"/>
      <c r="H14" s="816"/>
      <c r="I14" s="817"/>
      <c r="J14" s="816"/>
      <c r="K14" s="816"/>
      <c r="L14" s="816"/>
      <c r="M14" s="816"/>
      <c r="N14" s="817"/>
      <c r="O14" s="816"/>
      <c r="P14" s="561"/>
      <c r="Q14" s="818"/>
      <c r="R14" s="816"/>
      <c r="S14" s="1213"/>
      <c r="T14" s="2700"/>
      <c r="U14" s="1213"/>
      <c r="V14" s="1213"/>
      <c r="W14" s="7"/>
      <c r="X14" s="7"/>
      <c r="Y14" s="7"/>
    </row>
    <row r="15" spans="1:26" ht="52" x14ac:dyDescent="0.3">
      <c r="A15" s="1" t="s">
        <v>1387</v>
      </c>
      <c r="B15" s="3292"/>
      <c r="C15" s="1253" t="s">
        <v>572</v>
      </c>
      <c r="D15" s="1254" t="s">
        <v>15</v>
      </c>
      <c r="E15" s="1255" t="s">
        <v>563</v>
      </c>
      <c r="F15" s="265">
        <v>1</v>
      </c>
      <c r="G15" s="1256">
        <v>1000</v>
      </c>
      <c r="H15" s="265">
        <v>3</v>
      </c>
      <c r="I15" s="1257">
        <f>H15*G15*F15</f>
        <v>3000</v>
      </c>
      <c r="J15" s="2245">
        <v>0.3</v>
      </c>
      <c r="K15" s="265">
        <v>1</v>
      </c>
      <c r="L15" s="1256">
        <v>1000</v>
      </c>
      <c r="M15" s="1255">
        <v>2</v>
      </c>
      <c r="N15" s="2246">
        <f>M15*L15*K15-200</f>
        <v>1800</v>
      </c>
      <c r="O15" s="2245">
        <v>0.3</v>
      </c>
      <c r="P15" s="1416">
        <v>4800</v>
      </c>
      <c r="Q15" s="1259">
        <v>0.3</v>
      </c>
      <c r="R15" s="1260">
        <f>P15*Q15</f>
        <v>1440</v>
      </c>
      <c r="S15" s="1261"/>
      <c r="T15" s="2701">
        <v>4575</v>
      </c>
      <c r="U15" s="1262">
        <f>T15/P15</f>
        <v>0.953125</v>
      </c>
      <c r="V15" s="1261" t="s">
        <v>1380</v>
      </c>
      <c r="W15" s="1263">
        <f>X15/P15</f>
        <v>0.28593750000000001</v>
      </c>
      <c r="X15" s="1264">
        <f>T15*0.3</f>
        <v>1372.5</v>
      </c>
      <c r="Y15" s="3" t="s">
        <v>1120</v>
      </c>
    </row>
    <row r="16" spans="1:26" ht="14.5" customHeight="1" x14ac:dyDescent="0.3">
      <c r="B16" s="3292"/>
      <c r="C16" s="1265" t="s">
        <v>573</v>
      </c>
      <c r="D16" s="1266"/>
      <c r="E16" s="1267"/>
      <c r="F16" s="1268"/>
      <c r="G16" s="1269"/>
      <c r="H16" s="1268"/>
      <c r="I16" s="1270">
        <f>SUM(I15)</f>
        <v>3000</v>
      </c>
      <c r="J16" s="1271"/>
      <c r="K16" s="1272"/>
      <c r="L16" s="1272"/>
      <c r="M16" s="1272"/>
      <c r="N16" s="1273">
        <f>SUM(N15)</f>
        <v>1800</v>
      </c>
      <c r="O16" s="1274"/>
      <c r="P16" s="1318">
        <f>SUM(P15)</f>
        <v>4800</v>
      </c>
      <c r="Q16" s="1275"/>
      <c r="R16" s="1275">
        <f>SUM(R15:R15)</f>
        <v>1440</v>
      </c>
      <c r="S16" s="2247"/>
      <c r="T16" s="2702">
        <f>SUM(T15)</f>
        <v>4575</v>
      </c>
      <c r="U16" s="1276">
        <f>T16/P16</f>
        <v>0.953125</v>
      </c>
      <c r="V16" s="2247"/>
      <c r="W16" s="693">
        <f>X16/P16</f>
        <v>0.28593750000000001</v>
      </c>
      <c r="X16" s="2248">
        <f>X14+X15</f>
        <v>1372.5</v>
      </c>
      <c r="Y16" s="2247"/>
    </row>
    <row r="17" spans="1:25" ht="49.5" customHeight="1" x14ac:dyDescent="0.3">
      <c r="B17" s="3292"/>
      <c r="C17" s="1277" t="s">
        <v>574</v>
      </c>
      <c r="D17" s="816"/>
      <c r="E17" s="816"/>
      <c r="F17" s="816"/>
      <c r="G17" s="816"/>
      <c r="H17" s="816"/>
      <c r="I17" s="816"/>
      <c r="J17" s="816"/>
      <c r="K17" s="816"/>
      <c r="L17" s="816"/>
      <c r="M17" s="816"/>
      <c r="N17" s="816"/>
      <c r="O17" s="816"/>
      <c r="P17" s="2329"/>
      <c r="Q17" s="816"/>
      <c r="R17" s="816"/>
      <c r="S17" s="1278"/>
      <c r="T17" s="2700"/>
      <c r="U17" s="1278"/>
      <c r="V17" s="1278"/>
      <c r="W17" s="2356"/>
      <c r="X17" s="7"/>
      <c r="Y17" s="1263"/>
    </row>
    <row r="18" spans="1:25" ht="26" x14ac:dyDescent="0.3">
      <c r="A18" s="1" t="s">
        <v>1388</v>
      </c>
      <c r="B18" s="3292"/>
      <c r="C18" s="1253" t="s">
        <v>575</v>
      </c>
      <c r="D18" s="1254" t="s">
        <v>15</v>
      </c>
      <c r="E18" s="1255" t="s">
        <v>563</v>
      </c>
      <c r="F18" s="1255">
        <v>1</v>
      </c>
      <c r="G18" s="1293">
        <v>1000</v>
      </c>
      <c r="H18" s="1255">
        <v>2</v>
      </c>
      <c r="I18" s="1279">
        <f t="shared" ref="I18:I19" si="0">H18*G18*F18</f>
        <v>2000</v>
      </c>
      <c r="J18" s="2249"/>
      <c r="K18" s="1255">
        <v>1</v>
      </c>
      <c r="L18" s="1293">
        <v>300</v>
      </c>
      <c r="M18" s="1255">
        <v>1</v>
      </c>
      <c r="N18" s="1279">
        <f>M18*L18*K18</f>
        <v>300</v>
      </c>
      <c r="O18" s="2250">
        <v>0</v>
      </c>
      <c r="P18" s="2962">
        <f>N18+I18-500</f>
        <v>1800</v>
      </c>
      <c r="Q18" s="1280">
        <v>0</v>
      </c>
      <c r="R18" s="2250"/>
      <c r="S18" s="1262"/>
      <c r="T18" s="2701">
        <v>1400</v>
      </c>
      <c r="U18" s="1262">
        <f>T18/P18</f>
        <v>0.77777777777777779</v>
      </c>
      <c r="V18" s="1262" t="s">
        <v>1622</v>
      </c>
      <c r="W18" s="2356">
        <f t="shared" ref="W18:W43" si="1">X18/P18</f>
        <v>0</v>
      </c>
      <c r="X18" s="7"/>
      <c r="Y18" s="7"/>
    </row>
    <row r="19" spans="1:25" ht="26" x14ac:dyDescent="0.3">
      <c r="A19" s="1" t="s">
        <v>1389</v>
      </c>
      <c r="B19" s="3292"/>
      <c r="C19" s="1253" t="s">
        <v>576</v>
      </c>
      <c r="D19" s="1254" t="s">
        <v>577</v>
      </c>
      <c r="E19" s="1255" t="s">
        <v>563</v>
      </c>
      <c r="F19" s="1255">
        <v>1</v>
      </c>
      <c r="G19" s="1293">
        <v>7000</v>
      </c>
      <c r="H19" s="1255">
        <v>1</v>
      </c>
      <c r="I19" s="1279">
        <f t="shared" si="0"/>
        <v>7000</v>
      </c>
      <c r="J19" s="2245">
        <v>0.3</v>
      </c>
      <c r="K19" s="1255">
        <v>1</v>
      </c>
      <c r="L19" s="1293">
        <v>7000</v>
      </c>
      <c r="M19" s="1255">
        <v>1</v>
      </c>
      <c r="N19" s="1279">
        <f>M19*L19*K19</f>
        <v>7000</v>
      </c>
      <c r="O19" s="2245">
        <v>0.3</v>
      </c>
      <c r="P19" s="1416">
        <f>N19+I19</f>
        <v>14000</v>
      </c>
      <c r="Q19" s="1259">
        <v>0.3</v>
      </c>
      <c r="R19" s="1281">
        <f>P19*Q19</f>
        <v>4200</v>
      </c>
      <c r="S19" s="1262"/>
      <c r="T19" s="2701">
        <v>12450.5</v>
      </c>
      <c r="U19" s="1262">
        <f>T19/P19</f>
        <v>0.8893214285714286</v>
      </c>
      <c r="V19" s="1262" t="s">
        <v>1622</v>
      </c>
      <c r="W19" s="2356">
        <f t="shared" si="1"/>
        <v>0.26679642857142855</v>
      </c>
      <c r="X19" s="7">
        <f>T19*0.3</f>
        <v>3735.1499999999996</v>
      </c>
      <c r="Y19" s="7"/>
    </row>
    <row r="20" spans="1:25" ht="14.5" customHeight="1" x14ac:dyDescent="0.3">
      <c r="B20" s="3293"/>
      <c r="C20" s="1265" t="s">
        <v>573</v>
      </c>
      <c r="D20" s="1266"/>
      <c r="E20" s="1267"/>
      <c r="F20" s="1268"/>
      <c r="G20" s="1269"/>
      <c r="H20" s="1268"/>
      <c r="I20" s="1270">
        <f>SUM(I18:I19)</f>
        <v>9000</v>
      </c>
      <c r="J20" s="1271"/>
      <c r="K20" s="1272"/>
      <c r="L20" s="1272"/>
      <c r="M20" s="1272"/>
      <c r="N20" s="1273">
        <f>SUM(N18:N19)</f>
        <v>7300</v>
      </c>
      <c r="O20" s="1274"/>
      <c r="P20" s="1318">
        <f>SUM(P18:P19)</f>
        <v>15800</v>
      </c>
      <c r="Q20" s="1275"/>
      <c r="R20" s="1275">
        <f>SUM(R19)</f>
        <v>4200</v>
      </c>
      <c r="S20" s="2247"/>
      <c r="T20" s="2702">
        <f>SUM(T18:T19)</f>
        <v>13850.5</v>
      </c>
      <c r="U20" s="1276">
        <f>T20/P20</f>
        <v>0.87661392405063288</v>
      </c>
      <c r="V20" s="2247"/>
      <c r="W20" s="2247"/>
      <c r="X20" s="2370">
        <f>SUM(X17:X19)</f>
        <v>3735.1499999999996</v>
      </c>
      <c r="Y20" s="2247"/>
    </row>
    <row r="21" spans="1:25" ht="88.5" customHeight="1" x14ac:dyDescent="0.3">
      <c r="B21" s="3291" t="s">
        <v>578</v>
      </c>
      <c r="C21" s="815" t="s">
        <v>579</v>
      </c>
      <c r="D21" s="816"/>
      <c r="E21" s="816"/>
      <c r="F21" s="816"/>
      <c r="G21" s="816"/>
      <c r="H21" s="816"/>
      <c r="I21" s="817"/>
      <c r="J21" s="816"/>
      <c r="K21" s="816"/>
      <c r="L21" s="816"/>
      <c r="M21" s="816"/>
      <c r="N21" s="817"/>
      <c r="O21" s="816"/>
      <c r="P21" s="561"/>
      <c r="Q21" s="818"/>
      <c r="R21" s="816"/>
      <c r="S21" s="1278"/>
      <c r="T21" s="2700"/>
      <c r="U21" s="1278"/>
      <c r="V21" s="1278"/>
      <c r="W21" s="2356"/>
      <c r="X21" s="7"/>
      <c r="Y21" s="7"/>
    </row>
    <row r="22" spans="1:25" ht="13.9" customHeight="1" x14ac:dyDescent="0.3">
      <c r="A22" s="1282" t="s">
        <v>1390</v>
      </c>
      <c r="B22" s="3292"/>
      <c r="C22" s="2" t="s">
        <v>580</v>
      </c>
      <c r="D22" s="1283" t="s">
        <v>15</v>
      </c>
      <c r="E22" s="1255" t="s">
        <v>563</v>
      </c>
      <c r="F22" s="1284">
        <v>0</v>
      </c>
      <c r="G22" s="1285">
        <v>0</v>
      </c>
      <c r="H22" s="1284">
        <v>0</v>
      </c>
      <c r="I22" s="1286">
        <f>F22*G22*H22</f>
        <v>0</v>
      </c>
      <c r="J22" s="2245">
        <v>0.3</v>
      </c>
      <c r="K22" s="2252">
        <v>0</v>
      </c>
      <c r="L22" s="2252"/>
      <c r="M22" s="2252">
        <v>0</v>
      </c>
      <c r="N22" s="1287">
        <v>0</v>
      </c>
      <c r="O22" s="2253">
        <v>0</v>
      </c>
      <c r="P22" s="2963">
        <f>I22+N22</f>
        <v>0</v>
      </c>
      <c r="Q22" s="1288">
        <v>0</v>
      </c>
      <c r="R22" s="2253"/>
      <c r="S22" s="1262"/>
      <c r="T22" s="2701">
        <v>0</v>
      </c>
      <c r="U22" s="1262"/>
      <c r="V22" s="1262" t="s">
        <v>1381</v>
      </c>
      <c r="W22" s="2356"/>
      <c r="X22" s="7"/>
      <c r="Y22" s="7"/>
    </row>
    <row r="23" spans="1:25" ht="18.75" customHeight="1" x14ac:dyDescent="0.3">
      <c r="A23" s="1282" t="s">
        <v>1391</v>
      </c>
      <c r="B23" s="3292"/>
      <c r="C23" s="1289" t="s">
        <v>581</v>
      </c>
      <c r="D23" s="1290" t="s">
        <v>15</v>
      </c>
      <c r="E23" s="1255" t="s">
        <v>563</v>
      </c>
      <c r="F23" s="1255">
        <v>1</v>
      </c>
      <c r="G23" s="1285">
        <v>0</v>
      </c>
      <c r="H23" s="2254">
        <v>1</v>
      </c>
      <c r="I23" s="1291">
        <f>H23*G23*F23</f>
        <v>0</v>
      </c>
      <c r="J23" s="2245">
        <v>0.3</v>
      </c>
      <c r="K23" s="2252">
        <v>0</v>
      </c>
      <c r="L23" s="2252">
        <v>0</v>
      </c>
      <c r="M23" s="2252">
        <v>0</v>
      </c>
      <c r="N23" s="1287">
        <v>0</v>
      </c>
      <c r="O23" s="2252">
        <v>0</v>
      </c>
      <c r="P23" s="2963">
        <f>N23+I23</f>
        <v>0</v>
      </c>
      <c r="Q23" s="1287">
        <v>0</v>
      </c>
      <c r="R23" s="2252"/>
      <c r="S23" s="1262"/>
      <c r="T23" s="2701">
        <v>0</v>
      </c>
      <c r="U23" s="1262"/>
      <c r="V23" s="1262" t="s">
        <v>1381</v>
      </c>
      <c r="W23" s="2356"/>
      <c r="X23" s="7"/>
      <c r="Y23" s="7"/>
    </row>
    <row r="24" spans="1:25" ht="14.5" customHeight="1" x14ac:dyDescent="0.3">
      <c r="B24" s="3292"/>
      <c r="C24" s="1265" t="s">
        <v>573</v>
      </c>
      <c r="D24" s="1266"/>
      <c r="E24" s="1267"/>
      <c r="F24" s="1268"/>
      <c r="G24" s="1269"/>
      <c r="H24" s="1268"/>
      <c r="I24" s="1270">
        <f>SUM(I22:I23)</f>
        <v>0</v>
      </c>
      <c r="J24" s="1271"/>
      <c r="K24" s="1272"/>
      <c r="L24" s="1272"/>
      <c r="M24" s="1272"/>
      <c r="N24" s="1273">
        <f>SUM(N22:N23)</f>
        <v>0</v>
      </c>
      <c r="O24" s="1274"/>
      <c r="P24" s="1318">
        <f>SUM(P22:P23)</f>
        <v>0</v>
      </c>
      <c r="Q24" s="1275"/>
      <c r="R24" s="1274"/>
      <c r="S24" s="2247"/>
      <c r="T24" s="2702">
        <f>SUM(T22:T23)</f>
        <v>0</v>
      </c>
      <c r="U24" s="1276"/>
      <c r="V24" s="2247"/>
      <c r="W24" s="2247"/>
      <c r="X24" s="2251"/>
      <c r="Y24" s="2247"/>
    </row>
    <row r="25" spans="1:25" ht="13.9" customHeight="1" x14ac:dyDescent="0.3">
      <c r="B25" s="3292"/>
      <c r="C25" s="815" t="s">
        <v>582</v>
      </c>
      <c r="D25" s="816"/>
      <c r="E25" s="816"/>
      <c r="F25" s="816"/>
      <c r="G25" s="816"/>
      <c r="H25" s="816"/>
      <c r="I25" s="817"/>
      <c r="J25" s="816"/>
      <c r="K25" s="816"/>
      <c r="L25" s="816"/>
      <c r="M25" s="816"/>
      <c r="N25" s="817"/>
      <c r="O25" s="816"/>
      <c r="P25" s="561"/>
      <c r="Q25" s="818"/>
      <c r="R25" s="816"/>
      <c r="S25" s="1278"/>
      <c r="T25" s="2700"/>
      <c r="U25" s="1292"/>
      <c r="V25" s="1278"/>
      <c r="W25" s="2356"/>
      <c r="X25" s="7"/>
      <c r="Y25" s="7"/>
    </row>
    <row r="26" spans="1:25" ht="26" x14ac:dyDescent="0.3">
      <c r="A26" s="1282" t="s">
        <v>1392</v>
      </c>
      <c r="B26" s="3292"/>
      <c r="C26" s="1253" t="s">
        <v>583</v>
      </c>
      <c r="D26" s="1290" t="s">
        <v>15</v>
      </c>
      <c r="E26" s="1255" t="s">
        <v>563</v>
      </c>
      <c r="F26" s="1255">
        <v>1</v>
      </c>
      <c r="G26" s="1293">
        <v>15000</v>
      </c>
      <c r="H26" s="1301">
        <v>1</v>
      </c>
      <c r="I26" s="1291">
        <f>H26*G26*F26</f>
        <v>15000</v>
      </c>
      <c r="J26" s="2245">
        <v>0.3</v>
      </c>
      <c r="K26" s="1255">
        <v>0</v>
      </c>
      <c r="L26" s="1293">
        <v>0</v>
      </c>
      <c r="M26" s="1301">
        <v>2</v>
      </c>
      <c r="N26" s="1291">
        <f>M26*L26*K26</f>
        <v>0</v>
      </c>
      <c r="O26" s="2255">
        <v>0.3</v>
      </c>
      <c r="P26" s="1416">
        <f>N26+I26</f>
        <v>15000</v>
      </c>
      <c r="Q26" s="1259">
        <v>0.3</v>
      </c>
      <c r="R26" s="2252">
        <f>P26*Q26</f>
        <v>4500</v>
      </c>
      <c r="S26" s="1262"/>
      <c r="T26" s="2701">
        <v>16091</v>
      </c>
      <c r="U26" s="1294">
        <f>T26/P26</f>
        <v>1.0727333333333333</v>
      </c>
      <c r="V26" s="1262" t="s">
        <v>1121</v>
      </c>
      <c r="W26" s="2356">
        <f t="shared" si="1"/>
        <v>0.32181999999999999</v>
      </c>
      <c r="X26" s="1295">
        <f>T26*0.3</f>
        <v>4827.3</v>
      </c>
      <c r="Y26" s="7"/>
    </row>
    <row r="27" spans="1:25" ht="26" x14ac:dyDescent="0.3">
      <c r="A27" s="1282" t="s">
        <v>1393</v>
      </c>
      <c r="B27" s="3292"/>
      <c r="C27" s="1289" t="s">
        <v>584</v>
      </c>
      <c r="D27" s="1290" t="s">
        <v>15</v>
      </c>
      <c r="E27" s="1255" t="s">
        <v>563</v>
      </c>
      <c r="F27" s="1255">
        <v>0</v>
      </c>
      <c r="G27" s="1285">
        <v>0</v>
      </c>
      <c r="H27" s="2254">
        <v>2</v>
      </c>
      <c r="I27" s="1296">
        <f>H27*G27*F27</f>
        <v>0</v>
      </c>
      <c r="J27" s="2245">
        <v>0.3</v>
      </c>
      <c r="K27" s="2252">
        <v>0</v>
      </c>
      <c r="L27" s="2252">
        <v>0</v>
      </c>
      <c r="M27" s="2252">
        <v>0</v>
      </c>
      <c r="N27" s="1287">
        <v>0</v>
      </c>
      <c r="O27" s="2252">
        <v>0</v>
      </c>
      <c r="P27" s="1416">
        <f>N27+I27</f>
        <v>0</v>
      </c>
      <c r="Q27" s="1258">
        <v>0</v>
      </c>
      <c r="R27" s="2252"/>
      <c r="S27" s="1261"/>
      <c r="T27" s="2701">
        <v>0</v>
      </c>
      <c r="U27" s="1294"/>
      <c r="V27" s="1261"/>
      <c r="W27" s="2356"/>
      <c r="X27" s="7"/>
      <c r="Y27" s="7"/>
    </row>
    <row r="28" spans="1:25" ht="13.9" customHeight="1" x14ac:dyDescent="0.3">
      <c r="A28" s="1282" t="s">
        <v>1394</v>
      </c>
      <c r="B28" s="3292"/>
      <c r="C28" s="2" t="s">
        <v>585</v>
      </c>
      <c r="D28" s="1290" t="s">
        <v>15</v>
      </c>
      <c r="E28" s="1255" t="s">
        <v>563</v>
      </c>
      <c r="F28" s="1255">
        <v>1</v>
      </c>
      <c r="G28" s="1285">
        <v>0</v>
      </c>
      <c r="H28" s="2254">
        <v>1</v>
      </c>
      <c r="I28" s="1296">
        <f>H28*G28*F28</f>
        <v>0</v>
      </c>
      <c r="J28" s="2245">
        <v>0.3</v>
      </c>
      <c r="K28" s="2252">
        <v>0</v>
      </c>
      <c r="L28" s="2252">
        <v>0</v>
      </c>
      <c r="M28" s="2252">
        <v>0</v>
      </c>
      <c r="N28" s="1287">
        <v>0</v>
      </c>
      <c r="O28" s="2252">
        <v>0</v>
      </c>
      <c r="P28" s="1416">
        <f>N28+I28</f>
        <v>0</v>
      </c>
      <c r="Q28" s="1258">
        <v>0</v>
      </c>
      <c r="R28" s="2252"/>
      <c r="S28" s="1262"/>
      <c r="T28" s="2701">
        <v>0</v>
      </c>
      <c r="U28" s="1294"/>
      <c r="V28" s="1262"/>
      <c r="W28" s="2356"/>
      <c r="X28" s="7"/>
      <c r="Y28" s="7"/>
    </row>
    <row r="29" spans="1:25" ht="13.9" customHeight="1" x14ac:dyDescent="0.3">
      <c r="B29" s="3292"/>
      <c r="C29" s="1265" t="s">
        <v>573</v>
      </c>
      <c r="D29" s="1266"/>
      <c r="E29" s="1267"/>
      <c r="F29" s="1268"/>
      <c r="G29" s="1269"/>
      <c r="H29" s="1268"/>
      <c r="I29" s="1270">
        <f>SUM(I26:I28)</f>
        <v>15000</v>
      </c>
      <c r="J29" s="1271"/>
      <c r="K29" s="1272"/>
      <c r="L29" s="1272"/>
      <c r="M29" s="1272"/>
      <c r="N29" s="1273">
        <f>SUM(N26:N28)</f>
        <v>0</v>
      </c>
      <c r="O29" s="1274">
        <v>15</v>
      </c>
      <c r="P29" s="1318">
        <f>SUM(P26:P28)</f>
        <v>15000</v>
      </c>
      <c r="Q29" s="1275"/>
      <c r="R29" s="1274">
        <f>N29*O29/100+SUM(R25:R28)</f>
        <v>4500</v>
      </c>
      <c r="S29" s="1276"/>
      <c r="T29" s="2702">
        <f>SUM(T26:T28)</f>
        <v>16091</v>
      </c>
      <c r="U29" s="1297">
        <f>T29/P29</f>
        <v>1.0727333333333333</v>
      </c>
      <c r="V29" s="1276"/>
      <c r="W29" s="693">
        <f t="shared" si="1"/>
        <v>0.32181999999999999</v>
      </c>
      <c r="X29" s="2371">
        <f>SUM(X25:X28)</f>
        <v>4827.3</v>
      </c>
      <c r="Y29" s="1276"/>
    </row>
    <row r="30" spans="1:25" ht="15.65" customHeight="1" x14ac:dyDescent="0.3">
      <c r="B30" s="3292"/>
      <c r="C30" s="815" t="s">
        <v>586</v>
      </c>
      <c r="D30" s="816"/>
      <c r="E30" s="816"/>
      <c r="F30" s="816"/>
      <c r="G30" s="816"/>
      <c r="H30" s="816"/>
      <c r="I30" s="817"/>
      <c r="J30" s="532"/>
      <c r="K30" s="532"/>
      <c r="L30" s="532"/>
      <c r="M30" s="532"/>
      <c r="N30" s="817"/>
      <c r="O30" s="532"/>
      <c r="P30" s="561"/>
      <c r="Q30" s="817"/>
      <c r="R30" s="532"/>
      <c r="S30" s="1278"/>
      <c r="T30" s="2703"/>
      <c r="U30" s="1292"/>
      <c r="V30" s="1278"/>
      <c r="W30" s="2356"/>
      <c r="X30" s="7"/>
      <c r="Y30" s="7"/>
    </row>
    <row r="31" spans="1:25" ht="28.5" customHeight="1" x14ac:dyDescent="0.3">
      <c r="A31" s="1282" t="s">
        <v>1395</v>
      </c>
      <c r="B31" s="3292"/>
      <c r="C31" s="1298" t="s">
        <v>587</v>
      </c>
      <c r="D31" s="2256" t="s">
        <v>15</v>
      </c>
      <c r="E31" s="1299" t="s">
        <v>563</v>
      </c>
      <c r="F31" s="1255">
        <v>1</v>
      </c>
      <c r="G31" s="1293">
        <v>4480</v>
      </c>
      <c r="H31" s="1255">
        <v>1</v>
      </c>
      <c r="I31" s="1300">
        <f>F31*G31*H31</f>
        <v>4480</v>
      </c>
      <c r="J31" s="2257"/>
      <c r="K31" s="1301">
        <v>0</v>
      </c>
      <c r="L31" s="1293">
        <v>0</v>
      </c>
      <c r="M31" s="1301">
        <v>0</v>
      </c>
      <c r="N31" s="1300">
        <f>K31*L31*M31</f>
        <v>0</v>
      </c>
      <c r="O31" s="1302"/>
      <c r="P31" s="2962">
        <f>N31+I31-2000</f>
        <v>2480</v>
      </c>
      <c r="Q31" s="1279"/>
      <c r="R31" s="2258"/>
      <c r="S31" s="1262"/>
      <c r="T31" s="2701">
        <v>1488.13</v>
      </c>
      <c r="U31" s="1294">
        <f t="shared" ref="U31:U35" si="2">T31/P31</f>
        <v>0.60005241935483877</v>
      </c>
      <c r="V31" s="1262" t="s">
        <v>589</v>
      </c>
      <c r="W31" s="2356">
        <f t="shared" si="1"/>
        <v>0</v>
      </c>
      <c r="X31" s="1303"/>
      <c r="Y31" s="7"/>
    </row>
    <row r="32" spans="1:25" ht="33" customHeight="1" x14ac:dyDescent="0.3">
      <c r="A32" s="1304" t="s">
        <v>1396</v>
      </c>
      <c r="B32" s="3292"/>
      <c r="C32" s="1305" t="s">
        <v>588</v>
      </c>
      <c r="D32" s="1511" t="s">
        <v>17</v>
      </c>
      <c r="E32" s="1307" t="s">
        <v>563</v>
      </c>
      <c r="F32" s="1255">
        <v>1</v>
      </c>
      <c r="G32" s="1293">
        <v>1150</v>
      </c>
      <c r="H32" s="1255">
        <v>1</v>
      </c>
      <c r="I32" s="1300">
        <f t="shared" ref="I32:I35" si="3">F32*G32*H32</f>
        <v>1150</v>
      </c>
      <c r="J32" s="2257"/>
      <c r="K32" s="1301">
        <v>1</v>
      </c>
      <c r="L32" s="1293">
        <v>0</v>
      </c>
      <c r="M32" s="1301">
        <v>9</v>
      </c>
      <c r="N32" s="1300">
        <f>K32*L32*M32</f>
        <v>0</v>
      </c>
      <c r="O32" s="1302"/>
      <c r="P32" s="1416">
        <f>N32+I32</f>
        <v>1150</v>
      </c>
      <c r="Q32" s="1279"/>
      <c r="R32" s="2258"/>
      <c r="S32" s="1262"/>
      <c r="T32" s="2701">
        <v>1194.5999999999999</v>
      </c>
      <c r="U32" s="1294">
        <f t="shared" si="2"/>
        <v>1.0387826086956522</v>
      </c>
      <c r="V32" s="1262" t="s">
        <v>589</v>
      </c>
      <c r="W32" s="2356">
        <f t="shared" si="1"/>
        <v>0</v>
      </c>
      <c r="X32" s="1303"/>
      <c r="Y32" s="7"/>
    </row>
    <row r="33" spans="1:25" ht="39" customHeight="1" x14ac:dyDescent="0.3">
      <c r="A33" s="1282" t="s">
        <v>1397</v>
      </c>
      <c r="B33" s="3292"/>
      <c r="C33" s="1298" t="s">
        <v>590</v>
      </c>
      <c r="D33" s="1283" t="s">
        <v>15</v>
      </c>
      <c r="E33" s="1307" t="s">
        <v>563</v>
      </c>
      <c r="F33" s="1255"/>
      <c r="G33" s="1293"/>
      <c r="H33" s="1255"/>
      <c r="I33" s="1300"/>
      <c r="J33" s="2257"/>
      <c r="K33" s="1301">
        <v>1</v>
      </c>
      <c r="L33" s="1293">
        <v>9000</v>
      </c>
      <c r="M33" s="1301">
        <v>1</v>
      </c>
      <c r="N33" s="1300">
        <f>K33*L33*M33</f>
        <v>9000</v>
      </c>
      <c r="O33" s="1302"/>
      <c r="P33" s="1416">
        <f>N33+I33</f>
        <v>9000</v>
      </c>
      <c r="Q33" s="1279"/>
      <c r="R33" s="2258"/>
      <c r="S33" s="1262"/>
      <c r="T33" s="2701">
        <v>5333</v>
      </c>
      <c r="U33" s="1294">
        <f t="shared" si="2"/>
        <v>0.5925555555555555</v>
      </c>
      <c r="V33" s="1262" t="s">
        <v>589</v>
      </c>
      <c r="W33" s="2356">
        <f t="shared" si="1"/>
        <v>0</v>
      </c>
      <c r="X33" s="1303"/>
      <c r="Y33" s="7"/>
    </row>
    <row r="34" spans="1:25" ht="26" x14ac:dyDescent="0.3">
      <c r="A34" s="1282" t="s">
        <v>1398</v>
      </c>
      <c r="B34" s="3292"/>
      <c r="C34" s="1253" t="s">
        <v>591</v>
      </c>
      <c r="D34" s="1283" t="s">
        <v>15</v>
      </c>
      <c r="E34" s="1308" t="s">
        <v>563</v>
      </c>
      <c r="F34" s="1309">
        <v>1</v>
      </c>
      <c r="G34" s="1310">
        <v>1000</v>
      </c>
      <c r="H34" s="1309">
        <v>1</v>
      </c>
      <c r="I34" s="1300">
        <f t="shared" si="3"/>
        <v>1000</v>
      </c>
      <c r="J34" s="2249"/>
      <c r="K34" s="1311"/>
      <c r="L34" s="1310"/>
      <c r="M34" s="1312">
        <v>0</v>
      </c>
      <c r="N34" s="1300">
        <f>K34*L34*M34</f>
        <v>0</v>
      </c>
      <c r="O34" s="1302"/>
      <c r="P34" s="1416">
        <f>N34+I34</f>
        <v>1000</v>
      </c>
      <c r="Q34" s="1279"/>
      <c r="R34" s="2259"/>
      <c r="S34" s="1261"/>
      <c r="T34" s="2701">
        <v>632</v>
      </c>
      <c r="U34" s="1294">
        <f>T34/P34</f>
        <v>0.63200000000000001</v>
      </c>
      <c r="V34" s="1261" t="s">
        <v>1382</v>
      </c>
      <c r="W34" s="2356">
        <f t="shared" si="1"/>
        <v>0</v>
      </c>
      <c r="X34" s="1303"/>
      <c r="Y34" s="7"/>
    </row>
    <row r="35" spans="1:25" ht="26" x14ac:dyDescent="0.3">
      <c r="A35" s="1282" t="s">
        <v>1399</v>
      </c>
      <c r="B35" s="3293"/>
      <c r="C35" s="2" t="s">
        <v>592</v>
      </c>
      <c r="D35" s="1283" t="s">
        <v>15</v>
      </c>
      <c r="E35" s="1308" t="s">
        <v>563</v>
      </c>
      <c r="F35" s="1309">
        <v>1</v>
      </c>
      <c r="G35" s="1310">
        <v>2000</v>
      </c>
      <c r="H35" s="1309">
        <v>1</v>
      </c>
      <c r="I35" s="1300">
        <f t="shared" si="3"/>
        <v>2000</v>
      </c>
      <c r="J35" s="2249"/>
      <c r="K35" s="1313">
        <v>1</v>
      </c>
      <c r="L35" s="1310"/>
      <c r="M35" s="1309"/>
      <c r="N35" s="1300">
        <f>K35*L35*M35</f>
        <v>0</v>
      </c>
      <c r="O35" s="1302"/>
      <c r="P35" s="1416">
        <f>N35+I35</f>
        <v>2000</v>
      </c>
      <c r="Q35" s="1279"/>
      <c r="R35" s="2259"/>
      <c r="S35" s="1262"/>
      <c r="T35" s="2701">
        <v>804</v>
      </c>
      <c r="U35" s="1294">
        <f t="shared" si="2"/>
        <v>0.40200000000000002</v>
      </c>
      <c r="V35" s="1262"/>
      <c r="W35" s="2356">
        <f t="shared" si="1"/>
        <v>0</v>
      </c>
      <c r="X35" s="1303"/>
      <c r="Y35" s="7"/>
    </row>
    <row r="36" spans="1:25" ht="13.9" customHeight="1" x14ac:dyDescent="0.3">
      <c r="B36" s="1314"/>
      <c r="C36" s="1315" t="s">
        <v>573</v>
      </c>
      <c r="D36" s="424"/>
      <c r="E36" s="425"/>
      <c r="F36" s="1316"/>
      <c r="G36" s="1317"/>
      <c r="H36" s="1316"/>
      <c r="I36" s="1318">
        <f>SUM(I31:I35)</f>
        <v>8630</v>
      </c>
      <c r="J36" s="1319"/>
      <c r="K36" s="1320"/>
      <c r="L36" s="1320"/>
      <c r="M36" s="1320"/>
      <c r="N36" s="1318">
        <f>SUM(N31:N35)</f>
        <v>9000</v>
      </c>
      <c r="O36" s="1321"/>
      <c r="P36" s="1318">
        <f>SUM(P31:P35)</f>
        <v>15630</v>
      </c>
      <c r="Q36" s="886"/>
      <c r="R36" s="1321">
        <f>N36*O36/100</f>
        <v>0</v>
      </c>
      <c r="S36" s="1276"/>
      <c r="T36" s="2702">
        <f>SUM(T31:T35)</f>
        <v>9451.73</v>
      </c>
      <c r="U36" s="1297">
        <f>T36/P36</f>
        <v>0.60471721049264238</v>
      </c>
      <c r="V36" s="1276"/>
      <c r="W36" s="1276"/>
      <c r="X36" s="2372">
        <f>SUM(X30:X35)</f>
        <v>0</v>
      </c>
      <c r="Y36" s="1276"/>
    </row>
    <row r="37" spans="1:25" ht="15.5" x14ac:dyDescent="0.3">
      <c r="B37" s="3294" t="s">
        <v>593</v>
      </c>
      <c r="C37" s="815" t="s">
        <v>594</v>
      </c>
      <c r="D37" s="816"/>
      <c r="E37" s="816"/>
      <c r="F37" s="816"/>
      <c r="G37" s="816"/>
      <c r="H37" s="816"/>
      <c r="I37" s="817"/>
      <c r="J37" s="816"/>
      <c r="K37" s="816"/>
      <c r="L37" s="816"/>
      <c r="M37" s="816"/>
      <c r="N37" s="817"/>
      <c r="O37" s="816"/>
      <c r="P37" s="561"/>
      <c r="Q37" s="818"/>
      <c r="R37" s="816"/>
      <c r="S37" s="1278"/>
      <c r="T37" s="2700"/>
      <c r="U37" s="1292"/>
      <c r="V37" s="1278"/>
      <c r="W37" s="2356"/>
      <c r="X37" s="7"/>
      <c r="Y37" s="1323"/>
    </row>
    <row r="38" spans="1:25" ht="51.75" customHeight="1" x14ac:dyDescent="0.3">
      <c r="A38" s="1" t="s">
        <v>1400</v>
      </c>
      <c r="B38" s="3295"/>
      <c r="C38" s="1289" t="s">
        <v>595</v>
      </c>
      <c r="D38" s="1254" t="s">
        <v>15</v>
      </c>
      <c r="E38" s="1255" t="s">
        <v>563</v>
      </c>
      <c r="F38" s="1284">
        <v>0</v>
      </c>
      <c r="G38" s="1285">
        <v>0</v>
      </c>
      <c r="H38" s="1284">
        <v>0</v>
      </c>
      <c r="I38" s="1286">
        <f>H38*G38*F38</f>
        <v>0</v>
      </c>
      <c r="J38" s="2245">
        <v>0.3</v>
      </c>
      <c r="K38" s="1284">
        <v>1</v>
      </c>
      <c r="L38" s="1285">
        <v>7000</v>
      </c>
      <c r="M38" s="1284">
        <v>1</v>
      </c>
      <c r="N38" s="2260">
        <f>M38*L38*K38-1000</f>
        <v>6000</v>
      </c>
      <c r="O38" s="2245">
        <v>0.3</v>
      </c>
      <c r="P38" s="2963">
        <f>N38+I38</f>
        <v>6000</v>
      </c>
      <c r="Q38" s="1324">
        <v>0.3</v>
      </c>
      <c r="R38" s="2261">
        <f>P38*Q38</f>
        <v>1800</v>
      </c>
      <c r="S38" s="1262"/>
      <c r="T38" s="2701">
        <v>5849.48</v>
      </c>
      <c r="U38" s="1294">
        <f t="shared" ref="U38:U92" si="4">T38/P38</f>
        <v>0.9749133333333333</v>
      </c>
      <c r="V38" s="1262" t="s">
        <v>589</v>
      </c>
      <c r="W38" s="2356">
        <f t="shared" si="1"/>
        <v>0.29247399999999996</v>
      </c>
      <c r="X38" s="1325">
        <f>T38*0.3</f>
        <v>1754.8439999999998</v>
      </c>
      <c r="Y38" s="3" t="s">
        <v>1122</v>
      </c>
    </row>
    <row r="39" spans="1:25" ht="13.9" customHeight="1" x14ac:dyDescent="0.3">
      <c r="B39" s="3295"/>
      <c r="C39" s="1265" t="s">
        <v>573</v>
      </c>
      <c r="D39" s="1266"/>
      <c r="E39" s="1267"/>
      <c r="F39" s="1268"/>
      <c r="G39" s="1269"/>
      <c r="H39" s="1268"/>
      <c r="I39" s="1270">
        <f>SUM(I38)</f>
        <v>0</v>
      </c>
      <c r="J39" s="1271"/>
      <c r="K39" s="1272"/>
      <c r="L39" s="1272"/>
      <c r="M39" s="1272"/>
      <c r="N39" s="1273">
        <f>SUM(N38)</f>
        <v>6000</v>
      </c>
      <c r="O39" s="1274"/>
      <c r="P39" s="1318">
        <f>SUM(P38)</f>
        <v>6000</v>
      </c>
      <c r="Q39" s="1275"/>
      <c r="R39" s="1274">
        <f>R37+R38</f>
        <v>1800</v>
      </c>
      <c r="S39" s="1276"/>
      <c r="T39" s="2702">
        <f>SUM(T38)</f>
        <v>5849.48</v>
      </c>
      <c r="U39" s="1297">
        <f t="shared" si="4"/>
        <v>0.9749133333333333</v>
      </c>
      <c r="V39" s="1276"/>
      <c r="W39" s="693">
        <f t="shared" si="1"/>
        <v>0.29247399999999996</v>
      </c>
      <c r="X39" s="2373">
        <f>X37+X38</f>
        <v>1754.8439999999998</v>
      </c>
      <c r="Y39" s="1326"/>
    </row>
    <row r="40" spans="1:25" ht="13.9" customHeight="1" x14ac:dyDescent="0.3">
      <c r="B40" s="3295"/>
      <c r="C40" s="815" t="s">
        <v>596</v>
      </c>
      <c r="D40" s="816"/>
      <c r="E40" s="816"/>
      <c r="F40" s="816"/>
      <c r="G40" s="816"/>
      <c r="H40" s="816"/>
      <c r="I40" s="818"/>
      <c r="J40" s="816"/>
      <c r="K40" s="816"/>
      <c r="L40" s="816"/>
      <c r="M40" s="816"/>
      <c r="N40" s="817"/>
      <c r="O40" s="816"/>
      <c r="P40" s="561"/>
      <c r="Q40" s="818"/>
      <c r="R40" s="816"/>
      <c r="S40" s="1278"/>
      <c r="T40" s="2700"/>
      <c r="U40" s="1292"/>
      <c r="V40" s="1278"/>
      <c r="W40" s="2356"/>
      <c r="X40" s="7"/>
      <c r="Y40" s="7"/>
    </row>
    <row r="41" spans="1:25" ht="13.9" customHeight="1" x14ac:dyDescent="0.3">
      <c r="A41" s="1282" t="s">
        <v>1401</v>
      </c>
      <c r="B41" s="3295"/>
      <c r="C41" s="1253" t="s">
        <v>597</v>
      </c>
      <c r="D41" s="1283" t="s">
        <v>15</v>
      </c>
      <c r="E41" s="1308" t="s">
        <v>563</v>
      </c>
      <c r="F41" s="1309">
        <v>1</v>
      </c>
      <c r="G41" s="1310">
        <v>10000</v>
      </c>
      <c r="H41" s="1309">
        <v>1</v>
      </c>
      <c r="I41" s="1286">
        <f>H41*G41</f>
        <v>10000</v>
      </c>
      <c r="J41" s="2249"/>
      <c r="K41" s="1309">
        <v>1</v>
      </c>
      <c r="L41" s="1310">
        <v>0</v>
      </c>
      <c r="M41" s="1309">
        <v>1</v>
      </c>
      <c r="N41" s="1286">
        <f>M41*L41</f>
        <v>0</v>
      </c>
      <c r="O41" s="2245">
        <v>0.3</v>
      </c>
      <c r="P41" s="2964">
        <f>N41+I41</f>
        <v>10000</v>
      </c>
      <c r="Q41" s="1324">
        <v>0.3</v>
      </c>
      <c r="R41" s="2259">
        <f t="shared" ref="R41" si="5">P41*Q41</f>
        <v>3000</v>
      </c>
      <c r="S41" s="1262"/>
      <c r="T41" s="2701">
        <v>9748.7099999999991</v>
      </c>
      <c r="U41" s="1294">
        <f>T41/P41</f>
        <v>0.97487099999999993</v>
      </c>
      <c r="V41" s="1262" t="s">
        <v>1623</v>
      </c>
      <c r="W41" s="2356">
        <f t="shared" si="1"/>
        <v>0.29246129999999998</v>
      </c>
      <c r="X41" s="1303">
        <f>T41*0.3</f>
        <v>2924.6129999999998</v>
      </c>
      <c r="Y41" s="7"/>
    </row>
    <row r="42" spans="1:25" ht="13.9" customHeight="1" x14ac:dyDescent="0.3">
      <c r="B42" s="3296"/>
      <c r="C42" s="1315" t="s">
        <v>573</v>
      </c>
      <c r="D42" s="424"/>
      <c r="E42" s="425"/>
      <c r="F42" s="1316"/>
      <c r="G42" s="1317"/>
      <c r="H42" s="1316"/>
      <c r="I42" s="1327">
        <f>SUM(I41:I41)</f>
        <v>10000</v>
      </c>
      <c r="J42" s="1319"/>
      <c r="K42" s="1320"/>
      <c r="L42" s="1320"/>
      <c r="M42" s="1320"/>
      <c r="N42" s="1318">
        <f>SUM(N41:N41)</f>
        <v>0</v>
      </c>
      <c r="O42" s="1321"/>
      <c r="P42" s="1318">
        <f>SUM(P41:P41)</f>
        <v>10000</v>
      </c>
      <c r="Q42" s="886"/>
      <c r="R42" s="886">
        <f>SUM(R41:R41)</f>
        <v>3000</v>
      </c>
      <c r="S42" s="1276"/>
      <c r="T42" s="2702">
        <f>SUM(T41:T41)</f>
        <v>9748.7099999999991</v>
      </c>
      <c r="U42" s="1297">
        <f t="shared" si="4"/>
        <v>0.97487099999999993</v>
      </c>
      <c r="V42" s="1276"/>
      <c r="W42" s="693">
        <f t="shared" si="1"/>
        <v>0.29246129999999998</v>
      </c>
      <c r="X42" s="2374">
        <f>SUM(X41:X41)</f>
        <v>2924.6129999999998</v>
      </c>
      <c r="Y42" s="1276"/>
    </row>
    <row r="43" spans="1:25" ht="14.5" customHeight="1" x14ac:dyDescent="0.3">
      <c r="B43" s="2376" t="s">
        <v>599</v>
      </c>
      <c r="C43" s="2377"/>
      <c r="D43" s="2377"/>
      <c r="E43" s="2377"/>
      <c r="F43" s="2377"/>
      <c r="G43" s="2377"/>
      <c r="H43" s="2377"/>
      <c r="I43" s="2383">
        <f>I16+I20+I24+I29+I36+I39+I42</f>
        <v>45630</v>
      </c>
      <c r="J43" s="469"/>
      <c r="K43" s="469"/>
      <c r="L43" s="469"/>
      <c r="M43" s="469"/>
      <c r="N43" s="2386">
        <f>N16+N20+N24+N29+N36+N39+N42</f>
        <v>24100</v>
      </c>
      <c r="O43" s="469"/>
      <c r="P43" s="2944">
        <f>P16+P20+P24+P29+P36+P39+P42</f>
        <v>67230</v>
      </c>
      <c r="Q43" s="2382"/>
      <c r="R43" s="2393">
        <f>R16+R20+R24+R29+R36+R39+R42</f>
        <v>14940</v>
      </c>
      <c r="S43" s="2390"/>
      <c r="T43" s="2704">
        <f>T16+T20+T24+T29+T36+T39+T42</f>
        <v>59566.419999999991</v>
      </c>
      <c r="U43" s="2389">
        <f t="shared" si="4"/>
        <v>0.88600951955972018</v>
      </c>
      <c r="V43" s="2390"/>
      <c r="W43" s="2357">
        <f t="shared" si="1"/>
        <v>0.21737925033467201</v>
      </c>
      <c r="X43" s="2392">
        <f>X16+X20+X24+X29+X36+X39+X42</f>
        <v>14614.406999999999</v>
      </c>
      <c r="Y43" s="2390"/>
    </row>
    <row r="44" spans="1:25" ht="41.25" customHeight="1" x14ac:dyDescent="0.3">
      <c r="B44" s="1328" t="s">
        <v>600</v>
      </c>
      <c r="C44" s="1329"/>
      <c r="D44" s="1329"/>
      <c r="E44" s="1329"/>
      <c r="F44" s="1329"/>
      <c r="G44" s="1329"/>
      <c r="H44" s="1329"/>
      <c r="I44" s="1329"/>
      <c r="J44" s="1330"/>
      <c r="K44" s="814"/>
      <c r="L44" s="814"/>
      <c r="M44" s="814"/>
      <c r="N44" s="814"/>
      <c r="O44" s="814"/>
      <c r="P44" s="2600"/>
      <c r="Q44" s="814"/>
      <c r="R44" s="814"/>
      <c r="S44" s="1331"/>
      <c r="T44" s="2699"/>
      <c r="U44" s="1332"/>
      <c r="V44" s="1331"/>
      <c r="W44" s="1331"/>
      <c r="X44" s="1333"/>
      <c r="Y44" s="1331"/>
    </row>
    <row r="45" spans="1:25" ht="21" customHeight="1" x14ac:dyDescent="0.3">
      <c r="B45" s="3291" t="s">
        <v>601</v>
      </c>
      <c r="C45" s="815" t="s">
        <v>602</v>
      </c>
      <c r="D45" s="1334"/>
      <c r="E45" s="1334"/>
      <c r="F45" s="1334"/>
      <c r="G45" s="1334"/>
      <c r="H45" s="1334"/>
      <c r="I45" s="1335"/>
      <c r="J45" s="1334"/>
      <c r="K45" s="1334"/>
      <c r="L45" s="1334"/>
      <c r="M45" s="1334"/>
      <c r="N45" s="1335"/>
      <c r="O45" s="1334"/>
      <c r="P45" s="561"/>
      <c r="Q45" s="1336"/>
      <c r="R45" s="1334"/>
      <c r="S45" s="1262"/>
      <c r="T45" s="2701">
        <v>0</v>
      </c>
      <c r="U45" s="1294"/>
      <c r="V45" s="1262"/>
      <c r="W45" s="7"/>
      <c r="X45" s="7"/>
      <c r="Y45" s="7"/>
    </row>
    <row r="46" spans="1:25" ht="14.5" customHeight="1" x14ac:dyDescent="0.3">
      <c r="A46" s="1" t="s">
        <v>1402</v>
      </c>
      <c r="B46" s="3292"/>
      <c r="C46" s="2" t="s">
        <v>603</v>
      </c>
      <c r="D46" s="1283" t="s">
        <v>15</v>
      </c>
      <c r="E46" s="1308" t="s">
        <v>563</v>
      </c>
      <c r="F46" s="2">
        <v>1</v>
      </c>
      <c r="G46" s="2262">
        <v>300</v>
      </c>
      <c r="H46" s="2">
        <v>3</v>
      </c>
      <c r="I46" s="1286">
        <f>H46*G46*F46</f>
        <v>900</v>
      </c>
      <c r="J46" s="2252"/>
      <c r="K46" s="2">
        <v>1</v>
      </c>
      <c r="L46" s="2262">
        <v>300</v>
      </c>
      <c r="M46" s="2">
        <v>3</v>
      </c>
      <c r="N46" s="1286">
        <f>M46*L46*K46</f>
        <v>900</v>
      </c>
      <c r="O46" s="2252"/>
      <c r="P46" s="2965">
        <f>N46+I46</f>
        <v>1800</v>
      </c>
      <c r="Q46" s="1338"/>
      <c r="R46" s="2252"/>
      <c r="S46" s="1262"/>
      <c r="T46" s="2701">
        <v>1760</v>
      </c>
      <c r="U46" s="1294">
        <f t="shared" si="4"/>
        <v>0.97777777777777775</v>
      </c>
      <c r="V46" s="1262" t="s">
        <v>589</v>
      </c>
      <c r="W46" s="7"/>
      <c r="X46" s="7"/>
      <c r="Y46" s="7"/>
    </row>
    <row r="47" spans="1:25" ht="14.5" customHeight="1" x14ac:dyDescent="0.3">
      <c r="B47" s="3292"/>
      <c r="C47" s="1265" t="s">
        <v>573</v>
      </c>
      <c r="D47" s="1266"/>
      <c r="E47" s="1267"/>
      <c r="F47" s="1268"/>
      <c r="G47" s="1269"/>
      <c r="H47" s="1268"/>
      <c r="I47" s="1270">
        <f>SUM(I46)</f>
        <v>900</v>
      </c>
      <c r="J47" s="1271"/>
      <c r="K47" s="1268"/>
      <c r="L47" s="1269"/>
      <c r="M47" s="1268"/>
      <c r="N47" s="1270">
        <f>SUM(N46)</f>
        <v>900</v>
      </c>
      <c r="O47" s="1272"/>
      <c r="P47" s="2945">
        <f>SUM(P46)</f>
        <v>1800</v>
      </c>
      <c r="Q47" s="1339"/>
      <c r="R47" s="1272"/>
      <c r="S47" s="1276"/>
      <c r="T47" s="2702">
        <f>SUM(T46)</f>
        <v>1760</v>
      </c>
      <c r="U47" s="1297">
        <f t="shared" si="4"/>
        <v>0.97777777777777775</v>
      </c>
      <c r="V47" s="1276"/>
      <c r="W47" s="1276"/>
      <c r="X47" s="1322"/>
      <c r="Y47" s="1276"/>
    </row>
    <row r="48" spans="1:25" ht="14.5" customHeight="1" x14ac:dyDescent="0.3">
      <c r="B48" s="3292"/>
      <c r="C48" s="815" t="s">
        <v>604</v>
      </c>
      <c r="D48" s="1334"/>
      <c r="E48" s="1334"/>
      <c r="F48" s="1334"/>
      <c r="G48" s="1334"/>
      <c r="H48" s="1334"/>
      <c r="I48" s="1340"/>
      <c r="J48" s="2252"/>
      <c r="K48" s="2252"/>
      <c r="L48" s="2252"/>
      <c r="M48" s="2252"/>
      <c r="N48" s="1287"/>
      <c r="O48" s="2252"/>
      <c r="P48" s="2966"/>
      <c r="Q48" s="1338"/>
      <c r="R48" s="2252"/>
      <c r="S48" s="1262"/>
      <c r="T48" s="2701">
        <v>0</v>
      </c>
      <c r="U48" s="1294"/>
      <c r="V48" s="1262"/>
      <c r="W48" s="7"/>
      <c r="X48" s="7"/>
      <c r="Y48" s="7"/>
    </row>
    <row r="49" spans="1:25" ht="14.5" customHeight="1" x14ac:dyDescent="0.3">
      <c r="A49" s="1" t="s">
        <v>1403</v>
      </c>
      <c r="B49" s="3292"/>
      <c r="C49" s="2" t="s">
        <v>605</v>
      </c>
      <c r="D49" s="1283" t="s">
        <v>15</v>
      </c>
      <c r="E49" s="1308" t="s">
        <v>563</v>
      </c>
      <c r="F49" s="1284">
        <v>1</v>
      </c>
      <c r="G49" s="1285">
        <v>1200</v>
      </c>
      <c r="H49" s="1284">
        <v>1</v>
      </c>
      <c r="I49" s="1286">
        <f>H49*G49*F49</f>
        <v>1200</v>
      </c>
      <c r="J49" s="2252"/>
      <c r="K49" s="1284">
        <v>0</v>
      </c>
      <c r="L49" s="1285">
        <v>0</v>
      </c>
      <c r="M49" s="1284">
        <v>0</v>
      </c>
      <c r="N49" s="1341">
        <v>0</v>
      </c>
      <c r="O49" s="2263"/>
      <c r="P49" s="2965">
        <f>N49+I49</f>
        <v>1200</v>
      </c>
      <c r="Q49" s="1337"/>
      <c r="R49" s="2252"/>
      <c r="S49" s="1262"/>
      <c r="T49" s="2701">
        <v>1068.5999999999999</v>
      </c>
      <c r="U49" s="1294">
        <f t="shared" si="4"/>
        <v>0.89049999999999996</v>
      </c>
      <c r="V49" s="1262" t="s">
        <v>589</v>
      </c>
      <c r="W49" s="7"/>
      <c r="X49" s="7"/>
      <c r="Y49" s="7"/>
    </row>
    <row r="50" spans="1:25" ht="14.5" customHeight="1" x14ac:dyDescent="0.3">
      <c r="A50" s="1282" t="s">
        <v>1404</v>
      </c>
      <c r="B50" s="3292"/>
      <c r="C50" s="2" t="s">
        <v>607</v>
      </c>
      <c r="D50" s="1283" t="s">
        <v>15</v>
      </c>
      <c r="E50" s="1308" t="s">
        <v>563</v>
      </c>
      <c r="F50" s="1284">
        <v>0</v>
      </c>
      <c r="G50" s="1285">
        <v>0</v>
      </c>
      <c r="H50" s="1284">
        <v>0</v>
      </c>
      <c r="I50" s="1286">
        <f>H50*G50*F50</f>
        <v>0</v>
      </c>
      <c r="J50" s="2252"/>
      <c r="K50" s="1284">
        <v>1</v>
      </c>
      <c r="L50" s="1285">
        <v>500</v>
      </c>
      <c r="M50" s="1284">
        <v>1</v>
      </c>
      <c r="N50" s="1341">
        <f>M50*L50*K50</f>
        <v>500</v>
      </c>
      <c r="O50" s="2263"/>
      <c r="P50" s="2965">
        <f>N50+I50</f>
        <v>500</v>
      </c>
      <c r="Q50" s="1337"/>
      <c r="R50" s="2252"/>
      <c r="S50" s="1262"/>
      <c r="T50" s="2701">
        <v>0</v>
      </c>
      <c r="U50" s="1294">
        <f t="shared" si="4"/>
        <v>0</v>
      </c>
      <c r="V50" s="1262"/>
      <c r="W50" s="7"/>
      <c r="X50" s="7"/>
      <c r="Y50" s="7"/>
    </row>
    <row r="51" spans="1:25" ht="14.5" customHeight="1" x14ac:dyDescent="0.3">
      <c r="B51" s="3292"/>
      <c r="C51" s="1265" t="s">
        <v>573</v>
      </c>
      <c r="D51" s="1266"/>
      <c r="E51" s="1267"/>
      <c r="F51" s="1268"/>
      <c r="G51" s="1269"/>
      <c r="H51" s="1268"/>
      <c r="I51" s="1270">
        <f>SUM(I49:I50)</f>
        <v>1200</v>
      </c>
      <c r="J51" s="1271"/>
      <c r="K51" s="1342"/>
      <c r="L51" s="1342"/>
      <c r="M51" s="1342"/>
      <c r="N51" s="1343">
        <f>SUM(N49:N50)</f>
        <v>500</v>
      </c>
      <c r="O51" s="1272"/>
      <c r="P51" s="2945">
        <f>SUM(P49:P50)</f>
        <v>1700</v>
      </c>
      <c r="Q51" s="1339"/>
      <c r="R51" s="1272"/>
      <c r="S51" s="1276"/>
      <c r="T51" s="2702">
        <f>SUM(T49:T50)</f>
        <v>1068.5999999999999</v>
      </c>
      <c r="U51" s="1297">
        <f t="shared" si="4"/>
        <v>0.62858823529411756</v>
      </c>
      <c r="V51" s="1276"/>
      <c r="W51" s="1276"/>
      <c r="X51" s="1322"/>
      <c r="Y51" s="1276"/>
    </row>
    <row r="52" spans="1:25" ht="14.5" customHeight="1" x14ac:dyDescent="0.3">
      <c r="B52" s="3292"/>
      <c r="C52" s="815" t="s">
        <v>608</v>
      </c>
      <c r="D52" s="1334"/>
      <c r="E52" s="1334"/>
      <c r="F52" s="1334"/>
      <c r="G52" s="1334"/>
      <c r="H52" s="1334"/>
      <c r="I52" s="1335"/>
      <c r="J52" s="2252"/>
      <c r="K52" s="2258"/>
      <c r="L52" s="2258"/>
      <c r="M52" s="2258"/>
      <c r="N52" s="1344"/>
      <c r="O52" s="2252"/>
      <c r="P52" s="2966"/>
      <c r="Q52" s="1338"/>
      <c r="R52" s="2252"/>
      <c r="S52" s="1262"/>
      <c r="T52" s="2701"/>
      <c r="U52" s="1294"/>
      <c r="V52" s="1262"/>
      <c r="W52" s="7"/>
      <c r="X52" s="7"/>
      <c r="Y52" s="7"/>
    </row>
    <row r="53" spans="1:25" ht="14.5" customHeight="1" x14ac:dyDescent="0.3">
      <c r="A53" s="1" t="s">
        <v>1405</v>
      </c>
      <c r="B53" s="3292"/>
      <c r="C53" s="2" t="s">
        <v>609</v>
      </c>
      <c r="D53" s="1283" t="s">
        <v>15</v>
      </c>
      <c r="E53" s="1308" t="s">
        <v>563</v>
      </c>
      <c r="F53" s="1284">
        <v>1</v>
      </c>
      <c r="G53" s="1285">
        <v>2800</v>
      </c>
      <c r="H53" s="1284">
        <v>1</v>
      </c>
      <c r="I53" s="1286">
        <f>H53*G53*F53</f>
        <v>2800</v>
      </c>
      <c r="J53" s="2252"/>
      <c r="K53" s="1284">
        <v>1</v>
      </c>
      <c r="L53" s="1285">
        <v>3000</v>
      </c>
      <c r="M53" s="1284">
        <v>1</v>
      </c>
      <c r="N53" s="1345">
        <f>M53*L53*K53</f>
        <v>3000</v>
      </c>
      <c r="O53" s="2263"/>
      <c r="P53" s="2965">
        <f>N53+I53</f>
        <v>5800</v>
      </c>
      <c r="Q53" s="1337"/>
      <c r="R53" s="2252"/>
      <c r="S53" s="1262"/>
      <c r="T53" s="2701">
        <v>6394.4</v>
      </c>
      <c r="U53" s="1294">
        <f t="shared" si="4"/>
        <v>1.1024827586206896</v>
      </c>
      <c r="V53" s="1262" t="s">
        <v>589</v>
      </c>
      <c r="W53" s="7"/>
      <c r="X53" s="7"/>
      <c r="Y53" s="7"/>
    </row>
    <row r="54" spans="1:25" ht="14.5" customHeight="1" x14ac:dyDescent="0.3">
      <c r="B54" s="3292"/>
      <c r="C54" s="1265" t="s">
        <v>573</v>
      </c>
      <c r="D54" s="1346"/>
      <c r="E54" s="1347"/>
      <c r="F54" s="1348"/>
      <c r="G54" s="1348"/>
      <c r="H54" s="1348"/>
      <c r="I54" s="1270">
        <f>SUM(I53)</f>
        <v>2800</v>
      </c>
      <c r="J54" s="1272"/>
      <c r="K54" s="1342"/>
      <c r="L54" s="1342"/>
      <c r="M54" s="1342"/>
      <c r="N54" s="1343">
        <f>SUM(N53)</f>
        <v>3000</v>
      </c>
      <c r="O54" s="1272"/>
      <c r="P54" s="2945">
        <f>SUM(P53)</f>
        <v>5800</v>
      </c>
      <c r="Q54" s="1339"/>
      <c r="R54" s="1272"/>
      <c r="S54" s="1276"/>
      <c r="T54" s="2702">
        <f>SUM(T53)</f>
        <v>6394.4</v>
      </c>
      <c r="U54" s="1297">
        <f t="shared" si="4"/>
        <v>1.1024827586206896</v>
      </c>
      <c r="V54" s="1276"/>
      <c r="W54" s="1276"/>
      <c r="X54" s="1322"/>
      <c r="Y54" s="1276"/>
    </row>
    <row r="55" spans="1:25" ht="14.5" customHeight="1" x14ac:dyDescent="0.3">
      <c r="B55" s="3292"/>
      <c r="C55" s="815" t="s">
        <v>610</v>
      </c>
      <c r="D55" s="1334"/>
      <c r="E55" s="1334"/>
      <c r="F55" s="1334"/>
      <c r="G55" s="1334"/>
      <c r="H55" s="1334"/>
      <c r="I55" s="1336"/>
      <c r="J55" s="1334"/>
      <c r="K55" s="1334"/>
      <c r="L55" s="1334"/>
      <c r="M55" s="1334"/>
      <c r="N55" s="1335"/>
      <c r="O55" s="1334"/>
      <c r="P55" s="561"/>
      <c r="Q55" s="1336"/>
      <c r="R55" s="1334"/>
      <c r="S55" s="1349"/>
      <c r="T55" s="2705"/>
      <c r="U55" s="1350"/>
      <c r="V55" s="1349"/>
      <c r="W55" s="7"/>
      <c r="X55" s="7"/>
      <c r="Y55" s="7"/>
    </row>
    <row r="56" spans="1:25" ht="39" x14ac:dyDescent="0.3">
      <c r="A56" s="1282" t="s">
        <v>1406</v>
      </c>
      <c r="B56" s="3292"/>
      <c r="C56" s="2" t="s">
        <v>611</v>
      </c>
      <c r="D56" s="1351" t="s">
        <v>15</v>
      </c>
      <c r="E56" s="1352" t="s">
        <v>563</v>
      </c>
      <c r="F56" s="2264">
        <v>0</v>
      </c>
      <c r="G56" s="2265">
        <v>0</v>
      </c>
      <c r="H56" s="2266">
        <v>0</v>
      </c>
      <c r="I56" s="1279">
        <f>H56*G56*F56</f>
        <v>0</v>
      </c>
      <c r="J56" s="2252"/>
      <c r="K56" s="2264">
        <v>1</v>
      </c>
      <c r="L56" s="2265">
        <v>1200</v>
      </c>
      <c r="M56" s="2266">
        <v>1</v>
      </c>
      <c r="N56" s="1279">
        <f>M56*L56*K56</f>
        <v>1200</v>
      </c>
      <c r="O56" s="2267"/>
      <c r="P56" s="2967">
        <f>N56+I56</f>
        <v>1200</v>
      </c>
      <c r="Q56" s="1353"/>
      <c r="R56" s="2252"/>
      <c r="S56" s="1262"/>
      <c r="T56" s="2701">
        <v>1855</v>
      </c>
      <c r="U56" s="1294">
        <f t="shared" si="4"/>
        <v>1.5458333333333334</v>
      </c>
      <c r="V56" s="1262" t="s">
        <v>1383</v>
      </c>
      <c r="W56" s="7"/>
      <c r="X56" s="7"/>
      <c r="Y56" s="7"/>
    </row>
    <row r="57" spans="1:25" ht="30" customHeight="1" x14ac:dyDescent="0.3">
      <c r="A57" s="1354" t="s">
        <v>1407</v>
      </c>
      <c r="B57" s="3292"/>
      <c r="C57" s="2" t="s">
        <v>612</v>
      </c>
      <c r="D57" s="1351" t="s">
        <v>15</v>
      </c>
      <c r="E57" s="1352"/>
      <c r="F57" s="2264"/>
      <c r="G57" s="2265"/>
      <c r="H57" s="2266"/>
      <c r="I57" s="1279"/>
      <c r="J57" s="2252"/>
      <c r="K57" s="2264">
        <v>1</v>
      </c>
      <c r="L57" s="2268">
        <v>16304</v>
      </c>
      <c r="M57" s="2266">
        <v>1</v>
      </c>
      <c r="N57" s="2269">
        <f>L57*M57</f>
        <v>16304</v>
      </c>
      <c r="O57" s="2267"/>
      <c r="P57" s="2968">
        <f>N57+I57</f>
        <v>16304</v>
      </c>
      <c r="Q57" s="1353"/>
      <c r="R57" s="2252"/>
      <c r="S57" s="1262"/>
      <c r="T57" s="2701">
        <v>14714.2</v>
      </c>
      <c r="U57" s="1294">
        <f t="shared" si="4"/>
        <v>0.90249018645731116</v>
      </c>
      <c r="V57" s="1262" t="s">
        <v>1624</v>
      </c>
      <c r="W57" s="7"/>
      <c r="X57" s="7"/>
      <c r="Y57" s="7"/>
    </row>
    <row r="58" spans="1:25" ht="21.75" customHeight="1" x14ac:dyDescent="0.3">
      <c r="B58" s="3293"/>
      <c r="C58" s="1315" t="s">
        <v>573</v>
      </c>
      <c r="D58" s="1315"/>
      <c r="E58" s="1315"/>
      <c r="F58" s="1315"/>
      <c r="G58" s="1315"/>
      <c r="H58" s="1315"/>
      <c r="I58" s="1355">
        <f>SUM(I56)</f>
        <v>0</v>
      </c>
      <c r="J58" s="1315"/>
      <c r="K58" s="1315"/>
      <c r="L58" s="1315"/>
      <c r="M58" s="1315"/>
      <c r="N58" s="1356">
        <f>SUM(N56:N57)</f>
        <v>17504</v>
      </c>
      <c r="O58" s="1320"/>
      <c r="P58" s="1356">
        <f>SUM(P56:P57)</f>
        <v>17504</v>
      </c>
      <c r="Q58" s="1357"/>
      <c r="R58" s="1315"/>
      <c r="S58" s="1276"/>
      <c r="T58" s="2706">
        <f>SUM(T56:T57)</f>
        <v>16569.2</v>
      </c>
      <c r="U58" s="1297">
        <f t="shared" si="4"/>
        <v>0.94659506398537485</v>
      </c>
      <c r="V58" s="1276"/>
      <c r="W58" s="1276"/>
      <c r="X58" s="1322"/>
      <c r="Y58" s="1276"/>
    </row>
    <row r="59" spans="1:25" ht="12.75" customHeight="1" x14ac:dyDescent="0.3">
      <c r="B59" s="3294" t="s">
        <v>613</v>
      </c>
      <c r="C59" s="815" t="s">
        <v>614</v>
      </c>
      <c r="D59" s="1334"/>
      <c r="E59" s="1334"/>
      <c r="F59" s="1334"/>
      <c r="G59" s="1334"/>
      <c r="H59" s="1334"/>
      <c r="I59" s="1335"/>
      <c r="J59" s="2252"/>
      <c r="K59" s="2252"/>
      <c r="L59" s="2252"/>
      <c r="M59" s="2252"/>
      <c r="N59" s="1288"/>
      <c r="O59" s="2252"/>
      <c r="P59" s="2966"/>
      <c r="Q59" s="1338"/>
      <c r="R59" s="2252"/>
      <c r="S59" s="1262"/>
      <c r="T59" s="2701"/>
      <c r="U59" s="1294"/>
      <c r="V59" s="1262"/>
      <c r="W59" s="7"/>
      <c r="X59" s="7"/>
      <c r="Y59" s="7"/>
    </row>
    <row r="60" spans="1:25" ht="26" x14ac:dyDescent="0.3">
      <c r="A60" s="1282" t="s">
        <v>1408</v>
      </c>
      <c r="B60" s="3295"/>
      <c r="C60" s="2" t="s">
        <v>615</v>
      </c>
      <c r="D60" s="1358" t="s">
        <v>15</v>
      </c>
      <c r="E60" s="1352" t="s">
        <v>563</v>
      </c>
      <c r="F60" s="1301">
        <v>1</v>
      </c>
      <c r="G60" s="2270">
        <v>0</v>
      </c>
      <c r="H60" s="1301">
        <v>1</v>
      </c>
      <c r="I60" s="1359">
        <f>H60*G60*F60</f>
        <v>0</v>
      </c>
      <c r="J60" s="2252"/>
      <c r="K60" s="1301">
        <v>1</v>
      </c>
      <c r="L60" s="2270">
        <v>0</v>
      </c>
      <c r="M60" s="1301">
        <v>1</v>
      </c>
      <c r="N60" s="2270">
        <v>0</v>
      </c>
      <c r="O60" s="2252"/>
      <c r="P60" s="2967">
        <f>N60+I60</f>
        <v>0</v>
      </c>
      <c r="Q60" s="1360"/>
      <c r="R60" s="2252"/>
      <c r="S60" s="1262"/>
      <c r="T60" s="2701">
        <v>0</v>
      </c>
      <c r="U60" s="1294"/>
      <c r="V60" s="1365"/>
      <c r="W60" s="7"/>
      <c r="X60" s="7"/>
      <c r="Y60" s="7"/>
    </row>
    <row r="61" spans="1:25" ht="14.5" customHeight="1" x14ac:dyDescent="0.3">
      <c r="B61" s="3296"/>
      <c r="C61" s="1315" t="s">
        <v>573</v>
      </c>
      <c r="D61" s="1315"/>
      <c r="E61" s="1315"/>
      <c r="F61" s="1315"/>
      <c r="G61" s="1315"/>
      <c r="H61" s="1315"/>
      <c r="I61" s="1361">
        <f>SUM(I60)</f>
        <v>0</v>
      </c>
      <c r="J61" s="1315"/>
      <c r="K61" s="1315"/>
      <c r="L61" s="1315"/>
      <c r="M61" s="1315"/>
      <c r="N61" s="1361">
        <f>SUM(N60)</f>
        <v>0</v>
      </c>
      <c r="O61" s="1362"/>
      <c r="P61" s="2838">
        <f>SUM(P60)</f>
        <v>0</v>
      </c>
      <c r="Q61" s="1363"/>
      <c r="R61" s="1362"/>
      <c r="S61" s="1276"/>
      <c r="T61" s="2707">
        <v>0</v>
      </c>
      <c r="U61" s="1297"/>
      <c r="V61" s="1276"/>
      <c r="W61" s="1276"/>
      <c r="X61" s="1322"/>
      <c r="Y61" s="1276"/>
    </row>
    <row r="62" spans="1:25" x14ac:dyDescent="0.3">
      <c r="B62" s="3294" t="s">
        <v>616</v>
      </c>
      <c r="C62" s="815" t="s">
        <v>617</v>
      </c>
      <c r="D62" s="1334"/>
      <c r="E62" s="1334"/>
      <c r="F62" s="1334"/>
      <c r="G62" s="1334"/>
      <c r="H62" s="1334"/>
      <c r="I62" s="1340"/>
      <c r="J62" s="2271"/>
      <c r="K62" s="2271"/>
      <c r="L62" s="2271"/>
      <c r="M62" s="2271"/>
      <c r="N62" s="1364"/>
      <c r="O62" s="2271"/>
      <c r="P62" s="2966"/>
      <c r="Q62" s="1338"/>
      <c r="R62" s="2271"/>
      <c r="S62" s="1365"/>
      <c r="T62" s="2701">
        <v>0</v>
      </c>
      <c r="U62" s="1366"/>
      <c r="V62" s="1365"/>
      <c r="W62" s="7"/>
      <c r="X62" s="7"/>
      <c r="Y62" s="7"/>
    </row>
    <row r="63" spans="1:25" ht="14.5" customHeight="1" x14ac:dyDescent="0.3">
      <c r="A63" s="1" t="s">
        <v>1409</v>
      </c>
      <c r="B63" s="3295"/>
      <c r="C63" s="2" t="s">
        <v>618</v>
      </c>
      <c r="D63" s="1306" t="s">
        <v>17</v>
      </c>
      <c r="E63" s="1367" t="s">
        <v>563</v>
      </c>
      <c r="F63" s="1301">
        <v>1</v>
      </c>
      <c r="G63" s="2272">
        <v>1800</v>
      </c>
      <c r="H63" s="1301">
        <v>1</v>
      </c>
      <c r="I63" s="1368">
        <f>H63*G63*F63</f>
        <v>1800</v>
      </c>
      <c r="J63" s="2271"/>
      <c r="K63" s="1369"/>
      <c r="L63" s="2273"/>
      <c r="M63" s="1369">
        <v>1</v>
      </c>
      <c r="N63" s="1370">
        <f>M63*L63*K63</f>
        <v>0</v>
      </c>
      <c r="O63" s="2271"/>
      <c r="P63" s="2967">
        <f>N63+I63</f>
        <v>1800</v>
      </c>
      <c r="Q63" s="1360"/>
      <c r="R63" s="2271"/>
      <c r="S63" s="1262"/>
      <c r="T63" s="2701">
        <v>1992.81</v>
      </c>
      <c r="U63" s="1294">
        <f t="shared" si="4"/>
        <v>1.1071166666666665</v>
      </c>
      <c r="V63" s="1261" t="s">
        <v>1622</v>
      </c>
      <c r="W63" s="7"/>
      <c r="X63" s="7"/>
      <c r="Y63" s="7"/>
    </row>
    <row r="64" spans="1:25" ht="14.5" customHeight="1" x14ac:dyDescent="0.3">
      <c r="B64" s="3295"/>
      <c r="C64" s="1265" t="s">
        <v>573</v>
      </c>
      <c r="D64" s="1265"/>
      <c r="E64" s="1265"/>
      <c r="F64" s="1265"/>
      <c r="G64" s="1265"/>
      <c r="H64" s="1265"/>
      <c r="I64" s="1270">
        <f>SUM(I63)</f>
        <v>1800</v>
      </c>
      <c r="J64" s="1315"/>
      <c r="K64" s="1315"/>
      <c r="L64" s="1315"/>
      <c r="M64" s="1315"/>
      <c r="N64" s="1327">
        <f>SUM(N63)</f>
        <v>0</v>
      </c>
      <c r="O64" s="1362"/>
      <c r="P64" s="2838">
        <f>SUM(P63)</f>
        <v>1800</v>
      </c>
      <c r="Q64" s="1363"/>
      <c r="R64" s="1362"/>
      <c r="S64" s="1276"/>
      <c r="T64" s="2707">
        <f>SUM(T63)</f>
        <v>1992.81</v>
      </c>
      <c r="U64" s="1297">
        <f t="shared" si="4"/>
        <v>1.1071166666666665</v>
      </c>
      <c r="V64" s="1276"/>
      <c r="W64" s="1276"/>
      <c r="X64" s="1322"/>
      <c r="Y64" s="1276"/>
    </row>
    <row r="65" spans="1:25" ht="14.5" customHeight="1" x14ac:dyDescent="0.3">
      <c r="B65" s="3295"/>
      <c r="C65" s="815" t="s">
        <v>619</v>
      </c>
      <c r="D65" s="1334"/>
      <c r="E65" s="1334"/>
      <c r="F65" s="1334"/>
      <c r="G65" s="1334"/>
      <c r="H65" s="1334"/>
      <c r="I65" s="1340"/>
      <c r="J65" s="2271"/>
      <c r="K65" s="2271"/>
      <c r="L65" s="2271"/>
      <c r="M65" s="2271"/>
      <c r="N65" s="1364"/>
      <c r="O65" s="2271"/>
      <c r="P65" s="2966"/>
      <c r="Q65" s="1338"/>
      <c r="R65" s="2271"/>
      <c r="S65" s="1365"/>
      <c r="T65" s="2701"/>
      <c r="U65" s="1366"/>
      <c r="V65" s="1365"/>
      <c r="W65" s="7"/>
      <c r="X65" s="7"/>
      <c r="Y65" s="7"/>
    </row>
    <row r="66" spans="1:25" ht="42.75" customHeight="1" x14ac:dyDescent="0.3">
      <c r="A66" s="1" t="s">
        <v>1410</v>
      </c>
      <c r="B66" s="3295"/>
      <c r="C66" s="2" t="s">
        <v>620</v>
      </c>
      <c r="D66" s="1306" t="s">
        <v>17</v>
      </c>
      <c r="E66" s="1367" t="s">
        <v>563</v>
      </c>
      <c r="F66" s="1301">
        <v>1</v>
      </c>
      <c r="G66" s="2272">
        <v>2500</v>
      </c>
      <c r="H66" s="1301">
        <v>1</v>
      </c>
      <c r="I66" s="1368">
        <f>H66*G66*F66</f>
        <v>2500</v>
      </c>
      <c r="J66" s="2271"/>
      <c r="K66" s="1369">
        <v>1</v>
      </c>
      <c r="L66" s="2273">
        <v>3000</v>
      </c>
      <c r="M66" s="1369">
        <v>1</v>
      </c>
      <c r="N66" s="1370">
        <f>M66*L66*K66</f>
        <v>3000</v>
      </c>
      <c r="O66" s="2271"/>
      <c r="P66" s="2967">
        <f>N66+I66</f>
        <v>5500</v>
      </c>
      <c r="Q66" s="1360"/>
      <c r="R66" s="2271"/>
      <c r="S66" s="1261"/>
      <c r="T66" s="2701">
        <v>4608.1899999999996</v>
      </c>
      <c r="U66" s="1294">
        <f t="shared" si="4"/>
        <v>0.83785272727272719</v>
      </c>
      <c r="V66" s="1261" t="s">
        <v>1622</v>
      </c>
      <c r="W66" s="7"/>
      <c r="X66" s="7"/>
      <c r="Y66" s="7"/>
    </row>
    <row r="67" spans="1:25" ht="14.5" customHeight="1" x14ac:dyDescent="0.3">
      <c r="B67" s="3295"/>
      <c r="C67" s="1265" t="s">
        <v>573</v>
      </c>
      <c r="D67" s="1265"/>
      <c r="E67" s="1265"/>
      <c r="F67" s="1265"/>
      <c r="G67" s="1265"/>
      <c r="H67" s="1265"/>
      <c r="I67" s="1270">
        <f>SUM(I66)</f>
        <v>2500</v>
      </c>
      <c r="J67" s="1315"/>
      <c r="K67" s="1315"/>
      <c r="L67" s="1315"/>
      <c r="M67" s="1315"/>
      <c r="N67" s="1327">
        <f>SUM(N66)</f>
        <v>3000</v>
      </c>
      <c r="O67" s="1362"/>
      <c r="P67" s="2838">
        <f>SUM(P66)</f>
        <v>5500</v>
      </c>
      <c r="Q67" s="1363"/>
      <c r="R67" s="1362"/>
      <c r="S67" s="1276"/>
      <c r="T67" s="2707">
        <f>SUM(T66)</f>
        <v>4608.1899999999996</v>
      </c>
      <c r="U67" s="1297">
        <f t="shared" si="4"/>
        <v>0.83785272727272719</v>
      </c>
      <c r="V67" s="1276"/>
      <c r="W67" s="1276"/>
      <c r="X67" s="1322"/>
      <c r="Y67" s="1276"/>
    </row>
    <row r="68" spans="1:25" ht="14.5" customHeight="1" x14ac:dyDescent="0.3">
      <c r="B68" s="3295"/>
      <c r="C68" s="815" t="s">
        <v>1369</v>
      </c>
      <c r="D68" s="1334"/>
      <c r="E68" s="1334"/>
      <c r="F68" s="1334"/>
      <c r="G68" s="1334"/>
      <c r="H68" s="1334"/>
      <c r="I68" s="1340"/>
      <c r="J68" s="2271"/>
      <c r="K68" s="2271"/>
      <c r="L68" s="2271"/>
      <c r="M68" s="2271"/>
      <c r="N68" s="1364"/>
      <c r="O68" s="2271"/>
      <c r="P68" s="2966"/>
      <c r="Q68" s="1338"/>
      <c r="R68" s="2271"/>
      <c r="S68" s="1365"/>
      <c r="T68" s="2701"/>
      <c r="U68" s="1366"/>
      <c r="V68" s="1365"/>
      <c r="W68" s="7"/>
      <c r="X68" s="7"/>
      <c r="Y68" s="7"/>
    </row>
    <row r="69" spans="1:25" ht="14.5" customHeight="1" x14ac:dyDescent="0.3">
      <c r="B69" s="3295"/>
      <c r="C69" s="1371" t="s">
        <v>621</v>
      </c>
      <c r="D69" s="1372"/>
      <c r="E69" s="1308" t="s">
        <v>563</v>
      </c>
      <c r="F69" s="1371">
        <v>0</v>
      </c>
      <c r="G69" s="1371">
        <v>0</v>
      </c>
      <c r="H69" s="1371">
        <v>0</v>
      </c>
      <c r="I69" s="1373">
        <v>0</v>
      </c>
      <c r="J69" s="2271"/>
      <c r="K69" s="1374">
        <v>0</v>
      </c>
      <c r="L69" s="1374">
        <v>0</v>
      </c>
      <c r="M69" s="1374">
        <v>0</v>
      </c>
      <c r="N69" s="1375">
        <v>0</v>
      </c>
      <c r="O69" s="2271"/>
      <c r="P69" s="2966">
        <v>0</v>
      </c>
      <c r="Q69" s="1338"/>
      <c r="R69" s="2271"/>
      <c r="S69" s="1262"/>
      <c r="T69" s="2701"/>
      <c r="U69" s="1294"/>
      <c r="V69" s="1262"/>
      <c r="W69" s="7"/>
      <c r="X69" s="7"/>
      <c r="Y69" s="7"/>
    </row>
    <row r="70" spans="1:25" ht="14.5" customHeight="1" x14ac:dyDescent="0.3">
      <c r="B70" s="3295"/>
      <c r="C70" s="1265" t="s">
        <v>573</v>
      </c>
      <c r="D70" s="1265"/>
      <c r="E70" s="1265"/>
      <c r="F70" s="1265"/>
      <c r="G70" s="1265"/>
      <c r="H70" s="1265"/>
      <c r="I70" s="1265">
        <f>SUM(I69)</f>
        <v>0</v>
      </c>
      <c r="J70" s="1315"/>
      <c r="K70" s="1376">
        <v>0</v>
      </c>
      <c r="L70" s="1376">
        <v>0</v>
      </c>
      <c r="M70" s="1376">
        <v>0</v>
      </c>
      <c r="N70" s="1376">
        <f>SUM(N69)</f>
        <v>0</v>
      </c>
      <c r="O70" s="1377"/>
      <c r="P70" s="2838">
        <f>SUM(P69)</f>
        <v>0</v>
      </c>
      <c r="Q70" s="1378"/>
      <c r="R70" s="1377"/>
      <c r="S70" s="1276"/>
      <c r="T70" s="2708"/>
      <c r="U70" s="1297"/>
      <c r="V70" s="1276"/>
      <c r="W70" s="1276"/>
      <c r="X70" s="1322"/>
      <c r="Y70" s="1276"/>
    </row>
    <row r="71" spans="1:25" ht="14.5" customHeight="1" x14ac:dyDescent="0.3">
      <c r="B71" s="3295"/>
      <c r="C71" s="815" t="s">
        <v>622</v>
      </c>
      <c r="D71" s="1334"/>
      <c r="E71" s="1334"/>
      <c r="F71" s="1334"/>
      <c r="G71" s="1334"/>
      <c r="H71" s="1334"/>
      <c r="I71" s="1340"/>
      <c r="J71" s="1379"/>
      <c r="K71" s="1379"/>
      <c r="L71" s="1379"/>
      <c r="M71" s="1379"/>
      <c r="N71" s="1380"/>
      <c r="O71" s="1379"/>
      <c r="P71" s="2946"/>
      <c r="Q71" s="1381"/>
      <c r="R71" s="1379"/>
      <c r="S71" s="1382"/>
      <c r="T71" s="2709"/>
      <c r="U71" s="1383" t="e">
        <f t="shared" si="4"/>
        <v>#DIV/0!</v>
      </c>
      <c r="V71" s="1382"/>
      <c r="W71" s="7"/>
      <c r="X71" s="7"/>
      <c r="Y71" s="7"/>
    </row>
    <row r="72" spans="1:25" ht="14.5" customHeight="1" x14ac:dyDescent="0.35">
      <c r="A72" s="1282" t="s">
        <v>1411</v>
      </c>
      <c r="B72" s="3295"/>
      <c r="C72" s="2" t="s">
        <v>623</v>
      </c>
      <c r="D72" s="1511" t="s">
        <v>17</v>
      </c>
      <c r="E72" s="1308" t="s">
        <v>563</v>
      </c>
      <c r="F72" s="1255">
        <v>0</v>
      </c>
      <c r="G72" s="2270">
        <v>0</v>
      </c>
      <c r="H72" s="1255">
        <v>0</v>
      </c>
      <c r="I72" s="1359">
        <f>H72*G72*F72</f>
        <v>0</v>
      </c>
      <c r="J72" s="1379"/>
      <c r="K72" s="1374">
        <v>1</v>
      </c>
      <c r="L72" s="2274">
        <v>2000</v>
      </c>
      <c r="M72" s="1374">
        <v>1</v>
      </c>
      <c r="N72" s="1384">
        <f>M72*L72*K72</f>
        <v>2000</v>
      </c>
      <c r="O72" s="1379"/>
      <c r="P72" s="2967">
        <f>N72+I72</f>
        <v>2000</v>
      </c>
      <c r="Q72" s="1335"/>
      <c r="R72" s="1379"/>
      <c r="S72" s="1262"/>
      <c r="T72" s="2710">
        <v>1002</v>
      </c>
      <c r="U72" s="1294">
        <f t="shared" si="4"/>
        <v>0.501</v>
      </c>
      <c r="V72" s="1262" t="s">
        <v>1625</v>
      </c>
      <c r="W72" s="7"/>
      <c r="X72" s="7"/>
      <c r="Y72" s="7"/>
    </row>
    <row r="73" spans="1:25" ht="24" customHeight="1" x14ac:dyDescent="0.3">
      <c r="A73" s="1" t="s">
        <v>1412</v>
      </c>
      <c r="B73" s="3295"/>
      <c r="C73" s="1931" t="s">
        <v>624</v>
      </c>
      <c r="D73" s="1385" t="s">
        <v>47</v>
      </c>
      <c r="E73" s="1386" t="s">
        <v>563</v>
      </c>
      <c r="F73" s="1374">
        <v>0</v>
      </c>
      <c r="G73" s="2274">
        <v>0</v>
      </c>
      <c r="H73" s="1374">
        <v>0</v>
      </c>
      <c r="I73" s="1384">
        <f t="shared" ref="I73:I74" si="6">H73*G73*F73</f>
        <v>0</v>
      </c>
      <c r="J73" s="1387"/>
      <c r="K73" s="1374">
        <v>1</v>
      </c>
      <c r="L73" s="2273">
        <v>40000</v>
      </c>
      <c r="M73" s="1374">
        <v>1</v>
      </c>
      <c r="N73" s="1370">
        <f>M73*L73*K73</f>
        <v>40000</v>
      </c>
      <c r="O73" s="1387"/>
      <c r="P73" s="2967">
        <f>N73+I73</f>
        <v>40000</v>
      </c>
      <c r="Q73" s="270"/>
      <c r="R73" s="1387"/>
      <c r="S73" s="1389"/>
      <c r="T73" s="2711">
        <v>40000</v>
      </c>
      <c r="U73" s="1390">
        <f t="shared" si="4"/>
        <v>1</v>
      </c>
      <c r="V73" s="1391" t="s">
        <v>1626</v>
      </c>
      <c r="W73" s="7"/>
      <c r="X73" s="7"/>
      <c r="Y73" s="7"/>
    </row>
    <row r="74" spans="1:25" ht="26" x14ac:dyDescent="0.3">
      <c r="A74" s="1" t="s">
        <v>1413</v>
      </c>
      <c r="B74" s="3295"/>
      <c r="C74" s="426" t="s">
        <v>625</v>
      </c>
      <c r="D74" s="1392" t="s">
        <v>15</v>
      </c>
      <c r="E74" s="1386" t="s">
        <v>563</v>
      </c>
      <c r="F74" s="1374">
        <v>0</v>
      </c>
      <c r="G74" s="2274">
        <v>0</v>
      </c>
      <c r="H74" s="1374">
        <v>0</v>
      </c>
      <c r="I74" s="1384">
        <f t="shared" si="6"/>
        <v>0</v>
      </c>
      <c r="J74" s="1379"/>
      <c r="K74" s="1374">
        <v>1</v>
      </c>
      <c r="L74" s="2274">
        <v>3500</v>
      </c>
      <c r="M74" s="1374">
        <v>1</v>
      </c>
      <c r="N74" s="1384">
        <f>M74*L74*K74</f>
        <v>3500</v>
      </c>
      <c r="O74" s="1379"/>
      <c r="P74" s="2967">
        <f>N74+I74</f>
        <v>3500</v>
      </c>
      <c r="Q74" s="1335"/>
      <c r="R74" s="1379"/>
      <c r="S74" s="1262"/>
      <c r="T74" s="2701">
        <v>2674</v>
      </c>
      <c r="U74" s="1294">
        <f t="shared" si="4"/>
        <v>0.76400000000000001</v>
      </c>
      <c r="V74" s="1262"/>
      <c r="W74" s="7"/>
      <c r="X74" s="7"/>
      <c r="Y74" s="7"/>
    </row>
    <row r="75" spans="1:25" x14ac:dyDescent="0.3">
      <c r="A75" s="1393" t="s">
        <v>1414</v>
      </c>
      <c r="B75" s="3295"/>
      <c r="C75" s="426" t="s">
        <v>626</v>
      </c>
      <c r="D75" s="1385" t="s">
        <v>47</v>
      </c>
      <c r="E75" s="1386"/>
      <c r="F75" s="1374"/>
      <c r="G75" s="2274"/>
      <c r="H75" s="1374"/>
      <c r="I75" s="1384"/>
      <c r="J75" s="1379"/>
      <c r="K75" s="1374">
        <v>1</v>
      </c>
      <c r="L75" s="2275">
        <v>19100</v>
      </c>
      <c r="M75" s="1374">
        <v>1</v>
      </c>
      <c r="N75" s="2268">
        <v>19100</v>
      </c>
      <c r="O75" s="1379"/>
      <c r="P75" s="2968">
        <v>19100</v>
      </c>
      <c r="Q75" s="1335"/>
      <c r="R75" s="1379"/>
      <c r="S75" s="1262"/>
      <c r="T75" s="2701">
        <v>18879.37</v>
      </c>
      <c r="U75" s="1294">
        <f t="shared" si="4"/>
        <v>0.98844869109947642</v>
      </c>
      <c r="V75" s="2276"/>
      <c r="W75" s="7"/>
      <c r="X75" s="7"/>
      <c r="Y75" s="7"/>
    </row>
    <row r="76" spans="1:25" ht="14.5" customHeight="1" x14ac:dyDescent="0.3">
      <c r="B76" s="3296"/>
      <c r="C76" s="1315" t="s">
        <v>573</v>
      </c>
      <c r="D76" s="1315"/>
      <c r="E76" s="1315"/>
      <c r="F76" s="1315"/>
      <c r="G76" s="1315"/>
      <c r="H76" s="1315"/>
      <c r="I76" s="1355">
        <f>SUM(I72:I74)</f>
        <v>0</v>
      </c>
      <c r="J76" s="1377"/>
      <c r="K76" s="1315"/>
      <c r="L76" s="1315"/>
      <c r="M76" s="1315"/>
      <c r="N76" s="1327">
        <f>SUM(N72:N75)</f>
        <v>64600</v>
      </c>
      <c r="O76" s="1377"/>
      <c r="P76" s="1327">
        <f>SUM(P72:P75)</f>
        <v>64600</v>
      </c>
      <c r="Q76" s="1394"/>
      <c r="R76" s="1377"/>
      <c r="S76" s="1276"/>
      <c r="T76" s="2702">
        <f>SUM(T72:T75)</f>
        <v>62555.369999999995</v>
      </c>
      <c r="U76" s="1297">
        <f t="shared" si="4"/>
        <v>0.96834938080495347</v>
      </c>
      <c r="V76" s="1276"/>
      <c r="W76" s="1276"/>
      <c r="X76" s="1322"/>
      <c r="Y76" s="1276"/>
    </row>
    <row r="77" spans="1:25" ht="25" x14ac:dyDescent="0.3">
      <c r="B77" s="2382"/>
      <c r="C77" s="2382"/>
      <c r="D77" s="2382"/>
      <c r="E77" s="2382"/>
      <c r="F77" s="2382"/>
      <c r="G77" s="2382"/>
      <c r="H77" s="2382"/>
      <c r="I77" s="2383">
        <f>I47+I51+I54+I58+I61+I64+I67+I70+I76</f>
        <v>9200</v>
      </c>
      <c r="J77" s="2384"/>
      <c r="K77" s="2384"/>
      <c r="L77" s="2384"/>
      <c r="M77" s="2384"/>
      <c r="N77" s="2385">
        <f>N47+N51+N54+N58+N61+N64+N67+N70+N76</f>
        <v>89504</v>
      </c>
      <c r="O77" s="2384"/>
      <c r="P77" s="2944">
        <f>P47+P51+P54+P58+P61+P64+P67+P70+P76</f>
        <v>98704</v>
      </c>
      <c r="Q77" s="2382"/>
      <c r="R77" s="2387"/>
      <c r="S77" s="2388"/>
      <c r="T77" s="2704">
        <f>T47+T51+T54+T58+T61+T64+T67+T70+T76</f>
        <v>94948.569999999992</v>
      </c>
      <c r="U77" s="2389">
        <f>T77/P77</f>
        <v>0.96195260577078934</v>
      </c>
      <c r="V77" s="2388" t="s">
        <v>1627</v>
      </c>
      <c r="W77" s="2390"/>
      <c r="X77" s="2391"/>
      <c r="Y77" s="2390"/>
    </row>
    <row r="78" spans="1:25" ht="14.5" customHeight="1" x14ac:dyDescent="0.3">
      <c r="B78" s="811" t="s">
        <v>627</v>
      </c>
      <c r="C78" s="1329"/>
      <c r="D78" s="1329"/>
      <c r="E78" s="1329"/>
      <c r="F78" s="1329"/>
      <c r="G78" s="1329"/>
      <c r="H78" s="1329"/>
      <c r="I78" s="1329"/>
      <c r="J78" s="1329"/>
      <c r="K78" s="1329"/>
      <c r="L78" s="1329"/>
      <c r="M78" s="1329"/>
      <c r="N78" s="1329"/>
      <c r="O78" s="1329"/>
      <c r="P78" s="2947"/>
      <c r="Q78" s="1329"/>
      <c r="R78" s="1329"/>
      <c r="S78" s="1331"/>
      <c r="T78" s="2712"/>
      <c r="U78" s="1332"/>
      <c r="V78" s="1331"/>
      <c r="W78" s="1331"/>
      <c r="X78" s="1333"/>
      <c r="Y78" s="1331"/>
    </row>
    <row r="79" spans="1:25" ht="14" x14ac:dyDescent="0.3">
      <c r="B79" s="3297" t="s">
        <v>628</v>
      </c>
      <c r="C79" s="1395" t="s">
        <v>629</v>
      </c>
      <c r="D79" s="1334"/>
      <c r="E79" s="1334"/>
      <c r="F79" s="1334"/>
      <c r="G79" s="1334"/>
      <c r="H79" s="1334"/>
      <c r="I79" s="1340"/>
      <c r="J79" s="1379"/>
      <c r="K79" s="1379"/>
      <c r="L79" s="1379"/>
      <c r="M79" s="1379"/>
      <c r="N79" s="1380"/>
      <c r="O79" s="1379"/>
      <c r="P79" s="2946"/>
      <c r="Q79" s="1381"/>
      <c r="R79" s="1379"/>
      <c r="S79" s="1382"/>
      <c r="T79" s="2709"/>
      <c r="U79" s="1383" t="e">
        <f t="shared" si="4"/>
        <v>#DIV/0!</v>
      </c>
      <c r="V79" s="1382"/>
      <c r="W79" s="7"/>
      <c r="X79" s="7"/>
      <c r="Y79" s="7"/>
    </row>
    <row r="80" spans="1:25" ht="15" customHeight="1" x14ac:dyDescent="0.3">
      <c r="A80" s="1" t="s">
        <v>1415</v>
      </c>
      <c r="B80" s="3298"/>
      <c r="C80" s="2" t="s">
        <v>630</v>
      </c>
      <c r="D80" s="1396" t="s">
        <v>17</v>
      </c>
      <c r="E80" s="1367" t="s">
        <v>563</v>
      </c>
      <c r="F80" s="1255">
        <v>1</v>
      </c>
      <c r="G80" s="1255">
        <v>1500</v>
      </c>
      <c r="H80" s="1255">
        <v>2</v>
      </c>
      <c r="I80" s="1286">
        <f>H80*G80*F80</f>
        <v>3000</v>
      </c>
      <c r="J80" s="1379"/>
      <c r="K80" s="1374">
        <v>0</v>
      </c>
      <c r="L80" s="1374">
        <v>0</v>
      </c>
      <c r="M80" s="1374">
        <v>0</v>
      </c>
      <c r="N80" s="1397">
        <f>M80*L80*K80</f>
        <v>0</v>
      </c>
      <c r="O80" s="1379"/>
      <c r="P80" s="2967">
        <f>N80+I80</f>
        <v>3000</v>
      </c>
      <c r="Q80" s="1335"/>
      <c r="R80" s="1379"/>
      <c r="S80" s="1262"/>
      <c r="T80" s="2701">
        <v>2631.5</v>
      </c>
      <c r="U80" s="1294">
        <f t="shared" si="4"/>
        <v>0.87716666666666665</v>
      </c>
      <c r="V80" s="1262" t="s">
        <v>1384</v>
      </c>
      <c r="W80" s="7"/>
      <c r="X80" s="7"/>
      <c r="Y80" s="7"/>
    </row>
    <row r="81" spans="1:25" ht="14.5" customHeight="1" x14ac:dyDescent="0.3">
      <c r="B81" s="3298"/>
      <c r="C81" s="1265" t="s">
        <v>631</v>
      </c>
      <c r="D81" s="1265"/>
      <c r="E81" s="1265"/>
      <c r="F81" s="1265"/>
      <c r="G81" s="1265"/>
      <c r="H81" s="1265"/>
      <c r="I81" s="1398">
        <f>SUM(I80)</f>
        <v>3000</v>
      </c>
      <c r="J81" s="1315"/>
      <c r="K81" s="1315"/>
      <c r="L81" s="1315"/>
      <c r="M81" s="1315"/>
      <c r="N81" s="1399">
        <f>SUM(N80)</f>
        <v>0</v>
      </c>
      <c r="O81" s="1377"/>
      <c r="P81" s="2838">
        <f>SUM(P80)</f>
        <v>3000</v>
      </c>
      <c r="Q81" s="1400"/>
      <c r="R81" s="1377"/>
      <c r="S81" s="1276"/>
      <c r="T81" s="2707">
        <f>SUM(T80)</f>
        <v>2631.5</v>
      </c>
      <c r="U81" s="1297">
        <f t="shared" si="4"/>
        <v>0.87716666666666665</v>
      </c>
      <c r="V81" s="1276"/>
      <c r="W81" s="1276"/>
      <c r="X81" s="1322"/>
      <c r="Y81" s="1276"/>
    </row>
    <row r="82" spans="1:25" ht="14.5" customHeight="1" x14ac:dyDescent="0.3">
      <c r="B82" s="3298"/>
      <c r="C82" s="1395" t="s">
        <v>632</v>
      </c>
      <c r="D82" s="1334"/>
      <c r="E82" s="1334"/>
      <c r="F82" s="1334"/>
      <c r="G82" s="1334"/>
      <c r="H82" s="1334"/>
      <c r="I82" s="1340"/>
      <c r="J82" s="1379"/>
      <c r="K82" s="1379"/>
      <c r="L82" s="1379"/>
      <c r="M82" s="1379"/>
      <c r="N82" s="1380"/>
      <c r="O82" s="1379"/>
      <c r="P82" s="2967"/>
      <c r="Q82" s="1335"/>
      <c r="R82" s="1379"/>
      <c r="S82" s="1382"/>
      <c r="T82" s="2709"/>
      <c r="U82" s="1383" t="e">
        <f t="shared" si="4"/>
        <v>#DIV/0!</v>
      </c>
      <c r="V82" s="1382"/>
      <c r="W82" s="7"/>
      <c r="X82" s="7"/>
      <c r="Y82" s="7"/>
    </row>
    <row r="83" spans="1:25" ht="26" x14ac:dyDescent="0.3">
      <c r="A83" s="1282" t="s">
        <v>1416</v>
      </c>
      <c r="B83" s="3298"/>
      <c r="C83" s="2" t="s">
        <v>633</v>
      </c>
      <c r="D83" s="1351" t="s">
        <v>15</v>
      </c>
      <c r="E83" s="1352" t="s">
        <v>563</v>
      </c>
      <c r="F83" s="1255">
        <v>1</v>
      </c>
      <c r="G83" s="1255">
        <v>8000</v>
      </c>
      <c r="H83" s="1255">
        <v>1</v>
      </c>
      <c r="I83" s="1279">
        <f>H83*G83*F83</f>
        <v>8000</v>
      </c>
      <c r="J83" s="1379"/>
      <c r="K83" s="1374">
        <v>0</v>
      </c>
      <c r="L83" s="1374">
        <v>0</v>
      </c>
      <c r="M83" s="1374">
        <v>0</v>
      </c>
      <c r="N83" s="1401">
        <f>M83*L83*K83</f>
        <v>0</v>
      </c>
      <c r="O83" s="1379"/>
      <c r="P83" s="2967">
        <f>N83+I83</f>
        <v>8000</v>
      </c>
      <c r="Q83" s="1335"/>
      <c r="R83" s="1379"/>
      <c r="S83" s="1262"/>
      <c r="T83" s="2701">
        <v>12731.02</v>
      </c>
      <c r="U83" s="1294">
        <f t="shared" si="4"/>
        <v>1.5913775000000001</v>
      </c>
      <c r="V83" s="1262" t="s">
        <v>1384</v>
      </c>
      <c r="W83" s="7"/>
      <c r="X83" s="7"/>
      <c r="Y83" s="7"/>
    </row>
    <row r="84" spans="1:25" x14ac:dyDescent="0.3">
      <c r="B84" s="3298"/>
      <c r="C84" s="1265" t="s">
        <v>631</v>
      </c>
      <c r="D84" s="1265"/>
      <c r="E84" s="1265"/>
      <c r="F84" s="1265"/>
      <c r="G84" s="1265"/>
      <c r="H84" s="1265"/>
      <c r="I84" s="1398">
        <f>SUM(I83)</f>
        <v>8000</v>
      </c>
      <c r="J84" s="1315"/>
      <c r="K84" s="1315"/>
      <c r="L84" s="1315"/>
      <c r="M84" s="1315"/>
      <c r="N84" s="1399">
        <f>SUM(N83)</f>
        <v>0</v>
      </c>
      <c r="O84" s="1377"/>
      <c r="P84" s="2838">
        <f>SUM(P82:P83)</f>
        <v>8000</v>
      </c>
      <c r="Q84" s="1400"/>
      <c r="R84" s="1377"/>
      <c r="S84" s="1276"/>
      <c r="T84" s="2707">
        <f>SUM(T82:T83)</f>
        <v>12731.02</v>
      </c>
      <c r="U84" s="1297">
        <f t="shared" si="4"/>
        <v>1.5913775000000001</v>
      </c>
      <c r="V84" s="1276"/>
      <c r="W84" s="1276"/>
      <c r="X84" s="1322"/>
      <c r="Y84" s="1276"/>
    </row>
    <row r="85" spans="1:25" ht="14.5" customHeight="1" x14ac:dyDescent="0.3">
      <c r="B85" s="3298"/>
      <c r="C85" s="1395" t="s">
        <v>634</v>
      </c>
      <c r="D85" s="1334"/>
      <c r="E85" s="1334"/>
      <c r="F85" s="1334"/>
      <c r="G85" s="1334"/>
      <c r="H85" s="1334"/>
      <c r="I85" s="1402"/>
      <c r="J85" s="1379"/>
      <c r="K85" s="1379"/>
      <c r="L85" s="1379"/>
      <c r="M85" s="1379"/>
      <c r="N85" s="1380"/>
      <c r="O85" s="1379"/>
      <c r="P85" s="2967"/>
      <c r="Q85" s="1335"/>
      <c r="R85" s="1379"/>
      <c r="S85" s="1382"/>
      <c r="T85" s="2709"/>
      <c r="U85" s="1383" t="e">
        <f t="shared" si="4"/>
        <v>#DIV/0!</v>
      </c>
      <c r="V85" s="1382"/>
      <c r="W85" s="7"/>
      <c r="X85" s="7"/>
      <c r="Y85" s="7"/>
    </row>
    <row r="86" spans="1:25" ht="14.5" customHeight="1" x14ac:dyDescent="0.3">
      <c r="B86" s="1403"/>
      <c r="C86" s="1265" t="s">
        <v>631</v>
      </c>
      <c r="D86" s="1265"/>
      <c r="E86" s="1265"/>
      <c r="F86" s="1265"/>
      <c r="G86" s="1265"/>
      <c r="H86" s="1265"/>
      <c r="I86" s="1398"/>
      <c r="J86" s="1315"/>
      <c r="K86" s="1315"/>
      <c r="L86" s="1315"/>
      <c r="M86" s="1315"/>
      <c r="N86" s="1399"/>
      <c r="O86" s="1377"/>
      <c r="P86" s="2838">
        <f>SUM(P85:P85)</f>
        <v>0</v>
      </c>
      <c r="Q86" s="1400"/>
      <c r="R86" s="1377"/>
      <c r="S86" s="1276"/>
      <c r="T86" s="2707">
        <f>SUM(T85:T85)</f>
        <v>0</v>
      </c>
      <c r="U86" s="1297"/>
      <c r="V86" s="1276"/>
      <c r="W86" s="1276"/>
      <c r="X86" s="1322"/>
      <c r="Y86" s="1276"/>
    </row>
    <row r="87" spans="1:25" ht="15" customHeight="1" x14ac:dyDescent="0.3">
      <c r="B87" s="2994" t="s">
        <v>636</v>
      </c>
      <c r="C87" s="1395" t="s">
        <v>637</v>
      </c>
      <c r="D87" s="1334"/>
      <c r="E87" s="1334"/>
      <c r="F87" s="1334"/>
      <c r="G87" s="1334"/>
      <c r="H87" s="1334"/>
      <c r="I87" s="1340"/>
      <c r="J87" s="1379"/>
      <c r="K87" s="1379"/>
      <c r="L87" s="1379"/>
      <c r="M87" s="1379"/>
      <c r="N87" s="1380"/>
      <c r="O87" s="1379"/>
      <c r="P87" s="2967"/>
      <c r="Q87" s="1335"/>
      <c r="R87" s="1379"/>
      <c r="S87" s="1382"/>
      <c r="T87" s="2709"/>
      <c r="U87" s="1383" t="e">
        <f t="shared" si="4"/>
        <v>#DIV/0!</v>
      </c>
      <c r="V87" s="1382"/>
      <c r="W87" s="7"/>
      <c r="X87" s="7"/>
      <c r="Y87" s="7"/>
    </row>
    <row r="88" spans="1:25" ht="31.9" customHeight="1" x14ac:dyDescent="0.3">
      <c r="B88" s="2996"/>
      <c r="C88" s="1265" t="s">
        <v>631</v>
      </c>
      <c r="D88" s="1265"/>
      <c r="E88" s="1265"/>
      <c r="F88" s="1265"/>
      <c r="G88" s="1265"/>
      <c r="H88" s="1265"/>
      <c r="I88" s="1398"/>
      <c r="J88" s="1315"/>
      <c r="K88" s="1315"/>
      <c r="L88" s="1315"/>
      <c r="M88" s="1315"/>
      <c r="N88" s="1399"/>
      <c r="O88" s="1377"/>
      <c r="P88" s="2838">
        <f>SUM(P87:P87)</f>
        <v>0</v>
      </c>
      <c r="Q88" s="1400"/>
      <c r="R88" s="1377"/>
      <c r="S88" s="1276"/>
      <c r="T88" s="2707">
        <f>SUM(T87:T87)</f>
        <v>0</v>
      </c>
      <c r="U88" s="1297"/>
      <c r="V88" s="1276"/>
      <c r="W88" s="1276"/>
      <c r="X88" s="1322"/>
      <c r="Y88" s="1276"/>
    </row>
    <row r="89" spans="1:25" ht="14" x14ac:dyDescent="0.3">
      <c r="B89" s="2994" t="s">
        <v>639</v>
      </c>
      <c r="C89" s="1395" t="s">
        <v>640</v>
      </c>
      <c r="D89" s="1334"/>
      <c r="E89" s="1334"/>
      <c r="F89" s="1334"/>
      <c r="G89" s="1334"/>
      <c r="H89" s="1334"/>
      <c r="I89" s="1340"/>
      <c r="J89" s="1379"/>
      <c r="K89" s="1379"/>
      <c r="L89" s="1379"/>
      <c r="M89" s="1379"/>
      <c r="N89" s="1380"/>
      <c r="O89" s="1379"/>
      <c r="P89" s="2967"/>
      <c r="Q89" s="1335"/>
      <c r="R89" s="1379"/>
      <c r="S89" s="1382"/>
      <c r="T89" s="2709"/>
      <c r="U89" s="1383" t="e">
        <f t="shared" si="4"/>
        <v>#DIV/0!</v>
      </c>
      <c r="V89" s="1382"/>
      <c r="W89" s="7"/>
      <c r="X89" s="7"/>
      <c r="Y89" s="7"/>
    </row>
    <row r="90" spans="1:25" ht="27.75" customHeight="1" x14ac:dyDescent="0.3">
      <c r="A90" s="1" t="s">
        <v>1417</v>
      </c>
      <c r="B90" s="2995"/>
      <c r="C90" s="265" t="s">
        <v>641</v>
      </c>
      <c r="D90" s="1283" t="s">
        <v>15</v>
      </c>
      <c r="E90" s="1308"/>
      <c r="F90" s="1255">
        <v>2</v>
      </c>
      <c r="G90" s="1352">
        <v>9000</v>
      </c>
      <c r="H90" s="1255">
        <v>2</v>
      </c>
      <c r="I90" s="1279">
        <f>H90*G90*F90</f>
        <v>36000</v>
      </c>
      <c r="J90" s="1379"/>
      <c r="K90" s="1374">
        <v>0</v>
      </c>
      <c r="L90" s="1374">
        <v>0</v>
      </c>
      <c r="M90" s="1374">
        <v>0</v>
      </c>
      <c r="N90" s="1401">
        <f>M90*L90*K90</f>
        <v>0</v>
      </c>
      <c r="O90" s="1404"/>
      <c r="P90" s="2967">
        <f>N90+I90</f>
        <v>36000</v>
      </c>
      <c r="Q90" s="1335"/>
      <c r="R90" s="1404"/>
      <c r="S90" s="1262"/>
      <c r="T90" s="2701">
        <v>30476.27</v>
      </c>
      <c r="U90" s="1294">
        <f t="shared" si="4"/>
        <v>0.84656305555555555</v>
      </c>
      <c r="V90" s="1262" t="s">
        <v>1628</v>
      </c>
      <c r="W90" s="7"/>
      <c r="X90" s="7"/>
      <c r="Y90" s="7"/>
    </row>
    <row r="91" spans="1:25" ht="28.15" customHeight="1" x14ac:dyDescent="0.3">
      <c r="B91" s="2996"/>
      <c r="C91" s="1315" t="s">
        <v>631</v>
      </c>
      <c r="D91" s="1315"/>
      <c r="E91" s="1315"/>
      <c r="F91" s="1315"/>
      <c r="G91" s="1315"/>
      <c r="H91" s="1315"/>
      <c r="I91" s="1406">
        <f>SUM(I90:I90)</f>
        <v>36000</v>
      </c>
      <c r="J91" s="1315"/>
      <c r="K91" s="1315"/>
      <c r="L91" s="1315"/>
      <c r="M91" s="1315"/>
      <c r="N91" s="1406">
        <f>SUM(N90:N90)</f>
        <v>0</v>
      </c>
      <c r="O91" s="1377"/>
      <c r="P91" s="2838">
        <f>SUM(P90:P90)</f>
        <v>36000</v>
      </c>
      <c r="Q91" s="1400"/>
      <c r="R91" s="1377"/>
      <c r="S91" s="1276"/>
      <c r="T91" s="2707">
        <f>SUM(T90:T90)</f>
        <v>30476.27</v>
      </c>
      <c r="U91" s="1297">
        <f t="shared" si="4"/>
        <v>0.84656305555555555</v>
      </c>
      <c r="V91" s="1276"/>
      <c r="W91" s="1276"/>
      <c r="X91" s="1322"/>
      <c r="Y91" s="1276"/>
    </row>
    <row r="92" spans="1:25" ht="14.5" customHeight="1" x14ac:dyDescent="0.3">
      <c r="B92" s="2376" t="s">
        <v>643</v>
      </c>
      <c r="C92" s="2377"/>
      <c r="D92" s="2377"/>
      <c r="E92" s="2377"/>
      <c r="F92" s="2377"/>
      <c r="G92" s="2377"/>
      <c r="H92" s="2377"/>
      <c r="I92" s="2378" t="b">
        <f>K88=I81+I84+I86+I88+I91</f>
        <v>0</v>
      </c>
      <c r="J92" s="2379"/>
      <c r="K92" s="2379"/>
      <c r="L92" s="2379"/>
      <c r="M92" s="2379"/>
      <c r="N92" s="2378">
        <f>N81+N84+N86+N88+N91</f>
        <v>0</v>
      </c>
      <c r="O92" s="2379"/>
      <c r="P92" s="2944">
        <f>P81+P84+P86+P88+P91</f>
        <v>47000</v>
      </c>
      <c r="Q92" s="2377"/>
      <c r="R92" s="2379"/>
      <c r="S92" s="2380"/>
      <c r="T92" s="2704">
        <f>T81+T84+T86+T88+T91</f>
        <v>45838.79</v>
      </c>
      <c r="U92" s="2381">
        <f t="shared" si="4"/>
        <v>0.97529340425531919</v>
      </c>
      <c r="V92" s="2380"/>
      <c r="W92" s="2380"/>
      <c r="X92" s="2391"/>
      <c r="Y92" s="2380"/>
    </row>
    <row r="93" spans="1:25" ht="33" customHeight="1" x14ac:dyDescent="0.3">
      <c r="B93" s="1407" t="s">
        <v>259</v>
      </c>
      <c r="C93" s="1407"/>
      <c r="D93" s="819"/>
      <c r="E93" s="819"/>
      <c r="F93" s="819"/>
      <c r="G93" s="819"/>
      <c r="H93" s="819"/>
      <c r="I93" s="820">
        <f>I43+I77+I92</f>
        <v>54830</v>
      </c>
      <c r="J93" s="821"/>
      <c r="K93" s="821"/>
      <c r="L93" s="821"/>
      <c r="M93" s="821"/>
      <c r="N93" s="820">
        <f>N43+N77+N92</f>
        <v>113604</v>
      </c>
      <c r="O93" s="821"/>
      <c r="P93" s="2948">
        <f>P43+P77+P92</f>
        <v>212934</v>
      </c>
      <c r="Q93" s="819"/>
      <c r="R93" s="821"/>
      <c r="S93" s="1217"/>
      <c r="T93" s="2713">
        <f>T43+T77+T92</f>
        <v>200353.78</v>
      </c>
      <c r="U93" s="1215">
        <f>T93/P93</f>
        <v>0.94091962767805981</v>
      </c>
      <c r="V93" s="1217"/>
      <c r="W93" s="1214">
        <f>X93/P93</f>
        <v>6.8633506156837332E-2</v>
      </c>
      <c r="X93" s="1216">
        <f>X43+X77+X92</f>
        <v>14614.406999999999</v>
      </c>
      <c r="Y93" s="1214"/>
    </row>
    <row r="94" spans="1:25" s="828" customFormat="1" ht="30" customHeight="1" x14ac:dyDescent="0.3">
      <c r="B94" s="822" t="s">
        <v>422</v>
      </c>
      <c r="C94" s="822"/>
      <c r="D94" s="822"/>
      <c r="E94" s="823"/>
      <c r="F94" s="823"/>
      <c r="G94" s="823"/>
      <c r="H94" s="823"/>
      <c r="I94" s="823"/>
      <c r="J94" s="824"/>
      <c r="K94" s="825"/>
      <c r="L94" s="824"/>
      <c r="M94" s="824"/>
      <c r="N94" s="826"/>
      <c r="O94" s="824"/>
      <c r="P94" s="2949"/>
      <c r="Q94" s="827"/>
      <c r="R94" s="824"/>
      <c r="S94" s="1218"/>
      <c r="T94" s="2714"/>
      <c r="U94" s="1219"/>
      <c r="V94" s="1218"/>
      <c r="W94" s="1218"/>
      <c r="X94" s="1220"/>
      <c r="Y94" s="1218"/>
    </row>
    <row r="95" spans="1:25" s="828" customFormat="1" ht="33" customHeight="1" x14ac:dyDescent="0.3">
      <c r="B95" s="2994" t="s">
        <v>644</v>
      </c>
      <c r="C95" s="2277" t="s">
        <v>645</v>
      </c>
      <c r="D95" s="1408"/>
      <c r="E95" s="1367"/>
      <c r="F95" s="1367"/>
      <c r="G95" s="1409"/>
      <c r="H95" s="1367"/>
      <c r="I95" s="1410"/>
      <c r="J95" s="1411"/>
      <c r="K95" s="1412"/>
      <c r="L95" s="1413"/>
      <c r="M95" s="1413"/>
      <c r="N95" s="1414"/>
      <c r="O95" s="1415"/>
      <c r="P95" s="1416"/>
      <c r="Q95" s="1417"/>
      <c r="R95" s="1415"/>
      <c r="S95" s="1418"/>
      <c r="T95" s="2715"/>
      <c r="U95" s="1419"/>
      <c r="V95" s="1418"/>
      <c r="W95" s="1420"/>
      <c r="X95" s="1421">
        <f>T95*0.3</f>
        <v>0</v>
      </c>
      <c r="Y95" s="1422"/>
    </row>
    <row r="96" spans="1:25" s="828" customFormat="1" ht="60.75" customHeight="1" x14ac:dyDescent="0.3">
      <c r="A96" s="828" t="s">
        <v>1418</v>
      </c>
      <c r="B96" s="2995"/>
      <c r="C96" s="1423" t="s">
        <v>646</v>
      </c>
      <c r="D96" s="1424" t="s">
        <v>47</v>
      </c>
      <c r="E96" s="1367" t="s">
        <v>647</v>
      </c>
      <c r="F96" s="1367"/>
      <c r="G96" s="1409"/>
      <c r="H96" s="1367"/>
      <c r="I96" s="1414">
        <f>F96*G96*H96</f>
        <v>0</v>
      </c>
      <c r="J96" s="1425">
        <v>0.3</v>
      </c>
      <c r="K96" s="1412">
        <v>1</v>
      </c>
      <c r="L96" s="1426">
        <v>115000</v>
      </c>
      <c r="M96" s="1427">
        <v>1</v>
      </c>
      <c r="N96" s="1414">
        <f>K96*L96*M96</f>
        <v>115000</v>
      </c>
      <c r="O96" s="1425">
        <v>0.3</v>
      </c>
      <c r="P96" s="1416">
        <f>I96+N96</f>
        <v>115000</v>
      </c>
      <c r="Q96" s="1428">
        <v>0.3</v>
      </c>
      <c r="R96" s="1411">
        <f>P96*Q96</f>
        <v>34500</v>
      </c>
      <c r="S96" s="1262"/>
      <c r="T96" s="2701">
        <v>114518.46</v>
      </c>
      <c r="U96" s="1294">
        <f>T96/P96</f>
        <v>0.99581269565217401</v>
      </c>
      <c r="V96" s="1261" t="s">
        <v>1385</v>
      </c>
      <c r="W96" s="1420">
        <f>X96/P96</f>
        <v>0.2987438086956522</v>
      </c>
      <c r="X96" s="1421">
        <f t="shared" ref="X96" si="7">T96*0.3</f>
        <v>34355.538</v>
      </c>
      <c r="Y96" s="1429" t="s">
        <v>1123</v>
      </c>
    </row>
    <row r="97" spans="1:25" s="828" customFormat="1" ht="51.75" customHeight="1" x14ac:dyDescent="0.3">
      <c r="A97" s="828" t="s">
        <v>1419</v>
      </c>
      <c r="B97" s="2995"/>
      <c r="C97" s="1423" t="s">
        <v>648</v>
      </c>
      <c r="D97" s="1405" t="s">
        <v>15</v>
      </c>
      <c r="E97" s="1367" t="s">
        <v>649</v>
      </c>
      <c r="F97" s="1367">
        <v>1</v>
      </c>
      <c r="G97" s="1409">
        <v>1450</v>
      </c>
      <c r="H97" s="1367">
        <v>6</v>
      </c>
      <c r="I97" s="1414">
        <f>F97*G97*H97</f>
        <v>8700</v>
      </c>
      <c r="J97" s="1425">
        <v>0</v>
      </c>
      <c r="K97" s="1412">
        <v>1</v>
      </c>
      <c r="L97" s="1426">
        <v>1450</v>
      </c>
      <c r="M97" s="1427">
        <v>6</v>
      </c>
      <c r="N97" s="1414">
        <f>K97*L97*M97</f>
        <v>8700</v>
      </c>
      <c r="O97" s="1425">
        <v>0</v>
      </c>
      <c r="P97" s="1416">
        <f>I97+N97</f>
        <v>17400</v>
      </c>
      <c r="Q97" s="1428">
        <v>0</v>
      </c>
      <c r="R97" s="1411">
        <f t="shared" ref="R97:R132" si="8">P97*Q97</f>
        <v>0</v>
      </c>
      <c r="S97" s="1261"/>
      <c r="T97" s="2701">
        <v>20181.62</v>
      </c>
      <c r="U97" s="1294">
        <f>T97/P97</f>
        <v>1.1598632183908046</v>
      </c>
      <c r="V97" s="1261" t="s">
        <v>1385</v>
      </c>
      <c r="W97" s="1420">
        <f t="shared" ref="W97:W133" si="9">X97/P97</f>
        <v>0</v>
      </c>
      <c r="X97" s="1421"/>
      <c r="Y97" s="1422"/>
    </row>
    <row r="98" spans="1:25" s="828" customFormat="1" ht="14.5" customHeight="1" x14ac:dyDescent="0.3">
      <c r="A98" s="828" t="s">
        <v>1420</v>
      </c>
      <c r="B98" s="2995"/>
      <c r="C98" s="1423" t="s">
        <v>650</v>
      </c>
      <c r="D98" s="1405" t="s">
        <v>15</v>
      </c>
      <c r="E98" s="1367" t="s">
        <v>649</v>
      </c>
      <c r="F98" s="1367"/>
      <c r="G98" s="1409"/>
      <c r="H98" s="1367"/>
      <c r="I98" s="1414">
        <f>F98*G98*H98</f>
        <v>0</v>
      </c>
      <c r="J98" s="1425">
        <v>0</v>
      </c>
      <c r="K98" s="2278">
        <v>1</v>
      </c>
      <c r="L98" s="2279">
        <v>1000</v>
      </c>
      <c r="M98" s="1427">
        <v>1</v>
      </c>
      <c r="N98" s="1414">
        <f>K98*L98*M98</f>
        <v>1000</v>
      </c>
      <c r="O98" s="1425">
        <v>0</v>
      </c>
      <c r="P98" s="1416">
        <f>I98+N98</f>
        <v>1000</v>
      </c>
      <c r="Q98" s="1428">
        <v>0</v>
      </c>
      <c r="R98" s="1411">
        <f t="shared" si="8"/>
        <v>0</v>
      </c>
      <c r="S98" s="1262"/>
      <c r="T98" s="2701">
        <v>1220</v>
      </c>
      <c r="U98" s="1294">
        <f t="shared" ref="U98:U162" si="10">T98/P98</f>
        <v>1.22</v>
      </c>
      <c r="V98" s="1262"/>
      <c r="W98" s="1420">
        <f t="shared" si="9"/>
        <v>0</v>
      </c>
      <c r="X98" s="1422"/>
      <c r="Y98" s="1422"/>
    </row>
    <row r="99" spans="1:25" s="828" customFormat="1" ht="39" customHeight="1" x14ac:dyDescent="0.3">
      <c r="A99" s="828" t="s">
        <v>1421</v>
      </c>
      <c r="B99" s="2995"/>
      <c r="C99" s="1423" t="s">
        <v>651</v>
      </c>
      <c r="D99" s="1430" t="s">
        <v>17</v>
      </c>
      <c r="E99" s="1367" t="s">
        <v>649</v>
      </c>
      <c r="F99" s="1367">
        <v>1</v>
      </c>
      <c r="G99" s="2280">
        <v>1500</v>
      </c>
      <c r="H99" s="1367">
        <v>3</v>
      </c>
      <c r="I99" s="1414">
        <f>F99*G99*H99</f>
        <v>4500</v>
      </c>
      <c r="J99" s="1425">
        <v>0</v>
      </c>
      <c r="K99" s="2278">
        <v>1</v>
      </c>
      <c r="L99" s="2279">
        <v>1500</v>
      </c>
      <c r="M99" s="1427">
        <v>4</v>
      </c>
      <c r="N99" s="1414">
        <f>K99*L99*M99</f>
        <v>6000</v>
      </c>
      <c r="O99" s="1425">
        <v>0</v>
      </c>
      <c r="P99" s="1416">
        <f>I99+N99</f>
        <v>10500</v>
      </c>
      <c r="Q99" s="1428">
        <v>0</v>
      </c>
      <c r="R99" s="1411">
        <f t="shared" si="8"/>
        <v>0</v>
      </c>
      <c r="S99" s="1261"/>
      <c r="T99" s="2701">
        <v>10231.450000000001</v>
      </c>
      <c r="U99" s="1294">
        <f t="shared" si="10"/>
        <v>0.97442380952380958</v>
      </c>
      <c r="V99" s="1261" t="s">
        <v>1386</v>
      </c>
      <c r="W99" s="1420">
        <f t="shared" si="9"/>
        <v>0</v>
      </c>
      <c r="X99" s="1422"/>
      <c r="Y99" s="1422"/>
    </row>
    <row r="100" spans="1:25" s="828" customFormat="1" ht="14.5" customHeight="1" x14ac:dyDescent="0.3">
      <c r="A100" s="1431" t="s">
        <v>1422</v>
      </c>
      <c r="B100" s="2995"/>
      <c r="C100" s="1423" t="s">
        <v>652</v>
      </c>
      <c r="D100" s="1405" t="s">
        <v>15</v>
      </c>
      <c r="E100" s="1367" t="s">
        <v>649</v>
      </c>
      <c r="F100" s="1367"/>
      <c r="G100" s="1409"/>
      <c r="H100" s="1367"/>
      <c r="I100" s="1414">
        <f>F100*G100*H100</f>
        <v>0</v>
      </c>
      <c r="J100" s="1432">
        <v>0</v>
      </c>
      <c r="K100" s="2278">
        <v>1</v>
      </c>
      <c r="L100" s="2281">
        <v>0</v>
      </c>
      <c r="M100" s="1427">
        <v>1</v>
      </c>
      <c r="N100" s="1414">
        <f>K100*L100*M100</f>
        <v>0</v>
      </c>
      <c r="O100" s="1432">
        <v>0</v>
      </c>
      <c r="P100" s="1416">
        <f>I100+N100</f>
        <v>0</v>
      </c>
      <c r="Q100" s="1428">
        <v>0</v>
      </c>
      <c r="R100" s="1411">
        <f t="shared" si="8"/>
        <v>0</v>
      </c>
      <c r="S100" s="1262"/>
      <c r="T100" s="2701">
        <v>0</v>
      </c>
      <c r="U100" s="1294"/>
      <c r="V100" s="1262"/>
      <c r="W100" s="1420"/>
      <c r="X100" s="1422"/>
      <c r="Y100" s="1422"/>
    </row>
    <row r="101" spans="1:25" s="828" customFormat="1" ht="29.25" customHeight="1" x14ac:dyDescent="0.3">
      <c r="B101" s="2995"/>
      <c r="C101" s="2277" t="s">
        <v>653</v>
      </c>
      <c r="D101" s="1408"/>
      <c r="E101" s="1367"/>
      <c r="F101" s="1433"/>
      <c r="G101" s="1434"/>
      <c r="H101" s="1433"/>
      <c r="I101" s="1410"/>
      <c r="J101" s="1411"/>
      <c r="K101" s="2282"/>
      <c r="L101" s="2282"/>
      <c r="M101" s="1413"/>
      <c r="N101" s="1414"/>
      <c r="O101" s="1415"/>
      <c r="P101" s="1416"/>
      <c r="Q101" s="1416"/>
      <c r="R101" s="1411">
        <f t="shared" si="8"/>
        <v>0</v>
      </c>
      <c r="S101" s="1262"/>
      <c r="T101" s="2701">
        <v>0</v>
      </c>
      <c r="U101" s="1294"/>
      <c r="V101" s="1262"/>
      <c r="W101" s="1420"/>
      <c r="X101" s="1422"/>
      <c r="Y101" s="1422"/>
    </row>
    <row r="102" spans="1:25" s="828" customFormat="1" ht="26" x14ac:dyDescent="0.3">
      <c r="A102" s="828" t="s">
        <v>1423</v>
      </c>
      <c r="B102" s="2995"/>
      <c r="C102" s="1435" t="s">
        <v>654</v>
      </c>
      <c r="D102" s="1405" t="s">
        <v>15</v>
      </c>
      <c r="E102" s="1367" t="s">
        <v>649</v>
      </c>
      <c r="F102" s="1433"/>
      <c r="G102" s="1434"/>
      <c r="H102" s="1433"/>
      <c r="I102" s="1414">
        <f>F102*G102*H102</f>
        <v>0</v>
      </c>
      <c r="J102" s="1425">
        <v>0.3</v>
      </c>
      <c r="K102" s="2283">
        <v>20</v>
      </c>
      <c r="L102" s="2283">
        <v>50</v>
      </c>
      <c r="M102" s="1412">
        <v>1</v>
      </c>
      <c r="N102" s="1414">
        <f>K102*L102*M102</f>
        <v>1000</v>
      </c>
      <c r="O102" s="1425">
        <v>0.3</v>
      </c>
      <c r="P102" s="1416">
        <f>I102+N102</f>
        <v>1000</v>
      </c>
      <c r="Q102" s="1428">
        <v>0.3</v>
      </c>
      <c r="R102" s="1411">
        <f t="shared" si="8"/>
        <v>300</v>
      </c>
      <c r="S102" s="1262"/>
      <c r="T102" s="2701">
        <v>928.08</v>
      </c>
      <c r="U102" s="1294">
        <f t="shared" si="10"/>
        <v>0.92808000000000002</v>
      </c>
      <c r="V102" s="1262" t="s">
        <v>1384</v>
      </c>
      <c r="W102" s="1420">
        <f t="shared" si="9"/>
        <v>0</v>
      </c>
      <c r="X102" s="1422"/>
      <c r="Y102" s="1422"/>
    </row>
    <row r="103" spans="1:25" s="828" customFormat="1" ht="75.75" customHeight="1" x14ac:dyDescent="0.3">
      <c r="A103" s="828" t="s">
        <v>1424</v>
      </c>
      <c r="B103" s="2995"/>
      <c r="C103" s="1435" t="s">
        <v>655</v>
      </c>
      <c r="D103" s="1405" t="s">
        <v>15</v>
      </c>
      <c r="E103" s="1367" t="s">
        <v>649</v>
      </c>
      <c r="F103" s="1433"/>
      <c r="G103" s="1434"/>
      <c r="H103" s="1433"/>
      <c r="I103" s="1414">
        <f>F103*G103*H103</f>
        <v>0</v>
      </c>
      <c r="J103" s="1425">
        <v>0.3</v>
      </c>
      <c r="K103" s="2283">
        <v>1</v>
      </c>
      <c r="L103" s="2283">
        <v>40000</v>
      </c>
      <c r="M103" s="1412">
        <v>1</v>
      </c>
      <c r="N103" s="1414">
        <f>K103*L103*M103</f>
        <v>40000</v>
      </c>
      <c r="O103" s="1425">
        <v>0.3</v>
      </c>
      <c r="P103" s="1416">
        <f>I103+N103</f>
        <v>40000</v>
      </c>
      <c r="Q103" s="1428">
        <v>0.3</v>
      </c>
      <c r="R103" s="1411">
        <f>P103*Q103</f>
        <v>12000</v>
      </c>
      <c r="S103" s="1262"/>
      <c r="T103" s="2701">
        <v>40000</v>
      </c>
      <c r="U103" s="1294">
        <f t="shared" si="10"/>
        <v>1</v>
      </c>
      <c r="V103" s="1262" t="s">
        <v>1384</v>
      </c>
      <c r="W103" s="1420">
        <f>X103/P103</f>
        <v>0.3</v>
      </c>
      <c r="X103" s="1421">
        <f t="shared" ref="X103:X132" si="11">T103*0.3</f>
        <v>12000</v>
      </c>
      <c r="Y103" s="1429" t="s">
        <v>1124</v>
      </c>
    </row>
    <row r="104" spans="1:25" s="828" customFormat="1" ht="37.5" customHeight="1" x14ac:dyDescent="0.3">
      <c r="A104" s="828" t="s">
        <v>1425</v>
      </c>
      <c r="B104" s="2995"/>
      <c r="C104" s="1436" t="s">
        <v>656</v>
      </c>
      <c r="D104" s="1405" t="s">
        <v>15</v>
      </c>
      <c r="E104" s="1367" t="s">
        <v>649</v>
      </c>
      <c r="F104" s="1433"/>
      <c r="G104" s="1434"/>
      <c r="H104" s="1433"/>
      <c r="I104" s="1414">
        <f>F104*G104*H104</f>
        <v>0</v>
      </c>
      <c r="J104" s="1425">
        <v>0.3</v>
      </c>
      <c r="K104" s="2283">
        <v>3</v>
      </c>
      <c r="L104" s="2283">
        <v>2500</v>
      </c>
      <c r="M104" s="1412">
        <v>1</v>
      </c>
      <c r="N104" s="1414">
        <f>K104*L104*M104</f>
        <v>7500</v>
      </c>
      <c r="O104" s="1425">
        <v>0.3</v>
      </c>
      <c r="P104" s="1416">
        <f>I104+N104</f>
        <v>7500</v>
      </c>
      <c r="Q104" s="1428">
        <v>0.3</v>
      </c>
      <c r="R104" s="1411">
        <f t="shared" si="8"/>
        <v>2250</v>
      </c>
      <c r="S104" s="1262"/>
      <c r="T104" s="2701">
        <v>7464</v>
      </c>
      <c r="U104" s="1294">
        <f t="shared" si="10"/>
        <v>0.99519999999999997</v>
      </c>
      <c r="V104" s="1262" t="s">
        <v>1384</v>
      </c>
      <c r="W104" s="1420">
        <f t="shared" si="9"/>
        <v>0.29855999999999999</v>
      </c>
      <c r="X104" s="1421">
        <f t="shared" si="11"/>
        <v>2239.1999999999998</v>
      </c>
      <c r="Y104" s="1429" t="s">
        <v>1125</v>
      </c>
    </row>
    <row r="105" spans="1:25" s="828" customFormat="1" ht="14.5" customHeight="1" x14ac:dyDescent="0.3">
      <c r="B105" s="2995"/>
      <c r="C105" s="2277" t="s">
        <v>657</v>
      </c>
      <c r="D105" s="1408"/>
      <c r="E105" s="1367"/>
      <c r="F105" s="1433"/>
      <c r="G105" s="1434"/>
      <c r="H105" s="1433"/>
      <c r="I105" s="1410"/>
      <c r="J105" s="1411"/>
      <c r="K105" s="2282"/>
      <c r="L105" s="2282"/>
      <c r="M105" s="1413"/>
      <c r="N105" s="1414"/>
      <c r="O105" s="1415"/>
      <c r="P105" s="1416"/>
      <c r="Q105" s="1416"/>
      <c r="R105" s="2284"/>
      <c r="S105" s="1262"/>
      <c r="T105" s="2701">
        <v>0</v>
      </c>
      <c r="U105" s="1294"/>
      <c r="V105" s="1262"/>
      <c r="W105" s="1420" t="e">
        <f t="shared" si="9"/>
        <v>#DIV/0!</v>
      </c>
      <c r="X105" s="1421">
        <f t="shared" si="11"/>
        <v>0</v>
      </c>
      <c r="Y105" s="1422"/>
    </row>
    <row r="106" spans="1:25" s="828" customFormat="1" ht="12.75" customHeight="1" x14ac:dyDescent="0.3">
      <c r="A106" s="828" t="s">
        <v>1426</v>
      </c>
      <c r="B106" s="2995"/>
      <c r="C106" s="1437" t="s">
        <v>658</v>
      </c>
      <c r="D106" s="1405" t="s">
        <v>15</v>
      </c>
      <c r="E106" s="1367" t="s">
        <v>649</v>
      </c>
      <c r="F106" s="1433"/>
      <c r="G106" s="1434"/>
      <c r="H106" s="1433"/>
      <c r="I106" s="1414">
        <f t="shared" ref="I106:I114" si="12">F106*G106*H106</f>
        <v>0</v>
      </c>
      <c r="J106" s="1425">
        <v>0.3</v>
      </c>
      <c r="K106" s="2">
        <v>10</v>
      </c>
      <c r="L106" s="2285">
        <v>42</v>
      </c>
      <c r="M106" s="1433">
        <v>1</v>
      </c>
      <c r="N106" s="1414">
        <f t="shared" ref="N106:N114" si="13">K106*L106*M106</f>
        <v>420</v>
      </c>
      <c r="O106" s="1425">
        <v>0.3</v>
      </c>
      <c r="P106" s="1416">
        <f t="shared" ref="P106:P114" si="14">I106+N106</f>
        <v>420</v>
      </c>
      <c r="Q106" s="1428">
        <v>0.3</v>
      </c>
      <c r="R106" s="1411">
        <f t="shared" si="8"/>
        <v>126</v>
      </c>
      <c r="S106" s="1262"/>
      <c r="T106" s="2701">
        <v>419</v>
      </c>
      <c r="U106" s="1294">
        <f t="shared" si="10"/>
        <v>0.99761904761904763</v>
      </c>
      <c r="V106" s="1262"/>
      <c r="W106" s="1420">
        <f t="shared" si="9"/>
        <v>0.29928571428571427</v>
      </c>
      <c r="X106" s="1421">
        <f t="shared" si="11"/>
        <v>125.69999999999999</v>
      </c>
      <c r="Y106" s="1422"/>
    </row>
    <row r="107" spans="1:25" s="828" customFormat="1" ht="14.5" customHeight="1" x14ac:dyDescent="0.3">
      <c r="A107" s="828" t="s">
        <v>1427</v>
      </c>
      <c r="B107" s="2995"/>
      <c r="C107" s="1437" t="s">
        <v>659</v>
      </c>
      <c r="D107" s="1405" t="s">
        <v>15</v>
      </c>
      <c r="E107" s="1367" t="s">
        <v>649</v>
      </c>
      <c r="F107" s="1433"/>
      <c r="G107" s="1434"/>
      <c r="H107" s="1433"/>
      <c r="I107" s="1414">
        <f t="shared" si="12"/>
        <v>0</v>
      </c>
      <c r="J107" s="1425">
        <v>0.3</v>
      </c>
      <c r="K107" s="2">
        <v>10</v>
      </c>
      <c r="L107" s="2285">
        <v>20</v>
      </c>
      <c r="M107" s="1433">
        <v>1</v>
      </c>
      <c r="N107" s="1414">
        <f t="shared" si="13"/>
        <v>200</v>
      </c>
      <c r="O107" s="1425">
        <v>0.3</v>
      </c>
      <c r="P107" s="1416">
        <f t="shared" si="14"/>
        <v>200</v>
      </c>
      <c r="Q107" s="1428">
        <v>0.3</v>
      </c>
      <c r="R107" s="1411">
        <f t="shared" si="8"/>
        <v>60</v>
      </c>
      <c r="S107" s="1262"/>
      <c r="T107" s="2701">
        <v>198</v>
      </c>
      <c r="U107" s="1294">
        <f t="shared" si="10"/>
        <v>0.99</v>
      </c>
      <c r="V107" s="1262" t="s">
        <v>1384</v>
      </c>
      <c r="W107" s="1420">
        <f t="shared" si="9"/>
        <v>0.29699999999999999</v>
      </c>
      <c r="X107" s="1421">
        <f t="shared" si="11"/>
        <v>59.4</v>
      </c>
      <c r="Y107" s="1422"/>
    </row>
    <row r="108" spans="1:25" s="828" customFormat="1" ht="14.5" customHeight="1" x14ac:dyDescent="0.3">
      <c r="A108" s="828" t="s">
        <v>1428</v>
      </c>
      <c r="B108" s="2995"/>
      <c r="C108" s="1438" t="s">
        <v>660</v>
      </c>
      <c r="D108" s="1405" t="s">
        <v>15</v>
      </c>
      <c r="E108" s="1367" t="s">
        <v>649</v>
      </c>
      <c r="F108" s="1433"/>
      <c r="G108" s="1434"/>
      <c r="H108" s="1433"/>
      <c r="I108" s="1414">
        <f t="shared" si="12"/>
        <v>0</v>
      </c>
      <c r="J108" s="1425">
        <v>0.3</v>
      </c>
      <c r="K108" s="2">
        <v>10</v>
      </c>
      <c r="L108" s="2285">
        <v>42</v>
      </c>
      <c r="M108" s="1433">
        <v>1</v>
      </c>
      <c r="N108" s="1414">
        <f t="shared" si="13"/>
        <v>420</v>
      </c>
      <c r="O108" s="1425">
        <v>0.3</v>
      </c>
      <c r="P108" s="1416">
        <f t="shared" si="14"/>
        <v>420</v>
      </c>
      <c r="Q108" s="1428">
        <v>0.3</v>
      </c>
      <c r="R108" s="1411">
        <f t="shared" si="8"/>
        <v>126</v>
      </c>
      <c r="S108" s="1262"/>
      <c r="T108" s="2701">
        <v>405</v>
      </c>
      <c r="U108" s="1294">
        <f t="shared" si="10"/>
        <v>0.9642857142857143</v>
      </c>
      <c r="V108" s="1262" t="s">
        <v>1384</v>
      </c>
      <c r="W108" s="1420">
        <f t="shared" si="9"/>
        <v>0.28928571428571431</v>
      </c>
      <c r="X108" s="1421">
        <f t="shared" si="11"/>
        <v>121.5</v>
      </c>
      <c r="Y108" s="1422"/>
    </row>
    <row r="109" spans="1:25" s="828" customFormat="1" ht="14.5" customHeight="1" x14ac:dyDescent="0.3">
      <c r="A109" s="828" t="s">
        <v>1429</v>
      </c>
      <c r="B109" s="2995"/>
      <c r="C109" s="1438" t="s">
        <v>661</v>
      </c>
      <c r="D109" s="1405" t="s">
        <v>15</v>
      </c>
      <c r="E109" s="1367" t="s">
        <v>649</v>
      </c>
      <c r="F109" s="1433"/>
      <c r="G109" s="1434"/>
      <c r="H109" s="1433"/>
      <c r="I109" s="1414">
        <f t="shared" si="12"/>
        <v>0</v>
      </c>
      <c r="J109" s="1425">
        <v>0.3</v>
      </c>
      <c r="K109" s="1433">
        <v>10</v>
      </c>
      <c r="L109" s="1434">
        <v>200</v>
      </c>
      <c r="M109" s="1433">
        <v>1</v>
      </c>
      <c r="N109" s="1414">
        <f t="shared" si="13"/>
        <v>2000</v>
      </c>
      <c r="O109" s="1425">
        <v>0.3</v>
      </c>
      <c r="P109" s="1416">
        <f t="shared" si="14"/>
        <v>2000</v>
      </c>
      <c r="Q109" s="1428">
        <v>0.3</v>
      </c>
      <c r="R109" s="1411">
        <f t="shared" si="8"/>
        <v>600</v>
      </c>
      <c r="S109" s="1262"/>
      <c r="T109" s="2701">
        <v>2025</v>
      </c>
      <c r="U109" s="1294">
        <f t="shared" si="10"/>
        <v>1.0125</v>
      </c>
      <c r="V109" s="1262" t="s">
        <v>1384</v>
      </c>
      <c r="W109" s="1420">
        <f t="shared" si="9"/>
        <v>0.30375000000000002</v>
      </c>
      <c r="X109" s="1421">
        <f t="shared" si="11"/>
        <v>607.5</v>
      </c>
      <c r="Y109" s="1422"/>
    </row>
    <row r="110" spans="1:25" s="828" customFormat="1" ht="14.5" customHeight="1" x14ac:dyDescent="0.3">
      <c r="A110" s="828" t="s">
        <v>1430</v>
      </c>
      <c r="B110" s="2995"/>
      <c r="C110" s="1438" t="s">
        <v>662</v>
      </c>
      <c r="D110" s="1405" t="s">
        <v>15</v>
      </c>
      <c r="E110" s="1367" t="s">
        <v>649</v>
      </c>
      <c r="F110" s="1433"/>
      <c r="G110" s="1434"/>
      <c r="H110" s="1433"/>
      <c r="I110" s="1414">
        <f t="shared" si="12"/>
        <v>0</v>
      </c>
      <c r="J110" s="1425">
        <v>0.3</v>
      </c>
      <c r="K110" s="1433">
        <v>10</v>
      </c>
      <c r="L110" s="1434">
        <v>120</v>
      </c>
      <c r="M110" s="1433">
        <v>1</v>
      </c>
      <c r="N110" s="1414">
        <f t="shared" si="13"/>
        <v>1200</v>
      </c>
      <c r="O110" s="1425">
        <v>0.3</v>
      </c>
      <c r="P110" s="1416">
        <f t="shared" si="14"/>
        <v>1200</v>
      </c>
      <c r="Q110" s="1428">
        <v>0.3</v>
      </c>
      <c r="R110" s="1411">
        <f t="shared" si="8"/>
        <v>360</v>
      </c>
      <c r="S110" s="1262"/>
      <c r="T110" s="2701">
        <v>1598</v>
      </c>
      <c r="U110" s="1294">
        <f t="shared" si="10"/>
        <v>1.3316666666666668</v>
      </c>
      <c r="V110" s="1262" t="s">
        <v>1384</v>
      </c>
      <c r="W110" s="1420">
        <f t="shared" si="9"/>
        <v>0.39949999999999997</v>
      </c>
      <c r="X110" s="1421">
        <f t="shared" si="11"/>
        <v>479.4</v>
      </c>
      <c r="Y110" s="1422"/>
    </row>
    <row r="111" spans="1:25" s="828" customFormat="1" ht="14.5" customHeight="1" x14ac:dyDescent="0.3">
      <c r="A111" s="828" t="s">
        <v>1431</v>
      </c>
      <c r="B111" s="2995"/>
      <c r="C111" s="1438" t="s">
        <v>663</v>
      </c>
      <c r="D111" s="1405" t="s">
        <v>15</v>
      </c>
      <c r="E111" s="1367" t="s">
        <v>649</v>
      </c>
      <c r="F111" s="1412"/>
      <c r="G111" s="1413"/>
      <c r="H111" s="1433"/>
      <c r="I111" s="1414">
        <f t="shared" si="12"/>
        <v>0</v>
      </c>
      <c r="J111" s="1425">
        <v>0.3</v>
      </c>
      <c r="K111" s="1412">
        <v>10</v>
      </c>
      <c r="L111" s="1413">
        <v>180</v>
      </c>
      <c r="M111" s="1433">
        <v>1</v>
      </c>
      <c r="N111" s="1414">
        <f t="shared" si="13"/>
        <v>1800</v>
      </c>
      <c r="O111" s="1425">
        <v>0.3</v>
      </c>
      <c r="P111" s="1416">
        <f t="shared" si="14"/>
        <v>1800</v>
      </c>
      <c r="Q111" s="1428">
        <v>0.3</v>
      </c>
      <c r="R111" s="1411">
        <f t="shared" si="8"/>
        <v>540</v>
      </c>
      <c r="S111" s="1262"/>
      <c r="T111" s="2701">
        <v>1026.92</v>
      </c>
      <c r="U111" s="1294">
        <f t="shared" si="10"/>
        <v>0.57051111111111119</v>
      </c>
      <c r="V111" s="1262" t="s">
        <v>1384</v>
      </c>
      <c r="W111" s="1420">
        <f t="shared" si="9"/>
        <v>0.17115333333333335</v>
      </c>
      <c r="X111" s="1421">
        <f t="shared" si="11"/>
        <v>308.07600000000002</v>
      </c>
      <c r="Y111" s="1422"/>
    </row>
    <row r="112" spans="1:25" s="828" customFormat="1" ht="14.5" customHeight="1" x14ac:dyDescent="0.3">
      <c r="A112" s="828" t="s">
        <v>1432</v>
      </c>
      <c r="B112" s="2995"/>
      <c r="C112" s="1438" t="s">
        <v>664</v>
      </c>
      <c r="D112" s="1405" t="s">
        <v>15</v>
      </c>
      <c r="E112" s="1367" t="s">
        <v>649</v>
      </c>
      <c r="F112" s="1412"/>
      <c r="G112" s="1413"/>
      <c r="H112" s="1433"/>
      <c r="I112" s="1414">
        <f t="shared" si="12"/>
        <v>0</v>
      </c>
      <c r="J112" s="1425">
        <v>0.3</v>
      </c>
      <c r="K112" s="1412">
        <v>40</v>
      </c>
      <c r="L112" s="1413">
        <v>30</v>
      </c>
      <c r="M112" s="1433">
        <v>1</v>
      </c>
      <c r="N112" s="1414">
        <f t="shared" si="13"/>
        <v>1200</v>
      </c>
      <c r="O112" s="1425">
        <v>0.3</v>
      </c>
      <c r="P112" s="1416">
        <f t="shared" si="14"/>
        <v>1200</v>
      </c>
      <c r="Q112" s="1428">
        <v>0.3</v>
      </c>
      <c r="R112" s="1411">
        <f t="shared" si="8"/>
        <v>360</v>
      </c>
      <c r="S112" s="1262"/>
      <c r="T112" s="2701">
        <v>655</v>
      </c>
      <c r="U112" s="1294">
        <f t="shared" si="10"/>
        <v>0.54583333333333328</v>
      </c>
      <c r="V112" s="1262" t="s">
        <v>1384</v>
      </c>
      <c r="W112" s="1420">
        <f t="shared" si="9"/>
        <v>0.16375000000000001</v>
      </c>
      <c r="X112" s="1421">
        <f t="shared" si="11"/>
        <v>196.5</v>
      </c>
      <c r="Y112" s="1422"/>
    </row>
    <row r="113" spans="1:25" s="828" customFormat="1" ht="14.5" customHeight="1" x14ac:dyDescent="0.3">
      <c r="A113" s="828" t="s">
        <v>1433</v>
      </c>
      <c r="B113" s="2995"/>
      <c r="C113" s="1438" t="s">
        <v>665</v>
      </c>
      <c r="D113" s="1405" t="s">
        <v>15</v>
      </c>
      <c r="E113" s="1367" t="s">
        <v>649</v>
      </c>
      <c r="F113" s="1412"/>
      <c r="G113" s="1413"/>
      <c r="H113" s="1433"/>
      <c r="I113" s="1414">
        <f t="shared" si="12"/>
        <v>0</v>
      </c>
      <c r="J113" s="1425">
        <v>0.3</v>
      </c>
      <c r="K113" s="1412">
        <v>4</v>
      </c>
      <c r="L113" s="1413">
        <v>70</v>
      </c>
      <c r="M113" s="1433">
        <v>1</v>
      </c>
      <c r="N113" s="1414">
        <f t="shared" si="13"/>
        <v>280</v>
      </c>
      <c r="O113" s="1425">
        <v>0.3</v>
      </c>
      <c r="P113" s="1416">
        <f t="shared" si="14"/>
        <v>280</v>
      </c>
      <c r="Q113" s="1428">
        <v>0.3</v>
      </c>
      <c r="R113" s="1411">
        <f t="shared" si="8"/>
        <v>84</v>
      </c>
      <c r="S113" s="1262"/>
      <c r="T113" s="2701">
        <v>266</v>
      </c>
      <c r="U113" s="1294">
        <f t="shared" si="10"/>
        <v>0.95</v>
      </c>
      <c r="V113" s="1262" t="s">
        <v>1384</v>
      </c>
      <c r="W113" s="1420">
        <f t="shared" si="9"/>
        <v>0.28499999999999998</v>
      </c>
      <c r="X113" s="1421">
        <f t="shared" si="11"/>
        <v>79.8</v>
      </c>
      <c r="Y113" s="1422"/>
    </row>
    <row r="114" spans="1:25" s="828" customFormat="1" ht="14.5" customHeight="1" x14ac:dyDescent="0.3">
      <c r="A114" s="828" t="s">
        <v>1434</v>
      </c>
      <c r="B114" s="2995"/>
      <c r="C114" s="1437" t="s">
        <v>666</v>
      </c>
      <c r="D114" s="1405" t="s">
        <v>15</v>
      </c>
      <c r="E114" s="1367" t="s">
        <v>649</v>
      </c>
      <c r="F114" s="1413"/>
      <c r="G114" s="1413"/>
      <c r="H114" s="1433"/>
      <c r="I114" s="1414">
        <f t="shared" si="12"/>
        <v>0</v>
      </c>
      <c r="J114" s="1425">
        <v>0.3</v>
      </c>
      <c r="K114" s="2282">
        <v>1</v>
      </c>
      <c r="L114" s="2282">
        <v>3500</v>
      </c>
      <c r="M114" s="1433">
        <v>1</v>
      </c>
      <c r="N114" s="1414">
        <f t="shared" si="13"/>
        <v>3500</v>
      </c>
      <c r="O114" s="1425">
        <v>0.3</v>
      </c>
      <c r="P114" s="1416">
        <f t="shared" si="14"/>
        <v>3500</v>
      </c>
      <c r="Q114" s="1428">
        <v>0.3</v>
      </c>
      <c r="R114" s="1411">
        <f t="shared" si="8"/>
        <v>1050</v>
      </c>
      <c r="S114" s="1262"/>
      <c r="T114" s="2701">
        <v>2806</v>
      </c>
      <c r="U114" s="1294">
        <f t="shared" si="10"/>
        <v>0.80171428571428571</v>
      </c>
      <c r="V114" s="1262" t="s">
        <v>1384</v>
      </c>
      <c r="W114" s="1420">
        <f t="shared" si="9"/>
        <v>0.24051428571428571</v>
      </c>
      <c r="X114" s="1421">
        <f t="shared" si="11"/>
        <v>841.8</v>
      </c>
      <c r="Y114" s="1422"/>
    </row>
    <row r="115" spans="1:25" s="828" customFormat="1" ht="26" x14ac:dyDescent="0.3">
      <c r="B115" s="2995"/>
      <c r="C115" s="2277" t="s">
        <v>667</v>
      </c>
      <c r="D115" s="1408"/>
      <c r="E115" s="1367"/>
      <c r="F115" s="1433"/>
      <c r="G115" s="1434"/>
      <c r="H115" s="1433"/>
      <c r="I115" s="1410"/>
      <c r="J115" s="1411"/>
      <c r="K115" s="2282"/>
      <c r="L115" s="2282"/>
      <c r="M115" s="1413"/>
      <c r="N115" s="1414"/>
      <c r="O115" s="1415"/>
      <c r="P115" s="1416"/>
      <c r="Q115" s="1416"/>
      <c r="R115" s="1411">
        <f t="shared" si="8"/>
        <v>0</v>
      </c>
      <c r="S115" s="1262"/>
      <c r="T115" s="2701">
        <v>0</v>
      </c>
      <c r="U115" s="1294"/>
      <c r="V115" s="1262"/>
      <c r="W115" s="1420"/>
      <c r="X115" s="1421">
        <f t="shared" si="11"/>
        <v>0</v>
      </c>
      <c r="Y115" s="1422"/>
    </row>
    <row r="116" spans="1:25" s="828" customFormat="1" ht="26" x14ac:dyDescent="0.3">
      <c r="A116" s="828" t="s">
        <v>1435</v>
      </c>
      <c r="B116" s="2995"/>
      <c r="C116" s="1437" t="s">
        <v>668</v>
      </c>
      <c r="D116" s="1405" t="s">
        <v>15</v>
      </c>
      <c r="E116" s="1367" t="s">
        <v>649</v>
      </c>
      <c r="F116" s="1439"/>
      <c r="G116" s="1434"/>
      <c r="H116" s="1433"/>
      <c r="I116" s="1414">
        <f t="shared" ref="I116:I124" si="15">F116*G116*H116</f>
        <v>0</v>
      </c>
      <c r="J116" s="1425">
        <v>0.3</v>
      </c>
      <c r="K116" s="2283">
        <v>2</v>
      </c>
      <c r="L116" s="2282">
        <v>875</v>
      </c>
      <c r="M116" s="1412">
        <v>1</v>
      </c>
      <c r="N116" s="1414">
        <f t="shared" ref="N116:N124" si="16">K116*L116*M116</f>
        <v>1750</v>
      </c>
      <c r="O116" s="1425">
        <v>0.3</v>
      </c>
      <c r="P116" s="1416">
        <f t="shared" ref="P116:P124" si="17">I116+N116</f>
        <v>1750</v>
      </c>
      <c r="Q116" s="1428">
        <v>0.3</v>
      </c>
      <c r="R116" s="1411">
        <f t="shared" si="8"/>
        <v>525</v>
      </c>
      <c r="S116" s="1262"/>
      <c r="T116" s="2701">
        <v>1720</v>
      </c>
      <c r="U116" s="1294">
        <f t="shared" si="10"/>
        <v>0.98285714285714287</v>
      </c>
      <c r="V116" s="1262" t="s">
        <v>1384</v>
      </c>
      <c r="W116" s="1420">
        <f t="shared" si="9"/>
        <v>0.29485714285714287</v>
      </c>
      <c r="X116" s="1421">
        <f t="shared" si="11"/>
        <v>516</v>
      </c>
      <c r="Y116" s="1422"/>
    </row>
    <row r="117" spans="1:25" s="828" customFormat="1" ht="14.5" customHeight="1" x14ac:dyDescent="0.3">
      <c r="A117" s="828" t="s">
        <v>1436</v>
      </c>
      <c r="B117" s="2995"/>
      <c r="C117" s="1437" t="s">
        <v>669</v>
      </c>
      <c r="D117" s="1405" t="s">
        <v>15</v>
      </c>
      <c r="E117" s="1367" t="s">
        <v>649</v>
      </c>
      <c r="F117" s="1439"/>
      <c r="G117" s="1434"/>
      <c r="H117" s="1433"/>
      <c r="I117" s="1414">
        <f t="shared" si="15"/>
        <v>0</v>
      </c>
      <c r="J117" s="1425">
        <v>0.3</v>
      </c>
      <c r="K117" s="2283">
        <v>1</v>
      </c>
      <c r="L117" s="2282">
        <v>120</v>
      </c>
      <c r="M117" s="1412">
        <v>1</v>
      </c>
      <c r="N117" s="1414">
        <f t="shared" si="16"/>
        <v>120</v>
      </c>
      <c r="O117" s="1425">
        <v>0.3</v>
      </c>
      <c r="P117" s="1416">
        <f t="shared" si="17"/>
        <v>120</v>
      </c>
      <c r="Q117" s="1428">
        <v>0.3</v>
      </c>
      <c r="R117" s="1411">
        <f t="shared" si="8"/>
        <v>36</v>
      </c>
      <c r="S117" s="1262"/>
      <c r="T117" s="2701">
        <v>0</v>
      </c>
      <c r="U117" s="1294">
        <f t="shared" si="10"/>
        <v>0</v>
      </c>
      <c r="V117" s="2286" t="s">
        <v>1629</v>
      </c>
      <c r="W117" s="1420">
        <f t="shared" si="9"/>
        <v>0</v>
      </c>
      <c r="X117" s="1421">
        <f t="shared" si="11"/>
        <v>0</v>
      </c>
      <c r="Y117" s="1422"/>
    </row>
    <row r="118" spans="1:25" s="828" customFormat="1" ht="14.5" customHeight="1" x14ac:dyDescent="0.3">
      <c r="A118" s="828" t="s">
        <v>1437</v>
      </c>
      <c r="B118" s="2995"/>
      <c r="C118" s="1437" t="s">
        <v>670</v>
      </c>
      <c r="D118" s="1405" t="s">
        <v>15</v>
      </c>
      <c r="E118" s="1367" t="s">
        <v>649</v>
      </c>
      <c r="F118" s="1439"/>
      <c r="G118" s="1434"/>
      <c r="H118" s="1433"/>
      <c r="I118" s="1414">
        <f t="shared" si="15"/>
        <v>0</v>
      </c>
      <c r="J118" s="1425">
        <v>0.3</v>
      </c>
      <c r="K118" s="2283">
        <v>2</v>
      </c>
      <c r="L118" s="2282">
        <v>350</v>
      </c>
      <c r="M118" s="1412">
        <v>1</v>
      </c>
      <c r="N118" s="1414">
        <f t="shared" si="16"/>
        <v>700</v>
      </c>
      <c r="O118" s="1425">
        <v>0.3</v>
      </c>
      <c r="P118" s="1416">
        <f t="shared" si="17"/>
        <v>700</v>
      </c>
      <c r="Q118" s="1428">
        <v>0.3</v>
      </c>
      <c r="R118" s="1411">
        <f t="shared" si="8"/>
        <v>210</v>
      </c>
      <c r="S118" s="1262"/>
      <c r="T118" s="2701">
        <v>650</v>
      </c>
      <c r="U118" s="1294">
        <f t="shared" si="10"/>
        <v>0.9285714285714286</v>
      </c>
      <c r="V118" s="1262" t="s">
        <v>1384</v>
      </c>
      <c r="W118" s="1420">
        <f t="shared" si="9"/>
        <v>0.27857142857142858</v>
      </c>
      <c r="X118" s="1421">
        <f t="shared" si="11"/>
        <v>195</v>
      </c>
      <c r="Y118" s="1422"/>
    </row>
    <row r="119" spans="1:25" s="828" customFormat="1" ht="14.5" customHeight="1" x14ac:dyDescent="0.3">
      <c r="A119" s="828" t="s">
        <v>1438</v>
      </c>
      <c r="B119" s="2995"/>
      <c r="C119" s="1437" t="s">
        <v>671</v>
      </c>
      <c r="D119" s="1405" t="s">
        <v>15</v>
      </c>
      <c r="E119" s="1367" t="s">
        <v>649</v>
      </c>
      <c r="F119" s="1439"/>
      <c r="G119" s="1434"/>
      <c r="H119" s="1433"/>
      <c r="I119" s="1414">
        <f t="shared" si="15"/>
        <v>0</v>
      </c>
      <c r="J119" s="1425">
        <v>0.3</v>
      </c>
      <c r="K119" s="2283">
        <v>1</v>
      </c>
      <c r="L119" s="2282">
        <v>120</v>
      </c>
      <c r="M119" s="1412">
        <v>1</v>
      </c>
      <c r="N119" s="1414">
        <f t="shared" si="16"/>
        <v>120</v>
      </c>
      <c r="O119" s="1425">
        <v>0.3</v>
      </c>
      <c r="P119" s="1416">
        <f t="shared" si="17"/>
        <v>120</v>
      </c>
      <c r="Q119" s="1428">
        <v>0.3</v>
      </c>
      <c r="R119" s="1411">
        <f t="shared" si="8"/>
        <v>36</v>
      </c>
      <c r="S119" s="1262"/>
      <c r="T119" s="2701">
        <v>120</v>
      </c>
      <c r="U119" s="1294">
        <f t="shared" si="10"/>
        <v>1</v>
      </c>
      <c r="V119" s="1262" t="s">
        <v>1384</v>
      </c>
      <c r="W119" s="1420">
        <f t="shared" si="9"/>
        <v>0.3</v>
      </c>
      <c r="X119" s="1421">
        <f t="shared" si="11"/>
        <v>36</v>
      </c>
      <c r="Y119" s="1422"/>
    </row>
    <row r="120" spans="1:25" s="828" customFormat="1" ht="14.5" customHeight="1" x14ac:dyDescent="0.3">
      <c r="A120" s="828" t="s">
        <v>1439</v>
      </c>
      <c r="B120" s="2995"/>
      <c r="C120" s="1437" t="s">
        <v>672</v>
      </c>
      <c r="D120" s="1405" t="s">
        <v>15</v>
      </c>
      <c r="E120" s="1367" t="s">
        <v>649</v>
      </c>
      <c r="F120" s="1439"/>
      <c r="G120" s="1434"/>
      <c r="H120" s="1433"/>
      <c r="I120" s="1414">
        <f t="shared" si="15"/>
        <v>0</v>
      </c>
      <c r="J120" s="1425">
        <v>0.3</v>
      </c>
      <c r="K120" s="2283">
        <v>2</v>
      </c>
      <c r="L120" s="2282">
        <v>100</v>
      </c>
      <c r="M120" s="1412">
        <v>1</v>
      </c>
      <c r="N120" s="1414">
        <f t="shared" si="16"/>
        <v>200</v>
      </c>
      <c r="O120" s="1425">
        <v>0.3</v>
      </c>
      <c r="P120" s="1416">
        <f t="shared" si="17"/>
        <v>200</v>
      </c>
      <c r="Q120" s="1428">
        <v>0.3</v>
      </c>
      <c r="R120" s="1411">
        <f t="shared" si="8"/>
        <v>60</v>
      </c>
      <c r="S120" s="1262"/>
      <c r="T120" s="2701">
        <v>190</v>
      </c>
      <c r="U120" s="1294">
        <f t="shared" si="10"/>
        <v>0.95</v>
      </c>
      <c r="V120" s="1262" t="s">
        <v>1384</v>
      </c>
      <c r="W120" s="1420">
        <f t="shared" si="9"/>
        <v>0.28499999999999998</v>
      </c>
      <c r="X120" s="1421">
        <f t="shared" si="11"/>
        <v>57</v>
      </c>
      <c r="Y120" s="1422"/>
    </row>
    <row r="121" spans="1:25" s="828" customFormat="1" ht="14.5" customHeight="1" x14ac:dyDescent="0.3">
      <c r="A121" s="828" t="s">
        <v>1440</v>
      </c>
      <c r="B121" s="2995"/>
      <c r="C121" s="1437" t="s">
        <v>673</v>
      </c>
      <c r="D121" s="1405" t="s">
        <v>15</v>
      </c>
      <c r="E121" s="1367" t="s">
        <v>649</v>
      </c>
      <c r="F121" s="1439"/>
      <c r="G121" s="1434"/>
      <c r="H121" s="1433"/>
      <c r="I121" s="1414">
        <f t="shared" si="15"/>
        <v>0</v>
      </c>
      <c r="J121" s="1425">
        <v>0.3</v>
      </c>
      <c r="K121" s="2283">
        <v>2</v>
      </c>
      <c r="L121" s="2282">
        <v>400</v>
      </c>
      <c r="M121" s="1412">
        <v>1</v>
      </c>
      <c r="N121" s="1414">
        <f t="shared" si="16"/>
        <v>800</v>
      </c>
      <c r="O121" s="1425">
        <v>0.3</v>
      </c>
      <c r="P121" s="1416">
        <f t="shared" si="17"/>
        <v>800</v>
      </c>
      <c r="Q121" s="1428">
        <v>0.3</v>
      </c>
      <c r="R121" s="1411">
        <f t="shared" si="8"/>
        <v>240</v>
      </c>
      <c r="S121" s="1262"/>
      <c r="T121" s="2701">
        <v>660</v>
      </c>
      <c r="U121" s="1294">
        <f t="shared" si="10"/>
        <v>0.82499999999999996</v>
      </c>
      <c r="V121" s="1262" t="s">
        <v>1384</v>
      </c>
      <c r="W121" s="1420">
        <f t="shared" si="9"/>
        <v>0.2475</v>
      </c>
      <c r="X121" s="1421">
        <f t="shared" si="11"/>
        <v>198</v>
      </c>
      <c r="Y121" s="1422"/>
    </row>
    <row r="122" spans="1:25" s="828" customFormat="1" ht="14.5" customHeight="1" x14ac:dyDescent="0.3">
      <c r="A122" s="828" t="s">
        <v>1441</v>
      </c>
      <c r="B122" s="2995"/>
      <c r="C122" s="1437" t="s">
        <v>674</v>
      </c>
      <c r="D122" s="1405" t="s">
        <v>15</v>
      </c>
      <c r="E122" s="1367" t="s">
        <v>649</v>
      </c>
      <c r="F122" s="1439"/>
      <c r="G122" s="1434"/>
      <c r="H122" s="1433"/>
      <c r="I122" s="1414">
        <f t="shared" si="15"/>
        <v>0</v>
      </c>
      <c r="J122" s="1425">
        <v>0.3</v>
      </c>
      <c r="K122" s="2283">
        <v>5</v>
      </c>
      <c r="L122" s="2282">
        <v>17.5</v>
      </c>
      <c r="M122" s="1412">
        <v>1</v>
      </c>
      <c r="N122" s="1414">
        <f t="shared" si="16"/>
        <v>87.5</v>
      </c>
      <c r="O122" s="1425">
        <v>0.3</v>
      </c>
      <c r="P122" s="1416">
        <f t="shared" si="17"/>
        <v>87.5</v>
      </c>
      <c r="Q122" s="1428">
        <v>0.3</v>
      </c>
      <c r="R122" s="1411">
        <f t="shared" si="8"/>
        <v>26.25</v>
      </c>
      <c r="S122" s="1262"/>
      <c r="T122" s="2701">
        <v>80</v>
      </c>
      <c r="U122" s="1294">
        <f t="shared" si="10"/>
        <v>0.91428571428571426</v>
      </c>
      <c r="V122" s="1262" t="s">
        <v>1384</v>
      </c>
      <c r="W122" s="1420">
        <f t="shared" si="9"/>
        <v>0.2742857142857143</v>
      </c>
      <c r="X122" s="1421">
        <f t="shared" si="11"/>
        <v>24</v>
      </c>
      <c r="Y122" s="1422"/>
    </row>
    <row r="123" spans="1:25" s="828" customFormat="1" ht="14.5" customHeight="1" x14ac:dyDescent="0.3">
      <c r="A123" s="828" t="s">
        <v>1442</v>
      </c>
      <c r="B123" s="2995"/>
      <c r="C123" s="1437" t="s">
        <v>675</v>
      </c>
      <c r="D123" s="1405" t="s">
        <v>15</v>
      </c>
      <c r="E123" s="1367" t="s">
        <v>649</v>
      </c>
      <c r="F123" s="1439"/>
      <c r="G123" s="1434"/>
      <c r="H123" s="1433"/>
      <c r="I123" s="1414">
        <f t="shared" si="15"/>
        <v>0</v>
      </c>
      <c r="J123" s="1425">
        <v>0.3</v>
      </c>
      <c r="K123" s="2283">
        <v>1</v>
      </c>
      <c r="L123" s="2282">
        <v>1500</v>
      </c>
      <c r="M123" s="1412">
        <v>1</v>
      </c>
      <c r="N123" s="1414">
        <f t="shared" si="16"/>
        <v>1500</v>
      </c>
      <c r="O123" s="1425">
        <v>0.3</v>
      </c>
      <c r="P123" s="1416">
        <f t="shared" si="17"/>
        <v>1500</v>
      </c>
      <c r="Q123" s="1428">
        <v>0.3</v>
      </c>
      <c r="R123" s="1411">
        <f t="shared" si="8"/>
        <v>450</v>
      </c>
      <c r="S123" s="1262"/>
      <c r="T123" s="2701">
        <v>1717</v>
      </c>
      <c r="U123" s="1294">
        <f t="shared" si="10"/>
        <v>1.1446666666666667</v>
      </c>
      <c r="V123" s="1262" t="s">
        <v>1384</v>
      </c>
      <c r="W123" s="1420">
        <f t="shared" si="9"/>
        <v>0.34340000000000004</v>
      </c>
      <c r="X123" s="1421">
        <f t="shared" si="11"/>
        <v>515.1</v>
      </c>
      <c r="Y123" s="1422"/>
    </row>
    <row r="124" spans="1:25" s="828" customFormat="1" ht="14.5" customHeight="1" x14ac:dyDescent="0.3">
      <c r="B124" s="2995"/>
      <c r="C124" s="1437" t="s">
        <v>676</v>
      </c>
      <c r="D124" s="1405" t="s">
        <v>15</v>
      </c>
      <c r="E124" s="1367" t="s">
        <v>649</v>
      </c>
      <c r="F124" s="1433"/>
      <c r="G124" s="1434"/>
      <c r="H124" s="1433"/>
      <c r="I124" s="1414">
        <f t="shared" si="15"/>
        <v>0</v>
      </c>
      <c r="J124" s="1425">
        <v>0</v>
      </c>
      <c r="K124" s="2">
        <v>0</v>
      </c>
      <c r="L124" s="2282">
        <v>0</v>
      </c>
      <c r="M124" s="1412">
        <v>1</v>
      </c>
      <c r="N124" s="1414">
        <f t="shared" si="16"/>
        <v>0</v>
      </c>
      <c r="O124" s="1425">
        <v>0</v>
      </c>
      <c r="P124" s="1416">
        <f t="shared" si="17"/>
        <v>0</v>
      </c>
      <c r="Q124" s="1428">
        <v>0</v>
      </c>
      <c r="R124" s="1411">
        <f t="shared" si="8"/>
        <v>0</v>
      </c>
      <c r="S124" s="1262"/>
      <c r="T124" s="2701">
        <v>0</v>
      </c>
      <c r="U124" s="1294"/>
      <c r="V124" s="1262"/>
      <c r="W124" s="1420"/>
      <c r="X124" s="1421">
        <f t="shared" si="11"/>
        <v>0</v>
      </c>
      <c r="Y124" s="1422"/>
    </row>
    <row r="125" spans="1:25" s="828" customFormat="1" ht="26" x14ac:dyDescent="0.3">
      <c r="B125" s="2995"/>
      <c r="C125" s="2277" t="s">
        <v>677</v>
      </c>
      <c r="D125" s="1408"/>
      <c r="E125" s="1367" t="s">
        <v>649</v>
      </c>
      <c r="F125" s="1429"/>
      <c r="G125" s="1440"/>
      <c r="H125" s="1429"/>
      <c r="I125" s="1410"/>
      <c r="J125" s="1411"/>
      <c r="K125" s="1413"/>
      <c r="L125" s="1413"/>
      <c r="M125" s="1413"/>
      <c r="N125" s="1414"/>
      <c r="O125" s="1415"/>
      <c r="P125" s="1416"/>
      <c r="Q125" s="1416"/>
      <c r="R125" s="1411">
        <f t="shared" si="8"/>
        <v>0</v>
      </c>
      <c r="S125" s="1262"/>
      <c r="T125" s="2701">
        <v>0</v>
      </c>
      <c r="U125" s="1294"/>
      <c r="V125" s="1262"/>
      <c r="W125" s="1420"/>
      <c r="X125" s="1421">
        <f t="shared" si="11"/>
        <v>0</v>
      </c>
      <c r="Y125" s="1422"/>
    </row>
    <row r="126" spans="1:25" s="828" customFormat="1" ht="41.25" customHeight="1" x14ac:dyDescent="0.3">
      <c r="A126" s="828" t="s">
        <v>1443</v>
      </c>
      <c r="B126" s="2995"/>
      <c r="C126" s="1441" t="s">
        <v>678</v>
      </c>
      <c r="D126" s="1405" t="s">
        <v>15</v>
      </c>
      <c r="E126" s="1367" t="s">
        <v>649</v>
      </c>
      <c r="F126" s="1429">
        <v>1</v>
      </c>
      <c r="G126" s="2287">
        <v>13300</v>
      </c>
      <c r="H126" s="3">
        <v>1</v>
      </c>
      <c r="I126" s="2282">
        <f t="shared" ref="I126:I132" si="18">F126*G126*H126</f>
        <v>13300</v>
      </c>
      <c r="J126" s="2288">
        <v>0.3</v>
      </c>
      <c r="K126" s="2283"/>
      <c r="L126" s="2282"/>
      <c r="M126" s="1412"/>
      <c r="N126" s="1414">
        <f t="shared" ref="N126:N132" si="19">K126*L126*M126</f>
        <v>0</v>
      </c>
      <c r="O126" s="1425">
        <v>0.3</v>
      </c>
      <c r="P126" s="1416">
        <f t="shared" ref="P126:P132" si="20">I126+N126</f>
        <v>13300</v>
      </c>
      <c r="Q126" s="1428">
        <v>0.3</v>
      </c>
      <c r="R126" s="1411">
        <f t="shared" si="8"/>
        <v>3990</v>
      </c>
      <c r="S126" s="1442"/>
      <c r="T126" s="2701">
        <v>13345.4</v>
      </c>
      <c r="U126" s="1294">
        <f t="shared" si="10"/>
        <v>1.0034135338345864</v>
      </c>
      <c r="V126" s="1262" t="s">
        <v>1384</v>
      </c>
      <c r="W126" s="1420">
        <f t="shared" si="9"/>
        <v>0.30102406015037592</v>
      </c>
      <c r="X126" s="1421">
        <f>T126*0.3</f>
        <v>4003.62</v>
      </c>
      <c r="Y126" s="1429" t="s">
        <v>1126</v>
      </c>
    </row>
    <row r="127" spans="1:25" s="828" customFormat="1" ht="14.5" customHeight="1" x14ac:dyDescent="0.3">
      <c r="A127" s="828" t="s">
        <v>1444</v>
      </c>
      <c r="B127" s="2995"/>
      <c r="C127" s="1441" t="s">
        <v>679</v>
      </c>
      <c r="D127" s="1405" t="s">
        <v>15</v>
      </c>
      <c r="E127" s="1367" t="s">
        <v>649</v>
      </c>
      <c r="F127" s="1429">
        <v>1</v>
      </c>
      <c r="G127" s="2287">
        <v>2000</v>
      </c>
      <c r="H127" s="3">
        <v>1</v>
      </c>
      <c r="I127" s="2282">
        <f t="shared" si="18"/>
        <v>2000</v>
      </c>
      <c r="J127" s="2288">
        <v>0.3</v>
      </c>
      <c r="K127" s="2283"/>
      <c r="L127" s="2282"/>
      <c r="M127" s="1412"/>
      <c r="N127" s="1414">
        <f t="shared" si="19"/>
        <v>0</v>
      </c>
      <c r="O127" s="1425">
        <v>0.3</v>
      </c>
      <c r="P127" s="1416">
        <f t="shared" si="20"/>
        <v>2000</v>
      </c>
      <c r="Q127" s="1428">
        <v>0.3</v>
      </c>
      <c r="R127" s="1411">
        <f t="shared" si="8"/>
        <v>600</v>
      </c>
      <c r="S127" s="1262"/>
      <c r="T127" s="2701">
        <v>2002</v>
      </c>
      <c r="U127" s="1294">
        <f t="shared" si="10"/>
        <v>1.0009999999999999</v>
      </c>
      <c r="V127" s="1262" t="s">
        <v>1384</v>
      </c>
      <c r="W127" s="1420">
        <f t="shared" si="9"/>
        <v>0.30030000000000001</v>
      </c>
      <c r="X127" s="1421">
        <f t="shared" si="11"/>
        <v>600.6</v>
      </c>
      <c r="Y127" s="1422"/>
    </row>
    <row r="128" spans="1:25" s="828" customFormat="1" ht="14.5" customHeight="1" x14ac:dyDescent="0.3">
      <c r="A128" s="828" t="s">
        <v>1445</v>
      </c>
      <c r="B128" s="2995"/>
      <c r="C128" s="1441" t="s">
        <v>680</v>
      </c>
      <c r="D128" s="1405" t="s">
        <v>15</v>
      </c>
      <c r="E128" s="1367" t="s">
        <v>649</v>
      </c>
      <c r="F128" s="1429">
        <v>1</v>
      </c>
      <c r="G128" s="2287">
        <v>2000</v>
      </c>
      <c r="H128" s="3">
        <v>3</v>
      </c>
      <c r="I128" s="2282">
        <f t="shared" si="18"/>
        <v>6000</v>
      </c>
      <c r="J128" s="2288">
        <v>0.3</v>
      </c>
      <c r="K128" s="2283"/>
      <c r="L128" s="2282"/>
      <c r="M128" s="1412"/>
      <c r="N128" s="1414">
        <f t="shared" si="19"/>
        <v>0</v>
      </c>
      <c r="O128" s="1425">
        <v>0.3</v>
      </c>
      <c r="P128" s="1416">
        <f t="shared" si="20"/>
        <v>6000</v>
      </c>
      <c r="Q128" s="1428">
        <v>0.3</v>
      </c>
      <c r="R128" s="1411">
        <f t="shared" si="8"/>
        <v>1800</v>
      </c>
      <c r="S128" s="1262"/>
      <c r="T128" s="2701">
        <v>5012.7</v>
      </c>
      <c r="U128" s="1294">
        <f t="shared" si="10"/>
        <v>0.83544999999999991</v>
      </c>
      <c r="V128" s="1262" t="s">
        <v>1384</v>
      </c>
      <c r="W128" s="1420">
        <f t="shared" si="9"/>
        <v>0.250635</v>
      </c>
      <c r="X128" s="1421">
        <f t="shared" si="11"/>
        <v>1503.81</v>
      </c>
      <c r="Y128" s="1422"/>
    </row>
    <row r="129" spans="1:25" s="828" customFormat="1" ht="14.5" customHeight="1" x14ac:dyDescent="0.3">
      <c r="A129" s="828" t="s">
        <v>1446</v>
      </c>
      <c r="B129" s="2995"/>
      <c r="C129" s="1441" t="s">
        <v>681</v>
      </c>
      <c r="D129" s="1405" t="s">
        <v>15</v>
      </c>
      <c r="E129" s="1367" t="s">
        <v>649</v>
      </c>
      <c r="F129" s="1429">
        <v>1</v>
      </c>
      <c r="G129" s="2287">
        <v>500</v>
      </c>
      <c r="H129" s="3">
        <v>1</v>
      </c>
      <c r="I129" s="2282">
        <f t="shared" si="18"/>
        <v>500</v>
      </c>
      <c r="J129" s="2288">
        <v>0.3</v>
      </c>
      <c r="K129" s="2283"/>
      <c r="L129" s="2282"/>
      <c r="M129" s="1412"/>
      <c r="N129" s="1414">
        <f t="shared" si="19"/>
        <v>0</v>
      </c>
      <c r="O129" s="1425">
        <v>0.3</v>
      </c>
      <c r="P129" s="1416">
        <f t="shared" si="20"/>
        <v>500</v>
      </c>
      <c r="Q129" s="1428">
        <v>0.3</v>
      </c>
      <c r="R129" s="1411">
        <f t="shared" si="8"/>
        <v>150</v>
      </c>
      <c r="S129" s="1262"/>
      <c r="T129" s="2701">
        <v>0</v>
      </c>
      <c r="U129" s="1294">
        <f t="shared" si="10"/>
        <v>0</v>
      </c>
      <c r="V129" s="1262"/>
      <c r="W129" s="1420">
        <f t="shared" si="9"/>
        <v>0</v>
      </c>
      <c r="X129" s="1421">
        <f t="shared" si="11"/>
        <v>0</v>
      </c>
      <c r="Y129" s="1422"/>
    </row>
    <row r="130" spans="1:25" s="828" customFormat="1" ht="33" customHeight="1" x14ac:dyDescent="0.3">
      <c r="A130" s="828" t="s">
        <v>1447</v>
      </c>
      <c r="B130" s="2995"/>
      <c r="C130" s="1443" t="s">
        <v>682</v>
      </c>
      <c r="D130" s="1405" t="s">
        <v>15</v>
      </c>
      <c r="E130" s="1367" t="s">
        <v>649</v>
      </c>
      <c r="F130" s="1429"/>
      <c r="G130" s="2287"/>
      <c r="H130" s="3"/>
      <c r="I130" s="2282">
        <f t="shared" si="18"/>
        <v>0</v>
      </c>
      <c r="J130" s="2288">
        <v>0.3</v>
      </c>
      <c r="K130" s="2289">
        <v>5</v>
      </c>
      <c r="L130" s="2282">
        <v>200</v>
      </c>
      <c r="M130" s="1412">
        <v>5</v>
      </c>
      <c r="N130" s="1414">
        <f t="shared" si="19"/>
        <v>5000</v>
      </c>
      <c r="O130" s="1425">
        <v>0.3</v>
      </c>
      <c r="P130" s="1416">
        <f t="shared" si="20"/>
        <v>5000</v>
      </c>
      <c r="Q130" s="1428">
        <v>0.3</v>
      </c>
      <c r="R130" s="1411">
        <f t="shared" si="8"/>
        <v>1500</v>
      </c>
      <c r="S130" s="1262"/>
      <c r="T130" s="2701">
        <v>3947.5</v>
      </c>
      <c r="U130" s="1294">
        <f t="shared" si="10"/>
        <v>0.78949999999999998</v>
      </c>
      <c r="V130" s="1262" t="s">
        <v>1384</v>
      </c>
      <c r="W130" s="1420">
        <f t="shared" si="9"/>
        <v>0.23685</v>
      </c>
      <c r="X130" s="1421">
        <f t="shared" si="11"/>
        <v>1184.25</v>
      </c>
      <c r="Y130" s="1422"/>
    </row>
    <row r="131" spans="1:25" s="828" customFormat="1" ht="45" customHeight="1" x14ac:dyDescent="0.3">
      <c r="A131" s="828" t="s">
        <v>1448</v>
      </c>
      <c r="B131" s="2995"/>
      <c r="C131" s="1444" t="s">
        <v>683</v>
      </c>
      <c r="D131" s="1405" t="s">
        <v>15</v>
      </c>
      <c r="E131" s="1367" t="s">
        <v>649</v>
      </c>
      <c r="F131" s="1429"/>
      <c r="G131" s="2287"/>
      <c r="H131" s="3"/>
      <c r="I131" s="2282">
        <f t="shared" si="18"/>
        <v>0</v>
      </c>
      <c r="J131" s="2288">
        <v>0.3</v>
      </c>
      <c r="K131" s="2289">
        <v>2</v>
      </c>
      <c r="L131" s="2282">
        <v>500</v>
      </c>
      <c r="M131" s="1412">
        <v>5</v>
      </c>
      <c r="N131" s="1414">
        <f t="shared" si="19"/>
        <v>5000</v>
      </c>
      <c r="O131" s="1425">
        <v>0.3</v>
      </c>
      <c r="P131" s="1416">
        <f t="shared" si="20"/>
        <v>5000</v>
      </c>
      <c r="Q131" s="1428">
        <v>0.3</v>
      </c>
      <c r="R131" s="1411">
        <f t="shared" si="8"/>
        <v>1500</v>
      </c>
      <c r="S131" s="1442"/>
      <c r="T131" s="2701">
        <v>4788.2</v>
      </c>
      <c r="U131" s="1294">
        <f t="shared" si="10"/>
        <v>0.95763999999999994</v>
      </c>
      <c r="V131" s="1262" t="s">
        <v>1384</v>
      </c>
      <c r="W131" s="1420">
        <f t="shared" si="9"/>
        <v>0.28729199999999994</v>
      </c>
      <c r="X131" s="1421">
        <f t="shared" si="11"/>
        <v>1436.4599999999998</v>
      </c>
      <c r="Y131" s="1408" t="s">
        <v>1127</v>
      </c>
    </row>
    <row r="132" spans="1:25" s="828" customFormat="1" ht="24.75" customHeight="1" x14ac:dyDescent="0.3">
      <c r="A132" s="828" t="s">
        <v>1449</v>
      </c>
      <c r="B132" s="2995"/>
      <c r="C132" s="1441" t="s">
        <v>684</v>
      </c>
      <c r="D132" s="1430" t="s">
        <v>17</v>
      </c>
      <c r="E132" s="1367" t="s">
        <v>649</v>
      </c>
      <c r="F132" s="1429"/>
      <c r="G132" s="2287"/>
      <c r="H132" s="3"/>
      <c r="I132" s="2282">
        <f t="shared" si="18"/>
        <v>0</v>
      </c>
      <c r="J132" s="2288">
        <v>0.3</v>
      </c>
      <c r="K132" s="2289">
        <v>5</v>
      </c>
      <c r="L132" s="2282">
        <v>1800</v>
      </c>
      <c r="M132" s="1412">
        <v>1</v>
      </c>
      <c r="N132" s="1414">
        <f t="shared" si="19"/>
        <v>9000</v>
      </c>
      <c r="O132" s="1425">
        <v>0.3</v>
      </c>
      <c r="P132" s="1416">
        <f t="shared" si="20"/>
        <v>9000</v>
      </c>
      <c r="Q132" s="1428">
        <v>0.3</v>
      </c>
      <c r="R132" s="1411">
        <f t="shared" si="8"/>
        <v>2700</v>
      </c>
      <c r="S132" s="1262"/>
      <c r="T132" s="2701">
        <v>7280</v>
      </c>
      <c r="U132" s="1294">
        <f t="shared" si="10"/>
        <v>0.80888888888888888</v>
      </c>
      <c r="V132" s="1262" t="s">
        <v>1384</v>
      </c>
      <c r="W132" s="1420">
        <f t="shared" si="9"/>
        <v>0.24266666666666667</v>
      </c>
      <c r="X132" s="1421">
        <f t="shared" si="11"/>
        <v>2184</v>
      </c>
      <c r="Y132" s="718" t="s">
        <v>1128</v>
      </c>
    </row>
    <row r="133" spans="1:25" s="828" customFormat="1" ht="13.5" customHeight="1" x14ac:dyDescent="0.3">
      <c r="B133" s="2996"/>
      <c r="C133" s="278"/>
      <c r="D133" s="278"/>
      <c r="E133" s="278" t="s">
        <v>0</v>
      </c>
      <c r="F133" s="278"/>
      <c r="G133" s="1445"/>
      <c r="H133" s="278"/>
      <c r="I133" s="1446">
        <f>SUM(I95:I132)</f>
        <v>35000</v>
      </c>
      <c r="J133" s="1447"/>
      <c r="K133" s="1448"/>
      <c r="L133" s="1448"/>
      <c r="M133" s="1448"/>
      <c r="N133" s="1448">
        <f>SUM(N95:N132)</f>
        <v>214497.5</v>
      </c>
      <c r="O133" s="1449"/>
      <c r="P133" s="1448">
        <f>SUM(P95:P132)</f>
        <v>249497.5</v>
      </c>
      <c r="Q133" s="1448"/>
      <c r="R133" s="1448">
        <f>SUM(R95:R132)</f>
        <v>66179.25</v>
      </c>
      <c r="S133" s="1450"/>
      <c r="T133" s="2716">
        <f>SUM(T95:T132)</f>
        <v>245455.33000000005</v>
      </c>
      <c r="U133" s="1451">
        <f t="shared" si="10"/>
        <v>0.98379875549855222</v>
      </c>
      <c r="V133" s="1450"/>
      <c r="W133" s="2349">
        <f t="shared" si="9"/>
        <v>0.25598755097746473</v>
      </c>
      <c r="X133" s="1448">
        <f>SUM(X95:X132)</f>
        <v>63868.254000000001</v>
      </c>
      <c r="Y133" s="1450"/>
    </row>
    <row r="134" spans="1:25" s="828" customFormat="1" ht="31.5" customHeight="1" x14ac:dyDescent="0.3">
      <c r="B134" s="1407" t="s">
        <v>685</v>
      </c>
      <c r="C134" s="1407"/>
      <c r="D134" s="1407"/>
      <c r="E134" s="1452"/>
      <c r="F134" s="1453"/>
      <c r="G134" s="1453"/>
      <c r="H134" s="1453"/>
      <c r="I134" s="1454">
        <f>I133</f>
        <v>35000</v>
      </c>
      <c r="J134" s="1455"/>
      <c r="K134" s="1456"/>
      <c r="L134" s="1457"/>
      <c r="M134" s="1458"/>
      <c r="N134" s="1454">
        <f>N133</f>
        <v>214497.5</v>
      </c>
      <c r="O134" s="1455"/>
      <c r="P134" s="2950">
        <f>I134+N134</f>
        <v>249497.5</v>
      </c>
      <c r="Q134" s="1459"/>
      <c r="R134" s="1455">
        <f>R133</f>
        <v>66179.25</v>
      </c>
      <c r="S134" s="1460"/>
      <c r="T134" s="2717">
        <f>T133</f>
        <v>245455.33000000005</v>
      </c>
      <c r="U134" s="1461">
        <f>T134/P134</f>
        <v>0.98379875549855222</v>
      </c>
      <c r="V134" s="1460"/>
      <c r="W134" s="2375">
        <f>X134/P134</f>
        <v>0.25598755097746473</v>
      </c>
      <c r="X134" s="1463">
        <f>X133</f>
        <v>63868.254000000001</v>
      </c>
      <c r="Y134" s="1462"/>
    </row>
    <row r="135" spans="1:25" ht="32.25" customHeight="1" x14ac:dyDescent="0.3">
      <c r="B135" s="1464" t="s">
        <v>53</v>
      </c>
      <c r="C135" s="1465"/>
      <c r="D135" s="1466"/>
      <c r="E135" s="1467"/>
      <c r="F135" s="1468"/>
      <c r="G135" s="1469"/>
      <c r="H135" s="1468"/>
      <c r="I135" s="1470">
        <f>I93+I134</f>
        <v>89830</v>
      </c>
      <c r="J135" s="1471"/>
      <c r="K135" s="1472"/>
      <c r="L135" s="1472"/>
      <c r="M135" s="1472"/>
      <c r="N135" s="1470">
        <f>N93+N134</f>
        <v>328101.5</v>
      </c>
      <c r="O135" s="1473"/>
      <c r="P135" s="2951">
        <f>P93+P134</f>
        <v>462431.5</v>
      </c>
      <c r="Q135" s="1474"/>
      <c r="R135" s="1475">
        <f>R93+R134</f>
        <v>66179.25</v>
      </c>
      <c r="S135" s="1476"/>
      <c r="T135" s="2718">
        <f>T93+T134</f>
        <v>445809.11000000004</v>
      </c>
      <c r="U135" s="1477">
        <f t="shared" si="10"/>
        <v>0.9640543734585556</v>
      </c>
      <c r="V135" s="1476" t="s">
        <v>1450</v>
      </c>
      <c r="W135" s="1478">
        <f>X135/P135</f>
        <v>0.16971737651954938</v>
      </c>
      <c r="X135" s="1479">
        <f>X134+X93</f>
        <v>78482.660999999993</v>
      </c>
      <c r="Y135" s="1478"/>
    </row>
    <row r="136" spans="1:25" ht="13.9" customHeight="1" x14ac:dyDescent="0.3">
      <c r="B136" s="428" t="s">
        <v>260</v>
      </c>
      <c r="C136" s="429"/>
      <c r="D136" s="2290"/>
      <c r="E136" s="2290"/>
      <c r="F136" s="2290"/>
      <c r="G136" s="2290"/>
      <c r="H136" s="2290"/>
      <c r="I136" s="2290"/>
      <c r="J136" s="430"/>
      <c r="K136" s="430"/>
      <c r="L136" s="430"/>
      <c r="M136" s="430"/>
      <c r="N136" s="430"/>
      <c r="O136" s="430"/>
      <c r="P136" s="430"/>
      <c r="Q136" s="430"/>
      <c r="R136" s="430"/>
      <c r="S136" s="1221"/>
      <c r="T136" s="2719"/>
      <c r="U136" s="1222"/>
      <c r="V136" s="1221"/>
      <c r="W136" s="1221"/>
      <c r="X136" s="1223"/>
      <c r="Y136" s="1221"/>
    </row>
    <row r="137" spans="1:25" ht="26" x14ac:dyDescent="0.3">
      <c r="B137" s="829" t="s">
        <v>54</v>
      </c>
      <c r="C137" s="830"/>
      <c r="D137" s="830"/>
      <c r="E137" s="830"/>
      <c r="F137" s="830"/>
      <c r="G137" s="830"/>
      <c r="H137" s="830"/>
      <c r="I137" s="830"/>
      <c r="J137" s="830"/>
      <c r="K137" s="830"/>
      <c r="L137" s="830"/>
      <c r="M137" s="830"/>
      <c r="N137" s="830"/>
      <c r="O137" s="831"/>
      <c r="P137" s="2952"/>
      <c r="Q137" s="832"/>
      <c r="R137" s="833"/>
      <c r="S137" s="1224"/>
      <c r="T137" s="2720"/>
      <c r="U137" s="1225"/>
      <c r="V137" s="1224"/>
      <c r="W137" s="1224"/>
      <c r="X137" s="1226"/>
      <c r="Y137" s="1224"/>
    </row>
    <row r="138" spans="1:25" x14ac:dyDescent="0.3">
      <c r="B138" s="1480" t="s">
        <v>686</v>
      </c>
      <c r="C138" s="1481"/>
      <c r="D138" s="1481"/>
      <c r="E138" s="1481"/>
      <c r="F138" s="1481"/>
      <c r="G138" s="1481"/>
      <c r="H138" s="1481"/>
      <c r="I138" s="1481"/>
      <c r="J138" s="1481"/>
      <c r="K138" s="1481"/>
      <c r="L138" s="1481"/>
      <c r="M138" s="1481"/>
      <c r="N138" s="1481"/>
      <c r="O138" s="1482"/>
      <c r="P138" s="2953"/>
      <c r="Q138" s="1483"/>
      <c r="R138" s="1484"/>
      <c r="S138" s="1485"/>
      <c r="T138" s="2721"/>
      <c r="U138" s="1486" t="e">
        <f t="shared" si="10"/>
        <v>#DIV/0!</v>
      </c>
      <c r="V138" s="1485"/>
      <c r="W138" s="7"/>
      <c r="X138" s="7"/>
      <c r="Y138" s="7"/>
    </row>
    <row r="139" spans="1:25" ht="27" customHeight="1" x14ac:dyDescent="0.3">
      <c r="A139" s="1" t="s">
        <v>1451</v>
      </c>
      <c r="B139" s="1487" t="s">
        <v>687</v>
      </c>
      <c r="C139" s="1429"/>
      <c r="D139" s="1488" t="s">
        <v>14</v>
      </c>
      <c r="E139" s="1489" t="s">
        <v>563</v>
      </c>
      <c r="F139" s="1490">
        <v>1</v>
      </c>
      <c r="G139" s="1491">
        <v>700</v>
      </c>
      <c r="H139" s="1492">
        <v>6</v>
      </c>
      <c r="I139" s="1493">
        <f t="shared" ref="I139:I143" si="21">G139*H139</f>
        <v>4200</v>
      </c>
      <c r="J139" s="2291"/>
      <c r="K139" s="1490">
        <v>1</v>
      </c>
      <c r="L139" s="1491">
        <v>700</v>
      </c>
      <c r="M139" s="1492">
        <v>6</v>
      </c>
      <c r="N139" s="1493">
        <f>L139*M139</f>
        <v>4200</v>
      </c>
      <c r="O139" s="2291"/>
      <c r="P139" s="2967">
        <f>N139+I139</f>
        <v>8400</v>
      </c>
      <c r="Q139" s="1494"/>
      <c r="R139" s="2292"/>
      <c r="S139" s="1261"/>
      <c r="T139" s="2701">
        <v>17379.3</v>
      </c>
      <c r="U139" s="1294">
        <f>T139/P139</f>
        <v>2.0689642857142858</v>
      </c>
      <c r="V139" s="1261"/>
      <c r="W139" s="7"/>
      <c r="X139" s="1303"/>
      <c r="Y139" s="7"/>
    </row>
    <row r="140" spans="1:25" ht="24" customHeight="1" x14ac:dyDescent="0.3">
      <c r="A140" s="1" t="s">
        <v>1452</v>
      </c>
      <c r="B140" s="1495" t="s">
        <v>688</v>
      </c>
      <c r="C140" s="1429"/>
      <c r="D140" s="1488" t="s">
        <v>14</v>
      </c>
      <c r="E140" s="1489" t="s">
        <v>563</v>
      </c>
      <c r="F140" s="1490">
        <v>1</v>
      </c>
      <c r="G140" s="1491">
        <v>2500</v>
      </c>
      <c r="H140" s="1492">
        <v>6</v>
      </c>
      <c r="I140" s="1493">
        <f t="shared" si="21"/>
        <v>15000</v>
      </c>
      <c r="J140" s="2291"/>
      <c r="K140" s="1490">
        <v>1</v>
      </c>
      <c r="L140" s="2293">
        <v>2500</v>
      </c>
      <c r="M140" s="2294">
        <v>6</v>
      </c>
      <c r="N140" s="2294">
        <f>L140*M140+12000</f>
        <v>27000</v>
      </c>
      <c r="O140" s="2291"/>
      <c r="P140" s="2969">
        <f>N140+I140</f>
        <v>42000</v>
      </c>
      <c r="Q140" s="1494"/>
      <c r="R140" s="2292"/>
      <c r="S140" s="1261"/>
      <c r="T140" s="2701">
        <v>71513.210000000006</v>
      </c>
      <c r="U140" s="1294">
        <f t="shared" si="10"/>
        <v>1.7026954761904765</v>
      </c>
      <c r="V140" s="1262"/>
      <c r="W140" s="7"/>
      <c r="X140" s="1303"/>
      <c r="Y140" s="7"/>
    </row>
    <row r="141" spans="1:25" ht="24" customHeight="1" x14ac:dyDescent="0.3">
      <c r="A141" s="2295" t="s">
        <v>1630</v>
      </c>
      <c r="B141" s="1495" t="s">
        <v>1631</v>
      </c>
      <c r="C141" s="1429"/>
      <c r="D141" s="1488" t="s">
        <v>14</v>
      </c>
      <c r="E141" s="1489"/>
      <c r="F141" s="1490"/>
      <c r="G141" s="1491"/>
      <c r="H141" s="1492"/>
      <c r="I141" s="1493"/>
      <c r="J141" s="2291"/>
      <c r="K141" s="1490"/>
      <c r="L141" s="2293">
        <v>2200</v>
      </c>
      <c r="M141" s="2294">
        <v>3</v>
      </c>
      <c r="N141" s="2294">
        <f>6600+7000</f>
        <v>13600</v>
      </c>
      <c r="O141" s="2291"/>
      <c r="P141" s="2969">
        <f>N141+I141</f>
        <v>13600</v>
      </c>
      <c r="Q141" s="1494"/>
      <c r="R141" s="2292"/>
      <c r="S141" s="1261"/>
      <c r="T141" s="2701">
        <v>6028.58</v>
      </c>
      <c r="U141" s="1294"/>
      <c r="V141" s="1262"/>
      <c r="W141" s="7"/>
      <c r="X141" s="1303"/>
      <c r="Y141" s="7"/>
    </row>
    <row r="142" spans="1:25" ht="33" customHeight="1" x14ac:dyDescent="0.3">
      <c r="A142" s="1" t="s">
        <v>1453</v>
      </c>
      <c r="B142" s="1495" t="s">
        <v>689</v>
      </c>
      <c r="C142" s="1429"/>
      <c r="D142" s="1488" t="s">
        <v>14</v>
      </c>
      <c r="E142" s="1489" t="s">
        <v>563</v>
      </c>
      <c r="F142" s="1490">
        <v>1</v>
      </c>
      <c r="G142" s="1491">
        <v>1000</v>
      </c>
      <c r="H142" s="1492">
        <v>6</v>
      </c>
      <c r="I142" s="1493">
        <f>G142*H142</f>
        <v>6000</v>
      </c>
      <c r="J142" s="2291"/>
      <c r="K142" s="1490">
        <v>1</v>
      </c>
      <c r="L142" s="2293">
        <v>1000</v>
      </c>
      <c r="M142" s="2294">
        <v>6</v>
      </c>
      <c r="N142" s="2294">
        <f>L142*M142+8790</f>
        <v>14790</v>
      </c>
      <c r="O142" s="2291"/>
      <c r="P142" s="2826">
        <f>N142+I142</f>
        <v>20790</v>
      </c>
      <c r="Q142" s="1494"/>
      <c r="R142" s="2292"/>
      <c r="S142" s="1261"/>
      <c r="T142" s="2701">
        <v>32625.58</v>
      </c>
      <c r="U142" s="1294">
        <f>T142/P142</f>
        <v>1.5692919672919674</v>
      </c>
      <c r="V142" s="1262"/>
      <c r="W142" s="7"/>
      <c r="X142" s="1303"/>
      <c r="Y142" s="7"/>
    </row>
    <row r="143" spans="1:25" ht="34.5" customHeight="1" x14ac:dyDescent="0.3">
      <c r="A143" s="1" t="s">
        <v>1454</v>
      </c>
      <c r="B143" s="1495" t="s">
        <v>690</v>
      </c>
      <c r="C143" s="1429"/>
      <c r="D143" s="1488" t="s">
        <v>14</v>
      </c>
      <c r="E143" s="1489" t="s">
        <v>563</v>
      </c>
      <c r="F143" s="1490">
        <v>1</v>
      </c>
      <c r="G143" s="1491">
        <v>800</v>
      </c>
      <c r="H143" s="1492">
        <v>6</v>
      </c>
      <c r="I143" s="1493">
        <f t="shared" si="21"/>
        <v>4800</v>
      </c>
      <c r="J143" s="2291"/>
      <c r="K143" s="1490">
        <v>1</v>
      </c>
      <c r="L143" s="2293">
        <v>800</v>
      </c>
      <c r="M143" s="2294">
        <v>6</v>
      </c>
      <c r="N143" s="2294">
        <f>L143*M143+1875</f>
        <v>6675</v>
      </c>
      <c r="O143" s="2291"/>
      <c r="P143" s="2826">
        <f>N143+I143</f>
        <v>11475</v>
      </c>
      <c r="Q143" s="1494"/>
      <c r="R143" s="2292"/>
      <c r="S143" s="1261"/>
      <c r="T143" s="2701">
        <v>21123</v>
      </c>
      <c r="U143" s="1294">
        <f t="shared" si="10"/>
        <v>1.8407843137254902</v>
      </c>
      <c r="V143" s="1262"/>
      <c r="W143" s="7"/>
      <c r="X143" s="7"/>
      <c r="Y143" s="7"/>
    </row>
    <row r="144" spans="1:25" ht="13.9" customHeight="1" x14ac:dyDescent="0.3">
      <c r="B144" s="1480" t="s">
        <v>691</v>
      </c>
      <c r="C144" s="1429"/>
      <c r="D144" s="2297"/>
      <c r="E144" s="1496"/>
      <c r="F144" s="1490"/>
      <c r="G144" s="1491"/>
      <c r="H144" s="1497"/>
      <c r="I144" s="1493"/>
      <c r="J144" s="2291"/>
      <c r="K144" s="1490"/>
      <c r="L144" s="1491"/>
      <c r="M144" s="1497"/>
      <c r="N144" s="1493"/>
      <c r="O144" s="2291"/>
      <c r="P144" s="2967"/>
      <c r="Q144" s="1494"/>
      <c r="R144" s="2292"/>
      <c r="S144" s="1262"/>
      <c r="T144" s="2701"/>
      <c r="U144" s="1294"/>
      <c r="V144" s="1262"/>
      <c r="W144" s="7"/>
      <c r="X144" s="7"/>
      <c r="Y144" s="7"/>
    </row>
    <row r="145" spans="1:25" ht="13.9" customHeight="1" x14ac:dyDescent="0.3">
      <c r="A145" s="1" t="s">
        <v>1451</v>
      </c>
      <c r="B145" s="1487" t="s">
        <v>687</v>
      </c>
      <c r="C145" s="7"/>
      <c r="D145" s="1488" t="s">
        <v>14</v>
      </c>
      <c r="E145" s="1498" t="s">
        <v>649</v>
      </c>
      <c r="F145" s="717">
        <v>1</v>
      </c>
      <c r="G145" s="1500">
        <v>700</v>
      </c>
      <c r="H145" s="717">
        <v>6</v>
      </c>
      <c r="I145" s="1499">
        <f t="shared" ref="I145:I148" si="22">+F145*G145*H145</f>
        <v>4200</v>
      </c>
      <c r="J145" s="717"/>
      <c r="K145" s="717">
        <v>1</v>
      </c>
      <c r="L145" s="1500">
        <v>700</v>
      </c>
      <c r="M145" s="717">
        <v>6</v>
      </c>
      <c r="N145" s="2975">
        <f>+K145*L145*M145</f>
        <v>4200</v>
      </c>
      <c r="O145" s="717"/>
      <c r="P145" s="2967">
        <f>+I145+N145</f>
        <v>8400</v>
      </c>
      <c r="Q145" s="270"/>
      <c r="R145" s="717"/>
      <c r="S145" s="1262"/>
      <c r="T145" s="2701"/>
      <c r="U145" s="1294">
        <f t="shared" si="10"/>
        <v>0</v>
      </c>
      <c r="V145" s="1262"/>
      <c r="W145" s="7"/>
      <c r="X145" s="7"/>
      <c r="Y145" s="7"/>
    </row>
    <row r="146" spans="1:25" ht="13.9" customHeight="1" x14ac:dyDescent="0.3">
      <c r="A146" s="1" t="s">
        <v>1452</v>
      </c>
      <c r="B146" s="1495" t="s">
        <v>688</v>
      </c>
      <c r="C146" s="7"/>
      <c r="D146" s="1488" t="s">
        <v>14</v>
      </c>
      <c r="E146" s="1498" t="s">
        <v>649</v>
      </c>
      <c r="F146" s="717">
        <v>1</v>
      </c>
      <c r="G146" s="1500">
        <v>2500</v>
      </c>
      <c r="H146" s="717">
        <v>6</v>
      </c>
      <c r="I146" s="1499">
        <f t="shared" si="22"/>
        <v>15000</v>
      </c>
      <c r="J146" s="717"/>
      <c r="K146" s="717">
        <v>1</v>
      </c>
      <c r="L146" s="1500">
        <v>2500</v>
      </c>
      <c r="M146" s="717">
        <v>6</v>
      </c>
      <c r="N146" s="1388">
        <f>+K146*L146*M146</f>
        <v>15000</v>
      </c>
      <c r="O146" s="717"/>
      <c r="P146" s="2967">
        <f>+I146+N146</f>
        <v>30000</v>
      </c>
      <c r="Q146" s="270"/>
      <c r="R146" s="717"/>
      <c r="S146" s="1262"/>
      <c r="T146" s="2701"/>
      <c r="U146" s="1294">
        <f t="shared" si="10"/>
        <v>0</v>
      </c>
      <c r="V146" s="1262"/>
      <c r="W146" s="7"/>
      <c r="X146" s="7"/>
      <c r="Y146" s="7"/>
    </row>
    <row r="147" spans="1:25" ht="13.9" customHeight="1" x14ac:dyDescent="0.3">
      <c r="A147" s="1" t="s">
        <v>1453</v>
      </c>
      <c r="B147" s="1495" t="s">
        <v>689</v>
      </c>
      <c r="C147" s="7"/>
      <c r="D147" s="1488" t="s">
        <v>14</v>
      </c>
      <c r="E147" s="1498" t="s">
        <v>649</v>
      </c>
      <c r="F147" s="717">
        <v>1</v>
      </c>
      <c r="G147" s="1500">
        <v>1000</v>
      </c>
      <c r="H147" s="717">
        <v>6</v>
      </c>
      <c r="I147" s="1499">
        <f t="shared" si="22"/>
        <v>6000</v>
      </c>
      <c r="J147" s="717"/>
      <c r="K147" s="717">
        <v>1</v>
      </c>
      <c r="L147" s="1500">
        <v>1000</v>
      </c>
      <c r="M147" s="717">
        <v>6</v>
      </c>
      <c r="N147" s="1388">
        <f>+K147*L147*M147</f>
        <v>6000</v>
      </c>
      <c r="O147" s="717"/>
      <c r="P147" s="2967">
        <f>+I147+N147</f>
        <v>12000</v>
      </c>
      <c r="Q147" s="270"/>
      <c r="R147" s="717"/>
      <c r="S147" s="1262"/>
      <c r="T147" s="2701"/>
      <c r="U147" s="1294">
        <f t="shared" si="10"/>
        <v>0</v>
      </c>
      <c r="V147" s="1262"/>
      <c r="W147" s="7"/>
      <c r="X147" s="7"/>
      <c r="Y147" s="7"/>
    </row>
    <row r="148" spans="1:25" ht="13.5" customHeight="1" x14ac:dyDescent="0.3">
      <c r="A148" s="1" t="s">
        <v>1454</v>
      </c>
      <c r="B148" s="1495" t="s">
        <v>690</v>
      </c>
      <c r="C148" s="7"/>
      <c r="D148" s="1488" t="s">
        <v>14</v>
      </c>
      <c r="E148" s="1498" t="s">
        <v>649</v>
      </c>
      <c r="F148" s="717">
        <v>1</v>
      </c>
      <c r="G148" s="1500">
        <v>800</v>
      </c>
      <c r="H148" s="717">
        <v>6</v>
      </c>
      <c r="I148" s="1499">
        <f t="shared" si="22"/>
        <v>4800</v>
      </c>
      <c r="J148" s="717"/>
      <c r="K148" s="717">
        <v>1</v>
      </c>
      <c r="L148" s="1500">
        <v>800</v>
      </c>
      <c r="M148" s="717">
        <v>6</v>
      </c>
      <c r="N148" s="1388">
        <f>+K148*L148*M148</f>
        <v>4800</v>
      </c>
      <c r="O148" s="717"/>
      <c r="P148" s="2967">
        <f>+I148+N148</f>
        <v>9600</v>
      </c>
      <c r="Q148" s="270"/>
      <c r="R148" s="717"/>
      <c r="S148" s="1262"/>
      <c r="T148" s="2701"/>
      <c r="U148" s="1294">
        <f t="shared" si="10"/>
        <v>0</v>
      </c>
      <c r="V148" s="1262"/>
      <c r="W148" s="7"/>
      <c r="X148" s="7"/>
      <c r="Y148" s="7"/>
    </row>
    <row r="149" spans="1:25" x14ac:dyDescent="0.3">
      <c r="B149" s="834" t="s">
        <v>573</v>
      </c>
      <c r="C149" s="835"/>
      <c r="D149" s="834"/>
      <c r="E149" s="834"/>
      <c r="F149" s="834"/>
      <c r="G149" s="834"/>
      <c r="H149" s="834"/>
      <c r="I149" s="432">
        <f>SUM(I139:I148)</f>
        <v>60000</v>
      </c>
      <c r="J149" s="834"/>
      <c r="K149" s="834"/>
      <c r="L149" s="834"/>
      <c r="M149" s="834"/>
      <c r="N149" s="432">
        <f>SUM(N139:N148)</f>
        <v>96265</v>
      </c>
      <c r="O149" s="836"/>
      <c r="P149" s="2954">
        <f>SUM(P139:P148)</f>
        <v>156265</v>
      </c>
      <c r="Q149" s="837"/>
      <c r="R149" s="838"/>
      <c r="S149" s="1227"/>
      <c r="T149" s="2722">
        <f>SUM(T139:T148)</f>
        <v>148669.67000000001</v>
      </c>
      <c r="U149" s="1228">
        <f>T149/P149</f>
        <v>0.95139455412280427</v>
      </c>
      <c r="V149" s="1227"/>
      <c r="W149" s="1229"/>
      <c r="X149" s="1230">
        <f>SUM(X139:X148)</f>
        <v>0</v>
      </c>
      <c r="Y149" s="1229"/>
    </row>
    <row r="150" spans="1:25" x14ac:dyDescent="0.3">
      <c r="B150" s="534" t="s">
        <v>55</v>
      </c>
      <c r="C150" s="535"/>
      <c r="D150" s="535"/>
      <c r="E150" s="535"/>
      <c r="F150" s="535"/>
      <c r="G150" s="535"/>
      <c r="H150" s="535"/>
      <c r="I150" s="536"/>
      <c r="J150" s="535"/>
      <c r="K150" s="535"/>
      <c r="L150" s="535"/>
      <c r="M150" s="535"/>
      <c r="N150" s="536"/>
      <c r="O150" s="536"/>
      <c r="P150" s="536"/>
      <c r="Q150" s="536"/>
      <c r="R150" s="536"/>
      <c r="S150" s="1224"/>
      <c r="T150" s="2720"/>
      <c r="U150" s="1225"/>
      <c r="V150" s="1224"/>
      <c r="W150" s="1224"/>
      <c r="X150" s="1226"/>
      <c r="Y150" s="1224"/>
    </row>
    <row r="151" spans="1:25" x14ac:dyDescent="0.3">
      <c r="B151" s="2298"/>
      <c r="C151" s="2299"/>
      <c r="D151" s="2202"/>
      <c r="E151" s="1501"/>
      <c r="F151" s="2300"/>
      <c r="G151" s="2301"/>
      <c r="H151" s="2302"/>
      <c r="I151" s="1502"/>
      <c r="J151" s="2303"/>
      <c r="K151" s="2303"/>
      <c r="L151" s="2303"/>
      <c r="M151" s="2303"/>
      <c r="N151" s="1388"/>
      <c r="O151" s="2304"/>
      <c r="P151" s="1416">
        <f>+I151+N151</f>
        <v>0</v>
      </c>
      <c r="Q151" s="1417"/>
      <c r="R151" s="2304"/>
      <c r="S151" s="2305"/>
      <c r="T151" s="2701"/>
      <c r="U151" s="2306"/>
      <c r="V151" s="2305"/>
      <c r="W151" s="7"/>
      <c r="X151" s="7"/>
      <c r="Y151" s="7"/>
    </row>
    <row r="152" spans="1:25" x14ac:dyDescent="0.3">
      <c r="B152" s="839" t="s">
        <v>573</v>
      </c>
      <c r="C152" s="840"/>
      <c r="D152" s="839"/>
      <c r="E152" s="839"/>
      <c r="F152" s="839"/>
      <c r="G152" s="841"/>
      <c r="H152" s="434"/>
      <c r="I152" s="435">
        <f>SUM(I151)</f>
        <v>0</v>
      </c>
      <c r="J152" s="839"/>
      <c r="K152" s="839"/>
      <c r="L152" s="841"/>
      <c r="M152" s="434"/>
      <c r="N152" s="436">
        <f>SUM(N151)</f>
        <v>0</v>
      </c>
      <c r="O152" s="436"/>
      <c r="P152" s="435">
        <f>SUM(P151)</f>
        <v>0</v>
      </c>
      <c r="Q152" s="524"/>
      <c r="R152" s="436"/>
      <c r="S152" s="1231"/>
      <c r="T152" s="2723">
        <f>SUM(T151)</f>
        <v>0</v>
      </c>
      <c r="U152" s="1232"/>
      <c r="V152" s="1231"/>
      <c r="W152" s="1229"/>
      <c r="X152" s="1233">
        <f>SUM(X143:X151)</f>
        <v>0</v>
      </c>
      <c r="Y152" s="1229"/>
    </row>
    <row r="153" spans="1:25" x14ac:dyDescent="0.3">
      <c r="B153" s="534" t="s">
        <v>56</v>
      </c>
      <c r="C153" s="535"/>
      <c r="D153" s="535"/>
      <c r="E153" s="535"/>
      <c r="F153" s="535"/>
      <c r="G153" s="535"/>
      <c r="H153" s="535"/>
      <c r="I153" s="536"/>
      <c r="J153" s="535"/>
      <c r="K153" s="535"/>
      <c r="L153" s="535"/>
      <c r="M153" s="535"/>
      <c r="N153" s="536"/>
      <c r="O153" s="536"/>
      <c r="P153" s="536"/>
      <c r="Q153" s="536"/>
      <c r="R153" s="536"/>
      <c r="S153" s="1234"/>
      <c r="T153" s="2724"/>
      <c r="U153" s="1235"/>
      <c r="V153" s="1234"/>
      <c r="W153" s="1224"/>
      <c r="X153" s="1226"/>
      <c r="Y153" s="1224"/>
    </row>
    <row r="154" spans="1:25" x14ac:dyDescent="0.3">
      <c r="A154" s="1" t="s">
        <v>1455</v>
      </c>
      <c r="B154" s="2307" t="s">
        <v>692</v>
      </c>
      <c r="C154" s="2299"/>
      <c r="D154" s="1503" t="s">
        <v>36</v>
      </c>
      <c r="E154" s="1504" t="s">
        <v>563</v>
      </c>
      <c r="F154" s="2308">
        <v>1</v>
      </c>
      <c r="G154" s="2309">
        <v>200</v>
      </c>
      <c r="H154" s="1374">
        <v>6</v>
      </c>
      <c r="I154" s="1505">
        <f>H154*G154*F154</f>
        <v>1200</v>
      </c>
      <c r="J154" s="2291"/>
      <c r="K154" s="2308">
        <v>1</v>
      </c>
      <c r="L154" s="2309">
        <v>200</v>
      </c>
      <c r="M154" s="1374">
        <v>6</v>
      </c>
      <c r="N154" s="2310">
        <f>M154*L154*K154+540</f>
        <v>1740</v>
      </c>
      <c r="O154" s="2291"/>
      <c r="P154" s="2826">
        <f>N154+I154</f>
        <v>2940</v>
      </c>
      <c r="Q154" s="1494"/>
      <c r="R154" s="2292"/>
      <c r="S154" s="1261"/>
      <c r="T154" s="2701">
        <v>6312.12</v>
      </c>
      <c r="U154" s="1294">
        <f t="shared" si="10"/>
        <v>2.1469795918367347</v>
      </c>
      <c r="V154" s="1262"/>
      <c r="W154" s="7"/>
      <c r="X154" s="7"/>
      <c r="Y154" s="7"/>
    </row>
    <row r="155" spans="1:25" ht="13.9" customHeight="1" x14ac:dyDescent="0.3">
      <c r="A155" s="1" t="s">
        <v>1455</v>
      </c>
      <c r="B155" s="2307" t="s">
        <v>692</v>
      </c>
      <c r="C155" s="2299"/>
      <c r="D155" s="1503" t="s">
        <v>36</v>
      </c>
      <c r="E155" s="1501" t="s">
        <v>649</v>
      </c>
      <c r="F155" s="1506">
        <v>1</v>
      </c>
      <c r="G155" s="2311">
        <v>200</v>
      </c>
      <c r="H155" s="1506">
        <v>6</v>
      </c>
      <c r="I155" s="1502">
        <f>+F155*G155*H155</f>
        <v>1200</v>
      </c>
      <c r="J155" s="2303"/>
      <c r="K155" s="1506">
        <v>1</v>
      </c>
      <c r="L155" s="2311">
        <v>200</v>
      </c>
      <c r="M155" s="1506">
        <v>6</v>
      </c>
      <c r="N155" s="1507">
        <f>+K155*L155*M155</f>
        <v>1200</v>
      </c>
      <c r="O155" s="2304"/>
      <c r="P155" s="2970">
        <f>+I155+N155</f>
        <v>2400</v>
      </c>
      <c r="Q155" s="1508"/>
      <c r="R155" s="2304"/>
      <c r="S155" s="1262"/>
      <c r="T155" s="2701"/>
      <c r="U155" s="1294">
        <f t="shared" si="10"/>
        <v>0</v>
      </c>
      <c r="V155" s="1262"/>
      <c r="W155" s="7"/>
      <c r="X155" s="7"/>
      <c r="Y155" s="7"/>
    </row>
    <row r="156" spans="1:25" ht="54" customHeight="1" x14ac:dyDescent="0.3">
      <c r="B156" s="839" t="s">
        <v>573</v>
      </c>
      <c r="C156" s="840"/>
      <c r="D156" s="839"/>
      <c r="E156" s="842"/>
      <c r="F156" s="839"/>
      <c r="G156" s="841"/>
      <c r="H156" s="434"/>
      <c r="I156" s="435">
        <f>SUM(I154:I155)</f>
        <v>2400</v>
      </c>
      <c r="J156" s="839"/>
      <c r="K156" s="839"/>
      <c r="L156" s="843"/>
      <c r="M156" s="843"/>
      <c r="N156" s="435">
        <f>SUM(N154:N155)</f>
        <v>2940</v>
      </c>
      <c r="O156" s="843"/>
      <c r="P156" s="2955">
        <f>SUM(P154:P155)</f>
        <v>5340</v>
      </c>
      <c r="Q156" s="844"/>
      <c r="R156" s="843"/>
      <c r="S156" s="1227"/>
      <c r="T156" s="2725">
        <f>SUM(T154:T155)</f>
        <v>6312.12</v>
      </c>
      <c r="U156" s="1228">
        <f t="shared" si="10"/>
        <v>1.1820449438202247</v>
      </c>
      <c r="V156" s="1227"/>
      <c r="W156" s="1229"/>
      <c r="X156" s="1233">
        <f>SUM(X154:X155)</f>
        <v>0</v>
      </c>
      <c r="Y156" s="1229"/>
    </row>
    <row r="157" spans="1:25" ht="13.9" customHeight="1" x14ac:dyDescent="0.3">
      <c r="B157" s="534" t="s">
        <v>57</v>
      </c>
      <c r="C157" s="535"/>
      <c r="D157" s="535"/>
      <c r="E157" s="845"/>
      <c r="F157" s="535"/>
      <c r="G157" s="535"/>
      <c r="H157" s="535"/>
      <c r="I157" s="536"/>
      <c r="J157" s="535"/>
      <c r="K157" s="535"/>
      <c r="L157" s="535"/>
      <c r="M157" s="535"/>
      <c r="N157" s="536"/>
      <c r="O157" s="536"/>
      <c r="P157" s="536"/>
      <c r="Q157" s="536"/>
      <c r="R157" s="536"/>
      <c r="S157" s="1234"/>
      <c r="T157" s="2724"/>
      <c r="U157" s="1235"/>
      <c r="V157" s="1234"/>
      <c r="W157" s="1224"/>
      <c r="X157" s="1226"/>
      <c r="Y157" s="1224"/>
    </row>
    <row r="158" spans="1:25" ht="28.5" customHeight="1" x14ac:dyDescent="0.3">
      <c r="A158" s="1" t="s">
        <v>1456</v>
      </c>
      <c r="B158" s="2312" t="s">
        <v>693</v>
      </c>
      <c r="C158" s="2299"/>
      <c r="D158" s="1509" t="s">
        <v>47</v>
      </c>
      <c r="E158" s="2313" t="s">
        <v>563</v>
      </c>
      <c r="F158" s="1931">
        <v>1</v>
      </c>
      <c r="G158" s="2309">
        <v>500</v>
      </c>
      <c r="H158" s="1931">
        <v>6</v>
      </c>
      <c r="I158" s="1510">
        <f>H158*G158*F158</f>
        <v>3000</v>
      </c>
      <c r="J158" s="2291"/>
      <c r="K158" s="1931">
        <v>1</v>
      </c>
      <c r="L158" s="2309">
        <v>500</v>
      </c>
      <c r="M158" s="1931">
        <v>6</v>
      </c>
      <c r="N158" s="2314">
        <f>M158*L158*K158+1944</f>
        <v>4944</v>
      </c>
      <c r="O158" s="2291"/>
      <c r="P158" s="2826">
        <f>N158+I158</f>
        <v>7944</v>
      </c>
      <c r="Q158" s="1494"/>
      <c r="R158" s="2292"/>
      <c r="S158" s="1261"/>
      <c r="T158" s="2701">
        <v>17184.080000000002</v>
      </c>
      <c r="U158" s="1294">
        <f>T158/P158</f>
        <v>2.1631520644511584</v>
      </c>
      <c r="V158" s="1262"/>
      <c r="W158" s="7"/>
      <c r="X158" s="7"/>
      <c r="Y158" s="7"/>
    </row>
    <row r="159" spans="1:25" ht="13.9" customHeight="1" x14ac:dyDescent="0.3">
      <c r="A159" s="1" t="s">
        <v>1456</v>
      </c>
      <c r="B159" s="2312" t="s">
        <v>693</v>
      </c>
      <c r="C159" s="2299"/>
      <c r="D159" s="1509" t="s">
        <v>47</v>
      </c>
      <c r="E159" s="2313" t="s">
        <v>694</v>
      </c>
      <c r="F159" s="1931">
        <v>1</v>
      </c>
      <c r="G159" s="2309">
        <v>500</v>
      </c>
      <c r="H159" s="1931">
        <v>6</v>
      </c>
      <c r="I159" s="1510">
        <f>H159*G159*F159</f>
        <v>3000</v>
      </c>
      <c r="J159" s="2291"/>
      <c r="K159" s="1931">
        <v>1</v>
      </c>
      <c r="L159" s="2309">
        <v>500</v>
      </c>
      <c r="M159" s="1931">
        <v>6</v>
      </c>
      <c r="N159" s="1510">
        <f>M159*L159*K159</f>
        <v>3000</v>
      </c>
      <c r="O159" s="2291"/>
      <c r="P159" s="2967">
        <f>N159+I159</f>
        <v>6000</v>
      </c>
      <c r="Q159" s="1494"/>
      <c r="R159" s="2292"/>
      <c r="S159" s="1262"/>
      <c r="T159" s="2726"/>
      <c r="U159" s="1294">
        <f t="shared" si="10"/>
        <v>0</v>
      </c>
      <c r="V159" s="1262"/>
      <c r="W159" s="7"/>
      <c r="X159" s="7"/>
      <c r="Y159" s="7"/>
    </row>
    <row r="160" spans="1:25" ht="13.9" customHeight="1" x14ac:dyDescent="0.3">
      <c r="B160" s="834" t="s">
        <v>695</v>
      </c>
      <c r="C160" s="537"/>
      <c r="D160" s="538"/>
      <c r="E160" s="846"/>
      <c r="F160" s="847"/>
      <c r="G160" s="847"/>
      <c r="H160" s="847"/>
      <c r="I160" s="2315">
        <f>SUM(I158:I159)</f>
        <v>6000</v>
      </c>
      <c r="J160" s="847"/>
      <c r="K160" s="847"/>
      <c r="L160" s="847"/>
      <c r="M160" s="847"/>
      <c r="N160" s="2316">
        <f>SUM(N158:N159)</f>
        <v>7944</v>
      </c>
      <c r="O160" s="436"/>
      <c r="P160" s="2956">
        <f>SUM(P158:P159)</f>
        <v>13944</v>
      </c>
      <c r="Q160" s="436"/>
      <c r="R160" s="436"/>
      <c r="S160" s="1229"/>
      <c r="T160" s="2723">
        <f>SUM(T158:T159)</f>
        <v>17184.080000000002</v>
      </c>
      <c r="U160" s="1228">
        <f t="shared" si="10"/>
        <v>1.2323637406769938</v>
      </c>
      <c r="V160" s="1229"/>
      <c r="W160" s="1229"/>
      <c r="X160" s="1233">
        <f>SUM(X151:X159)</f>
        <v>0</v>
      </c>
      <c r="Y160" s="1229"/>
    </row>
    <row r="161" spans="1:25" ht="30.75" customHeight="1" x14ac:dyDescent="0.3">
      <c r="B161" s="534" t="s">
        <v>59</v>
      </c>
      <c r="C161" s="535"/>
      <c r="D161" s="535"/>
      <c r="E161" s="845"/>
      <c r="F161" s="535"/>
      <c r="G161" s="535"/>
      <c r="H161" s="535"/>
      <c r="I161" s="536"/>
      <c r="J161" s="535"/>
      <c r="K161" s="535"/>
      <c r="L161" s="535"/>
      <c r="M161" s="535"/>
      <c r="N161" s="536"/>
      <c r="O161" s="536"/>
      <c r="P161" s="536"/>
      <c r="Q161" s="536"/>
      <c r="R161" s="536"/>
      <c r="S161" s="1234"/>
      <c r="T161" s="2724"/>
      <c r="U161" s="1235"/>
      <c r="V161" s="1234"/>
      <c r="W161" s="1224"/>
      <c r="X161" s="1226"/>
      <c r="Y161" s="1224"/>
    </row>
    <row r="162" spans="1:25" ht="28.5" customHeight="1" x14ac:dyDescent="0.3">
      <c r="A162" s="1" t="s">
        <v>1457</v>
      </c>
      <c r="B162" s="1498" t="s">
        <v>696</v>
      </c>
      <c r="C162" s="2317"/>
      <c r="D162" s="1511" t="s">
        <v>17</v>
      </c>
      <c r="E162" s="2313" t="s">
        <v>563</v>
      </c>
      <c r="F162" s="2308">
        <v>1</v>
      </c>
      <c r="G162" s="2308">
        <v>500</v>
      </c>
      <c r="H162" s="1931">
        <v>6</v>
      </c>
      <c r="I162" s="1512">
        <f>H162*G162*F162</f>
        <v>3000</v>
      </c>
      <c r="J162" s="7"/>
      <c r="K162" s="2308">
        <v>1</v>
      </c>
      <c r="L162" s="2308">
        <v>500</v>
      </c>
      <c r="M162" s="1931">
        <v>6</v>
      </c>
      <c r="N162" s="2318">
        <f>M162*L162*K162+2400</f>
        <v>5400</v>
      </c>
      <c r="O162" s="7"/>
      <c r="P162" s="2826">
        <f>N162+I162</f>
        <v>8400</v>
      </c>
      <c r="Q162" s="1494"/>
      <c r="R162" s="277"/>
      <c r="S162" s="1261"/>
      <c r="T162" s="2701">
        <v>16009.86</v>
      </c>
      <c r="U162" s="1294">
        <f t="shared" si="10"/>
        <v>1.9059357142857143</v>
      </c>
      <c r="V162" s="1262"/>
      <c r="W162" s="7"/>
      <c r="X162" s="7"/>
      <c r="Y162" s="7"/>
    </row>
    <row r="163" spans="1:25" ht="27.75" customHeight="1" x14ac:dyDescent="0.3">
      <c r="A163" s="1" t="s">
        <v>1458</v>
      </c>
      <c r="B163" s="2319" t="s">
        <v>697</v>
      </c>
      <c r="C163" s="2320"/>
      <c r="D163" s="1511" t="s">
        <v>17</v>
      </c>
      <c r="E163" s="2313" t="s">
        <v>563</v>
      </c>
      <c r="F163" s="264">
        <v>1</v>
      </c>
      <c r="G163" s="2321">
        <v>300</v>
      </c>
      <c r="H163" s="264">
        <v>6</v>
      </c>
      <c r="I163" s="1512">
        <f>H163*G163*F163</f>
        <v>1800</v>
      </c>
      <c r="J163" s="7"/>
      <c r="K163" s="264">
        <v>1</v>
      </c>
      <c r="L163" s="2321">
        <v>300</v>
      </c>
      <c r="M163" s="264">
        <v>6</v>
      </c>
      <c r="N163" s="2318">
        <f>M163*L163*K163+1170-500</f>
        <v>2470</v>
      </c>
      <c r="O163" s="7"/>
      <c r="P163" s="2826">
        <f>N163+I163</f>
        <v>4270</v>
      </c>
      <c r="Q163" s="1494"/>
      <c r="R163" s="277"/>
      <c r="S163" s="1261"/>
      <c r="T163" s="2701">
        <v>7690.88</v>
      </c>
      <c r="U163" s="1294">
        <f t="shared" ref="U163:U189" si="23">T163/P163</f>
        <v>1.8011428571428572</v>
      </c>
      <c r="V163" s="1262"/>
      <c r="W163" s="7"/>
      <c r="X163" s="7"/>
      <c r="Y163" s="7"/>
    </row>
    <row r="164" spans="1:25" ht="13.9" customHeight="1" x14ac:dyDescent="0.3">
      <c r="A164" s="1" t="s">
        <v>1457</v>
      </c>
      <c r="B164" s="2319" t="s">
        <v>696</v>
      </c>
      <c r="C164" s="2320"/>
      <c r="D164" s="1513" t="s">
        <v>17</v>
      </c>
      <c r="E164" s="2322" t="s">
        <v>698</v>
      </c>
      <c r="F164" s="264">
        <v>1</v>
      </c>
      <c r="G164" s="2323">
        <v>500</v>
      </c>
      <c r="H164" s="264">
        <v>6</v>
      </c>
      <c r="I164" s="1512">
        <f>H164*G164*F164</f>
        <v>3000</v>
      </c>
      <c r="J164" s="7"/>
      <c r="K164" s="264">
        <v>1</v>
      </c>
      <c r="L164" s="2323">
        <v>500</v>
      </c>
      <c r="M164" s="264">
        <v>6</v>
      </c>
      <c r="N164" s="1512">
        <f>M164*L164*K164</f>
        <v>3000</v>
      </c>
      <c r="O164" s="7"/>
      <c r="P164" s="2967">
        <f>N164+I164</f>
        <v>6000</v>
      </c>
      <c r="Q164" s="270"/>
      <c r="R164" s="7"/>
      <c r="S164" s="1262"/>
      <c r="T164" s="2726"/>
      <c r="U164" s="1294">
        <f t="shared" si="23"/>
        <v>0</v>
      </c>
      <c r="V164" s="1262"/>
      <c r="W164" s="7"/>
      <c r="X164" s="7"/>
      <c r="Y164" s="7"/>
    </row>
    <row r="165" spans="1:25" ht="13.9" customHeight="1" x14ac:dyDescent="0.3">
      <c r="A165" s="1" t="s">
        <v>1458</v>
      </c>
      <c r="B165" s="2319" t="s">
        <v>697</v>
      </c>
      <c r="C165" s="2320"/>
      <c r="D165" s="1513" t="s">
        <v>17</v>
      </c>
      <c r="E165" s="2322" t="s">
        <v>698</v>
      </c>
      <c r="F165" s="264">
        <v>1</v>
      </c>
      <c r="G165" s="2323">
        <v>300</v>
      </c>
      <c r="H165" s="264">
        <v>6</v>
      </c>
      <c r="I165" s="1512">
        <f>H165*G165*F165</f>
        <v>1800</v>
      </c>
      <c r="J165" s="7"/>
      <c r="K165" s="264">
        <v>1</v>
      </c>
      <c r="L165" s="2323">
        <v>300</v>
      </c>
      <c r="M165" s="264">
        <v>6</v>
      </c>
      <c r="N165" s="1512">
        <f>M165*L165*K165</f>
        <v>1800</v>
      </c>
      <c r="O165" s="7"/>
      <c r="P165" s="2967">
        <f>N165+I165</f>
        <v>3600</v>
      </c>
      <c r="Q165" s="270"/>
      <c r="R165" s="7"/>
      <c r="S165" s="1262"/>
      <c r="T165" s="2726"/>
      <c r="U165" s="1294">
        <f t="shared" si="23"/>
        <v>0</v>
      </c>
      <c r="V165" s="1262"/>
      <c r="W165" s="7"/>
      <c r="X165" s="7"/>
      <c r="Y165" s="7"/>
    </row>
    <row r="166" spans="1:25" ht="61.5" customHeight="1" x14ac:dyDescent="0.3">
      <c r="B166" s="2324" t="s">
        <v>573</v>
      </c>
      <c r="C166" s="2325"/>
      <c r="D166" s="538"/>
      <c r="E166" s="847"/>
      <c r="F166" s="847"/>
      <c r="G166" s="847"/>
      <c r="H166" s="847"/>
      <c r="I166" s="2315">
        <f>SUM(I162:I165)</f>
        <v>9600</v>
      </c>
      <c r="J166" s="847"/>
      <c r="K166" s="847"/>
      <c r="L166" s="847"/>
      <c r="M166" s="847"/>
      <c r="N166" s="2316">
        <f>SUM(N162:N165)</f>
        <v>12670</v>
      </c>
      <c r="O166" s="436"/>
      <c r="P166" s="2956">
        <f>SUM(P162:P165)</f>
        <v>22270</v>
      </c>
      <c r="Q166" s="436"/>
      <c r="R166" s="436"/>
      <c r="S166" s="1227"/>
      <c r="T166" s="2723">
        <f>SUM(T162:T165)</f>
        <v>23700.74</v>
      </c>
      <c r="U166" s="1228">
        <f t="shared" si="23"/>
        <v>1.0642451728783118</v>
      </c>
      <c r="V166" s="1227"/>
      <c r="W166" s="1229"/>
      <c r="X166" s="1233">
        <f>SUM(X162:X165)</f>
        <v>0</v>
      </c>
      <c r="Y166" s="1229"/>
    </row>
    <row r="167" spans="1:25" ht="13.9" customHeight="1" x14ac:dyDescent="0.3">
      <c r="B167" s="534" t="s">
        <v>60</v>
      </c>
      <c r="C167" s="535"/>
      <c r="D167" s="535"/>
      <c r="E167" s="535"/>
      <c r="F167" s="535"/>
      <c r="G167" s="535"/>
      <c r="H167" s="535"/>
      <c r="I167" s="536"/>
      <c r="J167" s="535"/>
      <c r="K167" s="535"/>
      <c r="L167" s="535"/>
      <c r="M167" s="535"/>
      <c r="N167" s="536"/>
      <c r="O167" s="536"/>
      <c r="P167" s="536"/>
      <c r="Q167" s="536"/>
      <c r="R167" s="536"/>
      <c r="S167" s="1234"/>
      <c r="T167" s="2724"/>
      <c r="U167" s="1235"/>
      <c r="V167" s="1234"/>
      <c r="W167" s="1224"/>
      <c r="X167" s="1226"/>
      <c r="Y167" s="1224"/>
    </row>
    <row r="168" spans="1:25" ht="13.9" customHeight="1" x14ac:dyDescent="0.3">
      <c r="B168" s="2326"/>
      <c r="C168" s="2327"/>
      <c r="D168" s="2206"/>
      <c r="E168" s="2328"/>
      <c r="F168" s="1931"/>
      <c r="G168" s="1931"/>
      <c r="H168" s="1931"/>
      <c r="I168" s="848"/>
      <c r="J168" s="7"/>
      <c r="K168" s="1931"/>
      <c r="L168" s="1931"/>
      <c r="M168" s="1931"/>
      <c r="N168" s="848"/>
      <c r="O168" s="7"/>
      <c r="P168" s="2971"/>
      <c r="Q168" s="849"/>
      <c r="R168" s="277"/>
      <c r="S168" s="1236"/>
      <c r="T168" s="2721"/>
      <c r="U168" s="1237"/>
      <c r="V168" s="1236"/>
      <c r="W168" s="7"/>
      <c r="X168" s="7"/>
      <c r="Y168" s="7"/>
    </row>
    <row r="169" spans="1:25" ht="13.9" customHeight="1" x14ac:dyDescent="0.3">
      <c r="B169" s="534" t="s">
        <v>58</v>
      </c>
      <c r="C169" s="535"/>
      <c r="D169" s="535"/>
      <c r="E169" s="535"/>
      <c r="F169" s="535"/>
      <c r="G169" s="535"/>
      <c r="H169" s="535"/>
      <c r="I169" s="536"/>
      <c r="J169" s="535"/>
      <c r="K169" s="535"/>
      <c r="L169" s="535"/>
      <c r="M169" s="535"/>
      <c r="N169" s="536"/>
      <c r="O169" s="536"/>
      <c r="P169" s="536"/>
      <c r="Q169" s="536"/>
      <c r="R169" s="536"/>
      <c r="S169" s="1234"/>
      <c r="T169" s="2724"/>
      <c r="U169" s="1235"/>
      <c r="V169" s="1234"/>
      <c r="W169" s="1234"/>
      <c r="X169" s="1238"/>
      <c r="Y169" s="1234"/>
    </row>
    <row r="170" spans="1:25" ht="13.9" customHeight="1" x14ac:dyDescent="0.3">
      <c r="B170" s="1480" t="s">
        <v>699</v>
      </c>
      <c r="C170" s="2329"/>
      <c r="D170" s="497"/>
      <c r="E170" s="497"/>
      <c r="F170" s="2329"/>
      <c r="G170" s="2329"/>
      <c r="H170" s="2329"/>
      <c r="I170" s="2329"/>
      <c r="J170" s="2329"/>
      <c r="K170" s="2329"/>
      <c r="L170" s="2329"/>
      <c r="M170" s="2329"/>
      <c r="N170" s="2329"/>
      <c r="O170" s="2330"/>
      <c r="P170" s="2329"/>
      <c r="Q170" s="2329"/>
      <c r="R170" s="2329"/>
      <c r="S170" s="2331"/>
      <c r="T170" s="2727"/>
      <c r="U170" s="2332"/>
      <c r="V170" s="2331"/>
      <c r="W170" s="7"/>
      <c r="X170" s="7"/>
      <c r="Y170" s="7"/>
    </row>
    <row r="171" spans="1:25" ht="13.9" customHeight="1" x14ac:dyDescent="0.3">
      <c r="A171" s="1" t="s">
        <v>1459</v>
      </c>
      <c r="B171" s="2333" t="s">
        <v>700</v>
      </c>
      <c r="C171" s="2334"/>
      <c r="D171" s="1514" t="s">
        <v>19</v>
      </c>
      <c r="E171" s="2313" t="s">
        <v>563</v>
      </c>
      <c r="F171" s="2335">
        <v>1</v>
      </c>
      <c r="G171" s="2335">
        <v>2000</v>
      </c>
      <c r="H171" s="2335">
        <v>1</v>
      </c>
      <c r="I171" s="1515">
        <f>H171*G171*F171</f>
        <v>2000</v>
      </c>
      <c r="J171" s="7"/>
      <c r="K171" s="2335">
        <v>1</v>
      </c>
      <c r="L171" s="2335">
        <v>2000</v>
      </c>
      <c r="M171" s="2335">
        <v>1</v>
      </c>
      <c r="N171" s="2336">
        <f>M171*L171*K171+757.8-1500</f>
        <v>1257.8000000000002</v>
      </c>
      <c r="O171" s="7"/>
      <c r="P171" s="2972">
        <f>N171+I171</f>
        <v>3257.8</v>
      </c>
      <c r="Q171" s="1517"/>
      <c r="R171" s="277"/>
      <c r="S171" s="1262"/>
      <c r="T171" s="2701">
        <v>2932.53</v>
      </c>
      <c r="U171" s="1294">
        <f t="shared" si="23"/>
        <v>0.90015654736325124</v>
      </c>
      <c r="V171" s="1262"/>
      <c r="W171" s="7"/>
      <c r="X171" s="7"/>
      <c r="Y171" s="7"/>
    </row>
    <row r="172" spans="1:25" ht="23.25" customHeight="1" x14ac:dyDescent="0.3">
      <c r="A172" s="1" t="s">
        <v>1460</v>
      </c>
      <c r="B172" s="1518" t="s">
        <v>701</v>
      </c>
      <c r="C172" s="2334"/>
      <c r="D172" s="1514" t="s">
        <v>19</v>
      </c>
      <c r="E172" s="2313" t="s">
        <v>563</v>
      </c>
      <c r="F172" s="1519">
        <v>1</v>
      </c>
      <c r="G172" s="2335">
        <v>100</v>
      </c>
      <c r="H172" s="1519">
        <v>6</v>
      </c>
      <c r="I172" s="1515">
        <f t="shared" ref="I172:I177" si="24">H172*G172*F172</f>
        <v>600</v>
      </c>
      <c r="J172" s="7"/>
      <c r="K172" s="1519">
        <v>1</v>
      </c>
      <c r="L172" s="2335">
        <v>100</v>
      </c>
      <c r="M172" s="1519">
        <v>6</v>
      </c>
      <c r="N172" s="2336">
        <f>M172*L172*K172+180-200</f>
        <v>580</v>
      </c>
      <c r="O172" s="7"/>
      <c r="P172" s="2972">
        <f>N172+I172</f>
        <v>1180</v>
      </c>
      <c r="Q172" s="1517"/>
      <c r="R172" s="277"/>
      <c r="S172" s="1261"/>
      <c r="T172" s="2701">
        <v>2042.43</v>
      </c>
      <c r="U172" s="1294">
        <f t="shared" si="23"/>
        <v>1.7308728813559322</v>
      </c>
      <c r="V172" s="1262"/>
      <c r="W172" s="7"/>
      <c r="X172" s="7"/>
      <c r="Y172" s="7"/>
    </row>
    <row r="173" spans="1:25" ht="23.25" customHeight="1" x14ac:dyDescent="0.3">
      <c r="A173" s="1" t="s">
        <v>1461</v>
      </c>
      <c r="B173" s="1518" t="s">
        <v>702</v>
      </c>
      <c r="C173" s="2337"/>
      <c r="D173" s="1514" t="s">
        <v>19</v>
      </c>
      <c r="E173" s="2313" t="s">
        <v>563</v>
      </c>
      <c r="F173" s="1519">
        <v>1</v>
      </c>
      <c r="G173" s="2335">
        <v>100</v>
      </c>
      <c r="H173" s="1519">
        <v>6</v>
      </c>
      <c r="I173" s="1515">
        <f t="shared" si="24"/>
        <v>600</v>
      </c>
      <c r="J173" s="7"/>
      <c r="K173" s="1519">
        <v>1</v>
      </c>
      <c r="L173" s="2335">
        <v>100</v>
      </c>
      <c r="M173" s="1519">
        <v>6</v>
      </c>
      <c r="N173" s="2336">
        <f>M173*L173*K173+2280-900</f>
        <v>1980</v>
      </c>
      <c r="O173" s="7"/>
      <c r="P173" s="2972">
        <f>N173+I173</f>
        <v>2580</v>
      </c>
      <c r="Q173" s="1517"/>
      <c r="R173" s="277"/>
      <c r="S173" s="1261"/>
      <c r="T173" s="2701">
        <v>3667.58</v>
      </c>
      <c r="U173" s="1294">
        <f t="shared" si="23"/>
        <v>1.4215426356589147</v>
      </c>
      <c r="V173" s="1262"/>
      <c r="W173" s="7"/>
      <c r="X173" s="7"/>
      <c r="Y173" s="7"/>
    </row>
    <row r="174" spans="1:25" ht="23.25" customHeight="1" x14ac:dyDescent="0.3">
      <c r="A174" s="1" t="s">
        <v>1462</v>
      </c>
      <c r="B174" s="1518" t="s">
        <v>703</v>
      </c>
      <c r="C174" s="3"/>
      <c r="D174" s="1514" t="s">
        <v>19</v>
      </c>
      <c r="E174" s="2313" t="s">
        <v>563</v>
      </c>
      <c r="F174" s="1519">
        <v>1</v>
      </c>
      <c r="G174" s="2335">
        <v>2000</v>
      </c>
      <c r="H174" s="1519">
        <v>1</v>
      </c>
      <c r="I174" s="1515">
        <f t="shared" si="24"/>
        <v>2000</v>
      </c>
      <c r="J174" s="7"/>
      <c r="K174" s="1519">
        <v>1</v>
      </c>
      <c r="L174" s="2335">
        <v>2000</v>
      </c>
      <c r="M174" s="1519">
        <v>1</v>
      </c>
      <c r="N174" s="2336">
        <f>M174*L174*K174+1500</f>
        <v>3500</v>
      </c>
      <c r="O174" s="7"/>
      <c r="P174" s="2972">
        <f>N174+I174</f>
        <v>5500</v>
      </c>
      <c r="Q174" s="1517"/>
      <c r="R174" s="277"/>
      <c r="S174" s="1261"/>
      <c r="T174" s="2701">
        <v>9499.92</v>
      </c>
      <c r="U174" s="1294">
        <f t="shared" si="23"/>
        <v>1.7272581818181818</v>
      </c>
      <c r="V174" s="1262"/>
      <c r="W174" s="7"/>
      <c r="X174" s="7"/>
      <c r="Y174" s="7"/>
    </row>
    <row r="175" spans="1:25" ht="23.25" customHeight="1" x14ac:dyDescent="0.3">
      <c r="A175" s="1" t="s">
        <v>1463</v>
      </c>
      <c r="B175" s="2333" t="s">
        <v>693</v>
      </c>
      <c r="C175" s="3"/>
      <c r="D175" s="1514" t="s">
        <v>19</v>
      </c>
      <c r="E175" s="2313" t="s">
        <v>563</v>
      </c>
      <c r="F175" s="2335">
        <v>1</v>
      </c>
      <c r="G175" s="2335">
        <f>400*0.5</f>
        <v>200</v>
      </c>
      <c r="H175" s="1519">
        <v>6</v>
      </c>
      <c r="I175" s="1515">
        <f t="shared" si="24"/>
        <v>1200</v>
      </c>
      <c r="J175" s="7"/>
      <c r="K175" s="2335">
        <v>1</v>
      </c>
      <c r="L175" s="2335">
        <f>400*0.5</f>
        <v>200</v>
      </c>
      <c r="M175" s="1519">
        <v>6</v>
      </c>
      <c r="N175" s="2336">
        <f t="shared" ref="N175:N177" si="25">M175*L175*K175</f>
        <v>1200</v>
      </c>
      <c r="O175" s="7"/>
      <c r="P175" s="2973">
        <f t="shared" ref="P175:P177" si="26">N175+I175</f>
        <v>2400</v>
      </c>
      <c r="Q175" s="1517"/>
      <c r="R175" s="277"/>
      <c r="S175" s="1261"/>
      <c r="T175" s="2701">
        <v>4676.53</v>
      </c>
      <c r="U175" s="1294">
        <f>T175/P175</f>
        <v>1.9485541666666666</v>
      </c>
      <c r="V175" s="1261"/>
      <c r="W175" s="7"/>
      <c r="X175" s="7"/>
      <c r="Y175" s="7"/>
    </row>
    <row r="176" spans="1:25" ht="23.25" customHeight="1" x14ac:dyDescent="0.3">
      <c r="A176" s="1" t="s">
        <v>1464</v>
      </c>
      <c r="B176" s="1518" t="s">
        <v>704</v>
      </c>
      <c r="C176" s="3"/>
      <c r="D176" s="1514" t="s">
        <v>19</v>
      </c>
      <c r="E176" s="2313" t="s">
        <v>563</v>
      </c>
      <c r="F176" s="1519">
        <v>1</v>
      </c>
      <c r="G176" s="2335">
        <v>600</v>
      </c>
      <c r="H176" s="1519">
        <v>6</v>
      </c>
      <c r="I176" s="1515">
        <f t="shared" si="24"/>
        <v>3600</v>
      </c>
      <c r="J176" s="7"/>
      <c r="K176" s="1519">
        <v>1</v>
      </c>
      <c r="L176" s="2335">
        <v>600</v>
      </c>
      <c r="M176" s="1519">
        <v>6</v>
      </c>
      <c r="N176" s="2336">
        <f>M176*L176*K176-200</f>
        <v>3400</v>
      </c>
      <c r="O176" s="7"/>
      <c r="P176" s="2973">
        <f t="shared" si="26"/>
        <v>7000</v>
      </c>
      <c r="Q176" s="1517"/>
      <c r="R176" s="2338"/>
      <c r="S176" s="1261"/>
      <c r="T176" s="2701">
        <v>13922.59</v>
      </c>
      <c r="U176" s="1294">
        <f t="shared" si="23"/>
        <v>1.9889414285714286</v>
      </c>
      <c r="V176" s="1261"/>
      <c r="W176" s="7"/>
      <c r="X176" s="7"/>
      <c r="Y176" s="7"/>
    </row>
    <row r="177" spans="1:25" ht="23.25" customHeight="1" x14ac:dyDescent="0.3">
      <c r="A177" s="1" t="s">
        <v>1465</v>
      </c>
      <c r="B177" s="1518" t="s">
        <v>705</v>
      </c>
      <c r="C177" s="3"/>
      <c r="D177" s="1514" t="s">
        <v>19</v>
      </c>
      <c r="E177" s="2313" t="s">
        <v>563</v>
      </c>
      <c r="F177" s="1519">
        <v>1</v>
      </c>
      <c r="G177" s="2335">
        <v>1000</v>
      </c>
      <c r="H177" s="1519">
        <v>6</v>
      </c>
      <c r="I177" s="1515">
        <f t="shared" si="24"/>
        <v>6000</v>
      </c>
      <c r="J177" s="7"/>
      <c r="K177" s="1519">
        <v>1</v>
      </c>
      <c r="L177" s="2335">
        <v>1000</v>
      </c>
      <c r="M177" s="1519">
        <v>6</v>
      </c>
      <c r="N177" s="1516">
        <f t="shared" si="25"/>
        <v>6000</v>
      </c>
      <c r="O177" s="277"/>
      <c r="P177" s="2973">
        <f t="shared" si="26"/>
        <v>12000</v>
      </c>
      <c r="Q177" s="1517"/>
      <c r="R177" s="2338"/>
      <c r="S177" s="1261"/>
      <c r="T177" s="2701">
        <v>24805.200000000001</v>
      </c>
      <c r="U177" s="1294">
        <f t="shared" si="23"/>
        <v>2.0670999999999999</v>
      </c>
      <c r="V177" s="1261"/>
      <c r="W177" s="7"/>
      <c r="X177" s="7"/>
      <c r="Y177" s="7"/>
    </row>
    <row r="178" spans="1:25" ht="13.9" customHeight="1" x14ac:dyDescent="0.3">
      <c r="B178" s="1480" t="s">
        <v>706</v>
      </c>
      <c r="C178" s="3"/>
      <c r="D178" s="2060"/>
      <c r="E178" s="2313"/>
      <c r="F178" s="1931"/>
      <c r="G178" s="2309"/>
      <c r="H178" s="1408"/>
      <c r="I178" s="1515"/>
      <c r="J178" s="7"/>
      <c r="K178" s="1931"/>
      <c r="L178" s="2309"/>
      <c r="M178" s="1408"/>
      <c r="N178" s="1516"/>
      <c r="O178" s="277"/>
      <c r="P178" s="2973"/>
      <c r="Q178" s="1517"/>
      <c r="R178" s="2338"/>
      <c r="S178" s="1262"/>
      <c r="T178" s="2701" t="s">
        <v>99</v>
      </c>
      <c r="U178" s="1294"/>
      <c r="V178" s="1262"/>
      <c r="W178" s="7"/>
      <c r="X178" s="7"/>
      <c r="Y178" s="7"/>
    </row>
    <row r="179" spans="1:25" ht="13.9" customHeight="1" x14ac:dyDescent="0.3">
      <c r="A179" s="1" t="s">
        <v>1459</v>
      </c>
      <c r="B179" s="2333" t="s">
        <v>700</v>
      </c>
      <c r="C179" s="3"/>
      <c r="D179" s="1514" t="s">
        <v>19</v>
      </c>
      <c r="E179" s="1520" t="s">
        <v>649</v>
      </c>
      <c r="F179" s="2335">
        <v>1</v>
      </c>
      <c r="G179" s="2335">
        <v>2000</v>
      </c>
      <c r="H179" s="2335">
        <v>1</v>
      </c>
      <c r="I179" s="1516">
        <f>+F179*G179*H179</f>
        <v>2000</v>
      </c>
      <c r="J179" s="2303"/>
      <c r="K179" s="2335">
        <v>1</v>
      </c>
      <c r="L179" s="2335">
        <v>2000</v>
      </c>
      <c r="M179" s="2335">
        <v>1</v>
      </c>
      <c r="N179" s="1516">
        <f>+K179*L179*M179</f>
        <v>2000</v>
      </c>
      <c r="O179" s="2304"/>
      <c r="P179" s="2973">
        <f t="shared" ref="P179:P185" si="27">+I179+N179</f>
        <v>4000</v>
      </c>
      <c r="Q179" s="1521"/>
      <c r="R179" s="2304"/>
      <c r="S179" s="1262"/>
      <c r="T179" s="2701"/>
      <c r="U179" s="1294">
        <f t="shared" si="23"/>
        <v>0</v>
      </c>
      <c r="V179" s="1262"/>
      <c r="W179" s="7"/>
      <c r="X179" s="7"/>
      <c r="Y179" s="7"/>
    </row>
    <row r="180" spans="1:25" ht="13.9" customHeight="1" x14ac:dyDescent="0.3">
      <c r="A180" s="1" t="s">
        <v>1460</v>
      </c>
      <c r="B180" s="1518" t="s">
        <v>701</v>
      </c>
      <c r="C180" s="3"/>
      <c r="D180" s="1514" t="s">
        <v>19</v>
      </c>
      <c r="E180" s="1520" t="s">
        <v>649</v>
      </c>
      <c r="F180" s="1519">
        <v>1</v>
      </c>
      <c r="G180" s="2335">
        <v>100</v>
      </c>
      <c r="H180" s="1519">
        <v>6</v>
      </c>
      <c r="I180" s="1516">
        <f>+F180*G180*H180</f>
        <v>600</v>
      </c>
      <c r="J180" s="2303"/>
      <c r="K180" s="1519">
        <v>1</v>
      </c>
      <c r="L180" s="2335">
        <v>100</v>
      </c>
      <c r="M180" s="1519">
        <v>6</v>
      </c>
      <c r="N180" s="1516">
        <f>+K180*L180*M180</f>
        <v>600</v>
      </c>
      <c r="O180" s="2304"/>
      <c r="P180" s="2973">
        <f t="shared" si="27"/>
        <v>1200</v>
      </c>
      <c r="Q180" s="1521"/>
      <c r="R180" s="2304"/>
      <c r="S180" s="1262"/>
      <c r="T180" s="2701"/>
      <c r="U180" s="1294">
        <f t="shared" si="23"/>
        <v>0</v>
      </c>
      <c r="V180" s="1262"/>
      <c r="W180" s="7"/>
      <c r="X180" s="7"/>
      <c r="Y180" s="7"/>
    </row>
    <row r="181" spans="1:25" ht="17.25" customHeight="1" x14ac:dyDescent="0.3">
      <c r="A181" s="1" t="s">
        <v>1461</v>
      </c>
      <c r="B181" s="1518" t="s">
        <v>702</v>
      </c>
      <c r="C181" s="3"/>
      <c r="D181" s="1514" t="s">
        <v>19</v>
      </c>
      <c r="E181" s="1520" t="s">
        <v>649</v>
      </c>
      <c r="F181" s="1519">
        <v>1</v>
      </c>
      <c r="G181" s="2335">
        <v>100</v>
      </c>
      <c r="H181" s="1519">
        <v>6</v>
      </c>
      <c r="I181" s="1516">
        <f>+F181*G181*H181</f>
        <v>600</v>
      </c>
      <c r="J181" s="2303"/>
      <c r="K181" s="1519">
        <v>1</v>
      </c>
      <c r="L181" s="2335">
        <v>100</v>
      </c>
      <c r="M181" s="1519">
        <v>6</v>
      </c>
      <c r="N181" s="1516">
        <f>+K181*L181*M181</f>
        <v>600</v>
      </c>
      <c r="O181" s="2304"/>
      <c r="P181" s="2973">
        <f t="shared" si="27"/>
        <v>1200</v>
      </c>
      <c r="Q181" s="1521"/>
      <c r="R181" s="2304"/>
      <c r="S181" s="1262"/>
      <c r="T181" s="2701"/>
      <c r="U181" s="1294">
        <f t="shared" si="23"/>
        <v>0</v>
      </c>
      <c r="V181" s="1262"/>
      <c r="W181" s="7"/>
      <c r="X181" s="7"/>
      <c r="Y181" s="7"/>
    </row>
    <row r="182" spans="1:25" ht="17.25" customHeight="1" x14ac:dyDescent="0.3">
      <c r="A182" s="1" t="s">
        <v>1462</v>
      </c>
      <c r="B182" s="1518" t="s">
        <v>703</v>
      </c>
      <c r="C182" s="3"/>
      <c r="D182" s="1514" t="s">
        <v>19</v>
      </c>
      <c r="E182" s="1520" t="s">
        <v>649</v>
      </c>
      <c r="F182" s="1519">
        <v>1</v>
      </c>
      <c r="G182" s="2335">
        <v>2000</v>
      </c>
      <c r="H182" s="1519">
        <v>1</v>
      </c>
      <c r="I182" s="1516">
        <f>+F182*G182*H182</f>
        <v>2000</v>
      </c>
      <c r="J182" s="2303"/>
      <c r="K182" s="1519">
        <v>1</v>
      </c>
      <c r="L182" s="2335">
        <v>2000</v>
      </c>
      <c r="M182" s="1519">
        <v>1</v>
      </c>
      <c r="N182" s="1516">
        <f>M182*L182*K182</f>
        <v>2000</v>
      </c>
      <c r="O182" s="2304"/>
      <c r="P182" s="2973">
        <f t="shared" si="27"/>
        <v>4000</v>
      </c>
      <c r="Q182" s="1521"/>
      <c r="R182" s="2304"/>
      <c r="S182" s="1262"/>
      <c r="T182" s="2701"/>
      <c r="U182" s="1294">
        <f t="shared" si="23"/>
        <v>0</v>
      </c>
      <c r="V182" s="1262"/>
      <c r="W182" s="7"/>
      <c r="X182" s="7"/>
      <c r="Y182" s="7"/>
    </row>
    <row r="183" spans="1:25" ht="17.25" customHeight="1" x14ac:dyDescent="0.3">
      <c r="A183" s="1" t="s">
        <v>1463</v>
      </c>
      <c r="B183" s="2333" t="s">
        <v>693</v>
      </c>
      <c r="C183" s="3"/>
      <c r="D183" s="1514" t="s">
        <v>19</v>
      </c>
      <c r="E183" s="1520" t="s">
        <v>649</v>
      </c>
      <c r="F183" s="2335">
        <v>1</v>
      </c>
      <c r="G183" s="2335">
        <f>400*0.5</f>
        <v>200</v>
      </c>
      <c r="H183" s="1519">
        <v>6</v>
      </c>
      <c r="I183" s="1516">
        <f>+F183*G183*H183</f>
        <v>1200</v>
      </c>
      <c r="J183" s="2303"/>
      <c r="K183" s="2335">
        <v>1</v>
      </c>
      <c r="L183" s="2335">
        <f>400*0.5</f>
        <v>200</v>
      </c>
      <c r="M183" s="1519">
        <v>6</v>
      </c>
      <c r="N183" s="1516">
        <f>M183*L183*K183</f>
        <v>1200</v>
      </c>
      <c r="O183" s="2304"/>
      <c r="P183" s="2973">
        <f t="shared" si="27"/>
        <v>2400</v>
      </c>
      <c r="Q183" s="1521"/>
      <c r="R183" s="2304"/>
      <c r="S183" s="1262"/>
      <c r="T183" s="2701"/>
      <c r="U183" s="1294">
        <f t="shared" si="23"/>
        <v>0</v>
      </c>
      <c r="V183" s="1262"/>
      <c r="W183" s="7"/>
      <c r="X183" s="7"/>
      <c r="Y183" s="7"/>
    </row>
    <row r="184" spans="1:25" x14ac:dyDescent="0.3">
      <c r="A184" s="1" t="s">
        <v>1464</v>
      </c>
      <c r="B184" s="1518" t="s">
        <v>704</v>
      </c>
      <c r="C184" s="2339"/>
      <c r="D184" s="1514" t="s">
        <v>19</v>
      </c>
      <c r="E184" s="1522" t="s">
        <v>649</v>
      </c>
      <c r="F184" s="1519">
        <v>1</v>
      </c>
      <c r="G184" s="2335">
        <v>600</v>
      </c>
      <c r="H184" s="1519">
        <v>6</v>
      </c>
      <c r="I184" s="1515">
        <f>H184*G184*F184</f>
        <v>3600</v>
      </c>
      <c r="J184" s="2303"/>
      <c r="K184" s="1519">
        <v>1</v>
      </c>
      <c r="L184" s="2335">
        <v>600</v>
      </c>
      <c r="M184" s="1519">
        <v>6</v>
      </c>
      <c r="N184" s="1516">
        <f>M184*L184*K184</f>
        <v>3600</v>
      </c>
      <c r="O184" s="2304"/>
      <c r="P184" s="2973">
        <f t="shared" si="27"/>
        <v>7200</v>
      </c>
      <c r="Q184" s="1521"/>
      <c r="R184" s="2304"/>
      <c r="S184" s="1262"/>
      <c r="T184" s="2701"/>
      <c r="U184" s="1294">
        <f t="shared" si="23"/>
        <v>0</v>
      </c>
      <c r="V184" s="1262"/>
      <c r="W184" s="7"/>
      <c r="X184" s="7"/>
      <c r="Y184" s="7"/>
    </row>
    <row r="185" spans="1:25" x14ac:dyDescent="0.3">
      <c r="A185" s="1" t="s">
        <v>1465</v>
      </c>
      <c r="B185" s="1518" t="s">
        <v>705</v>
      </c>
      <c r="C185" s="2339"/>
      <c r="D185" s="1514" t="s">
        <v>19</v>
      </c>
      <c r="E185" s="1522" t="s">
        <v>649</v>
      </c>
      <c r="F185" s="1519">
        <v>1</v>
      </c>
      <c r="G185" s="2335">
        <v>1000</v>
      </c>
      <c r="H185" s="1519">
        <v>6</v>
      </c>
      <c r="I185" s="1515">
        <f>H185*G185*F185</f>
        <v>6000</v>
      </c>
      <c r="J185" s="2303"/>
      <c r="K185" s="1519">
        <v>1</v>
      </c>
      <c r="L185" s="2335">
        <v>1000</v>
      </c>
      <c r="M185" s="1519">
        <v>6</v>
      </c>
      <c r="N185" s="1516">
        <f>M185*L185*K185</f>
        <v>6000</v>
      </c>
      <c r="O185" s="2304"/>
      <c r="P185" s="2973">
        <f t="shared" si="27"/>
        <v>12000</v>
      </c>
      <c r="Q185" s="1521"/>
      <c r="R185" s="2304"/>
      <c r="S185" s="1262"/>
      <c r="T185" s="2701"/>
      <c r="U185" s="1294">
        <f t="shared" si="23"/>
        <v>0</v>
      </c>
      <c r="V185" s="1262"/>
      <c r="W185" s="7"/>
      <c r="X185" s="7"/>
      <c r="Y185" s="7"/>
    </row>
    <row r="186" spans="1:25" ht="13.9" customHeight="1" x14ac:dyDescent="0.3">
      <c r="B186" s="850" t="s">
        <v>707</v>
      </c>
      <c r="C186" s="542"/>
      <c r="D186" s="543"/>
      <c r="E186" s="851"/>
      <c r="F186" s="850"/>
      <c r="G186" s="850"/>
      <c r="H186" s="850"/>
      <c r="I186" s="852">
        <f>SUM(I171:I185)</f>
        <v>32000</v>
      </c>
      <c r="J186" s="850"/>
      <c r="K186" s="850"/>
      <c r="L186" s="850"/>
      <c r="M186" s="850"/>
      <c r="N186" s="852">
        <f>SUM(N171:N185)</f>
        <v>33917.800000000003</v>
      </c>
      <c r="O186" s="852"/>
      <c r="P186" s="852">
        <f>SUM(P171:P185)</f>
        <v>65917.8</v>
      </c>
      <c r="Q186" s="852"/>
      <c r="R186" s="852"/>
      <c r="S186" s="1229"/>
      <c r="T186" s="2725">
        <f>SUM(T171:T185)</f>
        <v>61546.78</v>
      </c>
      <c r="U186" s="1228">
        <f>T186/P186</f>
        <v>0.93368983794968885</v>
      </c>
      <c r="V186" s="1229"/>
      <c r="W186" s="1229"/>
      <c r="X186" s="1233">
        <f>SUM(X171:X185)</f>
        <v>0</v>
      </c>
      <c r="Y186" s="1229"/>
    </row>
    <row r="187" spans="1:25" ht="13.9" customHeight="1" x14ac:dyDescent="0.3">
      <c r="B187" s="853" t="s">
        <v>51</v>
      </c>
      <c r="C187" s="854"/>
      <c r="D187" s="855"/>
      <c r="E187" s="856"/>
      <c r="F187" s="856"/>
      <c r="G187" s="856"/>
      <c r="H187" s="857"/>
      <c r="I187" s="858">
        <f>I149+I152+I156+I160+I166+I186</f>
        <v>110000</v>
      </c>
      <c r="J187" s="856"/>
      <c r="K187" s="856"/>
      <c r="L187" s="856"/>
      <c r="M187" s="857"/>
      <c r="N187" s="858">
        <f>N149+N152+N156+N160+N166+N186</f>
        <v>153736.79999999999</v>
      </c>
      <c r="O187" s="859">
        <v>0.24598373690163708</v>
      </c>
      <c r="P187" s="2957">
        <f>P149+P152+P156+P160+P166+P186</f>
        <v>263736.8</v>
      </c>
      <c r="Q187" s="860">
        <v>0.24598373690163708</v>
      </c>
      <c r="R187" s="861">
        <f>R133</f>
        <v>66179.25</v>
      </c>
      <c r="S187" s="1239"/>
      <c r="T187" s="2728">
        <f>T149+T152+T156+T160+T166+T186</f>
        <v>257413.38999999998</v>
      </c>
      <c r="U187" s="1240">
        <f>T187/P187</f>
        <v>0.97602378583496874</v>
      </c>
      <c r="V187" s="1239"/>
      <c r="W187" s="862"/>
      <c r="X187" s="861">
        <f>X149+X152+X156+X160+X166+X186</f>
        <v>0</v>
      </c>
      <c r="Y187" s="1239"/>
    </row>
    <row r="188" spans="1:25" x14ac:dyDescent="0.3">
      <c r="B188" s="671" t="s">
        <v>392</v>
      </c>
      <c r="C188" s="672"/>
      <c r="D188" s="672"/>
      <c r="E188" s="673"/>
      <c r="F188" s="544"/>
      <c r="G188" s="544"/>
      <c r="H188" s="544"/>
      <c r="I188" s="440" t="s">
        <v>3</v>
      </c>
      <c r="J188" s="441"/>
      <c r="K188" s="440"/>
      <c r="L188" s="440"/>
      <c r="M188" s="440"/>
      <c r="N188" s="442" t="s">
        <v>4</v>
      </c>
      <c r="O188" s="443"/>
      <c r="P188" s="2958"/>
      <c r="Q188" s="443"/>
      <c r="R188" s="443"/>
      <c r="S188" s="444"/>
      <c r="T188" s="2729"/>
      <c r="U188" s="863"/>
      <c r="V188" s="444"/>
      <c r="W188" s="444"/>
      <c r="X188" s="525"/>
      <c r="Y188" s="444"/>
    </row>
    <row r="189" spans="1:25" x14ac:dyDescent="0.3">
      <c r="B189" s="545"/>
      <c r="C189" s="546"/>
      <c r="D189" s="546"/>
      <c r="E189" s="864"/>
      <c r="F189" s="544"/>
      <c r="G189" s="547"/>
      <c r="H189" s="544"/>
      <c r="I189" s="445">
        <f>I135+I187</f>
        <v>199830</v>
      </c>
      <c r="J189" s="441"/>
      <c r="K189" s="440"/>
      <c r="L189" s="440"/>
      <c r="M189" s="440"/>
      <c r="N189" s="445">
        <f>N135+N187</f>
        <v>481838.3</v>
      </c>
      <c r="O189" s="443"/>
      <c r="P189" s="2959">
        <f>P135+P187</f>
        <v>726168.3</v>
      </c>
      <c r="Q189" s="526"/>
      <c r="R189" s="446">
        <f>R135+R187</f>
        <v>132358.5</v>
      </c>
      <c r="S189" s="444"/>
      <c r="T189" s="2729">
        <f>T135+T187</f>
        <v>703222.5</v>
      </c>
      <c r="U189" s="597">
        <f t="shared" si="23"/>
        <v>0.96840153997358458</v>
      </c>
      <c r="V189" s="444"/>
      <c r="W189" s="444">
        <f>X189/P189</f>
        <v>0.10807778444748964</v>
      </c>
      <c r="X189" s="527">
        <f>X135+X187</f>
        <v>78482.660999999993</v>
      </c>
      <c r="Y189" s="444"/>
    </row>
    <row r="190" spans="1:25" x14ac:dyDescent="0.3">
      <c r="B190" s="866" t="s">
        <v>394</v>
      </c>
      <c r="C190" s="867"/>
      <c r="D190" s="867"/>
      <c r="E190" s="868"/>
      <c r="F190" s="869"/>
      <c r="G190" s="869"/>
      <c r="H190" s="869"/>
      <c r="I190" s="870"/>
      <c r="J190" s="871"/>
      <c r="K190" s="870"/>
      <c r="L190" s="870"/>
      <c r="M190" s="870"/>
      <c r="N190" s="870"/>
      <c r="O190" s="870"/>
      <c r="P190" s="2960"/>
      <c r="Q190" s="872"/>
      <c r="R190" s="872"/>
      <c r="S190" s="873"/>
      <c r="T190" s="2730"/>
      <c r="U190" s="874"/>
      <c r="V190" s="873"/>
      <c r="W190" s="873"/>
      <c r="X190" s="2394">
        <f>X189*7/100</f>
        <v>5493.7862699999996</v>
      </c>
      <c r="Y190" s="873"/>
    </row>
    <row r="191" spans="1:25" x14ac:dyDescent="0.3">
      <c r="B191" s="875" t="s">
        <v>395</v>
      </c>
      <c r="C191" s="876"/>
      <c r="D191" s="876"/>
      <c r="E191" s="877"/>
      <c r="F191" s="878"/>
      <c r="G191" s="878"/>
      <c r="H191" s="878"/>
      <c r="I191" s="879"/>
      <c r="J191" s="880"/>
      <c r="K191" s="879"/>
      <c r="L191" s="879"/>
      <c r="M191" s="879"/>
      <c r="N191" s="879"/>
      <c r="O191" s="879"/>
      <c r="P191" s="2961"/>
      <c r="Q191" s="881"/>
      <c r="R191" s="881"/>
      <c r="S191" s="882"/>
      <c r="T191" s="2731"/>
      <c r="U191" s="883"/>
      <c r="V191" s="882"/>
      <c r="W191" s="882"/>
      <c r="X191" s="884"/>
      <c r="Y191" s="882"/>
    </row>
    <row r="192" spans="1:25" ht="33" customHeight="1" x14ac:dyDescent="0.3">
      <c r="B192" s="2054"/>
      <c r="C192" s="2055"/>
      <c r="D192" s="2055"/>
      <c r="E192" s="293" t="s">
        <v>26</v>
      </c>
      <c r="F192" s="294"/>
      <c r="G192" s="294"/>
      <c r="H192" s="294"/>
      <c r="I192" s="885">
        <f>I189+I191</f>
        <v>199830</v>
      </c>
      <c r="J192" s="865"/>
      <c r="K192" s="292"/>
      <c r="L192" s="292"/>
      <c r="M192" s="292"/>
      <c r="N192" s="292">
        <f>N189+N191</f>
        <v>481838.3</v>
      </c>
      <c r="O192" s="292">
        <f t="shared" ref="O192:T192" si="28">O189+O191</f>
        <v>0</v>
      </c>
      <c r="P192" s="292">
        <f t="shared" si="28"/>
        <v>726168.3</v>
      </c>
      <c r="Q192" s="292">
        <f t="shared" si="28"/>
        <v>0</v>
      </c>
      <c r="R192" s="292">
        <f t="shared" si="28"/>
        <v>132358.5</v>
      </c>
      <c r="S192" s="292">
        <f t="shared" si="28"/>
        <v>0</v>
      </c>
      <c r="T192" s="2732">
        <f t="shared" si="28"/>
        <v>703222.5</v>
      </c>
      <c r="U192" s="292"/>
      <c r="V192" s="887" t="s">
        <v>1632</v>
      </c>
      <c r="W192" s="888">
        <f>X192/P192</f>
        <v>0.11564322935881391</v>
      </c>
      <c r="X192" s="889">
        <f>SUM(X189:X191)</f>
        <v>83976.44726999999</v>
      </c>
      <c r="Y192" s="890" t="s">
        <v>1633</v>
      </c>
    </row>
    <row r="193" spans="2:25" x14ac:dyDescent="0.3">
      <c r="B193" s="41"/>
      <c r="D193" s="2340"/>
      <c r="J193" s="2341"/>
      <c r="P193" s="2974"/>
      <c r="R193" s="1852"/>
      <c r="S193" s="296"/>
      <c r="T193" s="2733"/>
      <c r="U193" s="296"/>
      <c r="V193" s="296"/>
      <c r="W193" s="296"/>
      <c r="X193" s="296"/>
      <c r="Y193" s="296"/>
    </row>
    <row r="194" spans="2:25" x14ac:dyDescent="0.3">
      <c r="D194" s="2340"/>
      <c r="J194" s="2341"/>
      <c r="P194" s="2974"/>
    </row>
    <row r="195" spans="2:25" x14ac:dyDescent="0.3">
      <c r="D195" s="2340"/>
      <c r="J195" s="2341"/>
      <c r="P195" s="2974"/>
    </row>
    <row r="196" spans="2:25" x14ac:dyDescent="0.3">
      <c r="D196" s="2340"/>
      <c r="J196" s="2341"/>
      <c r="P196" s="2974"/>
    </row>
    <row r="197" spans="2:25" x14ac:dyDescent="0.3">
      <c r="D197" s="2340"/>
      <c r="J197" s="2341"/>
      <c r="Q197" s="891" t="s">
        <v>1634</v>
      </c>
      <c r="R197" s="2291"/>
      <c r="S197" s="2342">
        <v>777000.29500000004</v>
      </c>
      <c r="T197" s="2734">
        <f>T192</f>
        <v>703222.5</v>
      </c>
      <c r="U197" s="2343">
        <f>T197/S197</f>
        <v>0.90504791893290071</v>
      </c>
      <c r="V197" s="2344"/>
    </row>
    <row r="198" spans="2:25" x14ac:dyDescent="0.3">
      <c r="D198" s="2340"/>
      <c r="J198" s="2341"/>
      <c r="P198" s="2974"/>
    </row>
    <row r="199" spans="2:25" ht="14.5" x14ac:dyDescent="0.35">
      <c r="D199" s="2340"/>
      <c r="J199" s="2341"/>
      <c r="P199" s="2974"/>
      <c r="T199" s="2735"/>
    </row>
    <row r="200" spans="2:25" x14ac:dyDescent="0.3">
      <c r="D200" s="2340"/>
      <c r="J200" s="2341"/>
      <c r="P200" s="2974"/>
      <c r="U200" s="2345"/>
    </row>
    <row r="201" spans="2:25" x14ac:dyDescent="0.3">
      <c r="D201" s="2340"/>
      <c r="J201" s="2341"/>
      <c r="P201" s="2974"/>
      <c r="U201" s="2345"/>
    </row>
    <row r="202" spans="2:25" x14ac:dyDescent="0.3">
      <c r="D202" s="2340"/>
      <c r="J202" s="2341"/>
      <c r="P202" s="2974"/>
    </row>
    <row r="203" spans="2:25" x14ac:dyDescent="0.3">
      <c r="D203" s="2340"/>
      <c r="J203" s="2341"/>
      <c r="P203" s="2974"/>
    </row>
    <row r="204" spans="2:25" x14ac:dyDescent="0.3">
      <c r="D204" s="2340"/>
      <c r="J204" s="2341"/>
      <c r="P204" s="2974"/>
    </row>
    <row r="205" spans="2:25" x14ac:dyDescent="0.3">
      <c r="D205" s="2340"/>
      <c r="J205" s="2341"/>
      <c r="P205" s="2974"/>
    </row>
    <row r="206" spans="2:25" x14ac:dyDescent="0.3">
      <c r="D206" s="2340"/>
      <c r="J206" s="2341"/>
      <c r="P206" s="2974"/>
    </row>
  </sheetData>
  <mergeCells count="10">
    <mergeCell ref="B89:B91"/>
    <mergeCell ref="B62:B76"/>
    <mergeCell ref="B79:B85"/>
    <mergeCell ref="B87:B88"/>
    <mergeCell ref="B95:B133"/>
    <mergeCell ref="B14:B20"/>
    <mergeCell ref="B21:B35"/>
    <mergeCell ref="B37:B42"/>
    <mergeCell ref="B45:B58"/>
    <mergeCell ref="B59:B61"/>
  </mergeCells>
  <dataValidations count="4">
    <dataValidation type="list" allowBlank="1" showInputMessage="1" showErrorMessage="1" sqref="D95:D133" xr:uid="{49183407-CFDC-4F4D-A4C8-9BF1DCC694CA}">
      <formula1>categorie</formula1>
    </dataValidation>
    <dataValidation type="list" allowBlank="1" showInputMessage="1" showErrorMessage="1" sqref="D139:D143 D145:D148" xr:uid="{1B8D4ED8-1C05-4068-9072-5D760EC5C62C}">
      <formula1>catégorie</formula1>
    </dataValidation>
    <dataValidation type="list" allowBlank="1" showInputMessage="1" showErrorMessage="1" sqref="D151" xr:uid="{E0ED164A-A0B6-47F6-89EA-FD15ED46C3E7}">
      <formula1>catégories</formula1>
    </dataValidation>
    <dataValidation type="list" allowBlank="1" showInputMessage="1" showErrorMessage="1" sqref="D24 D22 D15:D16 D49:D54 D45:D47 D41:D42 D18:D20 D29:D30 D73:D76 D79:D91 D56:D71 D33:D39" xr:uid="{29B1403E-7230-43A9-BF95-1CF9997A1242}">
      <formula1>categories</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X146"/>
  <sheetViews>
    <sheetView zoomScale="46" zoomScaleNormal="10" workbookViewId="0">
      <pane xSplit="3" ySplit="11" topLeftCell="E32" activePane="bottomRight" state="frozen"/>
      <selection pane="topRight" activeCell="D1" sqref="D1"/>
      <selection pane="bottomLeft" activeCell="A12" sqref="A12"/>
      <selection pane="bottomRight" activeCell="Q6" sqref="Q6"/>
    </sheetView>
  </sheetViews>
  <sheetFormatPr baseColWidth="10" defaultColWidth="11.453125" defaultRowHeight="18.5" x14ac:dyDescent="0.45"/>
  <cols>
    <col min="1" max="1" width="15.54296875" style="1525" customWidth="1"/>
    <col min="2" max="2" width="52.1796875" style="1525" customWidth="1"/>
    <col min="3" max="3" width="43" style="1525" customWidth="1"/>
    <col min="4" max="4" width="27.1796875" style="1525" customWidth="1"/>
    <col min="5" max="7" width="10.7265625" style="1525" customWidth="1"/>
    <col min="8" max="8" width="16.26953125" style="1525" customWidth="1"/>
    <col min="9" max="9" width="11.26953125" style="1524" customWidth="1"/>
    <col min="10" max="12" width="10.7265625" style="1525" customWidth="1"/>
    <col min="13" max="13" width="16.453125" style="1525" customWidth="1"/>
    <col min="14" max="14" width="10.81640625" style="1525" customWidth="1"/>
    <col min="15" max="15" width="22.1796875" style="1638" bestFit="1" customWidth="1"/>
    <col min="16" max="16" width="15.453125" style="1523" customWidth="1"/>
    <col min="17" max="17" width="16.81640625" style="1524" customWidth="1"/>
    <col min="18" max="18" width="32" style="2403" customWidth="1"/>
    <col min="19" max="19" width="20.7265625" style="1525" customWidth="1"/>
    <col min="20" max="20" width="18.453125" style="1526" customWidth="1"/>
    <col min="21" max="21" width="44.54296875" style="2403" customWidth="1"/>
    <col min="22" max="22" width="16.7265625" style="1523" customWidth="1"/>
    <col min="23" max="23" width="18.81640625" style="1524" customWidth="1"/>
    <col min="24" max="24" width="37.26953125" style="1527" customWidth="1"/>
    <col min="25" max="16384" width="11.453125" style="1525"/>
  </cols>
  <sheetData>
    <row r="1" spans="1:24" ht="18" customHeight="1" x14ac:dyDescent="0.45">
      <c r="D1" s="1552" t="s">
        <v>28</v>
      </c>
      <c r="E1" s="1552"/>
      <c r="F1" s="1552"/>
      <c r="G1" s="1552"/>
    </row>
    <row r="2" spans="1:24" x14ac:dyDescent="0.45">
      <c r="A2" s="2062" t="s">
        <v>1368</v>
      </c>
      <c r="B2" s="2063"/>
      <c r="C2" s="2238" t="s">
        <v>1642</v>
      </c>
    </row>
    <row r="3" spans="1:24" x14ac:dyDescent="0.45">
      <c r="A3" s="2062" t="s">
        <v>24</v>
      </c>
      <c r="B3" s="2063"/>
      <c r="C3" s="275" t="s">
        <v>98</v>
      </c>
    </row>
    <row r="4" spans="1:24" ht="18" customHeight="1" x14ac:dyDescent="0.45">
      <c r="A4" s="2062" t="s">
        <v>21</v>
      </c>
      <c r="B4" s="2064"/>
      <c r="C4" s="275" t="s">
        <v>1617</v>
      </c>
      <c r="D4" s="2065"/>
      <c r="E4" s="2065"/>
      <c r="F4" s="2065"/>
      <c r="G4" s="2065"/>
      <c r="H4" s="2065"/>
      <c r="I4" s="2066"/>
      <c r="J4" s="2065"/>
      <c r="K4" s="2065"/>
      <c r="L4" s="2065"/>
      <c r="M4" s="2065"/>
      <c r="N4" s="2065"/>
      <c r="O4" s="2066"/>
    </row>
    <row r="5" spans="1:24" ht="15.75" customHeight="1" x14ac:dyDescent="0.45">
      <c r="A5" s="2062" t="s">
        <v>22</v>
      </c>
      <c r="B5" s="2064"/>
      <c r="C5" s="2595">
        <v>765000</v>
      </c>
      <c r="D5" s="2065"/>
      <c r="E5" s="2065"/>
      <c r="F5" s="2065"/>
      <c r="G5" s="2065"/>
      <c r="H5" s="2065"/>
      <c r="I5" s="2066"/>
      <c r="J5" s="2065"/>
      <c r="K5" s="2065"/>
      <c r="L5" s="2065"/>
      <c r="M5" s="2065"/>
      <c r="N5" s="2065"/>
      <c r="O5" s="2066"/>
    </row>
    <row r="6" spans="1:24" ht="19.5" customHeight="1" x14ac:dyDescent="0.45">
      <c r="A6" s="1552" t="s">
        <v>37</v>
      </c>
      <c r="B6" s="2064"/>
      <c r="C6" s="2064"/>
      <c r="D6" s="2065"/>
      <c r="E6" s="2065"/>
      <c r="F6" s="2065"/>
      <c r="G6" s="2065"/>
      <c r="H6" s="2065"/>
      <c r="I6" s="2066"/>
      <c r="J6" s="2065"/>
      <c r="K6" s="2065"/>
      <c r="L6" s="2065"/>
      <c r="M6" s="2065"/>
      <c r="N6" s="2065"/>
      <c r="O6" s="2066"/>
    </row>
    <row r="7" spans="1:24" ht="18" customHeight="1" x14ac:dyDescent="0.45">
      <c r="A7" s="1552" t="s">
        <v>38</v>
      </c>
      <c r="B7" s="2064"/>
      <c r="C7" s="2064"/>
      <c r="D7" s="2065"/>
      <c r="E7" s="2065"/>
      <c r="F7" s="2065"/>
      <c r="G7" s="2065"/>
      <c r="H7" s="2065"/>
      <c r="I7" s="2066"/>
      <c r="J7" s="2065"/>
      <c r="K7" s="2065"/>
      <c r="L7" s="2065"/>
      <c r="M7" s="2065"/>
      <c r="N7" s="2065"/>
      <c r="O7" s="2066"/>
    </row>
    <row r="8" spans="1:24" ht="37.5" customHeight="1" x14ac:dyDescent="0.45">
      <c r="S8" s="3308" t="s">
        <v>1643</v>
      </c>
      <c r="T8" s="3309"/>
      <c r="U8" s="3309"/>
      <c r="V8" s="3309"/>
      <c r="W8" s="3309"/>
      <c r="X8" s="3310"/>
    </row>
    <row r="9" spans="1:24" s="1531" customFormat="1" ht="105" customHeight="1" x14ac:dyDescent="0.25">
      <c r="A9" s="1528" t="s">
        <v>9</v>
      </c>
      <c r="B9" s="1528" t="s">
        <v>10</v>
      </c>
      <c r="C9" s="1528" t="s">
        <v>45</v>
      </c>
      <c r="D9" s="1528" t="s">
        <v>35</v>
      </c>
      <c r="E9" s="1528" t="s">
        <v>6</v>
      </c>
      <c r="F9" s="1528" t="s">
        <v>7</v>
      </c>
      <c r="G9" s="1528" t="s">
        <v>8</v>
      </c>
      <c r="H9" s="2067" t="s">
        <v>11</v>
      </c>
      <c r="I9" s="2067" t="s">
        <v>25</v>
      </c>
      <c r="J9" s="1528" t="s">
        <v>6</v>
      </c>
      <c r="K9" s="1528" t="s">
        <v>7</v>
      </c>
      <c r="L9" s="1528" t="s">
        <v>8</v>
      </c>
      <c r="M9" s="2067" t="s">
        <v>12</v>
      </c>
      <c r="N9" s="2067" t="s">
        <v>25</v>
      </c>
      <c r="O9" s="2067" t="s">
        <v>13</v>
      </c>
      <c r="P9" s="1529" t="s">
        <v>64</v>
      </c>
      <c r="Q9" s="2067" t="s">
        <v>84</v>
      </c>
      <c r="R9" s="2067" t="s">
        <v>42</v>
      </c>
      <c r="S9" s="2068" t="s">
        <v>1644</v>
      </c>
      <c r="T9" s="1530" t="s">
        <v>179</v>
      </c>
      <c r="U9" s="2068" t="s">
        <v>81</v>
      </c>
      <c r="V9" s="1530" t="s">
        <v>1103</v>
      </c>
      <c r="W9" s="2068" t="s">
        <v>180</v>
      </c>
      <c r="X9" s="2421" t="s">
        <v>1645</v>
      </c>
    </row>
    <row r="10" spans="1:24" ht="50.25" customHeight="1" x14ac:dyDescent="0.45">
      <c r="A10" s="3311" t="s">
        <v>52</v>
      </c>
      <c r="B10" s="3312"/>
      <c r="C10" s="3312"/>
      <c r="D10" s="3312"/>
      <c r="E10" s="3312"/>
      <c r="F10" s="3312"/>
      <c r="G10" s="3312"/>
      <c r="H10" s="3312"/>
      <c r="I10" s="3312"/>
      <c r="J10" s="3312"/>
      <c r="K10" s="3312"/>
      <c r="L10" s="3312"/>
      <c r="M10" s="3312"/>
      <c r="N10" s="3312"/>
      <c r="O10" s="3312"/>
      <c r="P10" s="3312"/>
      <c r="Q10" s="3312"/>
      <c r="R10" s="3312"/>
      <c r="S10" s="3313"/>
      <c r="T10" s="3313"/>
      <c r="U10" s="3313"/>
      <c r="V10" s="3313"/>
      <c r="W10" s="3313"/>
      <c r="X10" s="3314"/>
    </row>
    <row r="11" spans="1:24" ht="22.9" customHeight="1" x14ac:dyDescent="0.45">
      <c r="A11" s="3315" t="s">
        <v>721</v>
      </c>
      <c r="B11" s="3316"/>
      <c r="C11" s="3316"/>
      <c r="D11" s="3316"/>
      <c r="E11" s="3316"/>
      <c r="F11" s="3316"/>
      <c r="G11" s="3316"/>
      <c r="H11" s="3316"/>
      <c r="I11" s="3316"/>
      <c r="J11" s="3316"/>
      <c r="K11" s="3316"/>
      <c r="L11" s="3316"/>
      <c r="M11" s="3316"/>
      <c r="N11" s="3316"/>
      <c r="O11" s="3316"/>
      <c r="P11" s="3316"/>
      <c r="Q11" s="3316"/>
      <c r="R11" s="3316"/>
      <c r="S11" s="3317"/>
      <c r="T11" s="3317"/>
      <c r="U11" s="3317"/>
      <c r="V11" s="3317"/>
      <c r="W11" s="3317"/>
      <c r="X11" s="3318"/>
    </row>
    <row r="12" spans="1:24" s="2082" customFormat="1" ht="202.5" customHeight="1" x14ac:dyDescent="0.25">
      <c r="A12" s="3319" t="s">
        <v>722</v>
      </c>
      <c r="B12" s="2069" t="s">
        <v>723</v>
      </c>
      <c r="C12" s="2070" t="s">
        <v>15</v>
      </c>
      <c r="D12" s="2071" t="s">
        <v>724</v>
      </c>
      <c r="E12" s="2070">
        <v>60</v>
      </c>
      <c r="F12" s="2070">
        <v>12</v>
      </c>
      <c r="G12" s="2070">
        <v>1</v>
      </c>
      <c r="H12" s="2072">
        <f>E12*F12*G12</f>
        <v>720</v>
      </c>
      <c r="I12" s="2073">
        <v>0.3</v>
      </c>
      <c r="J12" s="2074"/>
      <c r="K12" s="2075"/>
      <c r="L12" s="2075"/>
      <c r="M12" s="2076">
        <v>0</v>
      </c>
      <c r="N12" s="2077"/>
      <c r="O12" s="2910">
        <f>H12+M12</f>
        <v>720</v>
      </c>
      <c r="P12" s="2078">
        <v>0.15</v>
      </c>
      <c r="Q12" s="2079">
        <v>108</v>
      </c>
      <c r="R12" s="2080" t="s">
        <v>725</v>
      </c>
      <c r="S12" s="2422">
        <f>'[4]RECAPITULATIF 2 ANS'!T15</f>
        <v>1620</v>
      </c>
      <c r="T12" s="2078">
        <f>S12/O12</f>
        <v>2.25</v>
      </c>
      <c r="U12" s="2070" t="s">
        <v>1118</v>
      </c>
      <c r="V12" s="2423">
        <v>0.15</v>
      </c>
      <c r="W12" s="2081">
        <f>V12*S12</f>
        <v>243</v>
      </c>
      <c r="X12" s="2424" t="s">
        <v>726</v>
      </c>
    </row>
    <row r="13" spans="1:24" ht="111" x14ac:dyDescent="0.45">
      <c r="A13" s="3319"/>
      <c r="B13" s="1532" t="s">
        <v>727</v>
      </c>
      <c r="C13" s="1560" t="s">
        <v>15</v>
      </c>
      <c r="D13" s="2083" t="s">
        <v>724</v>
      </c>
      <c r="E13" s="1560">
        <v>60</v>
      </c>
      <c r="F13" s="1560">
        <v>85.8</v>
      </c>
      <c r="G13" s="1560">
        <v>1</v>
      </c>
      <c r="H13" s="1533">
        <f>E13*F13*G13</f>
        <v>5148</v>
      </c>
      <c r="I13" s="2084">
        <v>7.0000000000000007E-2</v>
      </c>
      <c r="J13" s="2085"/>
      <c r="K13" s="2085"/>
      <c r="L13" s="2085"/>
      <c r="M13" s="1534">
        <v>0</v>
      </c>
      <c r="N13" s="2086"/>
      <c r="O13" s="2911">
        <f t="shared" ref="O13:O14" si="0">H13+M13</f>
        <v>5148</v>
      </c>
      <c r="P13" s="1535">
        <v>0.15</v>
      </c>
      <c r="Q13" s="1536">
        <v>772.2</v>
      </c>
      <c r="R13" s="1537" t="s">
        <v>728</v>
      </c>
      <c r="S13" s="2425">
        <f>'[4]RECAPITULATIF 2 ANS'!T16</f>
        <v>5147.2</v>
      </c>
      <c r="T13" s="1535">
        <f>S13/O13</f>
        <v>0.99984459984459984</v>
      </c>
      <c r="U13" s="1538" t="s">
        <v>729</v>
      </c>
      <c r="V13" s="1535">
        <v>0.15</v>
      </c>
      <c r="W13" s="2087">
        <f t="shared" ref="W13" si="1">V13*S13</f>
        <v>772.07999999999993</v>
      </c>
      <c r="X13" s="2117" t="s">
        <v>726</v>
      </c>
    </row>
    <row r="14" spans="1:24" ht="111" x14ac:dyDescent="0.45">
      <c r="A14" s="3319"/>
      <c r="B14" s="1532" t="s">
        <v>730</v>
      </c>
      <c r="C14" s="1560" t="s">
        <v>36</v>
      </c>
      <c r="D14" s="2083" t="s">
        <v>724</v>
      </c>
      <c r="E14" s="1560">
        <v>5</v>
      </c>
      <c r="F14" s="1560">
        <v>1400</v>
      </c>
      <c r="G14" s="1560">
        <v>1</v>
      </c>
      <c r="H14" s="1533">
        <f>E14*F14*G14</f>
        <v>7000</v>
      </c>
      <c r="I14" s="2088">
        <v>0</v>
      </c>
      <c r="J14" s="2085"/>
      <c r="K14" s="2085"/>
      <c r="L14" s="2085"/>
      <c r="M14" s="1534">
        <v>0</v>
      </c>
      <c r="N14" s="2086"/>
      <c r="O14" s="2911">
        <f t="shared" si="0"/>
        <v>7000</v>
      </c>
      <c r="P14" s="1535">
        <v>0.5</v>
      </c>
      <c r="Q14" s="1539">
        <v>3500</v>
      </c>
      <c r="R14" s="1537" t="s">
        <v>731</v>
      </c>
      <c r="S14" s="2425">
        <f>'[4]RECAPITULATIF 2 ANS'!T17</f>
        <v>7000</v>
      </c>
      <c r="T14" s="1535">
        <f t="shared" ref="T14:T37" si="2">S14/O14</f>
        <v>1</v>
      </c>
      <c r="U14" s="1538" t="s">
        <v>729</v>
      </c>
      <c r="V14" s="1535">
        <v>0.5</v>
      </c>
      <c r="W14" s="2087">
        <f>V14*S14</f>
        <v>3500</v>
      </c>
      <c r="X14" s="2117" t="s">
        <v>731</v>
      </c>
    </row>
    <row r="15" spans="1:24" s="1552" customFormat="1" x14ac:dyDescent="0.45">
      <c r="A15" s="3319"/>
      <c r="B15" s="2089"/>
      <c r="C15" s="2089"/>
      <c r="D15" s="1540" t="s">
        <v>0</v>
      </c>
      <c r="E15" s="1541"/>
      <c r="F15" s="1541"/>
      <c r="G15" s="1541"/>
      <c r="H15" s="1542">
        <f>SUM(H12:H14)</f>
        <v>12868</v>
      </c>
      <c r="I15" s="1542">
        <f>J15/H15*100</f>
        <v>0</v>
      </c>
      <c r="J15" s="1542"/>
      <c r="K15" s="1542"/>
      <c r="L15" s="1542"/>
      <c r="M15" s="1543">
        <v>0</v>
      </c>
      <c r="N15" s="1544"/>
      <c r="O15" s="1545">
        <f>SUM(O12:O14)</f>
        <v>12868</v>
      </c>
      <c r="P15" s="1546"/>
      <c r="Q15" s="1547">
        <f>SUM(Q12:Q14)</f>
        <v>4380.2</v>
      </c>
      <c r="R15" s="1548"/>
      <c r="S15" s="1549">
        <f>SUM(S12:S14)</f>
        <v>13767.2</v>
      </c>
      <c r="T15" s="1546">
        <f>S15/O15</f>
        <v>1.0698787690394778</v>
      </c>
      <c r="U15" s="1550"/>
      <c r="V15" s="1546">
        <f>W15/S15</f>
        <v>0.32795920739148116</v>
      </c>
      <c r="W15" s="1549">
        <f>SUM(W12:W14)</f>
        <v>4515.08</v>
      </c>
      <c r="X15" s="1551"/>
    </row>
    <row r="16" spans="1:24" ht="36.75" customHeight="1" x14ac:dyDescent="0.45">
      <c r="A16" s="3299" t="s">
        <v>732</v>
      </c>
      <c r="B16" s="1532" t="s">
        <v>733</v>
      </c>
      <c r="C16" s="1560" t="s">
        <v>47</v>
      </c>
      <c r="D16" s="2083" t="s">
        <v>724</v>
      </c>
      <c r="E16" s="1560">
        <v>1</v>
      </c>
      <c r="F16" s="1560">
        <v>4500</v>
      </c>
      <c r="G16" s="1560">
        <v>5</v>
      </c>
      <c r="H16" s="1533">
        <f>E16*F16*G16</f>
        <v>22500</v>
      </c>
      <c r="I16" s="2090">
        <v>0.3</v>
      </c>
      <c r="J16" s="2085"/>
      <c r="K16" s="2085"/>
      <c r="L16" s="2085"/>
      <c r="M16" s="1534">
        <v>0</v>
      </c>
      <c r="N16" s="2091">
        <v>0</v>
      </c>
      <c r="O16" s="2911">
        <f>H16+M16</f>
        <v>22500</v>
      </c>
      <c r="P16" s="1535">
        <v>0.5</v>
      </c>
      <c r="Q16" s="1536">
        <f>O16/2</f>
        <v>11250</v>
      </c>
      <c r="R16" s="1537" t="s">
        <v>734</v>
      </c>
      <c r="S16" s="2425">
        <f>'[4]RECAPITULATIF 2 ANS'!T20</f>
        <v>22500</v>
      </c>
      <c r="T16" s="1535">
        <f>S16/O16</f>
        <v>1</v>
      </c>
      <c r="U16" s="1538" t="s">
        <v>729</v>
      </c>
      <c r="V16" s="1535">
        <v>0.5</v>
      </c>
      <c r="W16" s="2087">
        <f>V16*S16</f>
        <v>11250</v>
      </c>
      <c r="X16" s="2117" t="s">
        <v>735</v>
      </c>
    </row>
    <row r="17" spans="1:24" ht="57.75" customHeight="1" x14ac:dyDescent="0.45">
      <c r="A17" s="3299"/>
      <c r="B17" s="1532" t="s">
        <v>736</v>
      </c>
      <c r="C17" s="1560" t="s">
        <v>47</v>
      </c>
      <c r="D17" s="2083" t="s">
        <v>724</v>
      </c>
      <c r="E17" s="1560">
        <v>1</v>
      </c>
      <c r="F17" s="1560">
        <v>2500</v>
      </c>
      <c r="G17" s="1560">
        <v>5</v>
      </c>
      <c r="H17" s="1533">
        <f>E17*F17*G17</f>
        <v>12500</v>
      </c>
      <c r="I17" s="2090">
        <v>0.3</v>
      </c>
      <c r="J17" s="2085"/>
      <c r="K17" s="2085"/>
      <c r="L17" s="2085"/>
      <c r="M17" s="1534">
        <v>0</v>
      </c>
      <c r="N17" s="2091">
        <v>0</v>
      </c>
      <c r="O17" s="2911">
        <f t="shared" ref="O17:O20" si="3">H17+M17</f>
        <v>12500</v>
      </c>
      <c r="P17" s="1535">
        <v>0.5</v>
      </c>
      <c r="Q17" s="1536">
        <f t="shared" ref="Q17:Q20" si="4">O17/2</f>
        <v>6250</v>
      </c>
      <c r="R17" s="1537" t="s">
        <v>737</v>
      </c>
      <c r="S17" s="2425">
        <f>'[4]RECAPITULATIF 2 ANS'!T21</f>
        <v>12500</v>
      </c>
      <c r="T17" s="1535">
        <f t="shared" si="2"/>
        <v>1</v>
      </c>
      <c r="U17" s="1538" t="s">
        <v>729</v>
      </c>
      <c r="V17" s="1535">
        <v>0.5</v>
      </c>
      <c r="W17" s="2087">
        <f t="shared" ref="W17:W19" si="5">V17*S17</f>
        <v>6250</v>
      </c>
      <c r="X17" s="2117" t="s">
        <v>738</v>
      </c>
    </row>
    <row r="18" spans="1:24" ht="38.25" customHeight="1" x14ac:dyDescent="0.45">
      <c r="A18" s="3299"/>
      <c r="B18" s="1532" t="s">
        <v>739</v>
      </c>
      <c r="C18" s="1560" t="s">
        <v>47</v>
      </c>
      <c r="D18" s="2083" t="s">
        <v>724</v>
      </c>
      <c r="E18" s="1560">
        <v>1</v>
      </c>
      <c r="F18" s="1560">
        <v>1600</v>
      </c>
      <c r="G18" s="1560">
        <v>5</v>
      </c>
      <c r="H18" s="1533">
        <f>E18*F18*G18</f>
        <v>8000</v>
      </c>
      <c r="I18" s="2088">
        <v>0</v>
      </c>
      <c r="J18" s="2085"/>
      <c r="K18" s="2085"/>
      <c r="L18" s="2085"/>
      <c r="M18" s="1534">
        <v>0</v>
      </c>
      <c r="N18" s="2091">
        <v>0</v>
      </c>
      <c r="O18" s="2911">
        <f t="shared" si="3"/>
        <v>8000</v>
      </c>
      <c r="P18" s="1535">
        <v>0.5</v>
      </c>
      <c r="Q18" s="1536">
        <f t="shared" si="4"/>
        <v>4000</v>
      </c>
      <c r="R18" s="1537" t="s">
        <v>740</v>
      </c>
      <c r="S18" s="2425">
        <f>'[4]RECAPITULATIF 2 ANS'!T22</f>
        <v>8000</v>
      </c>
      <c r="T18" s="1535">
        <f t="shared" si="2"/>
        <v>1</v>
      </c>
      <c r="U18" s="1538" t="s">
        <v>729</v>
      </c>
      <c r="V18" s="1535">
        <v>0.5</v>
      </c>
      <c r="W18" s="2087">
        <f t="shared" si="5"/>
        <v>4000</v>
      </c>
      <c r="X18" s="2117" t="s">
        <v>741</v>
      </c>
    </row>
    <row r="19" spans="1:24" ht="52.5" customHeight="1" x14ac:dyDescent="0.45">
      <c r="A19" s="3299"/>
      <c r="B19" s="1532" t="s">
        <v>742</v>
      </c>
      <c r="C19" s="1560" t="s">
        <v>47</v>
      </c>
      <c r="D19" s="2083" t="s">
        <v>724</v>
      </c>
      <c r="E19" s="1560">
        <v>1</v>
      </c>
      <c r="F19" s="1560">
        <v>462.6</v>
      </c>
      <c r="G19" s="1560">
        <v>5</v>
      </c>
      <c r="H19" s="1533">
        <f>E19*F19*G19</f>
        <v>2313</v>
      </c>
      <c r="I19" s="2090">
        <v>0.3</v>
      </c>
      <c r="J19" s="2085"/>
      <c r="K19" s="2085"/>
      <c r="L19" s="2085"/>
      <c r="M19" s="1534">
        <v>0</v>
      </c>
      <c r="N19" s="2091">
        <v>0</v>
      </c>
      <c r="O19" s="2911">
        <f t="shared" si="3"/>
        <v>2313</v>
      </c>
      <c r="P19" s="1535">
        <v>0.5</v>
      </c>
      <c r="Q19" s="1536">
        <f t="shared" si="4"/>
        <v>1156.5</v>
      </c>
      <c r="R19" s="1537" t="s">
        <v>743</v>
      </c>
      <c r="S19" s="2425">
        <f>'[4]RECAPITULATIF 2 ANS'!T23</f>
        <v>2313</v>
      </c>
      <c r="T19" s="1535">
        <f t="shared" si="2"/>
        <v>1</v>
      </c>
      <c r="U19" s="1538" t="s">
        <v>729</v>
      </c>
      <c r="V19" s="1535">
        <v>0.5</v>
      </c>
      <c r="W19" s="2087">
        <f t="shared" si="5"/>
        <v>1156.5</v>
      </c>
      <c r="X19" s="2117" t="s">
        <v>744</v>
      </c>
    </row>
    <row r="20" spans="1:24" ht="59.25" customHeight="1" x14ac:dyDescent="0.45">
      <c r="A20" s="3299"/>
      <c r="B20" s="1532" t="s">
        <v>745</v>
      </c>
      <c r="C20" s="1560" t="s">
        <v>15</v>
      </c>
      <c r="D20" s="2083" t="s">
        <v>724</v>
      </c>
      <c r="E20" s="1560"/>
      <c r="F20" s="1560"/>
      <c r="G20" s="1560"/>
      <c r="H20" s="1533">
        <f>E20*F20*G20</f>
        <v>0</v>
      </c>
      <c r="I20" s="2090">
        <v>0.2</v>
      </c>
      <c r="J20" s="2085">
        <v>1</v>
      </c>
      <c r="K20" s="2085">
        <v>7800</v>
      </c>
      <c r="L20" s="2085">
        <v>1</v>
      </c>
      <c r="M20" s="1533">
        <f>J20*K20*L20</f>
        <v>7800</v>
      </c>
      <c r="N20" s="2092">
        <v>0.2</v>
      </c>
      <c r="O20" s="2911">
        <f t="shared" si="3"/>
        <v>7800</v>
      </c>
      <c r="P20" s="1535">
        <v>0.5</v>
      </c>
      <c r="Q20" s="1536">
        <f t="shared" si="4"/>
        <v>3900</v>
      </c>
      <c r="R20" s="1537" t="s">
        <v>746</v>
      </c>
      <c r="S20" s="2425">
        <f>'[4]RECAPITULATIF 2 ANS'!T24</f>
        <v>7790</v>
      </c>
      <c r="T20" s="1535">
        <f>S20/O20</f>
        <v>0.99871794871794872</v>
      </c>
      <c r="U20" s="1538" t="s">
        <v>747</v>
      </c>
      <c r="V20" s="1535">
        <v>0.5</v>
      </c>
      <c r="W20" s="2087">
        <f>V20*S20</f>
        <v>3895</v>
      </c>
      <c r="X20" s="2117" t="s">
        <v>747</v>
      </c>
    </row>
    <row r="21" spans="1:24" s="1552" customFormat="1" x14ac:dyDescent="0.45">
      <c r="A21" s="3299"/>
      <c r="B21" s="2089"/>
      <c r="C21" s="2089"/>
      <c r="D21" s="1553" t="s">
        <v>0</v>
      </c>
      <c r="E21" s="1540"/>
      <c r="F21" s="1540"/>
      <c r="G21" s="1540"/>
      <c r="H21" s="1545">
        <f>SUM(H16:H20)</f>
        <v>45313</v>
      </c>
      <c r="I21" s="1545">
        <f>J21/H21*100</f>
        <v>0</v>
      </c>
      <c r="J21" s="1545"/>
      <c r="K21" s="1545"/>
      <c r="L21" s="1545"/>
      <c r="M21" s="1545">
        <f>SUM(M16:M20)</f>
        <v>7800</v>
      </c>
      <c r="N21" s="1545">
        <f>O21/M21*100</f>
        <v>680.93589743589746</v>
      </c>
      <c r="O21" s="1545">
        <f>SUM(O16:O20)</f>
        <v>53113</v>
      </c>
      <c r="P21" s="1554">
        <f t="shared" ref="P21:P39" si="6">Q21/O21</f>
        <v>0.5</v>
      </c>
      <c r="Q21" s="1547">
        <f>SUM(Q16:Q20)</f>
        <v>26556.5</v>
      </c>
      <c r="R21" s="1548"/>
      <c r="S21" s="1549">
        <f>SUM(S16:S20)</f>
        <v>53103</v>
      </c>
      <c r="T21" s="1546">
        <f>S21/O21</f>
        <v>0.99981172217724479</v>
      </c>
      <c r="U21" s="1550"/>
      <c r="V21" s="1554">
        <f>W21/S21</f>
        <v>0.5</v>
      </c>
      <c r="W21" s="1549">
        <f>SUM(W16:W20)</f>
        <v>26551.5</v>
      </c>
      <c r="X21" s="1555"/>
    </row>
    <row r="22" spans="1:24" ht="84.75" customHeight="1" x14ac:dyDescent="0.45">
      <c r="A22" s="3299" t="s">
        <v>748</v>
      </c>
      <c r="B22" s="2093" t="s">
        <v>749</v>
      </c>
      <c r="C22" s="1560" t="s">
        <v>15</v>
      </c>
      <c r="D22" s="2083" t="s">
        <v>724</v>
      </c>
      <c r="E22" s="1560">
        <v>55</v>
      </c>
      <c r="F22" s="1560">
        <v>25.15</v>
      </c>
      <c r="G22" s="1560">
        <v>1</v>
      </c>
      <c r="H22" s="1533">
        <f t="shared" ref="H22:H27" si="7">E22*F22*G22</f>
        <v>1383.25</v>
      </c>
      <c r="I22" s="2084">
        <v>0.3</v>
      </c>
      <c r="J22" s="2085"/>
      <c r="K22" s="2085"/>
      <c r="L22" s="2085"/>
      <c r="M22" s="1534">
        <v>0</v>
      </c>
      <c r="N22" s="2086"/>
      <c r="O22" s="2911">
        <f>H22+M22</f>
        <v>1383.25</v>
      </c>
      <c r="P22" s="1535">
        <v>0.5</v>
      </c>
      <c r="Q22" s="1536">
        <f>O22/2</f>
        <v>691.625</v>
      </c>
      <c r="R22" s="1537" t="s">
        <v>750</v>
      </c>
      <c r="S22" s="2425">
        <f>'[4]RECAPITULATIF 2 ANS'!T27</f>
        <v>2766.25</v>
      </c>
      <c r="T22" s="1535">
        <f>S22/O22</f>
        <v>1.9998192662208567</v>
      </c>
      <c r="U22" s="1538" t="s">
        <v>751</v>
      </c>
      <c r="V22" s="1535">
        <v>0.999</v>
      </c>
      <c r="W22" s="2087">
        <f t="shared" ref="W22:W27" si="8">V22*S22</f>
        <v>2763.4837499999999</v>
      </c>
      <c r="X22" s="2117" t="s">
        <v>750</v>
      </c>
    </row>
    <row r="23" spans="1:24" ht="78.75" customHeight="1" x14ac:dyDescent="0.45">
      <c r="A23" s="3299"/>
      <c r="B23" s="1532" t="s">
        <v>752</v>
      </c>
      <c r="C23" s="1560" t="s">
        <v>15</v>
      </c>
      <c r="D23" s="2083" t="s">
        <v>724</v>
      </c>
      <c r="E23" s="1560">
        <v>55</v>
      </c>
      <c r="F23" s="1560">
        <v>62.65</v>
      </c>
      <c r="G23" s="1560">
        <v>1</v>
      </c>
      <c r="H23" s="1533">
        <f t="shared" si="7"/>
        <v>3445.75</v>
      </c>
      <c r="I23" s="2084">
        <v>0.3</v>
      </c>
      <c r="J23" s="2085"/>
      <c r="K23" s="2085"/>
      <c r="L23" s="2085"/>
      <c r="M23" s="1534">
        <v>0</v>
      </c>
      <c r="N23" s="2086"/>
      <c r="O23" s="2911">
        <f t="shared" ref="O23:O27" si="9">H23+M23</f>
        <v>3445.75</v>
      </c>
      <c r="P23" s="1535">
        <v>0.5</v>
      </c>
      <c r="Q23" s="1536">
        <f t="shared" ref="Q23:Q24" si="10">O23/2</f>
        <v>1722.875</v>
      </c>
      <c r="R23" s="1537" t="s">
        <v>750</v>
      </c>
      <c r="S23" s="2425">
        <f>'[4]RECAPITULATIF 2 ANS'!T28</f>
        <v>3446</v>
      </c>
      <c r="T23" s="1535">
        <f t="shared" si="2"/>
        <v>1.0000725531451788</v>
      </c>
      <c r="U23" s="1538" t="s">
        <v>729</v>
      </c>
      <c r="V23" s="1535">
        <v>0.5</v>
      </c>
      <c r="W23" s="2087">
        <f t="shared" si="8"/>
        <v>1723</v>
      </c>
      <c r="X23" s="2117" t="s">
        <v>750</v>
      </c>
    </row>
    <row r="24" spans="1:24" ht="60" customHeight="1" x14ac:dyDescent="0.45">
      <c r="A24" s="3299"/>
      <c r="B24" s="1532" t="s">
        <v>753</v>
      </c>
      <c r="C24" s="1560" t="s">
        <v>15</v>
      </c>
      <c r="D24" s="2083" t="s">
        <v>724</v>
      </c>
      <c r="E24" s="1560">
        <v>55</v>
      </c>
      <c r="F24" s="1560">
        <v>62.65</v>
      </c>
      <c r="G24" s="1560">
        <v>1</v>
      </c>
      <c r="H24" s="1533">
        <f t="shared" si="7"/>
        <v>3445.75</v>
      </c>
      <c r="I24" s="2084">
        <v>0.3</v>
      </c>
      <c r="J24" s="2085"/>
      <c r="K24" s="2085"/>
      <c r="L24" s="2085"/>
      <c r="M24" s="1534">
        <v>0</v>
      </c>
      <c r="N24" s="2086"/>
      <c r="O24" s="2911">
        <f t="shared" si="9"/>
        <v>3445.75</v>
      </c>
      <c r="P24" s="1535">
        <v>0.5</v>
      </c>
      <c r="Q24" s="1536">
        <f t="shared" si="10"/>
        <v>1722.875</v>
      </c>
      <c r="R24" s="1537" t="s">
        <v>750</v>
      </c>
      <c r="S24" s="2425">
        <f>'[4]RECAPITULATIF 2 ANS'!T29</f>
        <v>2756</v>
      </c>
      <c r="T24" s="1535">
        <f t="shared" si="2"/>
        <v>0.79982587245157077</v>
      </c>
      <c r="U24" s="1538" t="s">
        <v>754</v>
      </c>
      <c r="V24" s="1535">
        <v>0.39900000000000002</v>
      </c>
      <c r="W24" s="2087">
        <f t="shared" si="8"/>
        <v>1099.644</v>
      </c>
      <c r="X24" s="2117" t="s">
        <v>750</v>
      </c>
    </row>
    <row r="25" spans="1:24" ht="59.25" customHeight="1" x14ac:dyDescent="0.45">
      <c r="A25" s="3299"/>
      <c r="B25" s="1532" t="s">
        <v>755</v>
      </c>
      <c r="C25" s="1560" t="s">
        <v>15</v>
      </c>
      <c r="D25" s="2083" t="s">
        <v>724</v>
      </c>
      <c r="E25" s="1560">
        <v>55</v>
      </c>
      <c r="F25" s="1560">
        <v>62.65</v>
      </c>
      <c r="G25" s="1560">
        <v>1</v>
      </c>
      <c r="H25" s="1533">
        <f t="shared" si="7"/>
        <v>3445.75</v>
      </c>
      <c r="I25" s="2084">
        <v>0.3</v>
      </c>
      <c r="J25" s="2085"/>
      <c r="K25" s="2085"/>
      <c r="L25" s="2085"/>
      <c r="M25" s="1534">
        <v>0</v>
      </c>
      <c r="N25" s="2086"/>
      <c r="O25" s="2911">
        <f t="shared" si="9"/>
        <v>3445.75</v>
      </c>
      <c r="P25" s="1535">
        <v>0.5</v>
      </c>
      <c r="Q25" s="1536">
        <f>O25/2</f>
        <v>1722.875</v>
      </c>
      <c r="R25" s="1537" t="s">
        <v>750</v>
      </c>
      <c r="S25" s="2425">
        <f>'[4]RECAPITULATIF 2 ANS'!T30</f>
        <v>3445</v>
      </c>
      <c r="T25" s="1535">
        <f t="shared" si="2"/>
        <v>0.99978234056446347</v>
      </c>
      <c r="U25" s="1538" t="s">
        <v>729</v>
      </c>
      <c r="V25" s="1535">
        <v>0.49990000000000001</v>
      </c>
      <c r="W25" s="2087">
        <f t="shared" si="8"/>
        <v>1722.1555000000001</v>
      </c>
      <c r="X25" s="2117" t="s">
        <v>750</v>
      </c>
    </row>
    <row r="26" spans="1:24" ht="77.25" customHeight="1" x14ac:dyDescent="0.45">
      <c r="A26" s="3299"/>
      <c r="B26" s="1532" t="s">
        <v>756</v>
      </c>
      <c r="C26" s="1560" t="s">
        <v>15</v>
      </c>
      <c r="D26" s="2083" t="s">
        <v>724</v>
      </c>
      <c r="E26" s="1560">
        <v>35</v>
      </c>
      <c r="F26" s="1560">
        <v>72.33</v>
      </c>
      <c r="G26" s="1560">
        <v>1</v>
      </c>
      <c r="H26" s="1533">
        <f t="shared" si="7"/>
        <v>2531.5499999999997</v>
      </c>
      <c r="I26" s="2084">
        <v>0.15</v>
      </c>
      <c r="J26" s="2085"/>
      <c r="K26" s="2085"/>
      <c r="L26" s="2085"/>
      <c r="M26" s="1534">
        <v>0</v>
      </c>
      <c r="N26" s="2086"/>
      <c r="O26" s="2911">
        <f t="shared" si="9"/>
        <v>2531.5499999999997</v>
      </c>
      <c r="P26" s="1535">
        <v>0.15</v>
      </c>
      <c r="Q26" s="1536">
        <v>379.73</v>
      </c>
      <c r="R26" s="1537" t="s">
        <v>728</v>
      </c>
      <c r="S26" s="2425">
        <f>'[4]RECAPITULATIF 2 ANS'!T31</f>
        <v>2531</v>
      </c>
      <c r="T26" s="1535">
        <f t="shared" si="2"/>
        <v>0.99978274179850302</v>
      </c>
      <c r="U26" s="1538" t="s">
        <v>729</v>
      </c>
      <c r="V26" s="1535">
        <v>0.15</v>
      </c>
      <c r="W26" s="2087">
        <f t="shared" si="8"/>
        <v>379.65</v>
      </c>
      <c r="X26" s="2117" t="s">
        <v>728</v>
      </c>
    </row>
    <row r="27" spans="1:24" ht="97.5" customHeight="1" x14ac:dyDescent="0.45">
      <c r="A27" s="3299"/>
      <c r="B27" s="1532" t="s">
        <v>757</v>
      </c>
      <c r="C27" s="1560" t="s">
        <v>15</v>
      </c>
      <c r="D27" s="2083" t="s">
        <v>724</v>
      </c>
      <c r="E27" s="1560">
        <v>35</v>
      </c>
      <c r="F27" s="1560">
        <v>72.33</v>
      </c>
      <c r="G27" s="1560">
        <v>1</v>
      </c>
      <c r="H27" s="1533">
        <f t="shared" si="7"/>
        <v>2531.5499999999997</v>
      </c>
      <c r="I27" s="2084">
        <v>0.15</v>
      </c>
      <c r="J27" s="2085"/>
      <c r="K27" s="2085"/>
      <c r="L27" s="2085"/>
      <c r="M27" s="1534">
        <v>0</v>
      </c>
      <c r="N27" s="2086"/>
      <c r="O27" s="2911">
        <f t="shared" si="9"/>
        <v>2531.5499999999997</v>
      </c>
      <c r="P27" s="1535">
        <v>0.15</v>
      </c>
      <c r="Q27" s="1536">
        <v>379.73</v>
      </c>
      <c r="R27" s="1537" t="s">
        <v>758</v>
      </c>
      <c r="S27" s="2425">
        <f>'[4]RECAPITULATIF 2 ANS'!T32</f>
        <v>2532</v>
      </c>
      <c r="T27" s="1535">
        <f t="shared" si="2"/>
        <v>1.0001777567103158</v>
      </c>
      <c r="U27" s="1538" t="s">
        <v>729</v>
      </c>
      <c r="V27" s="1535">
        <v>0.15</v>
      </c>
      <c r="W27" s="2087">
        <f t="shared" si="8"/>
        <v>379.8</v>
      </c>
      <c r="X27" s="2117" t="s">
        <v>728</v>
      </c>
    </row>
    <row r="28" spans="1:24" s="1552" customFormat="1" ht="24" customHeight="1" x14ac:dyDescent="0.45">
      <c r="A28" s="3299"/>
      <c r="B28" s="2089"/>
      <c r="C28" s="2089"/>
      <c r="D28" s="1553" t="s">
        <v>0</v>
      </c>
      <c r="E28" s="1540"/>
      <c r="F28" s="1540"/>
      <c r="G28" s="1540"/>
      <c r="H28" s="1545">
        <f>SUM(H22:H27)</f>
        <v>16783.599999999999</v>
      </c>
      <c r="I28" s="1545">
        <f>J28/H28*100</f>
        <v>0</v>
      </c>
      <c r="J28" s="1545"/>
      <c r="K28" s="1545"/>
      <c r="L28" s="1545"/>
      <c r="M28" s="1556">
        <v>0</v>
      </c>
      <c r="N28" s="1557"/>
      <c r="O28" s="1545">
        <f>SUM(O22:O27)</f>
        <v>16783.599999999999</v>
      </c>
      <c r="P28" s="1554">
        <f t="shared" si="6"/>
        <v>0.39441538168211826</v>
      </c>
      <c r="Q28" s="1547">
        <f>SUM(Q22:Q27)</f>
        <v>6619.7099999999991</v>
      </c>
      <c r="R28" s="1548"/>
      <c r="S28" s="1558">
        <f>SUM(S22:S27)</f>
        <v>17476.25</v>
      </c>
      <c r="T28" s="1546">
        <f>S28/O28</f>
        <v>1.0412694535141449</v>
      </c>
      <c r="U28" s="1559"/>
      <c r="V28" s="1554">
        <f>W28/S28</f>
        <v>0.46163983978256201</v>
      </c>
      <c r="W28" s="1558">
        <f>SUM(W22:W27)</f>
        <v>8067.7332499999993</v>
      </c>
      <c r="X28" s="1555"/>
    </row>
    <row r="29" spans="1:24" ht="58.5" customHeight="1" x14ac:dyDescent="0.45">
      <c r="A29" s="3300" t="s">
        <v>759</v>
      </c>
      <c r="B29" s="1532" t="s">
        <v>760</v>
      </c>
      <c r="C29" s="1560" t="s">
        <v>15</v>
      </c>
      <c r="D29" s="2083" t="s">
        <v>724</v>
      </c>
      <c r="E29" s="1560">
        <v>520</v>
      </c>
      <c r="F29" s="1560">
        <v>5</v>
      </c>
      <c r="G29" s="1560">
        <v>1</v>
      </c>
      <c r="H29" s="1533">
        <f>E29*F29*G29</f>
        <v>2600</v>
      </c>
      <c r="I29" s="2084">
        <v>0.4</v>
      </c>
      <c r="J29" s="2085"/>
      <c r="K29" s="2085"/>
      <c r="L29" s="2085"/>
      <c r="M29" s="1534">
        <f>J29*K29*L29</f>
        <v>0</v>
      </c>
      <c r="N29" s="2091">
        <v>0</v>
      </c>
      <c r="O29" s="2911">
        <f>H29+M29</f>
        <v>2600</v>
      </c>
      <c r="P29" s="1535">
        <v>0.5</v>
      </c>
      <c r="Q29" s="1536">
        <f>O29/2</f>
        <v>1300</v>
      </c>
      <c r="R29" s="1537" t="s">
        <v>750</v>
      </c>
      <c r="S29" s="2425">
        <f>'[4]RECAPITULATIF 2 ANS'!T35</f>
        <v>2600</v>
      </c>
      <c r="T29" s="1535">
        <f t="shared" si="2"/>
        <v>1</v>
      </c>
      <c r="U29" s="1538" t="s">
        <v>729</v>
      </c>
      <c r="V29" s="1535">
        <v>0.5</v>
      </c>
      <c r="W29" s="2087">
        <f>V29*S29</f>
        <v>1300</v>
      </c>
      <c r="X29" s="2117" t="s">
        <v>761</v>
      </c>
    </row>
    <row r="30" spans="1:24" ht="60.75" customHeight="1" x14ac:dyDescent="0.45">
      <c r="A30" s="3301"/>
      <c r="B30" s="1532" t="s">
        <v>762</v>
      </c>
      <c r="C30" s="1560" t="s">
        <v>15</v>
      </c>
      <c r="D30" s="2083" t="s">
        <v>724</v>
      </c>
      <c r="E30" s="1560">
        <v>100</v>
      </c>
      <c r="F30" s="1560">
        <v>23</v>
      </c>
      <c r="G30" s="1560">
        <v>4</v>
      </c>
      <c r="H30" s="1533">
        <f>E30*F30*G30</f>
        <v>9200</v>
      </c>
      <c r="I30" s="2084">
        <v>0.25</v>
      </c>
      <c r="J30" s="2085">
        <v>100</v>
      </c>
      <c r="K30" s="2085">
        <v>23</v>
      </c>
      <c r="L30" s="2085">
        <v>4</v>
      </c>
      <c r="M30" s="1533">
        <f>J30*K30*L30</f>
        <v>9200</v>
      </c>
      <c r="N30" s="2426">
        <v>0.25</v>
      </c>
      <c r="O30" s="2911">
        <f t="shared" ref="O30:O33" si="11">H30+M30</f>
        <v>18400</v>
      </c>
      <c r="P30" s="1535">
        <v>0.3</v>
      </c>
      <c r="Q30" s="1539">
        <v>5520</v>
      </c>
      <c r="R30" s="1537" t="s">
        <v>763</v>
      </c>
      <c r="S30" s="2425">
        <f>'[4]RECAPITULATIF 2 ANS'!T36</f>
        <v>18388</v>
      </c>
      <c r="T30" s="1535">
        <f t="shared" si="2"/>
        <v>0.99934782608695649</v>
      </c>
      <c r="U30" s="1538" t="s">
        <v>729</v>
      </c>
      <c r="V30" s="1535">
        <v>0.3</v>
      </c>
      <c r="W30" s="2087">
        <f t="shared" ref="W30:W33" si="12">V30*S30</f>
        <v>5516.4</v>
      </c>
      <c r="X30" s="2117" t="s">
        <v>765</v>
      </c>
    </row>
    <row r="31" spans="1:24" ht="180" customHeight="1" x14ac:dyDescent="0.45">
      <c r="A31" s="3301"/>
      <c r="B31" s="1532" t="s">
        <v>766</v>
      </c>
      <c r="C31" s="1560" t="s">
        <v>15</v>
      </c>
      <c r="D31" s="2083" t="s">
        <v>724</v>
      </c>
      <c r="E31" s="1560">
        <v>30</v>
      </c>
      <c r="F31" s="1560">
        <v>28.8</v>
      </c>
      <c r="G31" s="1560">
        <v>1</v>
      </c>
      <c r="H31" s="1533">
        <f>E31*F31*G31</f>
        <v>864</v>
      </c>
      <c r="I31" s="2084">
        <v>0.16</v>
      </c>
      <c r="J31" s="2085">
        <v>25</v>
      </c>
      <c r="K31" s="2085">
        <v>28.8</v>
      </c>
      <c r="L31" s="2085">
        <v>1</v>
      </c>
      <c r="M31" s="1533">
        <f>J31*K31*L31</f>
        <v>720</v>
      </c>
      <c r="N31" s="2426">
        <v>0.16</v>
      </c>
      <c r="O31" s="2911">
        <f t="shared" si="11"/>
        <v>1584</v>
      </c>
      <c r="P31" s="1535">
        <v>0.3</v>
      </c>
      <c r="Q31" s="1536">
        <v>475.2</v>
      </c>
      <c r="R31" s="1537" t="s">
        <v>763</v>
      </c>
      <c r="S31" s="2425">
        <f>'[4]RECAPITULATIF 2 ANS'!T37</f>
        <v>1584</v>
      </c>
      <c r="T31" s="1535">
        <f>S31/O31</f>
        <v>1</v>
      </c>
      <c r="U31" s="1538" t="s">
        <v>729</v>
      </c>
      <c r="V31" s="1535">
        <v>0.3</v>
      </c>
      <c r="W31" s="2087">
        <f t="shared" si="12"/>
        <v>475.2</v>
      </c>
      <c r="X31" s="2117" t="s">
        <v>1596</v>
      </c>
    </row>
    <row r="32" spans="1:24" ht="203.5" x14ac:dyDescent="0.45">
      <c r="A32" s="3301"/>
      <c r="B32" s="1532" t="s">
        <v>768</v>
      </c>
      <c r="C32" s="1560" t="s">
        <v>15</v>
      </c>
      <c r="D32" s="2083" t="s">
        <v>724</v>
      </c>
      <c r="E32" s="1560">
        <v>60</v>
      </c>
      <c r="F32" s="1560">
        <v>61</v>
      </c>
      <c r="G32" s="1560">
        <v>1</v>
      </c>
      <c r="H32" s="1533">
        <f>E32*F32*G32</f>
        <v>3660</v>
      </c>
      <c r="I32" s="2084">
        <f>457.5/H32</f>
        <v>0.125</v>
      </c>
      <c r="J32" s="2085">
        <v>50</v>
      </c>
      <c r="K32" s="2085">
        <v>61</v>
      </c>
      <c r="L32" s="2085">
        <v>1</v>
      </c>
      <c r="M32" s="1533">
        <f>J32*K32*L32</f>
        <v>3050</v>
      </c>
      <c r="N32" s="2426">
        <v>0.13</v>
      </c>
      <c r="O32" s="2911">
        <f t="shared" si="11"/>
        <v>6710</v>
      </c>
      <c r="P32" s="1535">
        <v>0.3</v>
      </c>
      <c r="Q32" s="1536">
        <v>2013</v>
      </c>
      <c r="R32" s="1537" t="s">
        <v>763</v>
      </c>
      <c r="S32" s="2425">
        <f>'[4]RECAPITULATIF 2 ANS'!T38</f>
        <v>6710</v>
      </c>
      <c r="T32" s="1535">
        <f t="shared" si="2"/>
        <v>1</v>
      </c>
      <c r="U32" s="1538" t="s">
        <v>729</v>
      </c>
      <c r="V32" s="1535">
        <v>0.3</v>
      </c>
      <c r="W32" s="2087">
        <f t="shared" si="12"/>
        <v>2013</v>
      </c>
      <c r="X32" s="2117" t="s">
        <v>1646</v>
      </c>
    </row>
    <row r="33" spans="1:24" ht="185" x14ac:dyDescent="0.45">
      <c r="A33" s="3301"/>
      <c r="B33" s="1532" t="s">
        <v>770</v>
      </c>
      <c r="C33" s="1560" t="s">
        <v>15</v>
      </c>
      <c r="D33" s="2083" t="s">
        <v>724</v>
      </c>
      <c r="E33" s="1560">
        <v>0</v>
      </c>
      <c r="F33" s="1560">
        <v>0</v>
      </c>
      <c r="G33" s="1560">
        <v>0</v>
      </c>
      <c r="H33" s="1533">
        <f>E33*F33*G33</f>
        <v>0</v>
      </c>
      <c r="I33" s="2088">
        <v>0</v>
      </c>
      <c r="J33" s="2085">
        <v>50</v>
      </c>
      <c r="K33" s="2085">
        <v>61</v>
      </c>
      <c r="L33" s="2085">
        <v>1</v>
      </c>
      <c r="M33" s="1533">
        <f>J33*K33*L33</f>
        <v>3050</v>
      </c>
      <c r="N33" s="2426">
        <f>457.5/M33</f>
        <v>0.15</v>
      </c>
      <c r="O33" s="2911">
        <f t="shared" si="11"/>
        <v>3050</v>
      </c>
      <c r="P33" s="1535">
        <f t="shared" si="6"/>
        <v>0.15</v>
      </c>
      <c r="Q33" s="1536">
        <v>457.5</v>
      </c>
      <c r="R33" s="1537" t="s">
        <v>763</v>
      </c>
      <c r="S33" s="2425">
        <f>'[4]RECAPITULATIF 2 ANS'!T39</f>
        <v>3050</v>
      </c>
      <c r="T33" s="1535">
        <f t="shared" si="2"/>
        <v>1</v>
      </c>
      <c r="U33" s="1538" t="s">
        <v>729</v>
      </c>
      <c r="V33" s="1535">
        <v>0.15</v>
      </c>
      <c r="W33" s="2087">
        <f t="shared" si="12"/>
        <v>457.5</v>
      </c>
      <c r="X33" s="2117" t="s">
        <v>1597</v>
      </c>
    </row>
    <row r="34" spans="1:24" s="1552" customFormat="1" x14ac:dyDescent="0.45">
      <c r="A34" s="3302"/>
      <c r="B34" s="2089"/>
      <c r="C34" s="2089"/>
      <c r="D34" s="1553" t="s">
        <v>0</v>
      </c>
      <c r="E34" s="1540"/>
      <c r="F34" s="1540"/>
      <c r="G34" s="1540"/>
      <c r="H34" s="1545">
        <f>SUM(H29:H33)</f>
        <v>16324</v>
      </c>
      <c r="I34" s="1545">
        <f>J34/H34*100</f>
        <v>0</v>
      </c>
      <c r="J34" s="1545"/>
      <c r="K34" s="1545"/>
      <c r="L34" s="1545"/>
      <c r="M34" s="1545">
        <f>SUM(M29:M33)</f>
        <v>16020</v>
      </c>
      <c r="N34" s="1545">
        <f>O34/M34*100</f>
        <v>201.89762796504368</v>
      </c>
      <c r="O34" s="1545">
        <f>SUM(O29:O33)</f>
        <v>32344</v>
      </c>
      <c r="P34" s="1554">
        <f t="shared" si="6"/>
        <v>0.30193235221370274</v>
      </c>
      <c r="Q34" s="1547">
        <f>SUM(Q29:Q33)</f>
        <v>9765.7000000000007</v>
      </c>
      <c r="R34" s="1548"/>
      <c r="S34" s="1558">
        <f>SUM(S29:S33)</f>
        <v>32332</v>
      </c>
      <c r="T34" s="1546">
        <f>S34/O34</f>
        <v>0.99962898837496905</v>
      </c>
      <c r="U34" s="1559" t="s">
        <v>771</v>
      </c>
      <c r="V34" s="1554">
        <f>W34/S34</f>
        <v>0.30193306940492387</v>
      </c>
      <c r="W34" s="1558">
        <f>SUM(W29:W33)</f>
        <v>9762.0999999999985</v>
      </c>
      <c r="X34" s="1555"/>
    </row>
    <row r="35" spans="1:24" ht="36.75" customHeight="1" x14ac:dyDescent="0.45">
      <c r="A35" s="3300" t="s">
        <v>772</v>
      </c>
      <c r="B35" s="1532" t="s">
        <v>773</v>
      </c>
      <c r="C35" s="1560"/>
      <c r="D35" s="2083" t="s">
        <v>724</v>
      </c>
      <c r="E35" s="1560">
        <v>0</v>
      </c>
      <c r="F35" s="1560">
        <v>53</v>
      </c>
      <c r="G35" s="1560">
        <v>12</v>
      </c>
      <c r="H35" s="1533">
        <f>E35*F35*G35</f>
        <v>0</v>
      </c>
      <c r="I35" s="2088">
        <v>0</v>
      </c>
      <c r="J35" s="2085">
        <v>0</v>
      </c>
      <c r="K35" s="2085">
        <v>53</v>
      </c>
      <c r="L35" s="2085">
        <v>12</v>
      </c>
      <c r="M35" s="1533">
        <f>J35*K35*L35</f>
        <v>0</v>
      </c>
      <c r="N35" s="2086"/>
      <c r="O35" s="2911">
        <f>H35+M35</f>
        <v>0</v>
      </c>
      <c r="P35" s="1535">
        <v>0</v>
      </c>
      <c r="Q35" s="1536">
        <v>0</v>
      </c>
      <c r="R35" s="1537" t="s">
        <v>774</v>
      </c>
      <c r="S35" s="2425">
        <f>'[4]RECAPITULATIF 2 ANS'!T42</f>
        <v>0</v>
      </c>
      <c r="T35" s="1535">
        <v>0</v>
      </c>
      <c r="U35" s="1538" t="s">
        <v>774</v>
      </c>
      <c r="V35" s="1535">
        <v>0</v>
      </c>
      <c r="W35" s="2087">
        <f>V35*S35</f>
        <v>0</v>
      </c>
      <c r="X35" s="2427" t="s">
        <v>775</v>
      </c>
    </row>
    <row r="36" spans="1:24" ht="37" x14ac:dyDescent="0.45">
      <c r="A36" s="3301"/>
      <c r="B36" s="1532" t="s">
        <v>776</v>
      </c>
      <c r="C36" s="1560" t="s">
        <v>15</v>
      </c>
      <c r="D36" s="2083" t="s">
        <v>724</v>
      </c>
      <c r="E36" s="1560">
        <v>375</v>
      </c>
      <c r="F36" s="1560">
        <v>2</v>
      </c>
      <c r="G36" s="1560">
        <v>1</v>
      </c>
      <c r="H36" s="1533">
        <f>E36*F36*G36</f>
        <v>750</v>
      </c>
      <c r="I36" s="2088">
        <v>0</v>
      </c>
      <c r="J36" s="2085"/>
      <c r="K36" s="2085"/>
      <c r="L36" s="2085"/>
      <c r="M36" s="1534">
        <v>0</v>
      </c>
      <c r="N36" s="2086"/>
      <c r="O36" s="2911">
        <f t="shared" ref="O36:O37" si="13">H36+M36</f>
        <v>750</v>
      </c>
      <c r="P36" s="1535">
        <v>0.5</v>
      </c>
      <c r="Q36" s="1536">
        <v>375</v>
      </c>
      <c r="R36" s="1537"/>
      <c r="S36" s="2425">
        <f>'[4]RECAPITULATIF 2 ANS'!T43</f>
        <v>750</v>
      </c>
      <c r="T36" s="1535">
        <f t="shared" si="2"/>
        <v>1</v>
      </c>
      <c r="U36" s="1538" t="s">
        <v>729</v>
      </c>
      <c r="V36" s="1535">
        <v>0.498</v>
      </c>
      <c r="W36" s="2087">
        <f>V36*S36</f>
        <v>373.5</v>
      </c>
      <c r="X36" s="2117" t="s">
        <v>777</v>
      </c>
    </row>
    <row r="37" spans="1:24" ht="37.5" customHeight="1" x14ac:dyDescent="0.45">
      <c r="A37" s="3301"/>
      <c r="B37" s="1532" t="s">
        <v>778</v>
      </c>
      <c r="C37" s="1560" t="s">
        <v>15</v>
      </c>
      <c r="D37" s="2083" t="s">
        <v>724</v>
      </c>
      <c r="E37" s="1560">
        <v>150</v>
      </c>
      <c r="F37" s="1560">
        <v>10</v>
      </c>
      <c r="G37" s="1560">
        <v>1</v>
      </c>
      <c r="H37" s="1533">
        <f>E37*F37*G37</f>
        <v>1500</v>
      </c>
      <c r="I37" s="2088">
        <v>0</v>
      </c>
      <c r="J37" s="2085"/>
      <c r="K37" s="2085"/>
      <c r="L37" s="2085"/>
      <c r="M37" s="1534">
        <v>0</v>
      </c>
      <c r="N37" s="2086"/>
      <c r="O37" s="2911">
        <f t="shared" si="13"/>
        <v>1500</v>
      </c>
      <c r="P37" s="1535">
        <v>0.5</v>
      </c>
      <c r="Q37" s="1536">
        <v>750</v>
      </c>
      <c r="R37" s="1537" t="s">
        <v>779</v>
      </c>
      <c r="S37" s="2425">
        <f>'[4]RECAPITULATIF 2 ANS'!T44</f>
        <v>1445</v>
      </c>
      <c r="T37" s="1535">
        <f t="shared" si="2"/>
        <v>0.96333333333333337</v>
      </c>
      <c r="U37" s="1538" t="s">
        <v>729</v>
      </c>
      <c r="V37" s="1535">
        <v>0.5</v>
      </c>
      <c r="W37" s="2087">
        <f>V37*S37</f>
        <v>722.5</v>
      </c>
      <c r="X37" s="2117" t="s">
        <v>781</v>
      </c>
    </row>
    <row r="38" spans="1:24" s="1552" customFormat="1" x14ac:dyDescent="0.45">
      <c r="A38" s="3302"/>
      <c r="B38" s="2089"/>
      <c r="C38" s="2089"/>
      <c r="D38" s="1553" t="s">
        <v>0</v>
      </c>
      <c r="E38" s="1540"/>
      <c r="F38" s="1540"/>
      <c r="G38" s="1540"/>
      <c r="H38" s="1545">
        <f>SUM(H35:H37)</f>
        <v>2250</v>
      </c>
      <c r="I38" s="1561">
        <v>0</v>
      </c>
      <c r="J38" s="1545"/>
      <c r="K38" s="1545"/>
      <c r="L38" s="1545"/>
      <c r="M38" s="1545">
        <f>SUM(M35:M37)</f>
        <v>0</v>
      </c>
      <c r="N38" s="1557"/>
      <c r="O38" s="1545">
        <f>SUM(O35:O37)</f>
        <v>2250</v>
      </c>
      <c r="P38" s="1554">
        <f t="shared" si="6"/>
        <v>0.5</v>
      </c>
      <c r="Q38" s="1547">
        <f>SUM(Q35:Q37)</f>
        <v>1125</v>
      </c>
      <c r="R38" s="1548"/>
      <c r="S38" s="1558">
        <f>SUM(S35:S37)</f>
        <v>2195</v>
      </c>
      <c r="T38" s="1546">
        <f>S38/O38</f>
        <v>0.97555555555555551</v>
      </c>
      <c r="U38" s="1562" t="s">
        <v>771</v>
      </c>
      <c r="V38" s="1554">
        <f>W38/S38</f>
        <v>0.49931662870159454</v>
      </c>
      <c r="W38" s="1558">
        <f>SUM(W35:W37)</f>
        <v>1096</v>
      </c>
      <c r="X38" s="1555"/>
    </row>
    <row r="39" spans="1:24" s="1552" customFormat="1" x14ac:dyDescent="0.45">
      <c r="A39" s="3303" t="s">
        <v>782</v>
      </c>
      <c r="B39" s="3304"/>
      <c r="C39" s="2402"/>
      <c r="D39" s="1563"/>
      <c r="E39" s="1564"/>
      <c r="F39" s="1564"/>
      <c r="G39" s="1564"/>
      <c r="H39" s="1565">
        <f>H15+H21+H28+H34+H38</f>
        <v>93538.6</v>
      </c>
      <c r="I39" s="1565">
        <f>J39/H39*100</f>
        <v>0</v>
      </c>
      <c r="J39" s="1565">
        <f>J15+J21+J28+J34+J38</f>
        <v>0</v>
      </c>
      <c r="K39" s="1565">
        <f>K15+K21+K28+K34+K38</f>
        <v>0</v>
      </c>
      <c r="L39" s="1565">
        <f>L15+L21+L28+L34+L38</f>
        <v>0</v>
      </c>
      <c r="M39" s="1565">
        <f>M21+M28+M34+M38</f>
        <v>23820</v>
      </c>
      <c r="N39" s="1565">
        <f>O39/M39*100</f>
        <v>492.6893366918556</v>
      </c>
      <c r="O39" s="1565">
        <f>O15+O21+O28+O34+O38</f>
        <v>117358.6</v>
      </c>
      <c r="P39" s="1566">
        <f t="shared" si="6"/>
        <v>0.41281261023904509</v>
      </c>
      <c r="Q39" s="1567">
        <f>Q38+Q34+Q28+Q21+Q15</f>
        <v>48447.11</v>
      </c>
      <c r="R39" s="1568"/>
      <c r="S39" s="1569">
        <f>S38+S34+S28+S21+S15</f>
        <v>118873.45</v>
      </c>
      <c r="T39" s="1570">
        <f>S39/O39</f>
        <v>1.0129078738158088</v>
      </c>
      <c r="U39" s="1568"/>
      <c r="V39" s="1566">
        <f>W39/S39</f>
        <v>0.42055154662374145</v>
      </c>
      <c r="W39" s="1569">
        <f>W38+W34+W28+W21+W15</f>
        <v>49992.413249999998</v>
      </c>
      <c r="X39" s="2428"/>
    </row>
    <row r="40" spans="1:24" ht="72.5" x14ac:dyDescent="0.45">
      <c r="A40" s="1571" t="s">
        <v>202</v>
      </c>
      <c r="B40" s="1572"/>
      <c r="C40" s="1572"/>
      <c r="D40" s="1572"/>
      <c r="E40" s="1572"/>
      <c r="F40" s="1572"/>
      <c r="G40" s="1572"/>
      <c r="H40" s="1573"/>
      <c r="I40" s="1573"/>
      <c r="J40" s="1573"/>
      <c r="K40" s="1573"/>
      <c r="L40" s="1573"/>
      <c r="M40" s="1573"/>
      <c r="N40" s="1573"/>
      <c r="O40" s="1573"/>
      <c r="P40" s="1574"/>
      <c r="Q40" s="1573"/>
      <c r="R40" s="1575"/>
      <c r="S40" s="1576"/>
      <c r="T40" s="1577"/>
      <c r="U40" s="1578"/>
      <c r="V40" s="1577"/>
      <c r="W40" s="1576"/>
      <c r="X40" s="2429"/>
    </row>
    <row r="41" spans="1:24" ht="37" x14ac:dyDescent="0.45">
      <c r="A41" s="3299" t="s">
        <v>783</v>
      </c>
      <c r="B41" s="2094" t="s">
        <v>784</v>
      </c>
      <c r="C41" s="1596" t="s">
        <v>47</v>
      </c>
      <c r="D41" s="2083" t="s">
        <v>724</v>
      </c>
      <c r="E41" s="1581">
        <v>1</v>
      </c>
      <c r="F41" s="1581">
        <v>5000</v>
      </c>
      <c r="G41" s="1581">
        <v>1</v>
      </c>
      <c r="H41" s="1579">
        <f>E41*F41*G41</f>
        <v>5000</v>
      </c>
      <c r="I41" s="2095">
        <v>0.5</v>
      </c>
      <c r="J41" s="2096">
        <v>0</v>
      </c>
      <c r="K41" s="2096">
        <v>0</v>
      </c>
      <c r="L41" s="2096">
        <v>0</v>
      </c>
      <c r="M41" s="1580">
        <v>0</v>
      </c>
      <c r="N41" s="2097">
        <f>M41*30%</f>
        <v>0</v>
      </c>
      <c r="O41" s="2912">
        <f>H41+M41</f>
        <v>5000</v>
      </c>
      <c r="P41" s="1535">
        <v>0.5</v>
      </c>
      <c r="Q41" s="1536">
        <f>O41/2</f>
        <v>2500</v>
      </c>
      <c r="R41" s="1537" t="s">
        <v>785</v>
      </c>
      <c r="S41" s="2425">
        <f>'[4]RECAPITULATIF 2 ANS'!T49</f>
        <v>5000</v>
      </c>
      <c r="T41" s="1535">
        <f>S41/O41</f>
        <v>1</v>
      </c>
      <c r="U41" s="1538" t="s">
        <v>729</v>
      </c>
      <c r="V41" s="1535">
        <v>0.5</v>
      </c>
      <c r="W41" s="2087">
        <f>V41*S41</f>
        <v>2500</v>
      </c>
      <c r="X41" s="2427"/>
    </row>
    <row r="42" spans="1:24" ht="54.5" x14ac:dyDescent="0.45">
      <c r="A42" s="3299"/>
      <c r="B42" s="2094" t="s">
        <v>786</v>
      </c>
      <c r="C42" s="1596" t="s">
        <v>48</v>
      </c>
      <c r="D42" s="2083" t="s">
        <v>724</v>
      </c>
      <c r="E42" s="1581">
        <v>7</v>
      </c>
      <c r="F42" s="1581">
        <v>800</v>
      </c>
      <c r="G42" s="1581">
        <v>1</v>
      </c>
      <c r="H42" s="1579">
        <f t="shared" ref="H42:H50" si="14">E42*F42*G42</f>
        <v>5600</v>
      </c>
      <c r="I42" s="2095">
        <v>0.15</v>
      </c>
      <c r="J42" s="2096">
        <v>0</v>
      </c>
      <c r="K42" s="2096">
        <v>0</v>
      </c>
      <c r="L42" s="2096">
        <v>0</v>
      </c>
      <c r="M42" s="1580">
        <v>0</v>
      </c>
      <c r="N42" s="2097">
        <f t="shared" ref="N42:N50" si="15">M42*30%</f>
        <v>0</v>
      </c>
      <c r="O42" s="2912">
        <f t="shared" ref="O42:O50" si="16">H42+M42</f>
        <v>5600</v>
      </c>
      <c r="P42" s="1535">
        <v>0.5</v>
      </c>
      <c r="Q42" s="1536">
        <f t="shared" ref="Q42:Q46" si="17">O42/2</f>
        <v>2800</v>
      </c>
      <c r="R42" s="1537" t="s">
        <v>787</v>
      </c>
      <c r="S42" s="2425">
        <f>'[4]RECAPITULATIF 2 ANS'!T50</f>
        <v>5600</v>
      </c>
      <c r="T42" s="1535">
        <f t="shared" ref="T42:T79" si="18">S42/O42</f>
        <v>1</v>
      </c>
      <c r="U42" s="1538" t="s">
        <v>729</v>
      </c>
      <c r="V42" s="1535">
        <v>0.5</v>
      </c>
      <c r="W42" s="2087">
        <f t="shared" ref="W42:W50" si="19">V42*S42</f>
        <v>2800</v>
      </c>
      <c r="X42" s="2427" t="s">
        <v>788</v>
      </c>
    </row>
    <row r="43" spans="1:24" ht="54.5" x14ac:dyDescent="0.45">
      <c r="A43" s="3299"/>
      <c r="B43" s="2094" t="s">
        <v>789</v>
      </c>
      <c r="C43" s="1596" t="s">
        <v>17</v>
      </c>
      <c r="D43" s="2083" t="s">
        <v>724</v>
      </c>
      <c r="E43" s="1581">
        <v>7</v>
      </c>
      <c r="F43" s="1581">
        <v>400</v>
      </c>
      <c r="G43" s="1581">
        <v>1</v>
      </c>
      <c r="H43" s="1579">
        <f t="shared" si="14"/>
        <v>2800</v>
      </c>
      <c r="I43" s="2095">
        <v>0.5</v>
      </c>
      <c r="J43" s="2096">
        <v>0</v>
      </c>
      <c r="K43" s="2096">
        <v>0</v>
      </c>
      <c r="L43" s="2096">
        <v>0</v>
      </c>
      <c r="M43" s="1580">
        <v>0</v>
      </c>
      <c r="N43" s="2097">
        <f t="shared" si="15"/>
        <v>0</v>
      </c>
      <c r="O43" s="2912">
        <f t="shared" si="16"/>
        <v>2800</v>
      </c>
      <c r="P43" s="1535">
        <v>0.5</v>
      </c>
      <c r="Q43" s="1536">
        <f t="shared" si="17"/>
        <v>1400</v>
      </c>
      <c r="R43" s="1537" t="s">
        <v>787</v>
      </c>
      <c r="S43" s="2425">
        <f>'[4]RECAPITULATIF 2 ANS'!T51</f>
        <v>2800</v>
      </c>
      <c r="T43" s="1535">
        <f t="shared" si="18"/>
        <v>1</v>
      </c>
      <c r="U43" s="1538" t="s">
        <v>729</v>
      </c>
      <c r="V43" s="1535">
        <v>0.5</v>
      </c>
      <c r="W43" s="2087">
        <f t="shared" si="19"/>
        <v>1400</v>
      </c>
      <c r="X43" s="2427" t="s">
        <v>788</v>
      </c>
    </row>
    <row r="44" spans="1:24" ht="47.25" customHeight="1" x14ac:dyDescent="0.45">
      <c r="A44" s="3299"/>
      <c r="B44" s="2094" t="s">
        <v>790</v>
      </c>
      <c r="C44" s="1596" t="s">
        <v>17</v>
      </c>
      <c r="D44" s="2083" t="s">
        <v>724</v>
      </c>
      <c r="E44" s="1581">
        <v>7</v>
      </c>
      <c r="F44" s="1581">
        <v>400</v>
      </c>
      <c r="G44" s="1581">
        <v>1</v>
      </c>
      <c r="H44" s="1579">
        <f t="shared" si="14"/>
        <v>2800</v>
      </c>
      <c r="I44" s="2095">
        <v>0.5</v>
      </c>
      <c r="J44" s="2096">
        <v>0</v>
      </c>
      <c r="K44" s="2096">
        <v>0</v>
      </c>
      <c r="L44" s="2096">
        <v>0</v>
      </c>
      <c r="M44" s="1580">
        <v>0</v>
      </c>
      <c r="N44" s="2097">
        <f t="shared" si="15"/>
        <v>0</v>
      </c>
      <c r="O44" s="2912">
        <f t="shared" si="16"/>
        <v>2800</v>
      </c>
      <c r="P44" s="1535">
        <v>0.5</v>
      </c>
      <c r="Q44" s="1536">
        <f t="shared" si="17"/>
        <v>1400</v>
      </c>
      <c r="R44" s="1537" t="s">
        <v>787</v>
      </c>
      <c r="S44" s="2425">
        <f>'[4]RECAPITULATIF 2 ANS'!T52</f>
        <v>2800</v>
      </c>
      <c r="T44" s="1535">
        <f t="shared" si="18"/>
        <v>1</v>
      </c>
      <c r="U44" s="1538" t="s">
        <v>729</v>
      </c>
      <c r="V44" s="1535">
        <v>0.5</v>
      </c>
      <c r="W44" s="2087">
        <f t="shared" si="19"/>
        <v>1400</v>
      </c>
      <c r="X44" s="2117" t="s">
        <v>791</v>
      </c>
    </row>
    <row r="45" spans="1:24" ht="55.5" x14ac:dyDescent="0.45">
      <c r="A45" s="3299"/>
      <c r="B45" s="2098" t="s">
        <v>792</v>
      </c>
      <c r="C45" s="1596" t="s">
        <v>48</v>
      </c>
      <c r="D45" s="2083" t="s">
        <v>724</v>
      </c>
      <c r="E45" s="1581">
        <v>1</v>
      </c>
      <c r="F45" s="1581">
        <v>32150</v>
      </c>
      <c r="G45" s="1581">
        <v>1</v>
      </c>
      <c r="H45" s="1579">
        <f t="shared" si="14"/>
        <v>32150</v>
      </c>
      <c r="I45" s="2095">
        <v>0</v>
      </c>
      <c r="J45" s="2096">
        <v>0</v>
      </c>
      <c r="K45" s="2096">
        <v>0</v>
      </c>
      <c r="L45" s="2096">
        <v>0</v>
      </c>
      <c r="M45" s="1580">
        <v>0</v>
      </c>
      <c r="N45" s="2097">
        <f t="shared" si="15"/>
        <v>0</v>
      </c>
      <c r="O45" s="2912">
        <f t="shared" si="16"/>
        <v>32150</v>
      </c>
      <c r="P45" s="1535">
        <v>0.5</v>
      </c>
      <c r="Q45" s="1536">
        <f t="shared" si="17"/>
        <v>16075</v>
      </c>
      <c r="R45" s="1537" t="s">
        <v>793</v>
      </c>
      <c r="S45" s="2425">
        <f>'[4]RECAPITULATIF 2 ANS'!T53</f>
        <v>32150</v>
      </c>
      <c r="T45" s="1535">
        <f t="shared" si="18"/>
        <v>1</v>
      </c>
      <c r="U45" s="1538" t="s">
        <v>729</v>
      </c>
      <c r="V45" s="1535">
        <v>0.5</v>
      </c>
      <c r="W45" s="2087">
        <f t="shared" si="19"/>
        <v>16075</v>
      </c>
      <c r="X45" s="2117" t="s">
        <v>1647</v>
      </c>
    </row>
    <row r="46" spans="1:24" ht="74" x14ac:dyDescent="0.45">
      <c r="A46" s="3299"/>
      <c r="B46" s="1532" t="s">
        <v>795</v>
      </c>
      <c r="C46" s="1596" t="s">
        <v>48</v>
      </c>
      <c r="D46" s="2083" t="s">
        <v>724</v>
      </c>
      <c r="E46" s="1581">
        <v>5</v>
      </c>
      <c r="F46" s="1581">
        <v>7900</v>
      </c>
      <c r="G46" s="1581">
        <v>1</v>
      </c>
      <c r="H46" s="1579">
        <f t="shared" si="14"/>
        <v>39500</v>
      </c>
      <c r="I46" s="2095">
        <v>0</v>
      </c>
      <c r="J46" s="2096">
        <v>0</v>
      </c>
      <c r="K46" s="2096">
        <v>0</v>
      </c>
      <c r="L46" s="2096">
        <v>0</v>
      </c>
      <c r="M46" s="1580">
        <v>0</v>
      </c>
      <c r="N46" s="2097">
        <f t="shared" si="15"/>
        <v>0</v>
      </c>
      <c r="O46" s="2912">
        <f t="shared" si="16"/>
        <v>39500</v>
      </c>
      <c r="P46" s="1535">
        <v>0.5</v>
      </c>
      <c r="Q46" s="1536">
        <f t="shared" si="17"/>
        <v>19750</v>
      </c>
      <c r="R46" s="1537" t="s">
        <v>796</v>
      </c>
      <c r="S46" s="2425">
        <f>'[4]RECAPITULATIF 2 ANS'!T54</f>
        <v>39500</v>
      </c>
      <c r="T46" s="1535">
        <f t="shared" si="18"/>
        <v>1</v>
      </c>
      <c r="U46" s="1538" t="s">
        <v>729</v>
      </c>
      <c r="V46" s="1535">
        <v>0.5</v>
      </c>
      <c r="W46" s="2087">
        <f t="shared" si="19"/>
        <v>19750</v>
      </c>
      <c r="X46" s="2117" t="s">
        <v>1648</v>
      </c>
    </row>
    <row r="47" spans="1:24" ht="36.5" x14ac:dyDescent="0.45">
      <c r="A47" s="3299"/>
      <c r="B47" s="2099" t="s">
        <v>797</v>
      </c>
      <c r="C47" s="1596"/>
      <c r="D47" s="2083" t="s">
        <v>724</v>
      </c>
      <c r="E47" s="1581"/>
      <c r="F47" s="1581"/>
      <c r="G47" s="1581"/>
      <c r="H47" s="1579"/>
      <c r="I47" s="2095"/>
      <c r="J47" s="2096"/>
      <c r="K47" s="2096"/>
      <c r="L47" s="2096"/>
      <c r="M47" s="1580"/>
      <c r="N47" s="2097"/>
      <c r="O47" s="2912"/>
      <c r="P47" s="1535"/>
      <c r="Q47" s="1536"/>
      <c r="R47" s="1537"/>
      <c r="S47" s="2425">
        <f>'[4]RECAPITULATIF 2 ANS'!T55</f>
        <v>0</v>
      </c>
      <c r="T47" s="1535"/>
      <c r="U47" s="1538"/>
      <c r="V47" s="1535"/>
      <c r="W47" s="2087">
        <f t="shared" si="19"/>
        <v>0</v>
      </c>
      <c r="X47" s="2427"/>
    </row>
    <row r="48" spans="1:24" ht="166.5" x14ac:dyDescent="0.45">
      <c r="A48" s="3299"/>
      <c r="B48" s="1532" t="s">
        <v>798</v>
      </c>
      <c r="C48" s="1596" t="s">
        <v>48</v>
      </c>
      <c r="D48" s="2083" t="s">
        <v>724</v>
      </c>
      <c r="E48" s="1581">
        <f>3*6</f>
        <v>18</v>
      </c>
      <c r="F48" s="1581">
        <v>500</v>
      </c>
      <c r="G48" s="1581">
        <v>4</v>
      </c>
      <c r="H48" s="1579">
        <f t="shared" si="14"/>
        <v>36000</v>
      </c>
      <c r="I48" s="2095">
        <v>0.16</v>
      </c>
      <c r="J48" s="2096">
        <v>0</v>
      </c>
      <c r="K48" s="2096">
        <v>0</v>
      </c>
      <c r="L48" s="2096">
        <v>0</v>
      </c>
      <c r="M48" s="1580">
        <v>0</v>
      </c>
      <c r="N48" s="2097">
        <f t="shared" si="15"/>
        <v>0</v>
      </c>
      <c r="O48" s="2912">
        <f t="shared" si="16"/>
        <v>36000</v>
      </c>
      <c r="P48" s="1535">
        <v>0.5</v>
      </c>
      <c r="Q48" s="1536">
        <f>O48/2</f>
        <v>18000</v>
      </c>
      <c r="R48" s="1537" t="s">
        <v>799</v>
      </c>
      <c r="S48" s="2425">
        <f>'[4]RECAPITULATIF 2 ANS'!T56</f>
        <v>35999</v>
      </c>
      <c r="T48" s="1535">
        <f t="shared" si="18"/>
        <v>0.99997222222222226</v>
      </c>
      <c r="U48" s="1538" t="s">
        <v>729</v>
      </c>
      <c r="V48" s="1535">
        <v>0.5</v>
      </c>
      <c r="W48" s="2087">
        <f t="shared" si="19"/>
        <v>17999.5</v>
      </c>
      <c r="X48" s="2117" t="s">
        <v>1649</v>
      </c>
    </row>
    <row r="49" spans="1:24" ht="166.5" x14ac:dyDescent="0.45">
      <c r="A49" s="3299"/>
      <c r="B49" s="1532" t="s">
        <v>800</v>
      </c>
      <c r="C49" s="1596" t="s">
        <v>48</v>
      </c>
      <c r="D49" s="2083" t="s">
        <v>724</v>
      </c>
      <c r="E49" s="1581">
        <v>560</v>
      </c>
      <c r="F49" s="1581">
        <v>1.5</v>
      </c>
      <c r="G49" s="1581">
        <f>2*25</f>
        <v>50</v>
      </c>
      <c r="H49" s="1579">
        <f t="shared" si="14"/>
        <v>42000</v>
      </c>
      <c r="I49" s="2095">
        <v>0.3</v>
      </c>
      <c r="J49" s="2096">
        <v>0</v>
      </c>
      <c r="K49" s="2096">
        <v>0</v>
      </c>
      <c r="L49" s="2096">
        <v>0</v>
      </c>
      <c r="M49" s="1580">
        <v>0</v>
      </c>
      <c r="N49" s="2097">
        <f t="shared" si="15"/>
        <v>0</v>
      </c>
      <c r="O49" s="2912">
        <f t="shared" si="16"/>
        <v>42000</v>
      </c>
      <c r="P49" s="1535">
        <v>0.5</v>
      </c>
      <c r="Q49" s="1536">
        <f t="shared" ref="Q49:Q50" si="20">O49/2</f>
        <v>21000</v>
      </c>
      <c r="R49" s="1537" t="s">
        <v>801</v>
      </c>
      <c r="S49" s="2425">
        <f>'[4]RECAPITULATIF 2 ANS'!T57</f>
        <v>42000</v>
      </c>
      <c r="T49" s="1535">
        <f t="shared" si="18"/>
        <v>1</v>
      </c>
      <c r="U49" s="1538" t="s">
        <v>729</v>
      </c>
      <c r="V49" s="1535">
        <v>0.5</v>
      </c>
      <c r="W49" s="2087">
        <f t="shared" si="19"/>
        <v>21000</v>
      </c>
      <c r="X49" s="1537" t="s">
        <v>1650</v>
      </c>
    </row>
    <row r="50" spans="1:24" ht="56.25" customHeight="1" x14ac:dyDescent="0.45">
      <c r="A50" s="3299"/>
      <c r="B50" s="1532" t="s">
        <v>802</v>
      </c>
      <c r="C50" s="1596" t="s">
        <v>15</v>
      </c>
      <c r="D50" s="2083" t="s">
        <v>724</v>
      </c>
      <c r="E50" s="1581">
        <f>6*3</f>
        <v>18</v>
      </c>
      <c r="F50" s="1581">
        <v>350</v>
      </c>
      <c r="G50" s="1581">
        <v>2</v>
      </c>
      <c r="H50" s="1579">
        <f t="shared" si="14"/>
        <v>12600</v>
      </c>
      <c r="I50" s="2095">
        <v>0.3</v>
      </c>
      <c r="J50" s="2096">
        <v>0</v>
      </c>
      <c r="K50" s="2096">
        <v>0</v>
      </c>
      <c r="L50" s="2096">
        <v>0</v>
      </c>
      <c r="M50" s="1580">
        <v>0</v>
      </c>
      <c r="N50" s="2097">
        <f t="shared" si="15"/>
        <v>0</v>
      </c>
      <c r="O50" s="2912">
        <f t="shared" si="16"/>
        <v>12600</v>
      </c>
      <c r="P50" s="1535">
        <v>0.5</v>
      </c>
      <c r="Q50" s="1536">
        <f t="shared" si="20"/>
        <v>6300</v>
      </c>
      <c r="R50" s="1537" t="s">
        <v>803</v>
      </c>
      <c r="S50" s="2425">
        <f>'[4]RECAPITULATIF 2 ANS'!T58</f>
        <v>12600</v>
      </c>
      <c r="T50" s="1535">
        <f t="shared" si="18"/>
        <v>1</v>
      </c>
      <c r="U50" s="1538" t="s">
        <v>729</v>
      </c>
      <c r="V50" s="1535">
        <v>0.5</v>
      </c>
      <c r="W50" s="2087">
        <f t="shared" si="19"/>
        <v>6300</v>
      </c>
      <c r="X50" s="2117" t="s">
        <v>805</v>
      </c>
    </row>
    <row r="51" spans="1:24" s="1552" customFormat="1" x14ac:dyDescent="0.45">
      <c r="A51" s="3299"/>
      <c r="B51" s="2089"/>
      <c r="C51" s="2089"/>
      <c r="D51" s="1553" t="s">
        <v>0</v>
      </c>
      <c r="E51" s="1582"/>
      <c r="F51" s="1582"/>
      <c r="G51" s="1582"/>
      <c r="H51" s="1583">
        <f>SUM(H41:H50)</f>
        <v>178450</v>
      </c>
      <c r="I51" s="1583">
        <f>J51/H51*100</f>
        <v>0</v>
      </c>
      <c r="J51" s="1584"/>
      <c r="K51" s="1584"/>
      <c r="L51" s="1584"/>
      <c r="M51" s="1584">
        <f>SUM(M41:M50)</f>
        <v>0</v>
      </c>
      <c r="N51" s="1584">
        <f>SUM(N41:N50)</f>
        <v>0</v>
      </c>
      <c r="O51" s="1558">
        <f>SUM(O41:O50)</f>
        <v>178450</v>
      </c>
      <c r="P51" s="1554">
        <f t="shared" ref="P51:P82" si="21">Q51/O51</f>
        <v>0.5</v>
      </c>
      <c r="Q51" s="1547">
        <f>SUM(Q41:Q50)</f>
        <v>89225</v>
      </c>
      <c r="R51" s="1548"/>
      <c r="S51" s="1558">
        <f>SUM(S41:S50)</f>
        <v>178449</v>
      </c>
      <c r="T51" s="1546">
        <f>S51/O51</f>
        <v>0.99999439618940877</v>
      </c>
      <c r="U51" s="1562">
        <f>SUM(U41:U50)</f>
        <v>0</v>
      </c>
      <c r="V51" s="1554">
        <f>W51/S51</f>
        <v>0.5</v>
      </c>
      <c r="W51" s="1558">
        <f>SUM(W41:W50)</f>
        <v>89224.5</v>
      </c>
      <c r="X51" s="1555"/>
    </row>
    <row r="52" spans="1:24" ht="36.5" x14ac:dyDescent="0.45">
      <c r="A52" s="3299" t="s">
        <v>806</v>
      </c>
      <c r="B52" s="2099" t="s">
        <v>807</v>
      </c>
      <c r="C52" s="1596"/>
      <c r="D52" s="2083" t="s">
        <v>724</v>
      </c>
      <c r="E52" s="1581"/>
      <c r="F52" s="1581"/>
      <c r="G52" s="1581"/>
      <c r="H52" s="1580"/>
      <c r="I52" s="2096"/>
      <c r="J52" s="2096"/>
      <c r="K52" s="2096"/>
      <c r="L52" s="2096"/>
      <c r="M52" s="1580"/>
      <c r="N52" s="2100"/>
      <c r="O52" s="2912"/>
      <c r="P52" s="1535"/>
      <c r="Q52" s="1536"/>
      <c r="R52" s="1537"/>
      <c r="S52" s="2087"/>
      <c r="T52" s="1535"/>
      <c r="U52" s="1538"/>
      <c r="V52" s="1535"/>
      <c r="W52" s="2087"/>
      <c r="X52" s="2427"/>
    </row>
    <row r="53" spans="1:24" ht="166.5" x14ac:dyDescent="0.45">
      <c r="A53" s="3299"/>
      <c r="B53" s="2101" t="s">
        <v>808</v>
      </c>
      <c r="C53" s="1596" t="s">
        <v>17</v>
      </c>
      <c r="D53" s="2083" t="s">
        <v>724</v>
      </c>
      <c r="E53" s="1581">
        <v>3</v>
      </c>
      <c r="F53" s="1581">
        <v>300</v>
      </c>
      <c r="G53" s="1581">
        <v>3</v>
      </c>
      <c r="H53" s="1579">
        <f t="shared" ref="H53:H58" si="22">E53*F53*G53</f>
        <v>2700</v>
      </c>
      <c r="I53" s="2095">
        <v>0.3</v>
      </c>
      <c r="J53" s="1585">
        <v>3</v>
      </c>
      <c r="K53" s="1585">
        <v>300</v>
      </c>
      <c r="L53" s="1585">
        <v>3</v>
      </c>
      <c r="M53" s="1579">
        <f t="shared" ref="M53:M58" si="23">J53*K53*L53</f>
        <v>2700</v>
      </c>
      <c r="N53" s="2102">
        <v>0.5</v>
      </c>
      <c r="O53" s="2912">
        <f t="shared" ref="O53:O58" si="24">H53+M53</f>
        <v>5400</v>
      </c>
      <c r="P53" s="1535">
        <v>0.5</v>
      </c>
      <c r="Q53" s="1536">
        <f>O53/2</f>
        <v>2700</v>
      </c>
      <c r="R53" s="1537" t="s">
        <v>809</v>
      </c>
      <c r="S53" s="2425">
        <f>'[4]RECAPITULATIF 2 ANS'!T62</f>
        <v>5399.42</v>
      </c>
      <c r="T53" s="1535">
        <f t="shared" si="18"/>
        <v>0.99989259259259256</v>
      </c>
      <c r="U53" s="1538" t="s">
        <v>729</v>
      </c>
      <c r="V53" s="1535">
        <v>0.24990000000000001</v>
      </c>
      <c r="W53" s="2087">
        <f t="shared" ref="W53:W57" si="25">V53*S53</f>
        <v>1349.3150580000001</v>
      </c>
      <c r="X53" s="2117" t="s">
        <v>1598</v>
      </c>
    </row>
    <row r="54" spans="1:24" ht="92.5" x14ac:dyDescent="0.45">
      <c r="A54" s="3299"/>
      <c r="B54" s="2101" t="s">
        <v>812</v>
      </c>
      <c r="C54" s="1596" t="s">
        <v>48</v>
      </c>
      <c r="D54" s="2083" t="s">
        <v>724</v>
      </c>
      <c r="E54" s="1581">
        <v>3</v>
      </c>
      <c r="F54" s="1581">
        <v>300</v>
      </c>
      <c r="G54" s="1581">
        <v>1</v>
      </c>
      <c r="H54" s="1579">
        <f t="shared" si="22"/>
        <v>900</v>
      </c>
      <c r="I54" s="2095">
        <v>0</v>
      </c>
      <c r="J54" s="1585">
        <v>4</v>
      </c>
      <c r="K54" s="1585">
        <v>300</v>
      </c>
      <c r="L54" s="1585">
        <v>1</v>
      </c>
      <c r="M54" s="1579">
        <f t="shared" si="23"/>
        <v>1200</v>
      </c>
      <c r="N54" s="2102">
        <v>0</v>
      </c>
      <c r="O54" s="2912">
        <f t="shared" si="24"/>
        <v>2100</v>
      </c>
      <c r="P54" s="1535">
        <v>0.5</v>
      </c>
      <c r="Q54" s="1536">
        <f>O54/2</f>
        <v>1050</v>
      </c>
      <c r="R54" s="1537" t="s">
        <v>813</v>
      </c>
      <c r="S54" s="2425">
        <f>'[4]RECAPITULATIF 2 ANS'!T63</f>
        <v>2100</v>
      </c>
      <c r="T54" s="1535">
        <f t="shared" si="18"/>
        <v>1</v>
      </c>
      <c r="U54" s="1538" t="s">
        <v>729</v>
      </c>
      <c r="V54" s="1535">
        <v>0.5</v>
      </c>
      <c r="W54" s="2087">
        <f t="shared" si="25"/>
        <v>1050</v>
      </c>
      <c r="X54" s="2117" t="s">
        <v>1651</v>
      </c>
    </row>
    <row r="55" spans="1:24" ht="36.5" x14ac:dyDescent="0.45">
      <c r="A55" s="3299"/>
      <c r="B55" s="2099" t="s">
        <v>815</v>
      </c>
      <c r="C55" s="1596"/>
      <c r="D55" s="2083" t="s">
        <v>724</v>
      </c>
      <c r="E55" s="1581"/>
      <c r="F55" s="1581"/>
      <c r="G55" s="1581"/>
      <c r="H55" s="1580">
        <f t="shared" si="22"/>
        <v>0</v>
      </c>
      <c r="I55" s="2103"/>
      <c r="J55" s="1585"/>
      <c r="K55" s="1585"/>
      <c r="L55" s="1585"/>
      <c r="M55" s="1580">
        <f t="shared" si="23"/>
        <v>0</v>
      </c>
      <c r="N55" s="2097"/>
      <c r="O55" s="2912"/>
      <c r="P55" s="1535"/>
      <c r="Q55" s="1536"/>
      <c r="R55" s="1537"/>
      <c r="S55" s="2087"/>
      <c r="T55" s="1535"/>
      <c r="U55" s="1538"/>
      <c r="V55" s="1535"/>
      <c r="W55" s="2087">
        <f t="shared" si="25"/>
        <v>0</v>
      </c>
      <c r="X55" s="2427"/>
    </row>
    <row r="56" spans="1:24" ht="92.5" x14ac:dyDescent="0.45">
      <c r="A56" s="3299"/>
      <c r="B56" s="2094" t="s">
        <v>816</v>
      </c>
      <c r="C56" s="1596" t="s">
        <v>15</v>
      </c>
      <c r="D56" s="2083" t="s">
        <v>724</v>
      </c>
      <c r="E56" s="1581">
        <v>1</v>
      </c>
      <c r="F56" s="1581">
        <v>850</v>
      </c>
      <c r="G56" s="1581">
        <v>3</v>
      </c>
      <c r="H56" s="1579">
        <f t="shared" si="22"/>
        <v>2550</v>
      </c>
      <c r="I56" s="2095">
        <v>0.3</v>
      </c>
      <c r="J56" s="1585">
        <v>1</v>
      </c>
      <c r="K56" s="1585">
        <v>850</v>
      </c>
      <c r="L56" s="1585">
        <v>3</v>
      </c>
      <c r="M56" s="1579">
        <f t="shared" si="23"/>
        <v>2550</v>
      </c>
      <c r="N56" s="2102">
        <v>0.3</v>
      </c>
      <c r="O56" s="2912">
        <f t="shared" si="24"/>
        <v>5100</v>
      </c>
      <c r="P56" s="1535">
        <v>0.5</v>
      </c>
      <c r="Q56" s="1536">
        <f>O56/2</f>
        <v>2550</v>
      </c>
      <c r="R56" s="1537" t="s">
        <v>817</v>
      </c>
      <c r="S56" s="2425">
        <f>'[4]RECAPITULATIF 2 ANS'!T65</f>
        <v>5100</v>
      </c>
      <c r="T56" s="1535">
        <f t="shared" si="18"/>
        <v>1</v>
      </c>
      <c r="U56" s="1538" t="s">
        <v>729</v>
      </c>
      <c r="V56" s="1535">
        <v>0.75</v>
      </c>
      <c r="W56" s="2087">
        <f t="shared" si="25"/>
        <v>3825</v>
      </c>
      <c r="X56" s="2117" t="s">
        <v>818</v>
      </c>
    </row>
    <row r="57" spans="1:24" ht="36.5" x14ac:dyDescent="0.45">
      <c r="A57" s="3299"/>
      <c r="B57" s="2099" t="s">
        <v>819</v>
      </c>
      <c r="C57" s="1596"/>
      <c r="D57" s="2083" t="s">
        <v>724</v>
      </c>
      <c r="E57" s="1581"/>
      <c r="F57" s="1581"/>
      <c r="G57" s="1581"/>
      <c r="H57" s="1580">
        <f t="shared" si="22"/>
        <v>0</v>
      </c>
      <c r="I57" s="2104">
        <v>0</v>
      </c>
      <c r="J57" s="2103"/>
      <c r="K57" s="2103"/>
      <c r="L57" s="2103"/>
      <c r="M57" s="1580">
        <f t="shared" si="23"/>
        <v>0</v>
      </c>
      <c r="N57" s="2097"/>
      <c r="O57" s="2912"/>
      <c r="P57" s="1535"/>
      <c r="Q57" s="1536"/>
      <c r="R57" s="1537"/>
      <c r="S57" s="2087"/>
      <c r="T57" s="1535"/>
      <c r="U57" s="1538"/>
      <c r="V57" s="1535"/>
      <c r="W57" s="2087">
        <f t="shared" si="25"/>
        <v>0</v>
      </c>
      <c r="X57" s="2427"/>
    </row>
    <row r="58" spans="1:24" ht="57" customHeight="1" x14ac:dyDescent="0.45">
      <c r="A58" s="3299"/>
      <c r="B58" s="1532" t="s">
        <v>820</v>
      </c>
      <c r="C58" s="1596" t="s">
        <v>48</v>
      </c>
      <c r="D58" s="2083" t="s">
        <v>724</v>
      </c>
      <c r="E58" s="1581">
        <v>0</v>
      </c>
      <c r="F58" s="1581">
        <v>0</v>
      </c>
      <c r="G58" s="1581">
        <v>0</v>
      </c>
      <c r="H58" s="1580">
        <f t="shared" si="22"/>
        <v>0</v>
      </c>
      <c r="I58" s="2104">
        <v>0</v>
      </c>
      <c r="J58" s="1585">
        <v>36</v>
      </c>
      <c r="K58" s="1585">
        <f>(150+50)*15</f>
        <v>3000</v>
      </c>
      <c r="L58" s="1585">
        <v>1</v>
      </c>
      <c r="M58" s="1579">
        <f t="shared" si="23"/>
        <v>108000</v>
      </c>
      <c r="N58" s="2105">
        <v>0.3</v>
      </c>
      <c r="O58" s="2912">
        <f t="shared" si="24"/>
        <v>108000</v>
      </c>
      <c r="P58" s="1535">
        <v>0.5</v>
      </c>
      <c r="Q58" s="1536">
        <f>O58/2</f>
        <v>54000</v>
      </c>
      <c r="R58" s="1537" t="s">
        <v>821</v>
      </c>
      <c r="S58" s="2087">
        <f>'[4]RECAPITULATIF 2 ANS'!T67</f>
        <v>108000</v>
      </c>
      <c r="T58" s="1535">
        <f t="shared" si="18"/>
        <v>1</v>
      </c>
      <c r="U58" s="1538" t="s">
        <v>729</v>
      </c>
      <c r="V58" s="1535">
        <v>0.5</v>
      </c>
      <c r="W58" s="2087">
        <f>V58*S58</f>
        <v>54000</v>
      </c>
      <c r="X58" s="2117" t="s">
        <v>1599</v>
      </c>
    </row>
    <row r="59" spans="1:24" s="1552" customFormat="1" x14ac:dyDescent="0.45">
      <c r="A59" s="3299"/>
      <c r="B59" s="2089"/>
      <c r="C59" s="2089"/>
      <c r="D59" s="1553" t="s">
        <v>0</v>
      </c>
      <c r="E59" s="1582"/>
      <c r="F59" s="1582"/>
      <c r="G59" s="1582"/>
      <c r="H59" s="1583">
        <f>SUM(H52:H58)</f>
        <v>6150</v>
      </c>
      <c r="I59" s="1583">
        <f>J59/H59*100</f>
        <v>0</v>
      </c>
      <c r="J59" s="1583"/>
      <c r="K59" s="1583"/>
      <c r="L59" s="1583"/>
      <c r="M59" s="1583">
        <f>SUM(M52:M58)</f>
        <v>114450</v>
      </c>
      <c r="N59" s="1583">
        <f>O59/M59*100</f>
        <v>105.3735255570118</v>
      </c>
      <c r="O59" s="1558">
        <f>SUM(O52:O58)</f>
        <v>120600</v>
      </c>
      <c r="P59" s="1554">
        <f t="shared" si="21"/>
        <v>0.5</v>
      </c>
      <c r="Q59" s="1547">
        <f>SUM(Q52:Q58)</f>
        <v>60300</v>
      </c>
      <c r="R59" s="1548"/>
      <c r="S59" s="1558">
        <f>SUM(S52:S58)</f>
        <v>120599.42</v>
      </c>
      <c r="T59" s="1546">
        <f>S59/O59</f>
        <v>0.99999519071310117</v>
      </c>
      <c r="U59" s="1559">
        <f>SUM(U49:U58)</f>
        <v>0</v>
      </c>
      <c r="V59" s="1554">
        <f>W59/S59</f>
        <v>0.49937483163683544</v>
      </c>
      <c r="W59" s="1558">
        <f>SUM(W52:W58)</f>
        <v>60224.315058</v>
      </c>
      <c r="X59" s="1555"/>
    </row>
    <row r="60" spans="1:24" ht="148" x14ac:dyDescent="0.45">
      <c r="A60" s="3299" t="s">
        <v>823</v>
      </c>
      <c r="B60" s="2094" t="s">
        <v>824</v>
      </c>
      <c r="C60" s="1596" t="s">
        <v>17</v>
      </c>
      <c r="D60" s="2083" t="s">
        <v>724</v>
      </c>
      <c r="E60" s="1581">
        <v>0</v>
      </c>
      <c r="F60" s="1581">
        <v>0</v>
      </c>
      <c r="G60" s="1581">
        <v>0</v>
      </c>
      <c r="H60" s="1580">
        <f>E60*F60*G60</f>
        <v>0</v>
      </c>
      <c r="I60" s="2103"/>
      <c r="J60" s="1585">
        <v>6</v>
      </c>
      <c r="K60" s="1585">
        <v>300</v>
      </c>
      <c r="L60" s="1585">
        <v>3</v>
      </c>
      <c r="M60" s="1579">
        <f>J60*K60*L60</f>
        <v>5400</v>
      </c>
      <c r="N60" s="2105">
        <v>0.3</v>
      </c>
      <c r="O60" s="2912">
        <f>H60+M60</f>
        <v>5400</v>
      </c>
      <c r="P60" s="1535">
        <f t="shared" si="21"/>
        <v>3.0000000000000001E-3</v>
      </c>
      <c r="Q60" s="1536">
        <v>16.2</v>
      </c>
      <c r="R60" s="1537" t="s">
        <v>825</v>
      </c>
      <c r="S60" s="2087">
        <f>'[4]RECAPITULATIF 2 ANS'!T70</f>
        <v>0</v>
      </c>
      <c r="T60" s="1535">
        <f t="shared" si="18"/>
        <v>0</v>
      </c>
      <c r="U60" s="1538" t="s">
        <v>1652</v>
      </c>
      <c r="V60" s="1535">
        <v>0</v>
      </c>
      <c r="W60" s="2087">
        <f>V60*S60</f>
        <v>0</v>
      </c>
      <c r="X60" s="2117" t="s">
        <v>1653</v>
      </c>
    </row>
    <row r="61" spans="1:24" ht="148" x14ac:dyDescent="0.45">
      <c r="A61" s="3299"/>
      <c r="B61" s="2094" t="s">
        <v>827</v>
      </c>
      <c r="C61" s="1596" t="s">
        <v>17</v>
      </c>
      <c r="D61" s="2083" t="s">
        <v>724</v>
      </c>
      <c r="E61" s="1581">
        <v>0</v>
      </c>
      <c r="F61" s="1581">
        <v>0</v>
      </c>
      <c r="G61" s="1581">
        <v>0</v>
      </c>
      <c r="H61" s="1580">
        <f>E61*F61*G61</f>
        <v>0</v>
      </c>
      <c r="I61" s="2103"/>
      <c r="J61" s="1585">
        <v>3</v>
      </c>
      <c r="K61" s="1585">
        <v>900</v>
      </c>
      <c r="L61" s="1585">
        <v>2</v>
      </c>
      <c r="M61" s="1579">
        <f>J61*K61*L61</f>
        <v>5400</v>
      </c>
      <c r="N61" s="2105">
        <v>0.3</v>
      </c>
      <c r="O61" s="2912">
        <f>H61+M61</f>
        <v>5400</v>
      </c>
      <c r="P61" s="1535">
        <f t="shared" si="21"/>
        <v>3.0000000000000001E-3</v>
      </c>
      <c r="Q61" s="1536">
        <v>16.2</v>
      </c>
      <c r="R61" s="1537" t="s">
        <v>828</v>
      </c>
      <c r="S61" s="2087">
        <f>'[4]RECAPITULATIF 2 ANS'!T71</f>
        <v>5400</v>
      </c>
      <c r="T61" s="1535">
        <f t="shared" si="18"/>
        <v>1</v>
      </c>
      <c r="U61" s="1538" t="s">
        <v>729</v>
      </c>
      <c r="V61" s="1535">
        <v>0</v>
      </c>
      <c r="W61" s="2087">
        <f>V61*S61</f>
        <v>0</v>
      </c>
      <c r="X61" s="2117" t="s">
        <v>1600</v>
      </c>
    </row>
    <row r="62" spans="1:24" s="1552" customFormat="1" x14ac:dyDescent="0.45">
      <c r="A62" s="3299"/>
      <c r="B62" s="2089"/>
      <c r="C62" s="2106"/>
      <c r="D62" s="1553" t="s">
        <v>0</v>
      </c>
      <c r="E62" s="1582"/>
      <c r="F62" s="1582"/>
      <c r="G62" s="1582"/>
      <c r="H62" s="1583">
        <f>SUM(H60:H61)</f>
        <v>0</v>
      </c>
      <c r="I62" s="1583">
        <f>SUM(I60:I61)</f>
        <v>0</v>
      </c>
      <c r="J62" s="1583"/>
      <c r="K62" s="1583"/>
      <c r="L62" s="1583"/>
      <c r="M62" s="1583">
        <f>SUM(M60:M61)</f>
        <v>10800</v>
      </c>
      <c r="N62" s="1583">
        <f>O62/M62*100</f>
        <v>100</v>
      </c>
      <c r="O62" s="1558">
        <f>SUM(O60:O61)</f>
        <v>10800</v>
      </c>
      <c r="P62" s="1554">
        <f t="shared" si="21"/>
        <v>3.0000000000000001E-3</v>
      </c>
      <c r="Q62" s="1547">
        <f>SUM(Q60:Q61)</f>
        <v>32.4</v>
      </c>
      <c r="R62" s="1548"/>
      <c r="S62" s="1558">
        <f>SUM(S60:S61)</f>
        <v>5400</v>
      </c>
      <c r="T62" s="1546">
        <f>S62/O62</f>
        <v>0.5</v>
      </c>
      <c r="U62" s="1559">
        <f>SUM(U52:U61)</f>
        <v>0</v>
      </c>
      <c r="V62" s="1554">
        <v>0</v>
      </c>
      <c r="W62" s="1558">
        <f>SUM(W60:W61)</f>
        <v>0</v>
      </c>
      <c r="X62" s="1555"/>
    </row>
    <row r="63" spans="1:24" ht="36.5" x14ac:dyDescent="0.45">
      <c r="A63" s="3299" t="s">
        <v>830</v>
      </c>
      <c r="B63" s="2099" t="s">
        <v>831</v>
      </c>
      <c r="C63" s="1596"/>
      <c r="D63" s="2083" t="s">
        <v>724</v>
      </c>
      <c r="E63" s="1581"/>
      <c r="F63" s="1581"/>
      <c r="G63" s="1581"/>
      <c r="H63" s="1579"/>
      <c r="I63" s="2103"/>
      <c r="J63" s="2103"/>
      <c r="K63" s="2103"/>
      <c r="L63" s="2103"/>
      <c r="M63" s="1579"/>
      <c r="N63" s="2100"/>
      <c r="O63" s="2912"/>
      <c r="P63" s="1535"/>
      <c r="Q63" s="1536"/>
      <c r="R63" s="1537"/>
      <c r="S63" s="2087"/>
      <c r="T63" s="1535"/>
      <c r="U63" s="1538"/>
      <c r="V63" s="1535"/>
      <c r="W63" s="2087"/>
      <c r="X63" s="2427"/>
    </row>
    <row r="64" spans="1:24" ht="222" x14ac:dyDescent="0.45">
      <c r="A64" s="3299"/>
      <c r="B64" s="1596" t="s">
        <v>832</v>
      </c>
      <c r="C64" s="2107" t="s">
        <v>15</v>
      </c>
      <c r="D64" s="2083" t="s">
        <v>724</v>
      </c>
      <c r="E64" s="1581">
        <v>7</v>
      </c>
      <c r="F64" s="1586">
        <v>100</v>
      </c>
      <c r="G64" s="1581">
        <v>4</v>
      </c>
      <c r="H64" s="1587">
        <f>E64*F64*G64</f>
        <v>2800</v>
      </c>
      <c r="I64" s="2109">
        <v>0.3</v>
      </c>
      <c r="J64" s="1585">
        <v>7</v>
      </c>
      <c r="K64" s="1588">
        <v>100</v>
      </c>
      <c r="L64" s="1585">
        <v>6</v>
      </c>
      <c r="M64" s="1587">
        <f>J64*K64*L64</f>
        <v>4200</v>
      </c>
      <c r="N64" s="2111">
        <v>0.3</v>
      </c>
      <c r="O64" s="2912">
        <f>H64+M64</f>
        <v>7000</v>
      </c>
      <c r="P64" s="1535">
        <v>0.5</v>
      </c>
      <c r="Q64" s="1536">
        <f>O64/2</f>
        <v>3500</v>
      </c>
      <c r="R64" s="1537" t="s">
        <v>833</v>
      </c>
      <c r="S64" s="2087">
        <f>'[4]RECAPITULATIF 2 ANS'!T75</f>
        <v>7000</v>
      </c>
      <c r="T64" s="1535">
        <f t="shared" si="18"/>
        <v>1</v>
      </c>
      <c r="U64" s="1538" t="s">
        <v>729</v>
      </c>
      <c r="V64" s="1535">
        <v>0</v>
      </c>
      <c r="W64" s="2087">
        <f t="shared" ref="W64:W79" si="26">V64*S64</f>
        <v>0</v>
      </c>
      <c r="X64" s="2117" t="s">
        <v>1601</v>
      </c>
    </row>
    <row r="65" spans="1:24" ht="59.25" customHeight="1" x14ac:dyDescent="0.45">
      <c r="A65" s="3299"/>
      <c r="B65" s="1596" t="s">
        <v>835</v>
      </c>
      <c r="C65" s="2107" t="s">
        <v>15</v>
      </c>
      <c r="D65" s="2083" t="s">
        <v>724</v>
      </c>
      <c r="E65" s="1581">
        <v>7</v>
      </c>
      <c r="F65" s="1586">
        <v>120</v>
      </c>
      <c r="G65" s="1581">
        <v>2</v>
      </c>
      <c r="H65" s="1587">
        <f>E65*F65*G65</f>
        <v>1680</v>
      </c>
      <c r="I65" s="2109">
        <v>0.3</v>
      </c>
      <c r="J65" s="1585">
        <v>7</v>
      </c>
      <c r="K65" s="1588">
        <v>120</v>
      </c>
      <c r="L65" s="1585">
        <v>2</v>
      </c>
      <c r="M65" s="1587">
        <f>J65*K65*L65</f>
        <v>1680</v>
      </c>
      <c r="N65" s="2111">
        <v>0.3</v>
      </c>
      <c r="O65" s="2912">
        <f t="shared" ref="O65:O79" si="27">H65+M65</f>
        <v>3360</v>
      </c>
      <c r="P65" s="1535">
        <v>0.5</v>
      </c>
      <c r="Q65" s="1536">
        <f>O65/2</f>
        <v>1680</v>
      </c>
      <c r="R65" s="1537" t="s">
        <v>836</v>
      </c>
      <c r="S65" s="2087">
        <f>'[4]RECAPITULATIF 2 ANS'!T76</f>
        <v>3360</v>
      </c>
      <c r="T65" s="1535">
        <f t="shared" si="18"/>
        <v>1</v>
      </c>
      <c r="U65" s="1538" t="s">
        <v>729</v>
      </c>
      <c r="V65" s="1535">
        <v>0.5</v>
      </c>
      <c r="W65" s="2087">
        <f t="shared" si="26"/>
        <v>1680</v>
      </c>
      <c r="X65" s="2117" t="s">
        <v>1602</v>
      </c>
    </row>
    <row r="66" spans="1:24" ht="54.5" x14ac:dyDescent="0.45">
      <c r="A66" s="3299"/>
      <c r="B66" s="1532" t="s">
        <v>837</v>
      </c>
      <c r="C66" s="1589" t="s">
        <v>48</v>
      </c>
      <c r="D66" s="2083" t="s">
        <v>724</v>
      </c>
      <c r="E66" s="1590">
        <v>3</v>
      </c>
      <c r="F66" s="1591">
        <v>300</v>
      </c>
      <c r="G66" s="1590">
        <v>0</v>
      </c>
      <c r="H66" s="1579">
        <f>E66*F66*G66</f>
        <v>0</v>
      </c>
      <c r="I66" s="1592">
        <v>0</v>
      </c>
      <c r="J66" s="1593">
        <v>4</v>
      </c>
      <c r="K66" s="1594">
        <v>300</v>
      </c>
      <c r="L66" s="1593">
        <v>0</v>
      </c>
      <c r="M66" s="1579">
        <f>J66*K66*L66</f>
        <v>0</v>
      </c>
      <c r="N66" s="1595">
        <v>30</v>
      </c>
      <c r="O66" s="2912">
        <f t="shared" si="27"/>
        <v>0</v>
      </c>
      <c r="P66" s="1535">
        <v>0</v>
      </c>
      <c r="Q66" s="1536"/>
      <c r="R66" s="1537" t="s">
        <v>775</v>
      </c>
      <c r="S66" s="2087">
        <f>'[4]RECAPITULATIF 2 ANS'!T77</f>
        <v>0</v>
      </c>
      <c r="T66" s="1535">
        <v>0</v>
      </c>
      <c r="U66" s="1538" t="s">
        <v>838</v>
      </c>
      <c r="V66" s="1535">
        <v>0</v>
      </c>
      <c r="W66" s="2087">
        <f t="shared" si="26"/>
        <v>0</v>
      </c>
      <c r="X66" s="2427" t="s">
        <v>775</v>
      </c>
    </row>
    <row r="67" spans="1:24" ht="72.5" x14ac:dyDescent="0.45">
      <c r="A67" s="3299"/>
      <c r="B67" s="1532" t="s">
        <v>839</v>
      </c>
      <c r="C67" s="1589" t="s">
        <v>15</v>
      </c>
      <c r="D67" s="2083" t="s">
        <v>724</v>
      </c>
      <c r="E67" s="1590">
        <v>7</v>
      </c>
      <c r="F67" s="1591">
        <v>250</v>
      </c>
      <c r="G67" s="1590">
        <v>0</v>
      </c>
      <c r="H67" s="1579">
        <f>E67*F67*G67</f>
        <v>0</v>
      </c>
      <c r="I67" s="1592">
        <v>0</v>
      </c>
      <c r="J67" s="1593">
        <v>7</v>
      </c>
      <c r="K67" s="1594">
        <v>250</v>
      </c>
      <c r="L67" s="1593">
        <v>0</v>
      </c>
      <c r="M67" s="1579">
        <f>J67*K67*L67</f>
        <v>0</v>
      </c>
      <c r="N67" s="1595">
        <v>30</v>
      </c>
      <c r="O67" s="2912">
        <f t="shared" si="27"/>
        <v>0</v>
      </c>
      <c r="P67" s="1535">
        <v>0</v>
      </c>
      <c r="Q67" s="1536">
        <v>0</v>
      </c>
      <c r="R67" s="1537" t="s">
        <v>775</v>
      </c>
      <c r="S67" s="2087">
        <f>'[4]RECAPITULATIF 2 ANS'!T78</f>
        <v>0</v>
      </c>
      <c r="T67" s="1535">
        <v>0</v>
      </c>
      <c r="U67" s="1538" t="s">
        <v>838</v>
      </c>
      <c r="V67" s="1535">
        <v>0</v>
      </c>
      <c r="W67" s="2087">
        <f t="shared" si="26"/>
        <v>0</v>
      </c>
      <c r="X67" s="2427" t="s">
        <v>775</v>
      </c>
    </row>
    <row r="68" spans="1:24" ht="54.5" x14ac:dyDescent="0.45">
      <c r="A68" s="3299"/>
      <c r="B68" s="2099" t="s">
        <v>840</v>
      </c>
      <c r="C68" s="1596"/>
      <c r="D68" s="2083" t="s">
        <v>724</v>
      </c>
      <c r="E68" s="1581"/>
      <c r="F68" s="1581"/>
      <c r="G68" s="1581"/>
      <c r="H68" s="1579"/>
      <c r="I68" s="2103"/>
      <c r="J68" s="2103"/>
      <c r="K68" s="2103"/>
      <c r="L68" s="2103"/>
      <c r="M68" s="1579"/>
      <c r="N68" s="2100"/>
      <c r="O68" s="2912"/>
      <c r="P68" s="1535"/>
      <c r="Q68" s="1536"/>
      <c r="R68" s="1537"/>
      <c r="S68" s="2087"/>
      <c r="T68" s="1535">
        <v>0</v>
      </c>
      <c r="U68" s="1538"/>
      <c r="V68" s="1535">
        <v>0</v>
      </c>
      <c r="W68" s="2087">
        <f t="shared" si="26"/>
        <v>0</v>
      </c>
      <c r="X68" s="2427"/>
    </row>
    <row r="69" spans="1:24" ht="74" x14ac:dyDescent="0.45">
      <c r="A69" s="3299"/>
      <c r="B69" s="1532" t="s">
        <v>841</v>
      </c>
      <c r="C69" s="2107" t="s">
        <v>15</v>
      </c>
      <c r="D69" s="2083" t="s">
        <v>724</v>
      </c>
      <c r="E69" s="1581">
        <v>1</v>
      </c>
      <c r="F69" s="1586">
        <v>2400</v>
      </c>
      <c r="G69" s="1581">
        <v>1</v>
      </c>
      <c r="H69" s="1579">
        <f>E69*F69*G69</f>
        <v>2400</v>
      </c>
      <c r="I69" s="2095">
        <v>0.4</v>
      </c>
      <c r="J69" s="1585">
        <v>1</v>
      </c>
      <c r="K69" s="1588">
        <v>2400</v>
      </c>
      <c r="L69" s="1585">
        <v>1</v>
      </c>
      <c r="M69" s="1579">
        <f>J69*K69*L69</f>
        <v>2400</v>
      </c>
      <c r="N69" s="2102">
        <v>0.4</v>
      </c>
      <c r="O69" s="2912">
        <f t="shared" si="27"/>
        <v>4800</v>
      </c>
      <c r="P69" s="1535">
        <v>0.5</v>
      </c>
      <c r="Q69" s="1536">
        <f>O69/2</f>
        <v>2400</v>
      </c>
      <c r="R69" s="1537" t="s">
        <v>842</v>
      </c>
      <c r="S69" s="2425">
        <f>'[4]RECAPITULATIF 2 ANS'!T80</f>
        <v>4800</v>
      </c>
      <c r="T69" s="1535">
        <f t="shared" si="18"/>
        <v>1</v>
      </c>
      <c r="U69" s="1538" t="s">
        <v>729</v>
      </c>
      <c r="V69" s="1535">
        <v>0.5</v>
      </c>
      <c r="W69" s="2087">
        <f t="shared" si="26"/>
        <v>2400</v>
      </c>
      <c r="X69" s="2117" t="s">
        <v>843</v>
      </c>
    </row>
    <row r="70" spans="1:24" ht="74" x14ac:dyDescent="0.45">
      <c r="A70" s="3299"/>
      <c r="B70" s="1532" t="s">
        <v>844</v>
      </c>
      <c r="C70" s="2107" t="s">
        <v>15</v>
      </c>
      <c r="D70" s="2083" t="s">
        <v>724</v>
      </c>
      <c r="E70" s="1581">
        <v>2</v>
      </c>
      <c r="F70" s="1586">
        <v>950</v>
      </c>
      <c r="G70" s="1581">
        <v>1</v>
      </c>
      <c r="H70" s="1579">
        <f>E70*F70*G70</f>
        <v>1900</v>
      </c>
      <c r="I70" s="2095">
        <v>0.15</v>
      </c>
      <c r="J70" s="1585">
        <v>5</v>
      </c>
      <c r="K70" s="1588">
        <v>950</v>
      </c>
      <c r="L70" s="1585">
        <v>1</v>
      </c>
      <c r="M70" s="1579">
        <f t="shared" ref="M70:M79" si="28">J70*K70*L70</f>
        <v>4750</v>
      </c>
      <c r="N70" s="2102">
        <v>0.15</v>
      </c>
      <c r="O70" s="2912">
        <f t="shared" si="27"/>
        <v>6650</v>
      </c>
      <c r="P70" s="1535">
        <v>0.5</v>
      </c>
      <c r="Q70" s="1536">
        <f t="shared" ref="Q70:Q71" si="29">O70/2</f>
        <v>3325</v>
      </c>
      <c r="R70" s="1537" t="s">
        <v>845</v>
      </c>
      <c r="S70" s="2425">
        <f>'[4]RECAPITULATIF 2 ANS'!T81</f>
        <v>6650</v>
      </c>
      <c r="T70" s="1535">
        <f t="shared" si="18"/>
        <v>1</v>
      </c>
      <c r="U70" s="1538" t="s">
        <v>729</v>
      </c>
      <c r="V70" s="1535">
        <v>0.5</v>
      </c>
      <c r="W70" s="2087">
        <f t="shared" si="26"/>
        <v>3325</v>
      </c>
      <c r="X70" s="2117" t="s">
        <v>846</v>
      </c>
    </row>
    <row r="71" spans="1:24" ht="55.5" x14ac:dyDescent="0.45">
      <c r="A71" s="3299"/>
      <c r="B71" s="1532" t="s">
        <v>847</v>
      </c>
      <c r="C71" s="1589" t="s">
        <v>15</v>
      </c>
      <c r="D71" s="2083" t="s">
        <v>724</v>
      </c>
      <c r="E71" s="1590">
        <v>7</v>
      </c>
      <c r="F71" s="1591">
        <v>200</v>
      </c>
      <c r="G71" s="1590">
        <v>1</v>
      </c>
      <c r="H71" s="1579">
        <f>E71*F71*G71</f>
        <v>1400</v>
      </c>
      <c r="I71" s="2095">
        <v>0.3</v>
      </c>
      <c r="J71" s="1593">
        <v>7</v>
      </c>
      <c r="K71" s="1594">
        <v>200</v>
      </c>
      <c r="L71" s="1593">
        <v>1</v>
      </c>
      <c r="M71" s="1579">
        <f t="shared" si="28"/>
        <v>1400</v>
      </c>
      <c r="N71" s="2102">
        <v>0.3</v>
      </c>
      <c r="O71" s="2912">
        <f t="shared" si="27"/>
        <v>2800</v>
      </c>
      <c r="P71" s="1535">
        <v>0.5</v>
      </c>
      <c r="Q71" s="1536">
        <f t="shared" si="29"/>
        <v>1400</v>
      </c>
      <c r="R71" s="1537" t="s">
        <v>848</v>
      </c>
      <c r="S71" s="2425">
        <f>'[4]RECAPITULATIF 2 ANS'!T82</f>
        <v>2800</v>
      </c>
      <c r="T71" s="1535">
        <f t="shared" si="18"/>
        <v>1</v>
      </c>
      <c r="U71" s="1538" t="s">
        <v>729</v>
      </c>
      <c r="V71" s="1535">
        <v>0.5</v>
      </c>
      <c r="W71" s="2087">
        <f>V71*S71</f>
        <v>1400</v>
      </c>
      <c r="X71" s="2117" t="s">
        <v>849</v>
      </c>
    </row>
    <row r="72" spans="1:24" ht="36.5" x14ac:dyDescent="0.45">
      <c r="A72" s="3299"/>
      <c r="B72" s="2108" t="s">
        <v>1480</v>
      </c>
      <c r="C72" s="1596"/>
      <c r="D72" s="2083" t="s">
        <v>724</v>
      </c>
      <c r="E72" s="1581"/>
      <c r="F72" s="1581"/>
      <c r="G72" s="1581"/>
      <c r="H72" s="1579"/>
      <c r="I72" s="2103"/>
      <c r="J72" s="2103"/>
      <c r="K72" s="2103"/>
      <c r="L72" s="2103"/>
      <c r="M72" s="1579"/>
      <c r="N72" s="2100"/>
      <c r="O72" s="2912"/>
      <c r="P72" s="1535"/>
      <c r="Q72" s="1536"/>
      <c r="R72" s="1537"/>
      <c r="S72" s="2425">
        <f>'[4]RECAPITULATIF 2 ANS'!T83</f>
        <v>0</v>
      </c>
      <c r="T72" s="1535"/>
      <c r="U72" s="1538"/>
      <c r="V72" s="1535"/>
      <c r="W72" s="2087">
        <f t="shared" si="26"/>
        <v>0</v>
      </c>
      <c r="X72" s="2427"/>
    </row>
    <row r="73" spans="1:24" ht="55.5" x14ac:dyDescent="0.45">
      <c r="A73" s="3299"/>
      <c r="B73" s="2101" t="s">
        <v>850</v>
      </c>
      <c r="C73" s="1596" t="s">
        <v>17</v>
      </c>
      <c r="D73" s="2083" t="s">
        <v>724</v>
      </c>
      <c r="E73" s="1590">
        <v>7</v>
      </c>
      <c r="F73" s="1591">
        <f>50*3</f>
        <v>150</v>
      </c>
      <c r="G73" s="1590">
        <v>2</v>
      </c>
      <c r="H73" s="1587">
        <f t="shared" ref="H73:H79" si="30">E73*F73*G73</f>
        <v>2100</v>
      </c>
      <c r="I73" s="2109">
        <v>0.3</v>
      </c>
      <c r="J73" s="2110">
        <v>0</v>
      </c>
      <c r="K73" s="2110">
        <v>0</v>
      </c>
      <c r="L73" s="2110">
        <v>0</v>
      </c>
      <c r="M73" s="1587">
        <f t="shared" si="28"/>
        <v>0</v>
      </c>
      <c r="N73" s="2111">
        <v>0.3</v>
      </c>
      <c r="O73" s="2912">
        <f t="shared" si="27"/>
        <v>2100</v>
      </c>
      <c r="P73" s="1535">
        <v>0.5</v>
      </c>
      <c r="Q73" s="1536">
        <f>O73/2</f>
        <v>1050</v>
      </c>
      <c r="R73" s="1537" t="s">
        <v>851</v>
      </c>
      <c r="S73" s="2425">
        <f>'[4]RECAPITULATIF 2 ANS'!T84</f>
        <v>2100</v>
      </c>
      <c r="T73" s="1535">
        <f t="shared" si="18"/>
        <v>1</v>
      </c>
      <c r="U73" s="1538" t="s">
        <v>729</v>
      </c>
      <c r="V73" s="1535">
        <v>0.5</v>
      </c>
      <c r="W73" s="2087">
        <f t="shared" si="26"/>
        <v>1050</v>
      </c>
      <c r="X73" s="2117" t="s">
        <v>853</v>
      </c>
    </row>
    <row r="74" spans="1:24" ht="55.5" x14ac:dyDescent="0.45">
      <c r="A74" s="3299"/>
      <c r="B74" s="2101" t="s">
        <v>854</v>
      </c>
      <c r="C74" s="1596" t="s">
        <v>15</v>
      </c>
      <c r="D74" s="2083" t="s">
        <v>724</v>
      </c>
      <c r="E74" s="1596">
        <v>0</v>
      </c>
      <c r="F74" s="1596">
        <v>0</v>
      </c>
      <c r="G74" s="1596">
        <v>0</v>
      </c>
      <c r="H74" s="1579">
        <f t="shared" si="30"/>
        <v>0</v>
      </c>
      <c r="I74" s="2103">
        <v>0</v>
      </c>
      <c r="J74" s="1593">
        <v>1</v>
      </c>
      <c r="K74" s="1594">
        <v>4156</v>
      </c>
      <c r="L74" s="1593">
        <v>1</v>
      </c>
      <c r="M74" s="1579">
        <f t="shared" si="28"/>
        <v>4156</v>
      </c>
      <c r="N74" s="2105">
        <v>0.5</v>
      </c>
      <c r="O74" s="2912">
        <f t="shared" si="27"/>
        <v>4156</v>
      </c>
      <c r="P74" s="1535">
        <f t="shared" si="21"/>
        <v>0.5</v>
      </c>
      <c r="Q74" s="1536">
        <f t="shared" ref="Q74:Q79" si="31">O74/2</f>
        <v>2078</v>
      </c>
      <c r="R74" s="1537" t="s">
        <v>851</v>
      </c>
      <c r="S74" s="2425">
        <f>'[4]RECAPITULATIF 2 ANS'!T85</f>
        <v>4156</v>
      </c>
      <c r="T74" s="1535">
        <f t="shared" si="18"/>
        <v>1</v>
      </c>
      <c r="U74" s="1538" t="s">
        <v>729</v>
      </c>
      <c r="V74" s="1535">
        <v>0.5</v>
      </c>
      <c r="W74" s="2087">
        <f t="shared" si="26"/>
        <v>2078</v>
      </c>
      <c r="X74" s="2117" t="s">
        <v>1654</v>
      </c>
    </row>
    <row r="75" spans="1:24" ht="65.25" customHeight="1" x14ac:dyDescent="0.45">
      <c r="A75" s="3299"/>
      <c r="B75" s="2101" t="s">
        <v>856</v>
      </c>
      <c r="C75" s="1596" t="s">
        <v>17</v>
      </c>
      <c r="D75" s="2083" t="s">
        <v>724</v>
      </c>
      <c r="E75" s="1596">
        <v>0</v>
      </c>
      <c r="F75" s="1596">
        <v>0</v>
      </c>
      <c r="G75" s="1596">
        <v>0</v>
      </c>
      <c r="H75" s="1579">
        <f t="shared" si="30"/>
        <v>0</v>
      </c>
      <c r="I75" s="2103">
        <v>0</v>
      </c>
      <c r="J75" s="1593">
        <v>7</v>
      </c>
      <c r="K75" s="1594">
        <v>100</v>
      </c>
      <c r="L75" s="1593">
        <v>3</v>
      </c>
      <c r="M75" s="1579">
        <f t="shared" si="28"/>
        <v>2100</v>
      </c>
      <c r="N75" s="2105">
        <v>0.5</v>
      </c>
      <c r="O75" s="2912">
        <f t="shared" si="27"/>
        <v>2100</v>
      </c>
      <c r="P75" s="1535">
        <f t="shared" si="21"/>
        <v>0.5</v>
      </c>
      <c r="Q75" s="1536">
        <f t="shared" si="31"/>
        <v>1050</v>
      </c>
      <c r="R75" s="1537" t="s">
        <v>857</v>
      </c>
      <c r="S75" s="2425">
        <f>'[4]RECAPITULATIF 2 ANS'!T86</f>
        <v>2100</v>
      </c>
      <c r="T75" s="1535">
        <f t="shared" si="18"/>
        <v>1</v>
      </c>
      <c r="U75" s="1538" t="s">
        <v>729</v>
      </c>
      <c r="V75" s="1535">
        <v>0.5</v>
      </c>
      <c r="W75" s="2087">
        <f t="shared" si="26"/>
        <v>1050</v>
      </c>
      <c r="X75" s="2117" t="s">
        <v>1655</v>
      </c>
    </row>
    <row r="76" spans="1:24" ht="49.5" customHeight="1" x14ac:dyDescent="0.45">
      <c r="A76" s="3299"/>
      <c r="B76" s="2101" t="s">
        <v>859</v>
      </c>
      <c r="C76" s="1596" t="s">
        <v>48</v>
      </c>
      <c r="D76" s="2083" t="s">
        <v>724</v>
      </c>
      <c r="E76" s="1596">
        <v>0</v>
      </c>
      <c r="F76" s="1596">
        <v>0</v>
      </c>
      <c r="G76" s="1596">
        <v>0</v>
      </c>
      <c r="H76" s="1579">
        <f t="shared" si="30"/>
        <v>0</v>
      </c>
      <c r="I76" s="2103">
        <v>0</v>
      </c>
      <c r="J76" s="1593">
        <f>2*7</f>
        <v>14</v>
      </c>
      <c r="K76" s="1594">
        <v>60</v>
      </c>
      <c r="L76" s="1593">
        <v>10</v>
      </c>
      <c r="M76" s="1579">
        <f t="shared" si="28"/>
        <v>8400</v>
      </c>
      <c r="N76" s="2105">
        <v>0.5</v>
      </c>
      <c r="O76" s="2912">
        <f t="shared" si="27"/>
        <v>8400</v>
      </c>
      <c r="P76" s="1535">
        <f t="shared" si="21"/>
        <v>0.5</v>
      </c>
      <c r="Q76" s="1536">
        <f t="shared" si="31"/>
        <v>4200</v>
      </c>
      <c r="R76" s="1537" t="s">
        <v>857</v>
      </c>
      <c r="S76" s="2425">
        <f>'[4]RECAPITULATIF 2 ANS'!T87</f>
        <v>8400</v>
      </c>
      <c r="T76" s="1535">
        <f t="shared" si="18"/>
        <v>1</v>
      </c>
      <c r="U76" s="1538" t="s">
        <v>729</v>
      </c>
      <c r="V76" s="1535">
        <v>0.5</v>
      </c>
      <c r="W76" s="2087">
        <f t="shared" si="26"/>
        <v>4200</v>
      </c>
      <c r="X76" s="2117" t="s">
        <v>1656</v>
      </c>
    </row>
    <row r="77" spans="1:24" ht="40.5" customHeight="1" x14ac:dyDescent="0.45">
      <c r="A77" s="3299"/>
      <c r="B77" s="2101" t="s">
        <v>860</v>
      </c>
      <c r="C77" s="1596" t="s">
        <v>17</v>
      </c>
      <c r="D77" s="2083" t="s">
        <v>724</v>
      </c>
      <c r="E77" s="1596">
        <v>0</v>
      </c>
      <c r="F77" s="1596">
        <v>0</v>
      </c>
      <c r="G77" s="1596">
        <v>0</v>
      </c>
      <c r="H77" s="1579">
        <f t="shared" si="30"/>
        <v>0</v>
      </c>
      <c r="I77" s="2103">
        <v>0</v>
      </c>
      <c r="J77" s="1593">
        <f>7*5</f>
        <v>35</v>
      </c>
      <c r="K77" s="1594">
        <v>100</v>
      </c>
      <c r="L77" s="1593">
        <v>1</v>
      </c>
      <c r="M77" s="1579">
        <f t="shared" si="28"/>
        <v>3500</v>
      </c>
      <c r="N77" s="2105">
        <v>0.5</v>
      </c>
      <c r="O77" s="2912">
        <f t="shared" si="27"/>
        <v>3500</v>
      </c>
      <c r="P77" s="1535">
        <f t="shared" si="21"/>
        <v>0.5</v>
      </c>
      <c r="Q77" s="1536">
        <f t="shared" si="31"/>
        <v>1750</v>
      </c>
      <c r="R77" s="1537" t="s">
        <v>857</v>
      </c>
      <c r="S77" s="2425">
        <f>'[4]RECAPITULATIF 2 ANS'!T88</f>
        <v>3500</v>
      </c>
      <c r="T77" s="1535">
        <f t="shared" si="18"/>
        <v>1</v>
      </c>
      <c r="U77" s="1538" t="s">
        <v>729</v>
      </c>
      <c r="V77" s="1535">
        <v>0.5</v>
      </c>
      <c r="W77" s="2087">
        <f t="shared" si="26"/>
        <v>1750</v>
      </c>
      <c r="X77" s="2117" t="s">
        <v>1603</v>
      </c>
    </row>
    <row r="78" spans="1:24" ht="66" customHeight="1" x14ac:dyDescent="0.45">
      <c r="A78" s="3299"/>
      <c r="B78" s="2101" t="s">
        <v>861</v>
      </c>
      <c r="C78" s="1596" t="s">
        <v>15</v>
      </c>
      <c r="D78" s="2083" t="s">
        <v>724</v>
      </c>
      <c r="E78" s="1596">
        <v>0</v>
      </c>
      <c r="F78" s="1596">
        <v>0</v>
      </c>
      <c r="G78" s="1596">
        <v>0</v>
      </c>
      <c r="H78" s="1579">
        <f t="shared" si="30"/>
        <v>0</v>
      </c>
      <c r="I78" s="2103">
        <v>0</v>
      </c>
      <c r="J78" s="1593">
        <v>7</v>
      </c>
      <c r="K78" s="1594">
        <v>180</v>
      </c>
      <c r="L78" s="1593">
        <v>3</v>
      </c>
      <c r="M78" s="1579">
        <f>J78*K78*L78</f>
        <v>3780</v>
      </c>
      <c r="N78" s="2105">
        <v>0.3</v>
      </c>
      <c r="O78" s="2912">
        <f t="shared" si="27"/>
        <v>3780</v>
      </c>
      <c r="P78" s="1535">
        <v>0.5</v>
      </c>
      <c r="Q78" s="1536">
        <f t="shared" si="31"/>
        <v>1890</v>
      </c>
      <c r="R78" s="1537" t="s">
        <v>857</v>
      </c>
      <c r="S78" s="2425">
        <f>'[4]RECAPITULATIF 2 ANS'!T89</f>
        <v>3760</v>
      </c>
      <c r="T78" s="1535">
        <f t="shared" si="18"/>
        <v>0.99470899470899465</v>
      </c>
      <c r="U78" s="1538" t="s">
        <v>729</v>
      </c>
      <c r="V78" s="1535">
        <v>0.5</v>
      </c>
      <c r="W78" s="2087">
        <f t="shared" si="26"/>
        <v>1880</v>
      </c>
      <c r="X78" s="2117" t="s">
        <v>1657</v>
      </c>
    </row>
    <row r="79" spans="1:24" ht="92.5" x14ac:dyDescent="0.45">
      <c r="A79" s="3299"/>
      <c r="B79" s="2101" t="s">
        <v>863</v>
      </c>
      <c r="C79" s="1596" t="s">
        <v>15</v>
      </c>
      <c r="D79" s="2083" t="s">
        <v>724</v>
      </c>
      <c r="E79" s="1596">
        <v>0</v>
      </c>
      <c r="F79" s="1596">
        <v>0</v>
      </c>
      <c r="G79" s="1596">
        <v>0</v>
      </c>
      <c r="H79" s="1579">
        <f t="shared" si="30"/>
        <v>0</v>
      </c>
      <c r="I79" s="2103">
        <v>0</v>
      </c>
      <c r="J79" s="1593">
        <v>1</v>
      </c>
      <c r="K79" s="1594">
        <v>315</v>
      </c>
      <c r="L79" s="1593">
        <v>2</v>
      </c>
      <c r="M79" s="1579">
        <f t="shared" si="28"/>
        <v>630</v>
      </c>
      <c r="N79" s="2105">
        <v>0.4</v>
      </c>
      <c r="O79" s="2912">
        <f t="shared" si="27"/>
        <v>630</v>
      </c>
      <c r="P79" s="1535">
        <f t="shared" si="21"/>
        <v>0.5</v>
      </c>
      <c r="Q79" s="1536">
        <f t="shared" si="31"/>
        <v>315</v>
      </c>
      <c r="R79" s="1537" t="s">
        <v>851</v>
      </c>
      <c r="S79" s="2425">
        <f>'[4]RECAPITULATIF 2 ANS'!T90</f>
        <v>630</v>
      </c>
      <c r="T79" s="1535">
        <f t="shared" si="18"/>
        <v>1</v>
      </c>
      <c r="U79" s="1538" t="s">
        <v>729</v>
      </c>
      <c r="V79" s="1535">
        <v>0.5</v>
      </c>
      <c r="W79" s="2087">
        <f t="shared" si="26"/>
        <v>315</v>
      </c>
      <c r="X79" s="2117" t="s">
        <v>1604</v>
      </c>
    </row>
    <row r="80" spans="1:24" s="1552" customFormat="1" x14ac:dyDescent="0.45">
      <c r="A80" s="3299"/>
      <c r="B80" s="2089"/>
      <c r="C80" s="2106"/>
      <c r="D80" s="1553" t="s">
        <v>0</v>
      </c>
      <c r="E80" s="1582"/>
      <c r="F80" s="1582"/>
      <c r="G80" s="1582"/>
      <c r="H80" s="1583">
        <f>SUM(H64:H79)</f>
        <v>12280</v>
      </c>
      <c r="I80" s="1583">
        <f>J80/H80*100</f>
        <v>0</v>
      </c>
      <c r="J80" s="1583"/>
      <c r="K80" s="1583"/>
      <c r="L80" s="1583"/>
      <c r="M80" s="1583">
        <f>SUM(M64:M79)</f>
        <v>36996</v>
      </c>
      <c r="N80" s="1583">
        <f>O80/M80*100</f>
        <v>133.19277759757813</v>
      </c>
      <c r="O80" s="1583">
        <f>SUM(O64:O79)</f>
        <v>49276</v>
      </c>
      <c r="P80" s="1554">
        <f t="shared" si="21"/>
        <v>0.5</v>
      </c>
      <c r="Q80" s="1547">
        <f>SUM(Q63:Q79)</f>
        <v>24638</v>
      </c>
      <c r="R80" s="1548"/>
      <c r="S80" s="1558">
        <f>SUM(S63:S79)</f>
        <v>49256</v>
      </c>
      <c r="T80" s="1546">
        <f>S80/O80</f>
        <v>0.99959412289958605</v>
      </c>
      <c r="U80" s="1559">
        <f>SUM(U70:U79)</f>
        <v>0</v>
      </c>
      <c r="V80" s="1554">
        <f>W80/S80</f>
        <v>0.42894266688322236</v>
      </c>
      <c r="W80" s="1558">
        <f>SUM(W63:W79)</f>
        <v>21128</v>
      </c>
      <c r="X80" s="2136"/>
    </row>
    <row r="81" spans="1:24" s="1552" customFormat="1" x14ac:dyDescent="0.45">
      <c r="A81" s="3303" t="s">
        <v>547</v>
      </c>
      <c r="B81" s="3304"/>
      <c r="C81" s="2402"/>
      <c r="D81" s="1563"/>
      <c r="E81" s="1597"/>
      <c r="F81" s="1597"/>
      <c r="G81" s="1597"/>
      <c r="H81" s="1598">
        <f>H51+H59+H62+H80</f>
        <v>196880</v>
      </c>
      <c r="I81" s="1598">
        <f>J81/H81*100</f>
        <v>0</v>
      </c>
      <c r="J81" s="1598"/>
      <c r="K81" s="1598"/>
      <c r="L81" s="1598"/>
      <c r="M81" s="1598">
        <f>M51+M59+M62+M80</f>
        <v>162246</v>
      </c>
      <c r="N81" s="1598">
        <f>O81/M81*100</f>
        <v>221.34659714261059</v>
      </c>
      <c r="O81" s="1569">
        <f>H81+M81</f>
        <v>359126</v>
      </c>
      <c r="P81" s="1570">
        <f t="shared" si="21"/>
        <v>0.48505371373835365</v>
      </c>
      <c r="Q81" s="1567">
        <f>Q80+Q62+Q59+Q51</f>
        <v>174195.4</v>
      </c>
      <c r="R81" s="1568"/>
      <c r="S81" s="1569">
        <f>S80+S62+S59+S51</f>
        <v>353704.42</v>
      </c>
      <c r="T81" s="1570">
        <f>S81/O81</f>
        <v>0.98490340437617985</v>
      </c>
      <c r="U81" s="1568">
        <f t="shared" ref="U81:U82" si="32">SUM(U71:U80)</f>
        <v>0</v>
      </c>
      <c r="V81" s="1570">
        <f>W81/S81</f>
        <v>0.48225808164342421</v>
      </c>
      <c r="W81" s="1569">
        <f>W80+W62+W59+W51</f>
        <v>170576.81505800001</v>
      </c>
      <c r="X81" s="2430"/>
    </row>
    <row r="82" spans="1:24" s="1600" customFormat="1" x14ac:dyDescent="0.45">
      <c r="A82" s="3328" t="s">
        <v>53</v>
      </c>
      <c r="B82" s="3329"/>
      <c r="C82" s="3330"/>
      <c r="D82" s="1599"/>
      <c r="E82" s="1599"/>
      <c r="F82" s="1599"/>
      <c r="G82" s="1599"/>
      <c r="H82" s="1569">
        <f>H81+H39</f>
        <v>290418.59999999998</v>
      </c>
      <c r="I82" s="1569"/>
      <c r="J82" s="1565"/>
      <c r="K82" s="1565"/>
      <c r="L82" s="1565"/>
      <c r="M82" s="1565">
        <f>M39+M81</f>
        <v>186066</v>
      </c>
      <c r="N82" s="1565">
        <f>O82/M82*100</f>
        <v>256.08364773789941</v>
      </c>
      <c r="O82" s="1569">
        <f>H82+M82</f>
        <v>476484.6</v>
      </c>
      <c r="P82" s="1570">
        <f t="shared" si="21"/>
        <v>0</v>
      </c>
      <c r="Q82" s="1567"/>
      <c r="R82" s="1568"/>
      <c r="S82" s="1569">
        <f>S81+S39</f>
        <v>472577.87</v>
      </c>
      <c r="T82" s="1570">
        <f>S82/O82</f>
        <v>0.99180093123681234</v>
      </c>
      <c r="U82" s="1568">
        <f t="shared" si="32"/>
        <v>0</v>
      </c>
      <c r="V82" s="1570">
        <f>W82/S82</f>
        <v>0.46673626149273562</v>
      </c>
      <c r="W82" s="1569">
        <f>W81+W39</f>
        <v>220569.22830800002</v>
      </c>
      <c r="X82" s="2430"/>
    </row>
    <row r="83" spans="1:24" s="2112" customFormat="1" x14ac:dyDescent="0.4">
      <c r="A83" s="3331" t="s">
        <v>85</v>
      </c>
      <c r="B83" s="3332"/>
      <c r="C83" s="3332"/>
      <c r="D83" s="3332"/>
      <c r="E83" s="3332"/>
      <c r="F83" s="3332"/>
      <c r="G83" s="3332"/>
      <c r="H83" s="3332"/>
      <c r="I83" s="3332"/>
      <c r="J83" s="3332"/>
      <c r="K83" s="3332"/>
      <c r="L83" s="3332"/>
      <c r="M83" s="3332"/>
      <c r="N83" s="3332"/>
      <c r="O83" s="3332"/>
      <c r="P83" s="3332"/>
      <c r="Q83" s="3332"/>
      <c r="R83" s="3332"/>
      <c r="S83" s="3332"/>
      <c r="T83" s="3332"/>
      <c r="U83" s="3332"/>
      <c r="V83" s="3332"/>
      <c r="W83" s="3332"/>
      <c r="X83" s="3333"/>
    </row>
    <row r="84" spans="1:24" s="2112" customFormat="1" ht="12.75" customHeight="1" x14ac:dyDescent="0.45">
      <c r="A84" s="1601" t="s">
        <v>54</v>
      </c>
      <c r="B84" s="1602"/>
      <c r="C84" s="1602"/>
      <c r="D84" s="1602"/>
      <c r="E84" s="1602"/>
      <c r="F84" s="1602"/>
      <c r="G84" s="1602"/>
      <c r="H84" s="1603"/>
      <c r="I84" s="1603"/>
      <c r="J84" s="1603"/>
      <c r="K84" s="1603"/>
      <c r="L84" s="1603"/>
      <c r="M84" s="1603"/>
      <c r="N84" s="1603"/>
      <c r="O84" s="1603"/>
      <c r="P84" s="1604"/>
      <c r="Q84" s="1603"/>
      <c r="R84" s="1605"/>
      <c r="S84" s="1605"/>
      <c r="T84" s="1605"/>
      <c r="U84" s="1605"/>
      <c r="V84" s="1605"/>
      <c r="W84" s="1605"/>
      <c r="X84" s="2431"/>
    </row>
    <row r="85" spans="1:24" s="1552" customFormat="1" ht="74.25" customHeight="1" x14ac:dyDescent="0.45">
      <c r="A85" s="3305"/>
      <c r="B85" s="2101" t="s">
        <v>865</v>
      </c>
      <c r="C85" s="2113" t="s">
        <v>14</v>
      </c>
      <c r="D85" s="2083" t="s">
        <v>724</v>
      </c>
      <c r="E85" s="1596">
        <f>1*0.4</f>
        <v>0.4</v>
      </c>
      <c r="F85" s="1596">
        <v>1262</v>
      </c>
      <c r="G85" s="1596">
        <v>12</v>
      </c>
      <c r="H85" s="1533">
        <f>E85*F85*G85</f>
        <v>6057.6</v>
      </c>
      <c r="I85" s="1585">
        <v>0</v>
      </c>
      <c r="J85" s="1585">
        <f>1*0.4</f>
        <v>0.4</v>
      </c>
      <c r="K85" s="1585">
        <v>1262</v>
      </c>
      <c r="L85" s="1585">
        <v>12</v>
      </c>
      <c r="M85" s="1533">
        <f t="shared" ref="M85:M94" si="33">J85*K85*L85</f>
        <v>6057.6</v>
      </c>
      <c r="N85" s="1585">
        <v>0</v>
      </c>
      <c r="O85" s="2912">
        <f>H85+M85</f>
        <v>12115.2</v>
      </c>
      <c r="P85" s="2114">
        <f>Q85/O85</f>
        <v>0</v>
      </c>
      <c r="Q85" s="2115">
        <v>0</v>
      </c>
      <c r="R85" s="2116" t="s">
        <v>866</v>
      </c>
      <c r="S85" s="2425">
        <f>'[4]RECAPITULATIF 2 ANS'!T96</f>
        <v>12118</v>
      </c>
      <c r="T85" s="1535">
        <f t="shared" ref="T85:T123" si="34">S85/O85</f>
        <v>1.0002311146328577</v>
      </c>
      <c r="U85" s="1538" t="s">
        <v>1605</v>
      </c>
      <c r="V85" s="1535">
        <v>0</v>
      </c>
      <c r="W85" s="2087">
        <f>V85*S85</f>
        <v>0</v>
      </c>
      <c r="X85" s="2427" t="s">
        <v>866</v>
      </c>
    </row>
    <row r="86" spans="1:24" s="1552" customFormat="1" ht="37" x14ac:dyDescent="0.45">
      <c r="A86" s="3306"/>
      <c r="B86" s="1532" t="s">
        <v>868</v>
      </c>
      <c r="C86" s="2113" t="s">
        <v>14</v>
      </c>
      <c r="D86" s="2083" t="s">
        <v>724</v>
      </c>
      <c r="E86" s="1596">
        <f>1*1</f>
        <v>1</v>
      </c>
      <c r="F86" s="1596">
        <v>830.91</v>
      </c>
      <c r="G86" s="1596">
        <v>12</v>
      </c>
      <c r="H86" s="1533">
        <f>E86*F86*G86</f>
        <v>9970.92</v>
      </c>
      <c r="I86" s="1585">
        <v>0</v>
      </c>
      <c r="J86" s="1585">
        <f>1*1</f>
        <v>1</v>
      </c>
      <c r="K86" s="1585">
        <v>830.91</v>
      </c>
      <c r="L86" s="1585">
        <v>12</v>
      </c>
      <c r="M86" s="1533">
        <f t="shared" si="33"/>
        <v>9970.92</v>
      </c>
      <c r="N86" s="1585">
        <v>0</v>
      </c>
      <c r="O86" s="2912">
        <f t="shared" ref="O86:O94" si="35">H86+M86</f>
        <v>19941.84</v>
      </c>
      <c r="P86" s="2114">
        <f t="shared" ref="P86:P92" si="36">Q86/O86</f>
        <v>0</v>
      </c>
      <c r="Q86" s="2115">
        <v>0</v>
      </c>
      <c r="R86" s="2116" t="s">
        <v>866</v>
      </c>
      <c r="S86" s="2425">
        <f>'[4]RECAPITULATIF 2 ANS'!T97</f>
        <v>19945.110000000004</v>
      </c>
      <c r="T86" s="1535">
        <f t="shared" si="34"/>
        <v>1.0001639768446644</v>
      </c>
      <c r="U86" s="1538" t="s">
        <v>1606</v>
      </c>
      <c r="V86" s="1535">
        <v>0</v>
      </c>
      <c r="W86" s="2087">
        <f>V86*S86</f>
        <v>0</v>
      </c>
      <c r="X86" s="2427" t="s">
        <v>866</v>
      </c>
    </row>
    <row r="87" spans="1:24" s="1552" customFormat="1" ht="37" x14ac:dyDescent="0.45">
      <c r="A87" s="3306"/>
      <c r="B87" s="2101" t="s">
        <v>870</v>
      </c>
      <c r="C87" s="2113" t="s">
        <v>14</v>
      </c>
      <c r="D87" s="2083" t="s">
        <v>724</v>
      </c>
      <c r="E87" s="1560">
        <v>1</v>
      </c>
      <c r="F87" s="1560">
        <v>680</v>
      </c>
      <c r="G87" s="1560">
        <v>12</v>
      </c>
      <c r="H87" s="1533">
        <f>E87*F87*G87</f>
        <v>8160</v>
      </c>
      <c r="I87" s="2088">
        <v>0</v>
      </c>
      <c r="J87" s="2085">
        <v>1</v>
      </c>
      <c r="K87" s="2085">
        <v>680</v>
      </c>
      <c r="L87" s="2088">
        <v>12</v>
      </c>
      <c r="M87" s="1533">
        <f t="shared" si="33"/>
        <v>8160</v>
      </c>
      <c r="N87" s="2091">
        <v>0</v>
      </c>
      <c r="O87" s="2912">
        <f t="shared" si="35"/>
        <v>16320</v>
      </c>
      <c r="P87" s="2114">
        <f t="shared" si="36"/>
        <v>0</v>
      </c>
      <c r="Q87" s="2115">
        <v>0</v>
      </c>
      <c r="R87" s="2116" t="s">
        <v>866</v>
      </c>
      <c r="S87" s="2425">
        <f>'[4]RECAPITULATIF 2 ANS'!T98</f>
        <v>16185.17</v>
      </c>
      <c r="T87" s="1535">
        <f t="shared" si="34"/>
        <v>0.99173835784313724</v>
      </c>
      <c r="U87" s="1538" t="s">
        <v>1607</v>
      </c>
      <c r="V87" s="1535">
        <v>0</v>
      </c>
      <c r="W87" s="2087">
        <f t="shared" ref="W87:W94" si="37">V87*S87</f>
        <v>0</v>
      </c>
      <c r="X87" s="2427" t="s">
        <v>866</v>
      </c>
    </row>
    <row r="88" spans="1:24" s="1552" customFormat="1" ht="84" customHeight="1" x14ac:dyDescent="0.45">
      <c r="A88" s="3306"/>
      <c r="B88" s="1532" t="s">
        <v>872</v>
      </c>
      <c r="C88" s="2113" t="s">
        <v>14</v>
      </c>
      <c r="D88" s="2083" t="s">
        <v>724</v>
      </c>
      <c r="E88" s="1596">
        <v>1</v>
      </c>
      <c r="F88" s="1560">
        <v>680</v>
      </c>
      <c r="G88" s="1596">
        <v>10</v>
      </c>
      <c r="H88" s="1533">
        <f t="shared" ref="H88:H94" si="38">E88*F88*G88</f>
        <v>6800</v>
      </c>
      <c r="I88" s="1585">
        <v>0</v>
      </c>
      <c r="J88" s="1585">
        <v>1</v>
      </c>
      <c r="K88" s="2085">
        <v>680</v>
      </c>
      <c r="L88" s="1585">
        <v>12</v>
      </c>
      <c r="M88" s="1533">
        <f t="shared" si="33"/>
        <v>8160</v>
      </c>
      <c r="N88" s="1585">
        <v>0</v>
      </c>
      <c r="O88" s="2912">
        <f t="shared" si="35"/>
        <v>14960</v>
      </c>
      <c r="P88" s="2114">
        <f t="shared" si="36"/>
        <v>0</v>
      </c>
      <c r="Q88" s="2115">
        <v>0</v>
      </c>
      <c r="R88" s="2116" t="s">
        <v>866</v>
      </c>
      <c r="S88" s="2425">
        <f>'[4]RECAPITULATIF 2 ANS'!T99</f>
        <v>15367.47</v>
      </c>
      <c r="T88" s="1535">
        <f t="shared" si="34"/>
        <v>1.0272372994652406</v>
      </c>
      <c r="U88" s="1538" t="s">
        <v>1608</v>
      </c>
      <c r="V88" s="1535">
        <v>0</v>
      </c>
      <c r="W88" s="2087">
        <f t="shared" si="37"/>
        <v>0</v>
      </c>
      <c r="X88" s="2427" t="s">
        <v>866</v>
      </c>
    </row>
    <row r="89" spans="1:24" s="1552" customFormat="1" ht="55.5" x14ac:dyDescent="0.45">
      <c r="A89" s="3306"/>
      <c r="B89" s="1532" t="s">
        <v>874</v>
      </c>
      <c r="C89" s="2113" t="s">
        <v>14</v>
      </c>
      <c r="D89" s="2083" t="s">
        <v>724</v>
      </c>
      <c r="E89" s="1596">
        <f>1*0.4</f>
        <v>0.4</v>
      </c>
      <c r="F89" s="1560">
        <v>680</v>
      </c>
      <c r="G89" s="1596">
        <v>10</v>
      </c>
      <c r="H89" s="1533">
        <f t="shared" si="38"/>
        <v>2720</v>
      </c>
      <c r="I89" s="2095">
        <v>1</v>
      </c>
      <c r="J89" s="1585">
        <f>1*0.4</f>
        <v>0.4</v>
      </c>
      <c r="K89" s="2085">
        <v>680</v>
      </c>
      <c r="L89" s="1585">
        <v>12</v>
      </c>
      <c r="M89" s="1533">
        <f t="shared" si="33"/>
        <v>3264</v>
      </c>
      <c r="N89" s="2095">
        <v>1</v>
      </c>
      <c r="O89" s="2912">
        <f t="shared" si="35"/>
        <v>5984</v>
      </c>
      <c r="P89" s="2114">
        <v>1</v>
      </c>
      <c r="Q89" s="2115">
        <v>5984</v>
      </c>
      <c r="R89" s="2116" t="s">
        <v>875</v>
      </c>
      <c r="S89" s="2425">
        <f>'[4]RECAPITULATIF 2 ANS'!T100</f>
        <v>5836.8700000000008</v>
      </c>
      <c r="T89" s="1535">
        <f t="shared" si="34"/>
        <v>0.9754127673796793</v>
      </c>
      <c r="U89" s="1538" t="s">
        <v>1609</v>
      </c>
      <c r="V89" s="1535">
        <v>1</v>
      </c>
      <c r="W89" s="2087">
        <f t="shared" si="37"/>
        <v>5836.8700000000008</v>
      </c>
      <c r="X89" s="2427" t="s">
        <v>875</v>
      </c>
    </row>
    <row r="90" spans="1:24" s="1552" customFormat="1" ht="37" x14ac:dyDescent="0.45">
      <c r="A90" s="3306"/>
      <c r="B90" s="2101" t="s">
        <v>877</v>
      </c>
      <c r="C90" s="2113" t="s">
        <v>14</v>
      </c>
      <c r="D90" s="2083" t="s">
        <v>724</v>
      </c>
      <c r="E90" s="1560">
        <v>2</v>
      </c>
      <c r="F90" s="1560">
        <v>500</v>
      </c>
      <c r="G90" s="1560">
        <v>12</v>
      </c>
      <c r="H90" s="1533">
        <f t="shared" si="38"/>
        <v>12000</v>
      </c>
      <c r="I90" s="2090">
        <v>0.5</v>
      </c>
      <c r="J90" s="2085">
        <v>0</v>
      </c>
      <c r="K90" s="2085">
        <v>0</v>
      </c>
      <c r="L90" s="2088">
        <v>0</v>
      </c>
      <c r="M90" s="1533">
        <f t="shared" si="33"/>
        <v>0</v>
      </c>
      <c r="N90" s="2092">
        <v>0.5</v>
      </c>
      <c r="O90" s="2912">
        <f t="shared" si="35"/>
        <v>12000</v>
      </c>
      <c r="P90" s="2114">
        <v>0.5</v>
      </c>
      <c r="Q90" s="2115">
        <f>O90/2</f>
        <v>6000</v>
      </c>
      <c r="R90" s="2116" t="s">
        <v>878</v>
      </c>
      <c r="S90" s="2425">
        <f>'[4]RECAPITULATIF 2 ANS'!T101</f>
        <v>12007.98</v>
      </c>
      <c r="T90" s="1535">
        <f t="shared" si="34"/>
        <v>1.0006649999999999</v>
      </c>
      <c r="U90" s="1538"/>
      <c r="V90" s="1535">
        <v>0.5</v>
      </c>
      <c r="W90" s="2087">
        <f t="shared" si="37"/>
        <v>6003.99</v>
      </c>
      <c r="X90" s="2117" t="s">
        <v>878</v>
      </c>
    </row>
    <row r="91" spans="1:24" s="1552" customFormat="1" ht="55.5" x14ac:dyDescent="0.45">
      <c r="A91" s="3306"/>
      <c r="B91" s="1532" t="s">
        <v>880</v>
      </c>
      <c r="C91" s="2113" t="s">
        <v>14</v>
      </c>
      <c r="D91" s="2083" t="s">
        <v>724</v>
      </c>
      <c r="E91" s="1596">
        <f>2*1</f>
        <v>2</v>
      </c>
      <c r="F91" s="1596">
        <v>500</v>
      </c>
      <c r="G91" s="1596">
        <v>8</v>
      </c>
      <c r="H91" s="1533">
        <f>E91*F91*G91</f>
        <v>8000</v>
      </c>
      <c r="I91" s="2095">
        <v>0.5</v>
      </c>
      <c r="J91" s="1585">
        <f>2*1</f>
        <v>2</v>
      </c>
      <c r="K91" s="1585">
        <v>500</v>
      </c>
      <c r="L91" s="1585">
        <v>10</v>
      </c>
      <c r="M91" s="1533">
        <f t="shared" si="33"/>
        <v>10000</v>
      </c>
      <c r="N91" s="2095">
        <v>0.5</v>
      </c>
      <c r="O91" s="2912">
        <f t="shared" si="35"/>
        <v>18000</v>
      </c>
      <c r="P91" s="2114">
        <v>0.5</v>
      </c>
      <c r="Q91" s="2115">
        <f>O91/2</f>
        <v>9000</v>
      </c>
      <c r="R91" s="2116" t="s">
        <v>878</v>
      </c>
      <c r="S91" s="2425">
        <f>'[4]RECAPITULATIF 2 ANS'!T102</f>
        <v>18000</v>
      </c>
      <c r="T91" s="1535">
        <f t="shared" si="34"/>
        <v>1</v>
      </c>
      <c r="U91" s="1538" t="s">
        <v>1610</v>
      </c>
      <c r="V91" s="1535">
        <v>0.5</v>
      </c>
      <c r="W91" s="2087">
        <f t="shared" si="37"/>
        <v>9000</v>
      </c>
      <c r="X91" s="2117" t="s">
        <v>878</v>
      </c>
    </row>
    <row r="92" spans="1:24" s="1552" customFormat="1" ht="62.25" customHeight="1" x14ac:dyDescent="0.45">
      <c r="A92" s="3306"/>
      <c r="B92" s="2101" t="s">
        <v>882</v>
      </c>
      <c r="C92" s="2113" t="s">
        <v>14</v>
      </c>
      <c r="D92" s="2083" t="s">
        <v>724</v>
      </c>
      <c r="E92" s="1560">
        <f>1*0.3</f>
        <v>0.3</v>
      </c>
      <c r="F92" s="1560">
        <v>1200</v>
      </c>
      <c r="G92" s="1560">
        <v>12</v>
      </c>
      <c r="H92" s="1533">
        <f t="shared" si="38"/>
        <v>4320</v>
      </c>
      <c r="I92" s="2088">
        <v>0</v>
      </c>
      <c r="J92" s="2085">
        <f>1*0.3</f>
        <v>0.3</v>
      </c>
      <c r="K92" s="2085">
        <v>1200</v>
      </c>
      <c r="L92" s="2088">
        <v>12</v>
      </c>
      <c r="M92" s="1533">
        <f t="shared" si="33"/>
        <v>4320</v>
      </c>
      <c r="N92" s="2091">
        <v>0</v>
      </c>
      <c r="O92" s="2912">
        <f t="shared" si="35"/>
        <v>8640</v>
      </c>
      <c r="P92" s="2114">
        <f t="shared" si="36"/>
        <v>0</v>
      </c>
      <c r="Q92" s="2115">
        <v>0</v>
      </c>
      <c r="R92" s="2116" t="s">
        <v>883</v>
      </c>
      <c r="S92" s="2425">
        <f>'[4]RECAPITULATIF 2 ANS'!T103</f>
        <v>8640.0600000000013</v>
      </c>
      <c r="T92" s="1535">
        <f t="shared" si="34"/>
        <v>1.0000069444444446</v>
      </c>
      <c r="U92" s="1538" t="s">
        <v>1611</v>
      </c>
      <c r="V92" s="1535">
        <v>0</v>
      </c>
      <c r="W92" s="2087">
        <f t="shared" si="37"/>
        <v>0</v>
      </c>
      <c r="X92" s="2427" t="s">
        <v>866</v>
      </c>
    </row>
    <row r="93" spans="1:24" s="1552" customFormat="1" ht="62.25" customHeight="1" x14ac:dyDescent="0.45">
      <c r="A93" s="3306"/>
      <c r="B93" s="1532" t="s">
        <v>885</v>
      </c>
      <c r="C93" s="2113" t="s">
        <v>14</v>
      </c>
      <c r="D93" s="2083" t="s">
        <v>724</v>
      </c>
      <c r="E93" s="1596">
        <f>1*0.25</f>
        <v>0.25</v>
      </c>
      <c r="F93" s="1606">
        <v>680</v>
      </c>
      <c r="G93" s="1606">
        <v>12</v>
      </c>
      <c r="H93" s="1533">
        <f t="shared" si="38"/>
        <v>2040</v>
      </c>
      <c r="I93" s="2095">
        <v>1</v>
      </c>
      <c r="J93" s="1585">
        <f>1*0.25</f>
        <v>0.25</v>
      </c>
      <c r="K93" s="1606">
        <v>680</v>
      </c>
      <c r="L93" s="1606">
        <v>12</v>
      </c>
      <c r="M93" s="1533">
        <f t="shared" si="33"/>
        <v>2040</v>
      </c>
      <c r="N93" s="2095">
        <v>1</v>
      </c>
      <c r="O93" s="2912">
        <f t="shared" si="35"/>
        <v>4080</v>
      </c>
      <c r="P93" s="2114">
        <v>1</v>
      </c>
      <c r="Q93" s="2115">
        <v>4080</v>
      </c>
      <c r="R93" s="2116" t="s">
        <v>875</v>
      </c>
      <c r="S93" s="2425">
        <f>'[4]RECAPITULATIF 2 ANS'!T104</f>
        <v>4080</v>
      </c>
      <c r="T93" s="1535">
        <f t="shared" si="34"/>
        <v>1</v>
      </c>
      <c r="U93" s="1538" t="s">
        <v>1612</v>
      </c>
      <c r="V93" s="1535">
        <v>1</v>
      </c>
      <c r="W93" s="2087">
        <f t="shared" si="37"/>
        <v>4080</v>
      </c>
      <c r="X93" s="2427" t="s">
        <v>875</v>
      </c>
    </row>
    <row r="94" spans="1:24" s="1552" customFormat="1" x14ac:dyDescent="0.45">
      <c r="A94" s="3306"/>
      <c r="B94" s="1532" t="s">
        <v>887</v>
      </c>
      <c r="C94" s="2113" t="s">
        <v>14</v>
      </c>
      <c r="D94" s="2083" t="s">
        <v>724</v>
      </c>
      <c r="E94" s="1596">
        <f>1*0.25</f>
        <v>0.25</v>
      </c>
      <c r="F94" s="1606">
        <v>680</v>
      </c>
      <c r="G94" s="1606">
        <v>4</v>
      </c>
      <c r="H94" s="1533">
        <f t="shared" si="38"/>
        <v>680</v>
      </c>
      <c r="I94" s="2118">
        <v>0</v>
      </c>
      <c r="J94" s="1585">
        <f>1*0.25</f>
        <v>0.25</v>
      </c>
      <c r="K94" s="1606">
        <v>680</v>
      </c>
      <c r="L94" s="1606">
        <v>2</v>
      </c>
      <c r="M94" s="1533">
        <f t="shared" si="33"/>
        <v>340</v>
      </c>
      <c r="N94" s="2118">
        <v>0</v>
      </c>
      <c r="O94" s="2912">
        <f t="shared" si="35"/>
        <v>1020</v>
      </c>
      <c r="P94" s="2114">
        <v>1</v>
      </c>
      <c r="Q94" s="2115">
        <v>1020</v>
      </c>
      <c r="R94" s="2116" t="s">
        <v>875</v>
      </c>
      <c r="S94" s="2425">
        <f>'[4]RECAPITULATIF 2 ANS'!T105</f>
        <v>1020</v>
      </c>
      <c r="T94" s="1535">
        <f t="shared" si="34"/>
        <v>1</v>
      </c>
      <c r="U94" s="1538" t="s">
        <v>1613</v>
      </c>
      <c r="V94" s="1535">
        <v>1</v>
      </c>
      <c r="W94" s="2087">
        <f t="shared" si="37"/>
        <v>1020</v>
      </c>
      <c r="X94" s="2427" t="s">
        <v>875</v>
      </c>
    </row>
    <row r="95" spans="1:24" s="1552" customFormat="1" x14ac:dyDescent="0.45">
      <c r="A95" s="3307"/>
      <c r="B95" s="2119"/>
      <c r="C95" s="2120"/>
      <c r="D95" s="1553" t="s">
        <v>0</v>
      </c>
      <c r="E95" s="1540"/>
      <c r="F95" s="1540"/>
      <c r="G95" s="1540"/>
      <c r="H95" s="1545">
        <f>SUM(H85:H94)</f>
        <v>60748.520000000004</v>
      </c>
      <c r="I95" s="1545">
        <f>J95/H95*100</f>
        <v>0</v>
      </c>
      <c r="J95" s="1545"/>
      <c r="K95" s="1545"/>
      <c r="L95" s="1545"/>
      <c r="M95" s="1545">
        <f>SUM(M85:M94)</f>
        <v>52312.520000000004</v>
      </c>
      <c r="N95" s="1545">
        <f>O95/M95*100</f>
        <v>216.1261587092344</v>
      </c>
      <c r="O95" s="1558">
        <f>SUM(O85:O94)</f>
        <v>113061.04000000001</v>
      </c>
      <c r="P95" s="1607"/>
      <c r="Q95" s="1547">
        <f>SUM(Q85:Q94)</f>
        <v>26084</v>
      </c>
      <c r="R95" s="1548"/>
      <c r="S95" s="1558">
        <f>SUM(S85:S94)</f>
        <v>113200.66</v>
      </c>
      <c r="T95" s="1546">
        <f>S95/O95</f>
        <v>1.0012349081522689</v>
      </c>
      <c r="U95" s="1559">
        <f>SUM(U85:U94)</f>
        <v>0</v>
      </c>
      <c r="V95" s="1554">
        <f>W95/S95</f>
        <v>0.22915820455463776</v>
      </c>
      <c r="W95" s="1558">
        <f>SUM(W85:W94)</f>
        <v>25940.86</v>
      </c>
      <c r="X95" s="1555"/>
    </row>
    <row r="96" spans="1:24" s="1552" customFormat="1" x14ac:dyDescent="0.45">
      <c r="A96" s="2121" t="s">
        <v>55</v>
      </c>
      <c r="B96" s="2122"/>
      <c r="C96" s="2122"/>
      <c r="D96" s="2122"/>
      <c r="E96" s="1602"/>
      <c r="F96" s="1602"/>
      <c r="G96" s="1602"/>
      <c r="H96" s="1603"/>
      <c r="I96" s="1603"/>
      <c r="J96" s="1603"/>
      <c r="K96" s="1603"/>
      <c r="L96" s="1603"/>
      <c r="M96" s="1603"/>
      <c r="N96" s="1603"/>
      <c r="O96" s="1608"/>
      <c r="P96" s="1609"/>
      <c r="Q96" s="1608"/>
      <c r="R96" s="1610"/>
      <c r="S96" s="1611"/>
      <c r="T96" s="1612"/>
      <c r="U96" s="1613"/>
      <c r="V96" s="1612"/>
      <c r="W96" s="1611"/>
      <c r="X96" s="2429"/>
    </row>
    <row r="97" spans="1:24" s="1552" customFormat="1" ht="51.75" customHeight="1" x14ac:dyDescent="0.45">
      <c r="A97" s="3305"/>
      <c r="B97" s="2101" t="s">
        <v>889</v>
      </c>
      <c r="C97" s="2113" t="s">
        <v>15</v>
      </c>
      <c r="D97" s="2083" t="s">
        <v>724</v>
      </c>
      <c r="E97" s="1560">
        <v>1</v>
      </c>
      <c r="F97" s="1560">
        <v>100</v>
      </c>
      <c r="G97" s="1560">
        <v>12</v>
      </c>
      <c r="H97" s="1533">
        <f>E97*F97*G97</f>
        <v>1200</v>
      </c>
      <c r="I97" s="2085"/>
      <c r="J97" s="2085">
        <v>1</v>
      </c>
      <c r="K97" s="2085">
        <v>100</v>
      </c>
      <c r="L97" s="2085">
        <v>12</v>
      </c>
      <c r="M97" s="1533">
        <f>J97*K97*L97</f>
        <v>1200</v>
      </c>
      <c r="N97" s="2123"/>
      <c r="O97" s="2912">
        <f>H97+M97</f>
        <v>2400</v>
      </c>
      <c r="P97" s="2114">
        <v>0.5</v>
      </c>
      <c r="Q97" s="2115">
        <f>O97/2</f>
        <v>1200</v>
      </c>
      <c r="R97" s="2124" t="s">
        <v>890</v>
      </c>
      <c r="S97" s="2432">
        <f>'[4]RECAPITULATIF 2 ANS'!T108</f>
        <v>2400</v>
      </c>
      <c r="T97" s="1535">
        <f t="shared" si="34"/>
        <v>1</v>
      </c>
      <c r="U97" s="1538" t="s">
        <v>1658</v>
      </c>
      <c r="V97" s="1535">
        <v>0.5</v>
      </c>
      <c r="W97" s="2087">
        <f>V97*S97</f>
        <v>1200</v>
      </c>
      <c r="X97" s="2117" t="s">
        <v>1659</v>
      </c>
    </row>
    <row r="98" spans="1:24" s="1552" customFormat="1" ht="43.5" customHeight="1" x14ac:dyDescent="0.45">
      <c r="A98" s="3306"/>
      <c r="B98" s="2101" t="s">
        <v>892</v>
      </c>
      <c r="C98" s="2113" t="s">
        <v>15</v>
      </c>
      <c r="D98" s="2083" t="s">
        <v>724</v>
      </c>
      <c r="E98" s="1560">
        <v>1</v>
      </c>
      <c r="F98" s="1560">
        <v>4900</v>
      </c>
      <c r="G98" s="1560">
        <v>1</v>
      </c>
      <c r="H98" s="1533">
        <f>E98*F98*G98</f>
        <v>4900</v>
      </c>
      <c r="I98" s="2125"/>
      <c r="J98" s="2085">
        <v>1</v>
      </c>
      <c r="K98" s="2085">
        <v>3700</v>
      </c>
      <c r="L98" s="2085">
        <v>1</v>
      </c>
      <c r="M98" s="1533">
        <f>J98*K98*L98</f>
        <v>3700</v>
      </c>
      <c r="N98" s="2126"/>
      <c r="O98" s="2912">
        <f>H98+M98</f>
        <v>8600</v>
      </c>
      <c r="P98" s="2114">
        <v>0.5</v>
      </c>
      <c r="Q98" s="2115">
        <f>O98/2</f>
        <v>4300</v>
      </c>
      <c r="R98" s="2124" t="s">
        <v>893</v>
      </c>
      <c r="S98" s="2432">
        <f>'[4]RECAPITULATIF 2 ANS'!T109</f>
        <v>8600</v>
      </c>
      <c r="T98" s="1535">
        <f t="shared" si="34"/>
        <v>1</v>
      </c>
      <c r="U98" s="1538" t="s">
        <v>1658</v>
      </c>
      <c r="V98" s="1535">
        <v>0.5</v>
      </c>
      <c r="W98" s="2087">
        <f>V98*S98</f>
        <v>4300</v>
      </c>
      <c r="X98" s="2117" t="s">
        <v>1660</v>
      </c>
    </row>
    <row r="99" spans="1:24" s="1552" customFormat="1" x14ac:dyDescent="0.45">
      <c r="A99" s="3307"/>
      <c r="B99" s="2119"/>
      <c r="C99" s="2127"/>
      <c r="D99" s="1553" t="s">
        <v>0</v>
      </c>
      <c r="E99" s="1540"/>
      <c r="F99" s="1540"/>
      <c r="G99" s="1540"/>
      <c r="H99" s="1545">
        <f>SUM(H97:H98)</f>
        <v>6100</v>
      </c>
      <c r="I99" s="1545"/>
      <c r="J99" s="1545"/>
      <c r="K99" s="1545"/>
      <c r="L99" s="1545"/>
      <c r="M99" s="1545">
        <f>SUM(M97:M98)</f>
        <v>4900</v>
      </c>
      <c r="N99" s="1557"/>
      <c r="O99" s="1558">
        <f>SUM(O97:O98)</f>
        <v>11000</v>
      </c>
      <c r="P99" s="1607"/>
      <c r="Q99" s="1547">
        <f>SUM(Q97:Q98)</f>
        <v>5500</v>
      </c>
      <c r="R99" s="1562"/>
      <c r="S99" s="2433">
        <f>SUM(S97:S98)</f>
        <v>11000</v>
      </c>
      <c r="T99" s="1546">
        <f>S99/O99</f>
        <v>1</v>
      </c>
      <c r="U99" s="1559">
        <f>SUM(U89:U98)</f>
        <v>0</v>
      </c>
      <c r="V99" s="1554">
        <f>W99/S99</f>
        <v>0.5</v>
      </c>
      <c r="W99" s="1558">
        <f>SUM(W97:W98)</f>
        <v>5500</v>
      </c>
      <c r="X99" s="1555"/>
    </row>
    <row r="100" spans="1:24" s="1552" customFormat="1" x14ac:dyDescent="0.45">
      <c r="A100" s="2121" t="s">
        <v>56</v>
      </c>
      <c r="B100" s="2122"/>
      <c r="C100" s="2122"/>
      <c r="D100" s="2122"/>
      <c r="E100" s="1602"/>
      <c r="F100" s="1602"/>
      <c r="G100" s="1602"/>
      <c r="H100" s="1603"/>
      <c r="I100" s="1603"/>
      <c r="J100" s="1603"/>
      <c r="K100" s="1603"/>
      <c r="L100" s="1603"/>
      <c r="M100" s="1603"/>
      <c r="N100" s="1603"/>
      <c r="O100" s="1608"/>
      <c r="P100" s="1609"/>
      <c r="Q100" s="1608"/>
      <c r="R100" s="1610"/>
      <c r="S100" s="1611"/>
      <c r="T100" s="1612"/>
      <c r="U100" s="1613"/>
      <c r="V100" s="1612"/>
      <c r="W100" s="1611"/>
      <c r="X100" s="2429"/>
    </row>
    <row r="101" spans="1:24" s="1552" customFormat="1" ht="55.5" x14ac:dyDescent="0.45">
      <c r="A101" s="3305"/>
      <c r="B101" s="2101" t="s">
        <v>895</v>
      </c>
      <c r="C101" s="2113" t="s">
        <v>36</v>
      </c>
      <c r="D101" s="2083" t="s">
        <v>724</v>
      </c>
      <c r="E101" s="1560">
        <v>800</v>
      </c>
      <c r="F101" s="1560">
        <v>1</v>
      </c>
      <c r="G101" s="1560">
        <v>1</v>
      </c>
      <c r="H101" s="1533">
        <f>E101*F101*G101</f>
        <v>800</v>
      </c>
      <c r="I101" s="2128"/>
      <c r="J101" s="2128"/>
      <c r="K101" s="2128"/>
      <c r="L101" s="2128"/>
      <c r="M101" s="1614">
        <v>0</v>
      </c>
      <c r="N101" s="2123"/>
      <c r="O101" s="2912">
        <f>H101+M101</f>
        <v>800</v>
      </c>
      <c r="P101" s="2114">
        <v>0.5</v>
      </c>
      <c r="Q101" s="2115">
        <f>O101/2</f>
        <v>400</v>
      </c>
      <c r="R101" s="2124" t="s">
        <v>896</v>
      </c>
      <c r="S101" s="2432">
        <f>'[4]RECAPITULATIF 2 ANS'!T112</f>
        <v>800</v>
      </c>
      <c r="T101" s="1535">
        <f t="shared" si="34"/>
        <v>1</v>
      </c>
      <c r="U101" s="1538" t="s">
        <v>897</v>
      </c>
      <c r="V101" s="1535">
        <v>0.5</v>
      </c>
      <c r="W101" s="2087">
        <f>V101*S101</f>
        <v>400</v>
      </c>
      <c r="X101" s="2434" t="s">
        <v>1661</v>
      </c>
    </row>
    <row r="102" spans="1:24" s="1552" customFormat="1" ht="30.75" customHeight="1" x14ac:dyDescent="0.45">
      <c r="A102" s="3306"/>
      <c r="B102" s="2101" t="s">
        <v>898</v>
      </c>
      <c r="C102" s="2113" t="s">
        <v>36</v>
      </c>
      <c r="D102" s="2083" t="s">
        <v>724</v>
      </c>
      <c r="E102" s="1560">
        <v>5000</v>
      </c>
      <c r="F102" s="1560">
        <v>1</v>
      </c>
      <c r="G102" s="1560">
        <v>1</v>
      </c>
      <c r="H102" s="1533">
        <f>E102*F102*G102</f>
        <v>5000</v>
      </c>
      <c r="I102" s="2128"/>
      <c r="J102" s="2128"/>
      <c r="K102" s="2128"/>
      <c r="L102" s="2128"/>
      <c r="M102" s="1614">
        <v>0</v>
      </c>
      <c r="N102" s="2123"/>
      <c r="O102" s="2912">
        <f t="shared" ref="O102:O104" si="39">H102+M102</f>
        <v>5000</v>
      </c>
      <c r="P102" s="2114">
        <v>0.5</v>
      </c>
      <c r="Q102" s="2115">
        <f t="shared" ref="Q102:Q104" si="40">O102/2</f>
        <v>2500</v>
      </c>
      <c r="R102" s="2124" t="s">
        <v>899</v>
      </c>
      <c r="S102" s="2432">
        <f>'[4]RECAPITULATIF 2 ANS'!T113</f>
        <v>5000</v>
      </c>
      <c r="T102" s="1535">
        <f t="shared" si="34"/>
        <v>1</v>
      </c>
      <c r="U102" s="1538" t="s">
        <v>900</v>
      </c>
      <c r="V102" s="1535">
        <v>0.5</v>
      </c>
      <c r="W102" s="2087">
        <f t="shared" ref="W102:W104" si="41">V102*S102</f>
        <v>2500</v>
      </c>
      <c r="X102" s="2434" t="s">
        <v>1662</v>
      </c>
    </row>
    <row r="103" spans="1:24" s="1552" customFormat="1" ht="74" x14ac:dyDescent="0.45">
      <c r="A103" s="3306"/>
      <c r="B103" s="2101" t="s">
        <v>901</v>
      </c>
      <c r="C103" s="2113" t="s">
        <v>36</v>
      </c>
      <c r="D103" s="2083" t="s">
        <v>724</v>
      </c>
      <c r="E103" s="1560">
        <v>1</v>
      </c>
      <c r="F103" s="1560">
        <v>3000</v>
      </c>
      <c r="G103" s="1560">
        <v>1</v>
      </c>
      <c r="H103" s="1533">
        <f>+E103*F103*G103</f>
        <v>3000</v>
      </c>
      <c r="I103" s="2095"/>
      <c r="J103" s="2103">
        <v>0</v>
      </c>
      <c r="K103" s="2103">
        <v>0</v>
      </c>
      <c r="L103" s="2103">
        <v>0</v>
      </c>
      <c r="M103" s="1615">
        <f>J103*K103*L103</f>
        <v>0</v>
      </c>
      <c r="N103" s="2126"/>
      <c r="O103" s="2912">
        <f t="shared" si="39"/>
        <v>3000</v>
      </c>
      <c r="P103" s="2114">
        <v>0.5</v>
      </c>
      <c r="Q103" s="2115">
        <f t="shared" si="40"/>
        <v>1500</v>
      </c>
      <c r="R103" s="2124" t="s">
        <v>902</v>
      </c>
      <c r="S103" s="2432">
        <f>'[4]RECAPITULATIF 2 ANS'!T114</f>
        <v>3000</v>
      </c>
      <c r="T103" s="1535">
        <f t="shared" si="34"/>
        <v>1</v>
      </c>
      <c r="U103" s="1538" t="s">
        <v>903</v>
      </c>
      <c r="V103" s="1535">
        <v>0.5</v>
      </c>
      <c r="W103" s="2087">
        <f t="shared" si="41"/>
        <v>1500</v>
      </c>
      <c r="X103" s="2434" t="s">
        <v>902</v>
      </c>
    </row>
    <row r="104" spans="1:24" s="1552" customFormat="1" ht="74" x14ac:dyDescent="0.45">
      <c r="A104" s="3306"/>
      <c r="B104" s="2101" t="s">
        <v>904</v>
      </c>
      <c r="C104" s="2113" t="s">
        <v>36</v>
      </c>
      <c r="D104" s="2083" t="s">
        <v>724</v>
      </c>
      <c r="E104" s="1560">
        <v>3</v>
      </c>
      <c r="F104" s="1560">
        <v>5000</v>
      </c>
      <c r="G104" s="1560">
        <v>1</v>
      </c>
      <c r="H104" s="1533">
        <f>+E104*F104*G104</f>
        <v>15000</v>
      </c>
      <c r="I104" s="2095"/>
      <c r="J104" s="2103">
        <v>0</v>
      </c>
      <c r="K104" s="2103">
        <v>0</v>
      </c>
      <c r="L104" s="2103">
        <v>0</v>
      </c>
      <c r="M104" s="1615">
        <f>J104*K104*L104</f>
        <v>0</v>
      </c>
      <c r="N104" s="2126"/>
      <c r="O104" s="2912">
        <f t="shared" si="39"/>
        <v>15000</v>
      </c>
      <c r="P104" s="2114">
        <v>0.5</v>
      </c>
      <c r="Q104" s="2115">
        <f t="shared" si="40"/>
        <v>7500</v>
      </c>
      <c r="R104" s="2124" t="s">
        <v>905</v>
      </c>
      <c r="S104" s="2432">
        <f>'[4]RECAPITULATIF 2 ANS'!T115</f>
        <v>15000</v>
      </c>
      <c r="T104" s="1535">
        <f t="shared" si="34"/>
        <v>1</v>
      </c>
      <c r="U104" s="1538" t="s">
        <v>906</v>
      </c>
      <c r="V104" s="1535">
        <v>0.5</v>
      </c>
      <c r="W104" s="2087">
        <f t="shared" si="41"/>
        <v>7500</v>
      </c>
      <c r="X104" s="2434" t="s">
        <v>1663</v>
      </c>
    </row>
    <row r="105" spans="1:24" s="1552" customFormat="1" x14ac:dyDescent="0.45">
      <c r="A105" s="3307"/>
      <c r="B105" s="2129"/>
      <c r="C105" s="2130"/>
      <c r="D105" s="1553" t="s">
        <v>0</v>
      </c>
      <c r="E105" s="1540"/>
      <c r="F105" s="1540"/>
      <c r="G105" s="1540"/>
      <c r="H105" s="1545">
        <f>SUM(H101:H104)</f>
        <v>23800</v>
      </c>
      <c r="I105" s="1545"/>
      <c r="J105" s="1545"/>
      <c r="K105" s="1545"/>
      <c r="L105" s="1545"/>
      <c r="M105" s="1556">
        <f>SUM(M101:M104)</f>
        <v>0</v>
      </c>
      <c r="N105" s="1557"/>
      <c r="O105" s="1558">
        <f>SUM(O101:O104)</f>
        <v>23800</v>
      </c>
      <c r="P105" s="1607"/>
      <c r="Q105" s="1547">
        <f>SUM(Q101:Q104)</f>
        <v>11900</v>
      </c>
      <c r="R105" s="1562"/>
      <c r="S105" s="2433">
        <f>SUM(S101:S104)</f>
        <v>23800</v>
      </c>
      <c r="T105" s="1546">
        <f>S105/O105</f>
        <v>1</v>
      </c>
      <c r="U105" s="1559">
        <f>SUM(U95:U104)</f>
        <v>0</v>
      </c>
      <c r="V105" s="1554">
        <f>W105/S105</f>
        <v>0.5</v>
      </c>
      <c r="W105" s="1558">
        <f>SUM(W101:W104)</f>
        <v>11900</v>
      </c>
      <c r="X105" s="1555"/>
    </row>
    <row r="106" spans="1:24" s="1552" customFormat="1" ht="14.25" customHeight="1" x14ac:dyDescent="0.45">
      <c r="A106" s="2121" t="s">
        <v>57</v>
      </c>
      <c r="B106" s="2122"/>
      <c r="C106" s="2122"/>
      <c r="D106" s="2122"/>
      <c r="E106" s="1602"/>
      <c r="F106" s="1602"/>
      <c r="G106" s="1602"/>
      <c r="H106" s="1603"/>
      <c r="I106" s="1603"/>
      <c r="J106" s="1603"/>
      <c r="K106" s="1603"/>
      <c r="L106" s="1603"/>
      <c r="M106" s="1603"/>
      <c r="N106" s="1603"/>
      <c r="O106" s="1608"/>
      <c r="P106" s="1609"/>
      <c r="Q106" s="1608"/>
      <c r="R106" s="1610"/>
      <c r="S106" s="1611"/>
      <c r="T106" s="1612"/>
      <c r="U106" s="1613"/>
      <c r="V106" s="1612"/>
      <c r="W106" s="1611"/>
      <c r="X106" s="2429"/>
    </row>
    <row r="107" spans="1:24" s="1552" customFormat="1" ht="48.75" customHeight="1" x14ac:dyDescent="0.45">
      <c r="A107" s="3305"/>
      <c r="B107" s="2101" t="s">
        <v>907</v>
      </c>
      <c r="C107" s="2113" t="s">
        <v>47</v>
      </c>
      <c r="D107" s="2083" t="s">
        <v>724</v>
      </c>
      <c r="E107" s="1560">
        <v>3</v>
      </c>
      <c r="F107" s="1560">
        <v>3000</v>
      </c>
      <c r="G107" s="1560">
        <v>1</v>
      </c>
      <c r="H107" s="1533">
        <f>E107*F107*G107</f>
        <v>9000</v>
      </c>
      <c r="I107" s="2128"/>
      <c r="J107" s="2128"/>
      <c r="K107" s="2128"/>
      <c r="L107" s="2128"/>
      <c r="M107" s="1614">
        <v>0</v>
      </c>
      <c r="N107" s="2123"/>
      <c r="O107" s="2912">
        <f>H107+M107</f>
        <v>9000</v>
      </c>
      <c r="P107" s="2114">
        <v>0.5</v>
      </c>
      <c r="Q107" s="2115">
        <v>4500</v>
      </c>
      <c r="R107" s="2124" t="s">
        <v>908</v>
      </c>
      <c r="S107" s="2432">
        <f>'[4]RECAPITULATIF 2 ANS'!T118</f>
        <v>9000</v>
      </c>
      <c r="T107" s="1535">
        <f t="shared" si="34"/>
        <v>1</v>
      </c>
      <c r="U107" s="1538" t="s">
        <v>909</v>
      </c>
      <c r="V107" s="1535">
        <v>0.5</v>
      </c>
      <c r="W107" s="2087">
        <f>V107*S107</f>
        <v>4500</v>
      </c>
      <c r="X107" s="2117" t="s">
        <v>909</v>
      </c>
    </row>
    <row r="108" spans="1:24" s="1552" customFormat="1" ht="39.75" customHeight="1" x14ac:dyDescent="0.45">
      <c r="A108" s="3306"/>
      <c r="B108" s="2101" t="s">
        <v>910</v>
      </c>
      <c r="C108" s="2113" t="s">
        <v>47</v>
      </c>
      <c r="D108" s="2083" t="s">
        <v>724</v>
      </c>
      <c r="E108" s="1560">
        <v>3</v>
      </c>
      <c r="F108" s="1560">
        <v>3000</v>
      </c>
      <c r="G108" s="1560">
        <v>1</v>
      </c>
      <c r="H108" s="1533">
        <f>E108*F108*G108</f>
        <v>9000</v>
      </c>
      <c r="I108" s="2128"/>
      <c r="J108" s="2128"/>
      <c r="K108" s="2128"/>
      <c r="L108" s="2128"/>
      <c r="M108" s="1614">
        <v>0</v>
      </c>
      <c r="N108" s="2123"/>
      <c r="O108" s="2912">
        <f>H108+M108</f>
        <v>9000</v>
      </c>
      <c r="P108" s="2114">
        <v>0.5</v>
      </c>
      <c r="Q108" s="2115">
        <v>4500</v>
      </c>
      <c r="R108" s="2124" t="s">
        <v>908</v>
      </c>
      <c r="S108" s="2432">
        <f>'[4]RECAPITULATIF 2 ANS'!T119</f>
        <v>9000</v>
      </c>
      <c r="T108" s="1535">
        <f t="shared" si="34"/>
        <v>1</v>
      </c>
      <c r="U108" s="1538" t="s">
        <v>911</v>
      </c>
      <c r="V108" s="1535">
        <v>0.5</v>
      </c>
      <c r="W108" s="2087">
        <f>V108*S108</f>
        <v>4500</v>
      </c>
      <c r="X108" s="2117" t="s">
        <v>911</v>
      </c>
    </row>
    <row r="109" spans="1:24" s="1552" customFormat="1" ht="14.25" customHeight="1" x14ac:dyDescent="0.45">
      <c r="A109" s="3307"/>
      <c r="B109" s="2129"/>
      <c r="C109" s="2131"/>
      <c r="D109" s="1553" t="s">
        <v>0</v>
      </c>
      <c r="E109" s="1540"/>
      <c r="F109" s="1540"/>
      <c r="G109" s="1540"/>
      <c r="H109" s="1545">
        <f>SUM(H107:H108)</f>
        <v>18000</v>
      </c>
      <c r="I109" s="1545"/>
      <c r="J109" s="1545"/>
      <c r="K109" s="1545"/>
      <c r="L109" s="1545"/>
      <c r="M109" s="1556">
        <v>0</v>
      </c>
      <c r="N109" s="1557"/>
      <c r="O109" s="1558">
        <f>SUM(O107:O108)</f>
        <v>18000</v>
      </c>
      <c r="P109" s="1607"/>
      <c r="Q109" s="1547">
        <f>SUM(Q107:Q108)</f>
        <v>9000</v>
      </c>
      <c r="R109" s="1562"/>
      <c r="S109" s="2433">
        <f>SUM(S107:S108)</f>
        <v>18000</v>
      </c>
      <c r="T109" s="1546">
        <f>S109/O109</f>
        <v>1</v>
      </c>
      <c r="U109" s="1559">
        <f>SUM(U99:U108)</f>
        <v>0</v>
      </c>
      <c r="V109" s="1554">
        <f>W109/S109</f>
        <v>0.5</v>
      </c>
      <c r="W109" s="1558">
        <f>SUM(W107:W108)</f>
        <v>9000</v>
      </c>
      <c r="X109" s="1555"/>
    </row>
    <row r="110" spans="1:24" s="1552" customFormat="1" ht="14.25" customHeight="1" x14ac:dyDescent="0.45">
      <c r="A110" s="2121" t="s">
        <v>59</v>
      </c>
      <c r="B110" s="2122"/>
      <c r="C110" s="2122"/>
      <c r="D110" s="2122"/>
      <c r="E110" s="1602"/>
      <c r="F110" s="1602"/>
      <c r="G110" s="1602"/>
      <c r="H110" s="1603"/>
      <c r="I110" s="1603"/>
      <c r="J110" s="1603"/>
      <c r="K110" s="1603"/>
      <c r="L110" s="1603"/>
      <c r="M110" s="1603"/>
      <c r="N110" s="1603"/>
      <c r="O110" s="1608"/>
      <c r="P110" s="1609"/>
      <c r="Q110" s="1608"/>
      <c r="R110" s="1610"/>
      <c r="S110" s="1611"/>
      <c r="T110" s="1612"/>
      <c r="U110" s="1613"/>
      <c r="V110" s="1612"/>
      <c r="W110" s="1611"/>
      <c r="X110" s="2429"/>
    </row>
    <row r="111" spans="1:24" s="1552" customFormat="1" ht="54.75" customHeight="1" x14ac:dyDescent="0.45">
      <c r="A111" s="3305"/>
      <c r="B111" s="2101" t="s">
        <v>912</v>
      </c>
      <c r="C111" s="2113" t="s">
        <v>17</v>
      </c>
      <c r="D111" s="2083" t="s">
        <v>724</v>
      </c>
      <c r="E111" s="1560">
        <v>1</v>
      </c>
      <c r="F111" s="1560">
        <v>6569</v>
      </c>
      <c r="G111" s="1560">
        <v>1</v>
      </c>
      <c r="H111" s="1533">
        <f>E111*F111*G111</f>
        <v>6569</v>
      </c>
      <c r="I111" s="2128"/>
      <c r="J111" s="2085">
        <v>1</v>
      </c>
      <c r="K111" s="2085">
        <v>600</v>
      </c>
      <c r="L111" s="2132">
        <v>1</v>
      </c>
      <c r="M111" s="1533">
        <f>J111*K111*L111</f>
        <v>600</v>
      </c>
      <c r="N111" s="2123"/>
      <c r="O111" s="2912">
        <f>H111+M111</f>
        <v>7169</v>
      </c>
      <c r="P111" s="2114">
        <v>0.5</v>
      </c>
      <c r="Q111" s="2115">
        <f>O111/2</f>
        <v>3584.5</v>
      </c>
      <c r="R111" s="2124" t="s">
        <v>913</v>
      </c>
      <c r="S111" s="2432">
        <f>'[4]RECAPITULATIF 2 ANS'!T122</f>
        <v>7620</v>
      </c>
      <c r="T111" s="1535">
        <f t="shared" si="34"/>
        <v>1.0629097503138514</v>
      </c>
      <c r="U111" s="1538" t="s">
        <v>914</v>
      </c>
      <c r="V111" s="1535">
        <v>0.5</v>
      </c>
      <c r="W111" s="2087">
        <f>V111*S111</f>
        <v>3810</v>
      </c>
      <c r="X111" s="2434" t="s">
        <v>913</v>
      </c>
    </row>
    <row r="112" spans="1:24" s="1552" customFormat="1" ht="36.75" customHeight="1" x14ac:dyDescent="0.45">
      <c r="A112" s="3306"/>
      <c r="B112" s="2101" t="s">
        <v>915</v>
      </c>
      <c r="C112" s="2113" t="s">
        <v>17</v>
      </c>
      <c r="D112" s="2083" t="s">
        <v>724</v>
      </c>
      <c r="E112" s="1560">
        <v>1</v>
      </c>
      <c r="F112" s="1560">
        <v>2717.5</v>
      </c>
      <c r="G112" s="1560">
        <v>2</v>
      </c>
      <c r="H112" s="1533">
        <f>E112*F112*G112</f>
        <v>5435</v>
      </c>
      <c r="I112" s="2095">
        <v>0.3</v>
      </c>
      <c r="J112" s="1585">
        <v>1</v>
      </c>
      <c r="K112" s="1585">
        <v>2717.5</v>
      </c>
      <c r="L112" s="1585">
        <v>2</v>
      </c>
      <c r="M112" s="1533">
        <f>J112*K112*L112</f>
        <v>5435</v>
      </c>
      <c r="N112" s="2095"/>
      <c r="O112" s="2912">
        <f>H112+M112</f>
        <v>10870</v>
      </c>
      <c r="P112" s="2114">
        <v>0.5</v>
      </c>
      <c r="Q112" s="2115">
        <f>O112/2</f>
        <v>5435</v>
      </c>
      <c r="R112" s="2124" t="s">
        <v>913</v>
      </c>
      <c r="S112" s="2432">
        <f>'[4]RECAPITULATIF 2 ANS'!T123</f>
        <v>10418.5</v>
      </c>
      <c r="T112" s="1535">
        <f t="shared" si="34"/>
        <v>0.95846366145354189</v>
      </c>
      <c r="U112" s="1538" t="s">
        <v>1664</v>
      </c>
      <c r="V112" s="1535">
        <v>0.5</v>
      </c>
      <c r="W112" s="2087">
        <f>V112*S112</f>
        <v>5209.25</v>
      </c>
      <c r="X112" s="2434" t="s">
        <v>913</v>
      </c>
    </row>
    <row r="113" spans="1:24" s="1552" customFormat="1" ht="14.25" customHeight="1" x14ac:dyDescent="0.45">
      <c r="A113" s="3307"/>
      <c r="B113" s="2129"/>
      <c r="C113" s="2131"/>
      <c r="D113" s="1553" t="s">
        <v>0</v>
      </c>
      <c r="E113" s="1540"/>
      <c r="F113" s="1540"/>
      <c r="G113" s="1540"/>
      <c r="H113" s="1545">
        <f>SUM(H111:H112)</f>
        <v>12004</v>
      </c>
      <c r="I113" s="1545"/>
      <c r="J113" s="1545"/>
      <c r="K113" s="1545"/>
      <c r="L113" s="1545"/>
      <c r="M113" s="1545">
        <f>SUM(M111:M112)</f>
        <v>6035</v>
      </c>
      <c r="N113" s="1557"/>
      <c r="O113" s="1558">
        <f>SUM(O111:O112)</f>
        <v>18039</v>
      </c>
      <c r="P113" s="1607"/>
      <c r="Q113" s="1547">
        <f>SUM(Q111:Q112)</f>
        <v>9019.5</v>
      </c>
      <c r="R113" s="1562"/>
      <c r="S113" s="2433">
        <f>SUM(S111:S112)</f>
        <v>18038.5</v>
      </c>
      <c r="T113" s="1546">
        <f>S113/O113</f>
        <v>0.99997228227728807</v>
      </c>
      <c r="U113" s="1559">
        <f>SUM(U103:U112)</f>
        <v>0</v>
      </c>
      <c r="V113" s="1554">
        <f>W113/S113</f>
        <v>0.5</v>
      </c>
      <c r="W113" s="1558">
        <f>SUM(W111:W112)</f>
        <v>9019.25</v>
      </c>
      <c r="X113" s="1555"/>
    </row>
    <row r="114" spans="1:24" s="1552" customFormat="1" ht="14.25" customHeight="1" x14ac:dyDescent="0.45">
      <c r="A114" s="2121" t="s">
        <v>60</v>
      </c>
      <c r="B114" s="2122"/>
      <c r="C114" s="2122"/>
      <c r="D114" s="2122"/>
      <c r="E114" s="1602"/>
      <c r="F114" s="1602"/>
      <c r="G114" s="1602"/>
      <c r="H114" s="1603"/>
      <c r="I114" s="1603"/>
      <c r="J114" s="1603"/>
      <c r="K114" s="1603"/>
      <c r="L114" s="1603"/>
      <c r="M114" s="1603"/>
      <c r="N114" s="1603"/>
      <c r="O114" s="1608"/>
      <c r="P114" s="1609"/>
      <c r="Q114" s="1608"/>
      <c r="R114" s="1610"/>
      <c r="S114" s="1611"/>
      <c r="T114" s="1612"/>
      <c r="U114" s="1613"/>
      <c r="V114" s="1612"/>
      <c r="W114" s="1611"/>
      <c r="X114" s="2429"/>
    </row>
    <row r="115" spans="1:24" s="1552" customFormat="1" ht="14.25" customHeight="1" x14ac:dyDescent="0.45">
      <c r="A115" s="3305"/>
      <c r="B115" s="2119"/>
      <c r="C115" s="2120"/>
      <c r="D115" s="2083"/>
      <c r="E115" s="2089"/>
      <c r="F115" s="2089"/>
      <c r="G115" s="2089"/>
      <c r="H115" s="1614"/>
      <c r="I115" s="2128"/>
      <c r="J115" s="2128"/>
      <c r="K115" s="2128"/>
      <c r="L115" s="2128"/>
      <c r="M115" s="1614"/>
      <c r="N115" s="2123"/>
      <c r="O115" s="2912"/>
      <c r="P115" s="2133"/>
      <c r="Q115" s="2115"/>
      <c r="R115" s="2134"/>
      <c r="S115" s="2129"/>
      <c r="T115" s="1535"/>
      <c r="U115" s="2135"/>
      <c r="V115" s="1535"/>
      <c r="W115" s="2130"/>
      <c r="X115" s="1555"/>
    </row>
    <row r="116" spans="1:24" s="1552" customFormat="1" ht="14.25" customHeight="1" x14ac:dyDescent="0.45">
      <c r="A116" s="3306"/>
      <c r="B116" s="2119"/>
      <c r="C116" s="2120"/>
      <c r="D116" s="2083"/>
      <c r="E116" s="2089"/>
      <c r="F116" s="2089"/>
      <c r="G116" s="2089"/>
      <c r="H116" s="1614"/>
      <c r="I116" s="2128"/>
      <c r="J116" s="2128"/>
      <c r="K116" s="2128"/>
      <c r="L116" s="2128"/>
      <c r="M116" s="1614"/>
      <c r="N116" s="2123"/>
      <c r="O116" s="2912"/>
      <c r="P116" s="2114"/>
      <c r="Q116" s="2115"/>
      <c r="R116" s="2134"/>
      <c r="S116" s="2129"/>
      <c r="T116" s="1535"/>
      <c r="U116" s="2135"/>
      <c r="V116" s="1535"/>
      <c r="W116" s="2130"/>
      <c r="X116" s="1555"/>
    </row>
    <row r="117" spans="1:24" s="1552" customFormat="1" ht="14.25" customHeight="1" x14ac:dyDescent="0.45">
      <c r="A117" s="3307"/>
      <c r="B117" s="2129"/>
      <c r="C117" s="2130"/>
      <c r="D117" s="1553" t="s">
        <v>0</v>
      </c>
      <c r="E117" s="1540"/>
      <c r="F117" s="1540"/>
      <c r="G117" s="1540"/>
      <c r="H117" s="1556">
        <f>SUM(H115:H116)</f>
        <v>0</v>
      </c>
      <c r="I117" s="1545"/>
      <c r="J117" s="1545"/>
      <c r="K117" s="1545"/>
      <c r="L117" s="1545"/>
      <c r="M117" s="1556">
        <f>SUM(M115:M116)</f>
        <v>0</v>
      </c>
      <c r="N117" s="1557"/>
      <c r="O117" s="1558">
        <f>SUM(O115:O116)</f>
        <v>0</v>
      </c>
      <c r="P117" s="1607"/>
      <c r="Q117" s="1547">
        <f>SUM(Q115:Q116)</f>
        <v>0</v>
      </c>
      <c r="R117" s="1562"/>
      <c r="S117" s="2435"/>
      <c r="T117" s="1546">
        <v>0</v>
      </c>
      <c r="U117" s="1559">
        <f>SUM(U107:U116)</f>
        <v>0</v>
      </c>
      <c r="V117" s="1554">
        <v>0</v>
      </c>
      <c r="W117" s="1616">
        <f>SUM(W115:W116)</f>
        <v>0</v>
      </c>
      <c r="X117" s="1555"/>
    </row>
    <row r="118" spans="1:24" s="1552" customFormat="1" ht="14.25" customHeight="1" x14ac:dyDescent="0.45">
      <c r="A118" s="2121" t="s">
        <v>58</v>
      </c>
      <c r="B118" s="2122"/>
      <c r="C118" s="2122"/>
      <c r="D118" s="2122"/>
      <c r="E118" s="1602"/>
      <c r="F118" s="1602"/>
      <c r="G118" s="1602"/>
      <c r="H118" s="1603"/>
      <c r="I118" s="1603"/>
      <c r="J118" s="1603"/>
      <c r="K118" s="1603"/>
      <c r="L118" s="1603"/>
      <c r="M118" s="1603"/>
      <c r="N118" s="1603"/>
      <c r="O118" s="1608"/>
      <c r="P118" s="1617"/>
      <c r="Q118" s="1608"/>
      <c r="R118" s="1610"/>
      <c r="S118" s="1611"/>
      <c r="T118" s="1612"/>
      <c r="U118" s="1613"/>
      <c r="V118" s="1612"/>
      <c r="W118" s="1611"/>
      <c r="X118" s="2429"/>
    </row>
    <row r="119" spans="1:24" s="1552" customFormat="1" ht="76.5" customHeight="1" x14ac:dyDescent="0.45">
      <c r="A119" s="3305"/>
      <c r="B119" s="2101" t="s">
        <v>917</v>
      </c>
      <c r="C119" s="2113" t="s">
        <v>19</v>
      </c>
      <c r="D119" s="2083" t="s">
        <v>724</v>
      </c>
      <c r="E119" s="1560">
        <v>1</v>
      </c>
      <c r="F119" s="1560">
        <v>90</v>
      </c>
      <c r="G119" s="1560">
        <v>12</v>
      </c>
      <c r="H119" s="1533">
        <f>E119*F119*G119</f>
        <v>1080</v>
      </c>
      <c r="I119" s="2128"/>
      <c r="J119" s="2137"/>
      <c r="K119" s="2137"/>
      <c r="L119" s="2137"/>
      <c r="M119" s="1533">
        <v>0</v>
      </c>
      <c r="N119" s="2123"/>
      <c r="O119" s="2912">
        <f>H119+M119</f>
        <v>1080</v>
      </c>
      <c r="P119" s="2114">
        <v>0.5</v>
      </c>
      <c r="Q119" s="2115">
        <f>O119/2</f>
        <v>540</v>
      </c>
      <c r="R119" s="2124" t="s">
        <v>913</v>
      </c>
      <c r="S119" s="2432">
        <f>'[4]RECAPITULATIF 2 ANS'!T128</f>
        <v>5420.369999999999</v>
      </c>
      <c r="T119" s="1535">
        <f t="shared" si="34"/>
        <v>5.0188611111111099</v>
      </c>
      <c r="U119" s="1538" t="s">
        <v>918</v>
      </c>
      <c r="V119" s="1535">
        <v>0.5</v>
      </c>
      <c r="W119" s="2087">
        <f>V119*S119</f>
        <v>2710.1849999999995</v>
      </c>
      <c r="X119" s="2434" t="s">
        <v>913</v>
      </c>
    </row>
    <row r="120" spans="1:24" s="1552" customFormat="1" ht="80.25" customHeight="1" x14ac:dyDescent="0.45">
      <c r="A120" s="3306"/>
      <c r="B120" s="2101" t="s">
        <v>919</v>
      </c>
      <c r="C120" s="2113" t="s">
        <v>19</v>
      </c>
      <c r="D120" s="2083" t="s">
        <v>724</v>
      </c>
      <c r="E120" s="1560">
        <v>1</v>
      </c>
      <c r="F120" s="1560">
        <v>875</v>
      </c>
      <c r="G120" s="1560">
        <v>4</v>
      </c>
      <c r="H120" s="1533">
        <f>E120*F120*G120</f>
        <v>3500</v>
      </c>
      <c r="I120" s="2095"/>
      <c r="J120" s="2137">
        <v>1</v>
      </c>
      <c r="K120" s="2137">
        <v>875</v>
      </c>
      <c r="L120" s="2137">
        <v>4</v>
      </c>
      <c r="M120" s="1533">
        <f>J120*K120*L120</f>
        <v>3500</v>
      </c>
      <c r="N120" s="2095"/>
      <c r="O120" s="2912">
        <f t="shared" ref="O120:O123" si="42">H120+M120</f>
        <v>7000</v>
      </c>
      <c r="P120" s="2114">
        <v>0.5</v>
      </c>
      <c r="Q120" s="2115">
        <f t="shared" ref="Q120:Q123" si="43">O120/2</f>
        <v>3500</v>
      </c>
      <c r="R120" s="2124" t="s">
        <v>913</v>
      </c>
      <c r="S120" s="2432">
        <f>'[4]RECAPITULATIF 2 ANS'!T129</f>
        <v>7000</v>
      </c>
      <c r="T120" s="1535">
        <f t="shared" si="34"/>
        <v>1</v>
      </c>
      <c r="U120" s="1538" t="s">
        <v>1665</v>
      </c>
      <c r="V120" s="1535">
        <v>0.5</v>
      </c>
      <c r="W120" s="2087">
        <f t="shared" ref="W120:W122" si="44">V120*S120</f>
        <v>3500</v>
      </c>
      <c r="X120" s="2434" t="s">
        <v>913</v>
      </c>
    </row>
    <row r="121" spans="1:24" s="1552" customFormat="1" ht="60" customHeight="1" x14ac:dyDescent="0.45">
      <c r="A121" s="3306"/>
      <c r="B121" s="2101" t="s">
        <v>921</v>
      </c>
      <c r="C121" s="2113" t="s">
        <v>19</v>
      </c>
      <c r="D121" s="2083" t="s">
        <v>724</v>
      </c>
      <c r="E121" s="1560">
        <v>1</v>
      </c>
      <c r="F121" s="1560">
        <v>1600</v>
      </c>
      <c r="G121" s="1560">
        <v>4</v>
      </c>
      <c r="H121" s="1533">
        <f>E121*F121*G121</f>
        <v>6400</v>
      </c>
      <c r="I121" s="2095"/>
      <c r="J121" s="2137">
        <v>1</v>
      </c>
      <c r="K121" s="2137">
        <v>1600</v>
      </c>
      <c r="L121" s="2137">
        <v>4</v>
      </c>
      <c r="M121" s="1533">
        <f>J121*K121*L121</f>
        <v>6400</v>
      </c>
      <c r="N121" s="2095"/>
      <c r="O121" s="2912">
        <f t="shared" si="42"/>
        <v>12800</v>
      </c>
      <c r="P121" s="2114">
        <v>0.5</v>
      </c>
      <c r="Q121" s="2115">
        <f t="shared" si="43"/>
        <v>6400</v>
      </c>
      <c r="R121" s="2124" t="s">
        <v>913</v>
      </c>
      <c r="S121" s="2432">
        <f>'[4]RECAPITULATIF 2 ANS'!T130</f>
        <v>7470</v>
      </c>
      <c r="T121" s="1535">
        <f t="shared" si="34"/>
        <v>0.58359375000000002</v>
      </c>
      <c r="U121" s="1538" t="s">
        <v>1666</v>
      </c>
      <c r="V121" s="1535">
        <v>0.5</v>
      </c>
      <c r="W121" s="2087">
        <f t="shared" si="44"/>
        <v>3735</v>
      </c>
      <c r="X121" s="2434" t="s">
        <v>1667</v>
      </c>
    </row>
    <row r="122" spans="1:24" s="1552" customFormat="1" ht="111" customHeight="1" x14ac:dyDescent="0.45">
      <c r="A122" s="3306"/>
      <c r="B122" s="2101" t="s">
        <v>923</v>
      </c>
      <c r="C122" s="2113" t="s">
        <v>19</v>
      </c>
      <c r="D122" s="2083" t="s">
        <v>724</v>
      </c>
      <c r="E122" s="1560">
        <v>7</v>
      </c>
      <c r="F122" s="1560">
        <v>737.8</v>
      </c>
      <c r="G122" s="1560">
        <v>1</v>
      </c>
      <c r="H122" s="1533">
        <f>E122*F122*G122</f>
        <v>5164.5999999999995</v>
      </c>
      <c r="I122" s="2095"/>
      <c r="J122" s="2137">
        <v>7</v>
      </c>
      <c r="K122" s="2137">
        <v>737.75</v>
      </c>
      <c r="L122" s="2137">
        <v>1</v>
      </c>
      <c r="M122" s="1533">
        <f>J122*K122*L122</f>
        <v>5164.25</v>
      </c>
      <c r="N122" s="2095"/>
      <c r="O122" s="2912">
        <f t="shared" si="42"/>
        <v>10328.849999999999</v>
      </c>
      <c r="P122" s="2114">
        <v>0.5</v>
      </c>
      <c r="Q122" s="2115">
        <f t="shared" si="43"/>
        <v>5164.4249999999993</v>
      </c>
      <c r="R122" s="2124" t="s">
        <v>913</v>
      </c>
      <c r="S122" s="2432">
        <f>'[4]RECAPITULATIF 2 ANS'!T131</f>
        <v>10328.41</v>
      </c>
      <c r="T122" s="1535">
        <f t="shared" si="34"/>
        <v>0.99995740087231411</v>
      </c>
      <c r="U122" s="1538" t="s">
        <v>1668</v>
      </c>
      <c r="V122" s="1535">
        <v>0.5</v>
      </c>
      <c r="W122" s="2087">
        <f t="shared" si="44"/>
        <v>5164.2049999999999</v>
      </c>
      <c r="X122" s="2434" t="s">
        <v>913</v>
      </c>
    </row>
    <row r="123" spans="1:24" s="1552" customFormat="1" ht="97.5" customHeight="1" x14ac:dyDescent="0.45">
      <c r="A123" s="3306"/>
      <c r="B123" s="2101" t="s">
        <v>925</v>
      </c>
      <c r="C123" s="2113" t="s">
        <v>19</v>
      </c>
      <c r="D123" s="2083" t="s">
        <v>724</v>
      </c>
      <c r="E123" s="1560">
        <v>1</v>
      </c>
      <c r="F123" s="1560">
        <v>2920</v>
      </c>
      <c r="G123" s="1560">
        <v>4</v>
      </c>
      <c r="H123" s="1533">
        <f>E123*F123*G123</f>
        <v>11680</v>
      </c>
      <c r="I123" s="2095"/>
      <c r="J123" s="2137">
        <v>1</v>
      </c>
      <c r="K123" s="2137">
        <v>2920</v>
      </c>
      <c r="L123" s="2137">
        <v>4</v>
      </c>
      <c r="M123" s="1533">
        <f>J123*K123*L123</f>
        <v>11680</v>
      </c>
      <c r="N123" s="2095"/>
      <c r="O123" s="2912">
        <f t="shared" si="42"/>
        <v>23360</v>
      </c>
      <c r="P123" s="2114">
        <v>0.5</v>
      </c>
      <c r="Q123" s="2115">
        <f t="shared" si="43"/>
        <v>11680</v>
      </c>
      <c r="R123" s="2124" t="s">
        <v>913</v>
      </c>
      <c r="S123" s="2432">
        <f>'[4]RECAPITULATIF 2 ANS'!T132</f>
        <v>21322.55</v>
      </c>
      <c r="T123" s="1535">
        <f t="shared" si="34"/>
        <v>0.91278039383561638</v>
      </c>
      <c r="U123" s="1538" t="s">
        <v>926</v>
      </c>
      <c r="V123" s="1535">
        <v>0.5</v>
      </c>
      <c r="W123" s="2087">
        <f>V123*S123</f>
        <v>10661.275</v>
      </c>
      <c r="X123" s="2434" t="s">
        <v>913</v>
      </c>
    </row>
    <row r="124" spans="1:24" s="1552" customFormat="1" ht="17.25" customHeight="1" x14ac:dyDescent="0.45">
      <c r="A124" s="3307"/>
      <c r="B124" s="2119"/>
      <c r="C124" s="2120"/>
      <c r="D124" s="1553" t="s">
        <v>0</v>
      </c>
      <c r="E124" s="1540"/>
      <c r="F124" s="1540"/>
      <c r="G124" s="1540"/>
      <c r="H124" s="1545">
        <f>SUM(H119:H123)</f>
        <v>27824.6</v>
      </c>
      <c r="I124" s="1545"/>
      <c r="J124" s="1545"/>
      <c r="K124" s="1545"/>
      <c r="L124" s="1545"/>
      <c r="M124" s="1556">
        <f>SUM(M119:M123)</f>
        <v>26744.25</v>
      </c>
      <c r="N124" s="1557"/>
      <c r="O124" s="1558">
        <f>SUM(O119:O123)</f>
        <v>54568.85</v>
      </c>
      <c r="P124" s="1607"/>
      <c r="Q124" s="1547">
        <f>SUM(Q119:Q123)</f>
        <v>27284.424999999999</v>
      </c>
      <c r="R124" s="1562"/>
      <c r="S124" s="2433">
        <f>SUM(S119:S123)</f>
        <v>51541.33</v>
      </c>
      <c r="T124" s="1546">
        <f>S124/O124</f>
        <v>0.94451926327932512</v>
      </c>
      <c r="U124" s="1559">
        <f>SUM(U114:U123)</f>
        <v>0</v>
      </c>
      <c r="V124" s="1546">
        <f>W124/S124</f>
        <v>0.5</v>
      </c>
      <c r="W124" s="1558">
        <f>SUM(W119:W123)</f>
        <v>25770.665000000001</v>
      </c>
      <c r="X124" s="1555"/>
    </row>
    <row r="125" spans="1:24" s="1620" customFormat="1" ht="23.25" customHeight="1" x14ac:dyDescent="0.45">
      <c r="A125" s="3303" t="s">
        <v>51</v>
      </c>
      <c r="B125" s="3304"/>
      <c r="C125" s="3340"/>
      <c r="D125" s="1563"/>
      <c r="E125" s="1563"/>
      <c r="F125" s="1563"/>
      <c r="G125" s="1563"/>
      <c r="H125" s="1565">
        <f>H95+H99+H105+H109+H113+H117+H124</f>
        <v>148477.12</v>
      </c>
      <c r="I125" s="1565"/>
      <c r="J125" s="1565"/>
      <c r="K125" s="1565"/>
      <c r="L125" s="1565"/>
      <c r="M125" s="1565">
        <f>M95+M99+M105+M109+M113+M117+M124</f>
        <v>89991.77</v>
      </c>
      <c r="N125" s="1565">
        <f>O125/M125*100</f>
        <v>264.98966516604798</v>
      </c>
      <c r="O125" s="1569">
        <f>H125+M125</f>
        <v>238468.89</v>
      </c>
      <c r="P125" s="1618"/>
      <c r="Q125" s="1569">
        <f>Q124+Q117+Q113+Q109+Q105+Q99+Q95</f>
        <v>88787.925000000003</v>
      </c>
      <c r="R125" s="1619"/>
      <c r="S125" s="2436">
        <f>S124+S117+S113+S109+S105+S99+S95</f>
        <v>235580.49</v>
      </c>
      <c r="T125" s="1566">
        <f>S125/O125</f>
        <v>0.98788772824832616</v>
      </c>
      <c r="U125" s="1568">
        <f>SUM(U115:U124)</f>
        <v>0</v>
      </c>
      <c r="V125" s="1566">
        <f>W125/S125</f>
        <v>0.36985564891218281</v>
      </c>
      <c r="W125" s="1569">
        <f>W124+W117+W113+W109+W105+W99+W95</f>
        <v>87130.774999999994</v>
      </c>
      <c r="X125" s="2437"/>
    </row>
    <row r="126" spans="1:24" s="1552" customFormat="1" x14ac:dyDescent="0.45">
      <c r="A126" s="3334" t="s">
        <v>394</v>
      </c>
      <c r="B126" s="3335"/>
      <c r="C126" s="3335"/>
      <c r="D126" s="3336"/>
      <c r="E126" s="1621"/>
      <c r="F126" s="1621"/>
      <c r="G126" s="1621"/>
      <c r="H126" s="1622">
        <f>H125+H82</f>
        <v>438895.72</v>
      </c>
      <c r="I126" s="1622"/>
      <c r="J126" s="1623"/>
      <c r="K126" s="1623"/>
      <c r="L126" s="1623"/>
      <c r="M126" s="1622">
        <f>M125+M82</f>
        <v>276057.77</v>
      </c>
      <c r="N126" s="1624"/>
      <c r="O126" s="1622">
        <f>H126+M126</f>
        <v>714953.49</v>
      </c>
      <c r="P126" s="1625">
        <f t="shared" ref="P126" si="45">I126+N126</f>
        <v>0</v>
      </c>
      <c r="Q126" s="1622">
        <f>Q125+Q81+Q39</f>
        <v>311430.435</v>
      </c>
      <c r="R126" s="1626"/>
      <c r="S126" s="1622">
        <f>S125+S82</f>
        <v>708158.36</v>
      </c>
      <c r="T126" s="2438"/>
      <c r="U126" s="2439"/>
      <c r="V126" s="2438"/>
      <c r="W126" s="1622">
        <f>W125+W82</f>
        <v>307700.00330800004</v>
      </c>
      <c r="X126" s="2440"/>
    </row>
    <row r="127" spans="1:24" s="1552" customFormat="1" x14ac:dyDescent="0.45">
      <c r="A127" s="3337"/>
      <c r="B127" s="3338"/>
      <c r="C127" s="3338"/>
      <c r="D127" s="3339"/>
      <c r="E127" s="1621"/>
      <c r="F127" s="1621"/>
      <c r="G127" s="1621"/>
      <c r="H127" s="1622"/>
      <c r="I127" s="1622"/>
      <c r="J127" s="1623"/>
      <c r="K127" s="1623"/>
      <c r="L127" s="1623"/>
      <c r="M127" s="1622"/>
      <c r="N127" s="1622"/>
      <c r="O127" s="1622"/>
      <c r="P127" s="1625"/>
      <c r="Q127" s="2441"/>
      <c r="R127" s="1626"/>
      <c r="S127" s="1622"/>
      <c r="T127" s="2438"/>
      <c r="U127" s="2439"/>
      <c r="V127" s="2438"/>
      <c r="W127" s="2441"/>
      <c r="X127" s="2440"/>
    </row>
    <row r="128" spans="1:24" s="1552" customFormat="1" x14ac:dyDescent="0.45">
      <c r="A128" s="3320"/>
      <c r="B128" s="3321"/>
      <c r="C128" s="3321"/>
      <c r="D128" s="1564" t="s">
        <v>61</v>
      </c>
      <c r="E128" s="1564"/>
      <c r="F128" s="1564"/>
      <c r="G128" s="1564"/>
      <c r="H128" s="1627">
        <f>H126*0.07</f>
        <v>30722.700400000002</v>
      </c>
      <c r="I128" s="1628"/>
      <c r="J128" s="1629"/>
      <c r="K128" s="1629"/>
      <c r="L128" s="1629"/>
      <c r="M128" s="1627">
        <f>M126*0.07</f>
        <v>19324.043900000004</v>
      </c>
      <c r="N128" s="1630"/>
      <c r="O128" s="1628">
        <f>O126*0.07</f>
        <v>50046.744300000006</v>
      </c>
      <c r="P128" s="1631">
        <f t="shared" ref="P128" si="46">I128+N128</f>
        <v>0</v>
      </c>
      <c r="Q128" s="1628"/>
      <c r="R128" s="1632"/>
      <c r="S128" s="2442">
        <f>'[4]RECAPITULATIF 2 ANS'!T137</f>
        <v>51126.939999999995</v>
      </c>
      <c r="T128" s="1566">
        <f>S128/O128</f>
        <v>1.0215837356676964</v>
      </c>
      <c r="U128" s="1633"/>
      <c r="V128" s="1631"/>
      <c r="W128" s="1634">
        <f>W126*0.07</f>
        <v>21539.000231560007</v>
      </c>
      <c r="X128" s="2443"/>
    </row>
    <row r="129" spans="1:24" s="1552" customFormat="1" x14ac:dyDescent="0.45">
      <c r="A129" s="3320"/>
      <c r="B129" s="3321"/>
      <c r="C129" s="3321"/>
      <c r="D129" s="1635" t="s">
        <v>26</v>
      </c>
      <c r="E129" s="1636"/>
      <c r="F129" s="1636"/>
      <c r="G129" s="1636"/>
      <c r="H129" s="1628">
        <f>H128+H126</f>
        <v>469618.42039999994</v>
      </c>
      <c r="I129" s="1628"/>
      <c r="J129" s="1629"/>
      <c r="K129" s="1629"/>
      <c r="L129" s="1629"/>
      <c r="M129" s="1628">
        <f>M128+M126</f>
        <v>295381.81390000001</v>
      </c>
      <c r="N129" s="1627">
        <f>O129/M129*100</f>
        <v>258.98691060208154</v>
      </c>
      <c r="O129" s="1628">
        <f>H129+M129</f>
        <v>765000.23429999989</v>
      </c>
      <c r="P129" s="1631"/>
      <c r="Q129" s="1628">
        <f>Q126</f>
        <v>311430.435</v>
      </c>
      <c r="R129" s="1632"/>
      <c r="S129" s="1628">
        <f>S128+S126</f>
        <v>759285.29999999993</v>
      </c>
      <c r="T129" s="1631">
        <f>S129/O129</f>
        <v>0.99252949993508266</v>
      </c>
      <c r="U129" s="1633">
        <f>SUM(U119:U128)</f>
        <v>0</v>
      </c>
      <c r="V129" s="1631">
        <f>W129/S129</f>
        <v>0.43361698631536805</v>
      </c>
      <c r="W129" s="1628">
        <f>W128+W126</f>
        <v>329239.00353956007</v>
      </c>
      <c r="X129" s="2443"/>
    </row>
    <row r="130" spans="1:24" x14ac:dyDescent="0.45">
      <c r="A130" s="1552"/>
      <c r="O130" s="2913"/>
      <c r="R130" s="2138" t="s">
        <v>1669</v>
      </c>
      <c r="S130" s="2444">
        <f>O129-S129</f>
        <v>5714.9342999999644</v>
      </c>
    </row>
    <row r="131" spans="1:24" s="2448" customFormat="1" x14ac:dyDescent="0.45">
      <c r="A131" s="2445" t="s">
        <v>5</v>
      </c>
      <c r="B131" s="2446"/>
      <c r="C131" s="2446"/>
      <c r="D131" s="2446"/>
      <c r="E131" s="2447"/>
      <c r="I131" s="2449"/>
      <c r="N131" s="2450" t="s">
        <v>1670</v>
      </c>
      <c r="O131" s="2449"/>
      <c r="P131" s="2451"/>
      <c r="Q131" s="2449"/>
      <c r="R131" s="2452" t="s">
        <v>1671</v>
      </c>
      <c r="S131" s="2453"/>
      <c r="T131" s="2454"/>
      <c r="U131" s="2455"/>
      <c r="V131" s="2451"/>
      <c r="W131" s="2449"/>
      <c r="X131" s="2450"/>
    </row>
    <row r="132" spans="1:24" x14ac:dyDescent="0.45">
      <c r="A132" s="1639" t="s">
        <v>27</v>
      </c>
      <c r="E132" s="1640"/>
      <c r="F132" s="1552"/>
      <c r="G132" s="1552"/>
      <c r="H132" s="1552"/>
      <c r="I132" s="1638"/>
      <c r="J132" s="1552"/>
      <c r="K132" s="1552"/>
      <c r="L132" s="1552"/>
    </row>
    <row r="133" spans="1:24" ht="38.25" customHeight="1" x14ac:dyDescent="0.45">
      <c r="A133" s="3322" t="s">
        <v>46</v>
      </c>
      <c r="B133" s="3323"/>
      <c r="C133" s="3323"/>
      <c r="D133" s="3323"/>
      <c r="E133" s="3324"/>
      <c r="S133" s="2444"/>
    </row>
    <row r="134" spans="1:24" x14ac:dyDescent="0.45">
      <c r="A134" s="1639" t="s">
        <v>62</v>
      </c>
      <c r="D134" s="1552"/>
      <c r="E134" s="1640"/>
    </row>
    <row r="135" spans="1:24" x14ac:dyDescent="0.45">
      <c r="A135" s="1639"/>
      <c r="B135" s="1525" t="s">
        <v>33</v>
      </c>
      <c r="E135" s="1640"/>
    </row>
    <row r="136" spans="1:24" x14ac:dyDescent="0.45">
      <c r="A136" s="1639"/>
      <c r="B136" s="1525" t="s">
        <v>34</v>
      </c>
      <c r="E136" s="1640"/>
    </row>
    <row r="137" spans="1:24" ht="24" customHeight="1" x14ac:dyDescent="0.45">
      <c r="A137" s="3325" t="s">
        <v>63</v>
      </c>
      <c r="B137" s="3326"/>
      <c r="C137" s="3326"/>
      <c r="D137" s="3326"/>
      <c r="E137" s="3327"/>
    </row>
    <row r="139" spans="1:24" x14ac:dyDescent="0.45">
      <c r="A139" s="1637" t="s">
        <v>49</v>
      </c>
      <c r="B139" s="1641"/>
      <c r="C139" s="1641"/>
      <c r="D139" s="1641"/>
      <c r="E139" s="1642"/>
    </row>
    <row r="140" spans="1:24" x14ac:dyDescent="0.45">
      <c r="A140" s="1525" t="s">
        <v>14</v>
      </c>
      <c r="E140" s="1640"/>
    </row>
    <row r="141" spans="1:24" x14ac:dyDescent="0.45">
      <c r="A141" s="1525" t="s">
        <v>15</v>
      </c>
      <c r="E141" s="1640"/>
    </row>
    <row r="142" spans="1:24" x14ac:dyDescent="0.45">
      <c r="A142" s="1525" t="s">
        <v>36</v>
      </c>
      <c r="E142" s="1640"/>
    </row>
    <row r="143" spans="1:24" x14ac:dyDescent="0.45">
      <c r="A143" s="1525" t="s">
        <v>47</v>
      </c>
      <c r="E143" s="1640"/>
    </row>
    <row r="144" spans="1:24" x14ac:dyDescent="0.45">
      <c r="A144" s="1525" t="s">
        <v>17</v>
      </c>
      <c r="E144" s="1640"/>
    </row>
    <row r="145" spans="1:5" x14ac:dyDescent="0.45">
      <c r="A145" s="1525" t="s">
        <v>48</v>
      </c>
      <c r="E145" s="1640"/>
    </row>
    <row r="146" spans="1:5" x14ac:dyDescent="0.45">
      <c r="A146" s="1643" t="s">
        <v>19</v>
      </c>
      <c r="B146" s="1643"/>
      <c r="C146" s="1643"/>
      <c r="D146" s="1643"/>
      <c r="E146" s="1644"/>
    </row>
  </sheetData>
  <autoFilter ref="A1:X114" xr:uid="{3044FA31-B128-4E4C-8634-99E7724E2622}"/>
  <mergeCells count="29">
    <mergeCell ref="A129:C129"/>
    <mergeCell ref="A133:E133"/>
    <mergeCell ref="A137:E137"/>
    <mergeCell ref="A128:C128"/>
    <mergeCell ref="A82:C82"/>
    <mergeCell ref="A83:X83"/>
    <mergeCell ref="A85:A95"/>
    <mergeCell ref="A97:A99"/>
    <mergeCell ref="A101:A105"/>
    <mergeCell ref="A126:D127"/>
    <mergeCell ref="A111:A113"/>
    <mergeCell ref="A115:A117"/>
    <mergeCell ref="A119:A124"/>
    <mergeCell ref="A125:C125"/>
    <mergeCell ref="S8:X8"/>
    <mergeCell ref="A10:X10"/>
    <mergeCell ref="A11:X11"/>
    <mergeCell ref="A12:A15"/>
    <mergeCell ref="A16:A21"/>
    <mergeCell ref="A22:A28"/>
    <mergeCell ref="A29:A34"/>
    <mergeCell ref="A35:A38"/>
    <mergeCell ref="A39:B39"/>
    <mergeCell ref="A107:A109"/>
    <mergeCell ref="A41:A51"/>
    <mergeCell ref="A52:A59"/>
    <mergeCell ref="A60:A62"/>
    <mergeCell ref="A63:A80"/>
    <mergeCell ref="A81:B81"/>
  </mergeCells>
  <dataValidations count="1">
    <dataValidation type="list" allowBlank="1" showInputMessage="1" showErrorMessage="1" sqref="C119:C124 C97:C99 C107:C109 C111:C113 C115:C117 C12:C38 C41:C80 C85:C95 C101:C105" xr:uid="{A0404233-D11A-4706-BF91-EAC888B2EF91}">
      <formula1>categories</formula1>
    </dataValidation>
  </dataValidation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Q132"/>
  <sheetViews>
    <sheetView topLeftCell="A2" zoomScale="75" workbookViewId="0">
      <pane xSplit="3" ySplit="10" topLeftCell="E16" activePane="bottomRight" state="frozen"/>
      <selection activeCell="A2" sqref="A2"/>
      <selection pane="topRight" activeCell="D2" sqref="D2"/>
      <selection pane="bottomLeft" activeCell="A12" sqref="A12"/>
      <selection pane="bottomRight" activeCell="U114" sqref="U114"/>
    </sheetView>
  </sheetViews>
  <sheetFormatPr baseColWidth="10" defaultColWidth="11.453125" defaultRowHeight="13" x14ac:dyDescent="0.25"/>
  <cols>
    <col min="1" max="1" width="6.7265625" style="261" customWidth="1"/>
    <col min="2" max="2" width="45" style="261" customWidth="1"/>
    <col min="3" max="3" width="21.54296875" style="261" customWidth="1"/>
    <col min="4" max="4" width="8" style="261" customWidth="1"/>
    <col min="5" max="5" width="7.7265625" style="494" customWidth="1"/>
    <col min="6" max="6" width="7.81640625" style="494" customWidth="1"/>
    <col min="7" max="7" width="9.1796875" style="494" customWidth="1"/>
    <col min="8" max="8" width="12.7265625" style="2139" customWidth="1"/>
    <col min="9" max="9" width="11.26953125" style="501" customWidth="1"/>
    <col min="10" max="10" width="8.453125" style="494" customWidth="1"/>
    <col min="11" max="11" width="11.26953125" style="494" customWidth="1"/>
    <col min="12" max="12" width="10.7265625" style="494" customWidth="1"/>
    <col min="13" max="13" width="12.1796875" style="261" customWidth="1"/>
    <col min="14" max="14" width="12.26953125" style="501" customWidth="1"/>
    <col min="15" max="15" width="12.7265625" style="261" customWidth="1"/>
    <col min="16" max="16" width="13.1796875" style="249" hidden="1" customWidth="1"/>
    <col min="17" max="17" width="13.7265625" style="261" hidden="1" customWidth="1"/>
    <col min="18" max="18" width="64.7265625" style="297" hidden="1" customWidth="1"/>
    <col min="19" max="19" width="12.1796875" style="2190" customWidth="1"/>
    <col min="20" max="20" width="11.26953125" style="2140" customWidth="1"/>
    <col min="21" max="21" width="31.54296875" style="261" customWidth="1"/>
    <col min="22" max="22" width="11.26953125" style="501" customWidth="1"/>
    <col min="23" max="23" width="15.81640625" style="261" customWidth="1"/>
    <col min="24" max="24" width="39.81640625" style="261" customWidth="1"/>
    <col min="25" max="25" width="4.54296875" style="261" bestFit="1" customWidth="1"/>
    <col min="26" max="16384" width="11.453125" style="261"/>
  </cols>
  <sheetData>
    <row r="1" spans="1:24" ht="18" customHeight="1" x14ac:dyDescent="0.25">
      <c r="D1" s="454" t="s">
        <v>28</v>
      </c>
      <c r="E1" s="499"/>
      <c r="F1" s="499"/>
      <c r="G1" s="499"/>
    </row>
    <row r="2" spans="1:24" x14ac:dyDescent="0.25">
      <c r="A2" s="2141" t="s">
        <v>928</v>
      </c>
      <c r="B2" s="2142"/>
      <c r="C2" s="2142"/>
    </row>
    <row r="3" spans="1:24" x14ac:dyDescent="0.25">
      <c r="A3" s="2141" t="s">
        <v>929</v>
      </c>
      <c r="B3" s="2142"/>
    </row>
    <row r="4" spans="1:24" ht="12.75" customHeight="1" x14ac:dyDescent="0.25">
      <c r="A4" s="2141" t="s">
        <v>930</v>
      </c>
      <c r="B4" s="2143"/>
      <c r="D4" s="499"/>
      <c r="E4" s="499"/>
      <c r="F4" s="499"/>
      <c r="G4" s="499"/>
      <c r="H4" s="500"/>
      <c r="I4" s="2144"/>
      <c r="J4" s="499"/>
      <c r="K4" s="499"/>
      <c r="L4" s="499"/>
      <c r="M4" s="499"/>
      <c r="N4" s="2144"/>
      <c r="O4" s="499"/>
      <c r="P4" s="2145"/>
      <c r="Q4" s="499"/>
      <c r="R4" s="2146"/>
      <c r="S4" s="2850"/>
      <c r="T4" s="2147"/>
      <c r="U4" s="499"/>
      <c r="V4" s="2144"/>
      <c r="W4" s="499"/>
      <c r="X4" s="499">
        <v>225.39</v>
      </c>
    </row>
    <row r="5" spans="1:24" ht="12.75" customHeight="1" x14ac:dyDescent="0.25">
      <c r="A5" s="2141" t="s">
        <v>931</v>
      </c>
      <c r="B5" s="2143"/>
      <c r="D5" s="499"/>
      <c r="E5" s="499"/>
      <c r="F5" s="499"/>
      <c r="G5" s="499"/>
      <c r="H5" s="500"/>
      <c r="I5" s="2144"/>
      <c r="J5" s="499"/>
      <c r="K5" s="499"/>
      <c r="L5" s="499"/>
      <c r="M5" s="499"/>
      <c r="N5" s="2144"/>
      <c r="O5" s="499"/>
      <c r="P5" s="2145"/>
      <c r="Q5" s="499"/>
      <c r="R5" s="2146"/>
      <c r="S5" s="2850"/>
      <c r="T5" s="2147"/>
      <c r="U5" s="499"/>
      <c r="V5" s="2144"/>
      <c r="W5" s="499"/>
      <c r="X5" s="499"/>
    </row>
    <row r="6" spans="1:24" ht="12.75" customHeight="1" x14ac:dyDescent="0.25">
      <c r="A6" s="454" t="s">
        <v>932</v>
      </c>
      <c r="B6" s="2143"/>
      <c r="C6" s="2143"/>
      <c r="D6" s="499"/>
      <c r="E6" s="499"/>
      <c r="F6" s="499"/>
      <c r="G6" s="499"/>
      <c r="H6" s="500"/>
      <c r="I6" s="2144"/>
      <c r="J6" s="499"/>
      <c r="K6" s="499"/>
      <c r="L6" s="499"/>
      <c r="M6" s="499"/>
      <c r="N6" s="2144"/>
      <c r="O6" s="499"/>
      <c r="P6" s="2145"/>
      <c r="Q6" s="499"/>
      <c r="R6" s="2146"/>
      <c r="S6" s="2850"/>
      <c r="T6" s="2147"/>
      <c r="U6" s="499"/>
      <c r="V6" s="2144"/>
      <c r="W6" s="499"/>
      <c r="X6" s="499"/>
    </row>
    <row r="7" spans="1:24" ht="12.75" customHeight="1" x14ac:dyDescent="0.25">
      <c r="A7" s="454" t="s">
        <v>933</v>
      </c>
      <c r="B7" s="2143"/>
      <c r="C7" s="2143"/>
      <c r="D7" s="499"/>
      <c r="E7" s="499"/>
      <c r="F7" s="499"/>
      <c r="G7" s="499"/>
      <c r="H7" s="500"/>
      <c r="I7" s="2144"/>
      <c r="J7" s="499"/>
      <c r="K7" s="499"/>
      <c r="L7" s="499"/>
      <c r="M7" s="499"/>
      <c r="N7" s="2144"/>
      <c r="O7" s="499"/>
      <c r="P7" s="2145"/>
      <c r="Q7" s="499"/>
      <c r="R7" s="2146"/>
      <c r="S7" s="2850"/>
      <c r="T7" s="2147"/>
      <c r="U7" s="499"/>
      <c r="V7" s="2144"/>
      <c r="W7" s="499"/>
      <c r="X7" s="499"/>
    </row>
    <row r="8" spans="1:24" s="1184" customFormat="1" x14ac:dyDescent="0.25">
      <c r="E8" s="2148"/>
      <c r="F8" s="2148"/>
      <c r="G8" s="2148"/>
      <c r="H8" s="2139"/>
      <c r="I8" s="501"/>
      <c r="J8" s="494"/>
      <c r="K8" s="494"/>
      <c r="L8" s="494"/>
      <c r="M8" s="261"/>
      <c r="N8" s="2149"/>
      <c r="P8" s="2150"/>
      <c r="R8" s="2151">
        <v>8947</v>
      </c>
      <c r="S8" s="3341" t="s">
        <v>1615</v>
      </c>
      <c r="T8" s="3342"/>
      <c r="U8" s="3342"/>
      <c r="V8" s="3342"/>
      <c r="W8" s="3342"/>
      <c r="X8" s="3343"/>
    </row>
    <row r="9" spans="1:24" s="1184" customFormat="1" ht="65" x14ac:dyDescent="0.25">
      <c r="A9" s="1868" t="s">
        <v>9</v>
      </c>
      <c r="B9" s="1868" t="s">
        <v>10</v>
      </c>
      <c r="C9" s="1868" t="s">
        <v>45</v>
      </c>
      <c r="D9" s="1868" t="s">
        <v>35</v>
      </c>
      <c r="E9" s="1868" t="s">
        <v>6</v>
      </c>
      <c r="F9" s="1868" t="s">
        <v>7</v>
      </c>
      <c r="G9" s="1868" t="s">
        <v>8</v>
      </c>
      <c r="H9" s="2152" t="s">
        <v>11</v>
      </c>
      <c r="I9" s="1869" t="s">
        <v>565</v>
      </c>
      <c r="J9" s="1869" t="s">
        <v>6</v>
      </c>
      <c r="K9" s="1869" t="s">
        <v>7</v>
      </c>
      <c r="L9" s="1869" t="s">
        <v>8</v>
      </c>
      <c r="M9" s="1869" t="s">
        <v>12</v>
      </c>
      <c r="N9" s="1869" t="s">
        <v>567</v>
      </c>
      <c r="O9" s="2153" t="s">
        <v>13</v>
      </c>
      <c r="P9" s="1870" t="s">
        <v>64</v>
      </c>
      <c r="Q9" s="2154" t="s">
        <v>84</v>
      </c>
      <c r="R9" s="2153" t="s">
        <v>42</v>
      </c>
      <c r="S9" s="2155" t="s">
        <v>1098</v>
      </c>
      <c r="T9" s="1871" t="s">
        <v>1099</v>
      </c>
      <c r="U9" s="2155" t="s">
        <v>81</v>
      </c>
      <c r="V9" s="1872" t="s">
        <v>1100</v>
      </c>
      <c r="W9" s="2155" t="s">
        <v>1101</v>
      </c>
      <c r="X9" s="2155" t="s">
        <v>81</v>
      </c>
    </row>
    <row r="10" spans="1:24" s="1" customFormat="1" x14ac:dyDescent="0.3">
      <c r="A10" s="3344" t="s">
        <v>52</v>
      </c>
      <c r="B10" s="3345"/>
      <c r="C10" s="3345"/>
      <c r="D10" s="3345"/>
      <c r="E10" s="3345"/>
      <c r="F10" s="3345"/>
      <c r="G10" s="3345"/>
      <c r="H10" s="3345"/>
      <c r="I10" s="3345"/>
      <c r="J10" s="3345"/>
      <c r="K10" s="3345"/>
      <c r="L10" s="3345"/>
      <c r="M10" s="3345"/>
      <c r="N10" s="3345"/>
      <c r="O10" s="3345"/>
      <c r="P10" s="3345"/>
      <c r="Q10" s="3345"/>
      <c r="R10" s="3345"/>
      <c r="S10" s="3345"/>
      <c r="T10" s="3345"/>
      <c r="U10" s="3345"/>
      <c r="V10" s="3345"/>
      <c r="W10" s="3345"/>
      <c r="X10" s="3345"/>
    </row>
    <row r="11" spans="1:24" ht="30.75" customHeight="1" x14ac:dyDescent="0.25">
      <c r="A11" s="3346" t="s">
        <v>934</v>
      </c>
      <c r="B11" s="3347"/>
      <c r="C11" s="3347"/>
      <c r="D11" s="3347"/>
      <c r="E11" s="3347"/>
      <c r="F11" s="3347"/>
      <c r="G11" s="3347"/>
      <c r="H11" s="3347"/>
      <c r="I11" s="3347"/>
      <c r="J11" s="3347"/>
      <c r="K11" s="3347"/>
      <c r="L11" s="3347"/>
      <c r="M11" s="3347"/>
      <c r="N11" s="3347"/>
      <c r="O11" s="3347"/>
      <c r="P11" s="3347"/>
      <c r="Q11" s="3347"/>
      <c r="R11" s="3347"/>
      <c r="S11" s="3347"/>
      <c r="T11" s="3347"/>
      <c r="U11" s="3347"/>
      <c r="V11" s="3347"/>
      <c r="W11" s="3347"/>
      <c r="X11" s="3347"/>
    </row>
    <row r="12" spans="1:24" ht="39" x14ac:dyDescent="0.25">
      <c r="A12" s="717" t="s">
        <v>935</v>
      </c>
      <c r="B12" s="264" t="s">
        <v>936</v>
      </c>
      <c r="C12" s="264" t="s">
        <v>15</v>
      </c>
      <c r="D12" s="2156" t="s">
        <v>955</v>
      </c>
      <c r="E12" s="2157">
        <v>110</v>
      </c>
      <c r="F12" s="2158">
        <v>8.9499999999999993</v>
      </c>
      <c r="G12" s="2157">
        <v>2</v>
      </c>
      <c r="H12" s="2159">
        <f>E12*F12*G12</f>
        <v>1968.9999999999998</v>
      </c>
      <c r="I12" s="2160">
        <v>0.1111111111111111</v>
      </c>
      <c r="J12" s="2161"/>
      <c r="K12" s="2161"/>
      <c r="L12" s="2161"/>
      <c r="M12" s="2162">
        <f>J12*K12*L12</f>
        <v>0</v>
      </c>
      <c r="N12" s="2163"/>
      <c r="O12" s="2162">
        <f>+H12+M12</f>
        <v>1968.9999999999998</v>
      </c>
      <c r="P12" s="263">
        <v>0.11111111111111099</v>
      </c>
      <c r="Q12" s="2162">
        <f>O12*P12</f>
        <v>218.77777777777752</v>
      </c>
      <c r="R12" s="2164" t="s">
        <v>937</v>
      </c>
      <c r="S12" s="2186">
        <v>2049</v>
      </c>
      <c r="T12" s="2160">
        <f>S12/O12</f>
        <v>1.0406297613001525</v>
      </c>
      <c r="U12" s="2164" t="s">
        <v>938</v>
      </c>
      <c r="V12" s="2395">
        <f>W12/O12</f>
        <v>0.11446927374301677</v>
      </c>
      <c r="W12" s="2162">
        <v>225.39</v>
      </c>
      <c r="X12" s="2164" t="s">
        <v>938</v>
      </c>
    </row>
    <row r="13" spans="1:24" ht="26" x14ac:dyDescent="0.25">
      <c r="A13" s="717"/>
      <c r="B13" s="264" t="s">
        <v>939</v>
      </c>
      <c r="C13" s="264" t="s">
        <v>15</v>
      </c>
      <c r="D13" s="2156" t="s">
        <v>955</v>
      </c>
      <c r="E13" s="2157">
        <v>75</v>
      </c>
      <c r="F13" s="2158">
        <v>3.7850000000000001</v>
      </c>
      <c r="G13" s="2157">
        <v>2</v>
      </c>
      <c r="H13" s="2159">
        <f t="shared" ref="H13:H36" si="0">E13*F13*G13</f>
        <v>567.75</v>
      </c>
      <c r="I13" s="2160">
        <v>0.5</v>
      </c>
      <c r="J13" s="2161"/>
      <c r="K13" s="2161"/>
      <c r="L13" s="2161"/>
      <c r="M13" s="2162">
        <f t="shared" ref="M13:M36" si="1">J13*K13*L13</f>
        <v>0</v>
      </c>
      <c r="N13" s="2163"/>
      <c r="O13" s="2162">
        <f t="shared" ref="O13:O36" si="2">+H13+M13</f>
        <v>567.75</v>
      </c>
      <c r="P13" s="263">
        <v>0.5</v>
      </c>
      <c r="Q13" s="2162">
        <f t="shared" ref="Q13:Q69" si="3">O13*P13</f>
        <v>283.875</v>
      </c>
      <c r="R13" s="2164" t="s">
        <v>940</v>
      </c>
      <c r="S13" s="2186">
        <v>567.75</v>
      </c>
      <c r="T13" s="2160">
        <f>S13/O13</f>
        <v>1</v>
      </c>
      <c r="U13" s="2162" t="s">
        <v>606</v>
      </c>
      <c r="V13" s="2395">
        <f t="shared" ref="V13:V24" si="4">W13/O13</f>
        <v>0</v>
      </c>
      <c r="W13" s="2162">
        <v>0</v>
      </c>
      <c r="X13" s="2162" t="s">
        <v>606</v>
      </c>
    </row>
    <row r="14" spans="1:24" ht="26" x14ac:dyDescent="0.25">
      <c r="A14" s="717"/>
      <c r="B14" s="264" t="s">
        <v>941</v>
      </c>
      <c r="C14" s="264" t="s">
        <v>15</v>
      </c>
      <c r="D14" s="2156" t="s">
        <v>955</v>
      </c>
      <c r="E14" s="2157">
        <v>250</v>
      </c>
      <c r="F14" s="2158">
        <v>7.43</v>
      </c>
      <c r="G14" s="2157">
        <v>2</v>
      </c>
      <c r="H14" s="2159">
        <f t="shared" si="0"/>
        <v>3715</v>
      </c>
      <c r="I14" s="2160">
        <v>0.36</v>
      </c>
      <c r="J14" s="2161"/>
      <c r="K14" s="2161"/>
      <c r="L14" s="2161"/>
      <c r="M14" s="2162">
        <f t="shared" si="1"/>
        <v>0</v>
      </c>
      <c r="N14" s="2163"/>
      <c r="O14" s="2162">
        <f t="shared" si="2"/>
        <v>3715</v>
      </c>
      <c r="P14" s="263">
        <v>0.36</v>
      </c>
      <c r="Q14" s="2162">
        <f t="shared" si="3"/>
        <v>1337.3999999999999</v>
      </c>
      <c r="R14" s="2164" t="s">
        <v>942</v>
      </c>
      <c r="S14" s="2186">
        <v>3715.4844313940357</v>
      </c>
      <c r="T14" s="2160">
        <f>S14/O14</f>
        <v>1.0001303987601711</v>
      </c>
      <c r="U14" s="2162" t="s">
        <v>606</v>
      </c>
      <c r="V14" s="2395">
        <f t="shared" si="4"/>
        <v>0.36004576043068637</v>
      </c>
      <c r="W14" s="2162">
        <v>1337.57</v>
      </c>
      <c r="X14" s="2162" t="s">
        <v>606</v>
      </c>
    </row>
    <row r="15" spans="1:24" ht="26" x14ac:dyDescent="0.25">
      <c r="A15" s="717"/>
      <c r="B15" s="264" t="s">
        <v>943</v>
      </c>
      <c r="C15" s="264" t="s">
        <v>15</v>
      </c>
      <c r="D15" s="2156" t="s">
        <v>955</v>
      </c>
      <c r="E15" s="2157">
        <v>89</v>
      </c>
      <c r="F15" s="2158">
        <v>5.6573033707865168</v>
      </c>
      <c r="G15" s="2157">
        <v>2</v>
      </c>
      <c r="H15" s="2159">
        <f t="shared" si="0"/>
        <v>1007</v>
      </c>
      <c r="I15" s="2160">
        <v>0.29629629629629628</v>
      </c>
      <c r="J15" s="2161"/>
      <c r="K15" s="2161"/>
      <c r="L15" s="2161"/>
      <c r="M15" s="2162">
        <f t="shared" si="1"/>
        <v>0</v>
      </c>
      <c r="N15" s="2163"/>
      <c r="O15" s="2162">
        <f t="shared" si="2"/>
        <v>1007</v>
      </c>
      <c r="P15" s="263">
        <v>0.29629629629629628</v>
      </c>
      <c r="Q15" s="2162">
        <f t="shared" si="3"/>
        <v>298.37037037037038</v>
      </c>
      <c r="R15" s="2164" t="s">
        <v>942</v>
      </c>
      <c r="S15" s="2223">
        <f>837+275</f>
        <v>1112</v>
      </c>
      <c r="T15" s="2167">
        <f>S15/O15</f>
        <v>1.1042701092353526</v>
      </c>
      <c r="U15" s="2168" t="s">
        <v>944</v>
      </c>
      <c r="V15" s="2396">
        <f t="shared" si="4"/>
        <v>0.33128103277060578</v>
      </c>
      <c r="W15" s="2166">
        <v>333.6</v>
      </c>
      <c r="X15" s="2166" t="s">
        <v>606</v>
      </c>
    </row>
    <row r="16" spans="1:24" ht="52" x14ac:dyDescent="0.25">
      <c r="A16" s="717"/>
      <c r="B16" s="264" t="s">
        <v>945</v>
      </c>
      <c r="C16" s="264" t="s">
        <v>15</v>
      </c>
      <c r="D16" s="2156" t="s">
        <v>955</v>
      </c>
      <c r="E16" s="2157">
        <v>1</v>
      </c>
      <c r="F16" s="2158">
        <v>709.50071428571437</v>
      </c>
      <c r="G16" s="2157">
        <v>7</v>
      </c>
      <c r="H16" s="2159">
        <f t="shared" si="0"/>
        <v>4966.505000000001</v>
      </c>
      <c r="I16" s="2160">
        <v>0.25</v>
      </c>
      <c r="J16" s="2161">
        <v>1</v>
      </c>
      <c r="K16" s="2161">
        <v>945</v>
      </c>
      <c r="L16" s="2161">
        <v>11</v>
      </c>
      <c r="M16" s="2162">
        <f t="shared" si="1"/>
        <v>10395</v>
      </c>
      <c r="N16" s="2163">
        <v>0.25</v>
      </c>
      <c r="O16" s="2162">
        <f t="shared" si="2"/>
        <v>15361.505000000001</v>
      </c>
      <c r="P16" s="263">
        <v>0.25</v>
      </c>
      <c r="Q16" s="2162">
        <f>O16*P16</f>
        <v>3840.3762500000003</v>
      </c>
      <c r="R16" s="2164" t="s">
        <v>946</v>
      </c>
      <c r="S16" s="2223">
        <f>5198+8947</f>
        <v>14145</v>
      </c>
      <c r="T16" s="2167">
        <f>S16/O16</f>
        <v>0.92080821508048849</v>
      </c>
      <c r="U16" s="2168" t="s">
        <v>944</v>
      </c>
      <c r="V16" s="2396">
        <f t="shared" si="4"/>
        <v>0.23020205377012212</v>
      </c>
      <c r="W16" s="2166">
        <v>3536.25</v>
      </c>
      <c r="X16" s="2166" t="s">
        <v>606</v>
      </c>
    </row>
    <row r="17" spans="1:26" ht="33" customHeight="1" x14ac:dyDescent="0.25">
      <c r="A17" s="717"/>
      <c r="B17" s="264" t="s">
        <v>947</v>
      </c>
      <c r="C17" s="264" t="s">
        <v>18</v>
      </c>
      <c r="D17" s="2156" t="s">
        <v>955</v>
      </c>
      <c r="E17" s="2157">
        <v>1</v>
      </c>
      <c r="F17" s="2158">
        <v>270</v>
      </c>
      <c r="G17" s="2157">
        <v>8</v>
      </c>
      <c r="H17" s="2159">
        <f t="shared" si="0"/>
        <v>2160</v>
      </c>
      <c r="I17" s="2160">
        <v>1</v>
      </c>
      <c r="J17" s="2161">
        <v>1</v>
      </c>
      <c r="K17" s="2161">
        <v>810</v>
      </c>
      <c r="L17" s="2161">
        <v>8</v>
      </c>
      <c r="M17" s="2162">
        <f t="shared" si="1"/>
        <v>6480</v>
      </c>
      <c r="N17" s="2163">
        <v>1</v>
      </c>
      <c r="O17" s="2162">
        <f t="shared" si="2"/>
        <v>8640</v>
      </c>
      <c r="P17" s="263">
        <v>1</v>
      </c>
      <c r="Q17" s="2162">
        <f t="shared" si="3"/>
        <v>8640</v>
      </c>
      <c r="R17" s="2164" t="s">
        <v>948</v>
      </c>
      <c r="S17" s="2223">
        <f>2160+8000</f>
        <v>10160</v>
      </c>
      <c r="T17" s="2167">
        <f t="shared" ref="T17:T22" si="5">S17/O17</f>
        <v>1.1759259259259258</v>
      </c>
      <c r="U17" s="2168" t="s">
        <v>944</v>
      </c>
      <c r="V17" s="2396">
        <f t="shared" si="4"/>
        <v>1.1759259259259258</v>
      </c>
      <c r="W17" s="2166">
        <v>10160</v>
      </c>
      <c r="X17" s="2168" t="s">
        <v>944</v>
      </c>
    </row>
    <row r="18" spans="1:26" ht="26.25" customHeight="1" x14ac:dyDescent="0.25">
      <c r="A18" s="717"/>
      <c r="B18" s="264" t="s">
        <v>949</v>
      </c>
      <c r="C18" s="264" t="s">
        <v>18</v>
      </c>
      <c r="D18" s="2156" t="s">
        <v>955</v>
      </c>
      <c r="E18" s="2157">
        <v>2</v>
      </c>
      <c r="F18" s="2158">
        <v>375.5</v>
      </c>
      <c r="G18" s="2157">
        <v>8</v>
      </c>
      <c r="H18" s="2159">
        <f t="shared" si="0"/>
        <v>6008</v>
      </c>
      <c r="I18" s="2160">
        <v>0.75</v>
      </c>
      <c r="J18" s="2161">
        <v>2</v>
      </c>
      <c r="K18" s="2161">
        <v>1043.125</v>
      </c>
      <c r="L18" s="2161">
        <v>8</v>
      </c>
      <c r="M18" s="2162">
        <f t="shared" si="1"/>
        <v>16690</v>
      </c>
      <c r="N18" s="2163">
        <v>0.75</v>
      </c>
      <c r="O18" s="2162">
        <f t="shared" si="2"/>
        <v>22698</v>
      </c>
      <c r="P18" s="263">
        <v>0.75</v>
      </c>
      <c r="Q18" s="2162">
        <f t="shared" si="3"/>
        <v>17023.5</v>
      </c>
      <c r="R18" s="2164" t="s">
        <v>950</v>
      </c>
      <c r="S18" s="2223">
        <f>6038+16752</f>
        <v>22790</v>
      </c>
      <c r="T18" s="2167">
        <f>S18/O18</f>
        <v>1.0040532205480659</v>
      </c>
      <c r="U18" s="2168" t="s">
        <v>944</v>
      </c>
      <c r="V18" s="2396">
        <f t="shared" si="4"/>
        <v>0.75303991541104942</v>
      </c>
      <c r="W18" s="2166">
        <v>17092.5</v>
      </c>
      <c r="X18" s="2168" t="s">
        <v>944</v>
      </c>
    </row>
    <row r="19" spans="1:26" ht="39" customHeight="1" x14ac:dyDescent="0.25">
      <c r="A19" s="717"/>
      <c r="B19" s="264" t="s">
        <v>951</v>
      </c>
      <c r="C19" s="264" t="s">
        <v>18</v>
      </c>
      <c r="D19" s="2156" t="s">
        <v>955</v>
      </c>
      <c r="E19" s="2157">
        <v>1</v>
      </c>
      <c r="F19" s="2158">
        <v>725</v>
      </c>
      <c r="G19" s="2157">
        <v>8</v>
      </c>
      <c r="H19" s="2159">
        <f t="shared" si="0"/>
        <v>5800</v>
      </c>
      <c r="I19" s="2160">
        <v>0.5</v>
      </c>
      <c r="J19" s="2161">
        <v>1</v>
      </c>
      <c r="K19" s="2161">
        <v>1265</v>
      </c>
      <c r="L19" s="2161">
        <v>8</v>
      </c>
      <c r="M19" s="2162">
        <f t="shared" si="1"/>
        <v>10120</v>
      </c>
      <c r="N19" s="2163">
        <v>0.5</v>
      </c>
      <c r="O19" s="2162">
        <f t="shared" si="2"/>
        <v>15920</v>
      </c>
      <c r="P19" s="263">
        <v>0.5</v>
      </c>
      <c r="Q19" s="2162">
        <f t="shared" si="3"/>
        <v>7960</v>
      </c>
      <c r="R19" s="2164" t="s">
        <v>948</v>
      </c>
      <c r="S19" s="2223">
        <f>5740+11300</f>
        <v>17040</v>
      </c>
      <c r="T19" s="2167">
        <f t="shared" si="5"/>
        <v>1.0703517587939699</v>
      </c>
      <c r="U19" s="2168" t="s">
        <v>944</v>
      </c>
      <c r="V19" s="2396">
        <f t="shared" si="4"/>
        <v>0.53517587939698497</v>
      </c>
      <c r="W19" s="2166">
        <v>8520</v>
      </c>
      <c r="X19" s="2168" t="s">
        <v>944</v>
      </c>
    </row>
    <row r="20" spans="1:26" ht="19.5" customHeight="1" x14ac:dyDescent="0.25">
      <c r="A20" s="717"/>
      <c r="B20" s="264" t="s">
        <v>952</v>
      </c>
      <c r="C20" s="264" t="s">
        <v>15</v>
      </c>
      <c r="D20" s="2156" t="s">
        <v>955</v>
      </c>
      <c r="E20" s="2157">
        <v>8</v>
      </c>
      <c r="F20" s="2158">
        <v>12.6875</v>
      </c>
      <c r="G20" s="2157">
        <v>8</v>
      </c>
      <c r="H20" s="2159">
        <f t="shared" si="0"/>
        <v>812</v>
      </c>
      <c r="I20" s="2160">
        <v>1</v>
      </c>
      <c r="J20" s="2161">
        <v>8</v>
      </c>
      <c r="K20" s="2161">
        <v>40</v>
      </c>
      <c r="L20" s="2161">
        <v>10</v>
      </c>
      <c r="M20" s="2162">
        <f t="shared" si="1"/>
        <v>3200</v>
      </c>
      <c r="N20" s="2163">
        <v>1</v>
      </c>
      <c r="O20" s="2162">
        <f t="shared" si="2"/>
        <v>4012</v>
      </c>
      <c r="P20" s="263">
        <v>1</v>
      </c>
      <c r="Q20" s="2162">
        <f t="shared" si="3"/>
        <v>4012</v>
      </c>
      <c r="R20" s="2164" t="s">
        <v>953</v>
      </c>
      <c r="S20" s="2223">
        <f>927+1680</f>
        <v>2607</v>
      </c>
      <c r="T20" s="2167">
        <f>S20/O20</f>
        <v>0.64980059820538383</v>
      </c>
      <c r="U20" s="2168" t="s">
        <v>944</v>
      </c>
      <c r="V20" s="2397">
        <f t="shared" si="4"/>
        <v>0.64980059820538383</v>
      </c>
      <c r="W20" s="2166">
        <v>2607</v>
      </c>
      <c r="X20" s="2168" t="s">
        <v>944</v>
      </c>
    </row>
    <row r="21" spans="1:26" ht="26" x14ac:dyDescent="0.25">
      <c r="A21" s="717"/>
      <c r="B21" s="264" t="s">
        <v>954</v>
      </c>
      <c r="C21" s="264" t="s">
        <v>15</v>
      </c>
      <c r="D21" s="2170" t="s">
        <v>955</v>
      </c>
      <c r="E21" s="2157">
        <v>1</v>
      </c>
      <c r="F21" s="2158">
        <v>270</v>
      </c>
      <c r="G21" s="2157">
        <v>1</v>
      </c>
      <c r="H21" s="2159">
        <f t="shared" si="0"/>
        <v>270</v>
      </c>
      <c r="I21" s="2160">
        <v>1</v>
      </c>
      <c r="J21" s="2161"/>
      <c r="K21" s="2161"/>
      <c r="L21" s="2161"/>
      <c r="M21" s="2162">
        <f t="shared" si="1"/>
        <v>0</v>
      </c>
      <c r="N21" s="2163">
        <v>1</v>
      </c>
      <c r="O21" s="2162">
        <f t="shared" si="2"/>
        <v>270</v>
      </c>
      <c r="P21" s="263">
        <v>1</v>
      </c>
      <c r="Q21" s="2162">
        <f t="shared" si="3"/>
        <v>270</v>
      </c>
      <c r="R21" s="2164" t="s">
        <v>956</v>
      </c>
      <c r="S21" s="2186">
        <v>270</v>
      </c>
      <c r="T21" s="2160">
        <f>S21/O21</f>
        <v>1</v>
      </c>
      <c r="U21" s="2164"/>
      <c r="V21" s="2397">
        <f t="shared" si="4"/>
        <v>1</v>
      </c>
      <c r="W21" s="2162">
        <v>270</v>
      </c>
      <c r="X21" s="2164" t="s">
        <v>1119</v>
      </c>
      <c r="Y21" s="261">
        <v>-800</v>
      </c>
      <c r="Z21" s="261" t="s">
        <v>1346</v>
      </c>
    </row>
    <row r="22" spans="1:26" ht="26" x14ac:dyDescent="0.25">
      <c r="A22" s="717"/>
      <c r="B22" s="264" t="s">
        <v>957</v>
      </c>
      <c r="C22" s="264" t="s">
        <v>47</v>
      </c>
      <c r="D22" s="2156" t="s">
        <v>955</v>
      </c>
      <c r="E22" s="2157">
        <v>1</v>
      </c>
      <c r="F22" s="2158">
        <v>90</v>
      </c>
      <c r="G22" s="2157">
        <v>1</v>
      </c>
      <c r="H22" s="2159">
        <f t="shared" si="0"/>
        <v>90</v>
      </c>
      <c r="I22" s="2160">
        <v>1</v>
      </c>
      <c r="J22" s="2161"/>
      <c r="K22" s="2161"/>
      <c r="L22" s="2161"/>
      <c r="M22" s="2162">
        <f t="shared" si="1"/>
        <v>0</v>
      </c>
      <c r="N22" s="2163">
        <v>1</v>
      </c>
      <c r="O22" s="2162">
        <f t="shared" si="2"/>
        <v>90</v>
      </c>
      <c r="P22" s="263">
        <v>1</v>
      </c>
      <c r="Q22" s="2162">
        <f t="shared" si="3"/>
        <v>90</v>
      </c>
      <c r="R22" s="2164" t="s">
        <v>958</v>
      </c>
      <c r="S22" s="2186">
        <v>90</v>
      </c>
      <c r="T22" s="2160">
        <f t="shared" si="5"/>
        <v>1</v>
      </c>
      <c r="U22" s="2162" t="s">
        <v>606</v>
      </c>
      <c r="V22" s="2397">
        <f t="shared" si="4"/>
        <v>1</v>
      </c>
      <c r="W22" s="2162">
        <v>90</v>
      </c>
      <c r="X22" s="2162" t="s">
        <v>606</v>
      </c>
    </row>
    <row r="23" spans="1:26" ht="26" x14ac:dyDescent="0.25">
      <c r="A23" s="717"/>
      <c r="B23" s="264" t="s">
        <v>959</v>
      </c>
      <c r="C23" s="264" t="s">
        <v>48</v>
      </c>
      <c r="D23" s="2170" t="s">
        <v>955</v>
      </c>
      <c r="E23" s="2157">
        <v>1</v>
      </c>
      <c r="F23" s="2158">
        <v>3649.97</v>
      </c>
      <c r="G23" s="2157">
        <v>1</v>
      </c>
      <c r="H23" s="2159">
        <f t="shared" si="0"/>
        <v>3649.97</v>
      </c>
      <c r="I23" s="2160">
        <v>1</v>
      </c>
      <c r="J23" s="2161">
        <v>1</v>
      </c>
      <c r="K23" s="2161">
        <v>3000</v>
      </c>
      <c r="L23" s="2161">
        <v>1</v>
      </c>
      <c r="M23" s="2162">
        <f t="shared" si="1"/>
        <v>3000</v>
      </c>
      <c r="N23" s="2163">
        <v>1</v>
      </c>
      <c r="O23" s="2162">
        <f t="shared" si="2"/>
        <v>6649.9699999999993</v>
      </c>
      <c r="P23" s="263">
        <v>1</v>
      </c>
      <c r="Q23" s="2162">
        <f t="shared" si="3"/>
        <v>6649.9699999999993</v>
      </c>
      <c r="R23" s="2164" t="s">
        <v>960</v>
      </c>
      <c r="S23" s="2186">
        <v>6109.37</v>
      </c>
      <c r="T23" s="2160">
        <f>S23/O23</f>
        <v>0.91870640017924898</v>
      </c>
      <c r="U23" s="2162" t="s">
        <v>606</v>
      </c>
      <c r="V23" s="2397">
        <f t="shared" si="4"/>
        <v>0.91870640017924898</v>
      </c>
      <c r="W23" s="2162">
        <v>6109.37</v>
      </c>
      <c r="X23" s="2162" t="s">
        <v>606</v>
      </c>
    </row>
    <row r="24" spans="1:26" ht="39" x14ac:dyDescent="0.25">
      <c r="A24" s="717"/>
      <c r="B24" s="264" t="s">
        <v>961</v>
      </c>
      <c r="C24" s="264" t="s">
        <v>15</v>
      </c>
      <c r="D24" s="2156" t="s">
        <v>955</v>
      </c>
      <c r="E24" s="2157">
        <v>15</v>
      </c>
      <c r="F24" s="2158">
        <v>90</v>
      </c>
      <c r="G24" s="2157">
        <v>1</v>
      </c>
      <c r="H24" s="2159">
        <f t="shared" si="0"/>
        <v>1350</v>
      </c>
      <c r="I24" s="2160">
        <v>1</v>
      </c>
      <c r="J24" s="2161">
        <v>15</v>
      </c>
      <c r="K24" s="2161">
        <v>65</v>
      </c>
      <c r="L24" s="2161">
        <v>1</v>
      </c>
      <c r="M24" s="2162">
        <f t="shared" si="1"/>
        <v>975</v>
      </c>
      <c r="N24" s="2163">
        <v>1</v>
      </c>
      <c r="O24" s="2162">
        <f t="shared" si="2"/>
        <v>2325</v>
      </c>
      <c r="P24" s="263">
        <v>1</v>
      </c>
      <c r="Q24" s="2162">
        <f t="shared" si="3"/>
        <v>2325</v>
      </c>
      <c r="R24" s="2164" t="s">
        <v>962</v>
      </c>
      <c r="S24" s="2186">
        <v>1778</v>
      </c>
      <c r="T24" s="2160">
        <f>S24/O24</f>
        <v>0.76473118279569896</v>
      </c>
      <c r="U24" s="2162" t="s">
        <v>606</v>
      </c>
      <c r="V24" s="2397">
        <f t="shared" si="4"/>
        <v>0.76473118279569896</v>
      </c>
      <c r="W24" s="2162">
        <v>1778</v>
      </c>
      <c r="X24" s="2162" t="s">
        <v>606</v>
      </c>
    </row>
    <row r="25" spans="1:26" ht="39" x14ac:dyDescent="0.25">
      <c r="A25" s="717"/>
      <c r="B25" s="264" t="s">
        <v>963</v>
      </c>
      <c r="C25" s="264" t="s">
        <v>15</v>
      </c>
      <c r="D25" s="2156" t="s">
        <v>955</v>
      </c>
      <c r="E25" s="2157">
        <v>1</v>
      </c>
      <c r="F25" s="2158">
        <v>1280</v>
      </c>
      <c r="G25" s="2157">
        <v>1</v>
      </c>
      <c r="H25" s="2159">
        <f t="shared" si="0"/>
        <v>1280</v>
      </c>
      <c r="I25" s="2160">
        <v>1</v>
      </c>
      <c r="J25" s="2161">
        <v>1</v>
      </c>
      <c r="K25" s="2161">
        <v>1125</v>
      </c>
      <c r="L25" s="2161">
        <v>0</v>
      </c>
      <c r="M25" s="2162">
        <f t="shared" si="1"/>
        <v>0</v>
      </c>
      <c r="N25" s="2163">
        <v>1</v>
      </c>
      <c r="O25" s="2162">
        <f t="shared" si="2"/>
        <v>1280</v>
      </c>
      <c r="P25" s="263">
        <v>1</v>
      </c>
      <c r="Q25" s="2162">
        <f t="shared" si="3"/>
        <v>1280</v>
      </c>
      <c r="R25" s="2164" t="s">
        <v>964</v>
      </c>
      <c r="S25" s="2186">
        <v>1350</v>
      </c>
      <c r="T25" s="2160">
        <f>S25/O25</f>
        <v>1.0546875</v>
      </c>
      <c r="U25" s="2164" t="s">
        <v>1483</v>
      </c>
      <c r="V25" s="2397">
        <f>W25/O25</f>
        <v>1.0546875</v>
      </c>
      <c r="W25" s="2162">
        <v>1350</v>
      </c>
      <c r="X25" s="2164" t="s">
        <v>1483</v>
      </c>
    </row>
    <row r="26" spans="1:26" ht="23.25" customHeight="1" x14ac:dyDescent="0.25">
      <c r="A26" s="717"/>
      <c r="B26" s="264" t="s">
        <v>965</v>
      </c>
      <c r="C26" s="264" t="s">
        <v>48</v>
      </c>
      <c r="D26" s="2170">
        <v>0</v>
      </c>
      <c r="E26" s="2157">
        <v>0</v>
      </c>
      <c r="F26" s="2158">
        <v>0</v>
      </c>
      <c r="G26" s="2157">
        <v>0</v>
      </c>
      <c r="H26" s="2159">
        <f t="shared" si="0"/>
        <v>0</v>
      </c>
      <c r="I26" s="2160">
        <v>1</v>
      </c>
      <c r="J26" s="2161">
        <v>0</v>
      </c>
      <c r="K26" s="2161">
        <v>0</v>
      </c>
      <c r="L26" s="2161">
        <v>0</v>
      </c>
      <c r="M26" s="2162">
        <f t="shared" si="1"/>
        <v>0</v>
      </c>
      <c r="N26" s="2163">
        <v>1</v>
      </c>
      <c r="O26" s="2162">
        <f t="shared" si="2"/>
        <v>0</v>
      </c>
      <c r="P26" s="263">
        <v>1</v>
      </c>
      <c r="Q26" s="2162">
        <f t="shared" si="3"/>
        <v>0</v>
      </c>
      <c r="R26" s="2164" t="s">
        <v>966</v>
      </c>
      <c r="S26" s="2186">
        <v>0</v>
      </c>
      <c r="T26" s="2160">
        <v>0</v>
      </c>
      <c r="U26" s="2164"/>
      <c r="V26" s="2397">
        <v>0</v>
      </c>
      <c r="W26" s="2162">
        <v>0</v>
      </c>
      <c r="X26" s="2164"/>
    </row>
    <row r="27" spans="1:26" ht="39" x14ac:dyDescent="0.25">
      <c r="A27" s="717"/>
      <c r="B27" s="264" t="s">
        <v>967</v>
      </c>
      <c r="C27" s="264" t="s">
        <v>15</v>
      </c>
      <c r="D27" s="2156" t="s">
        <v>955</v>
      </c>
      <c r="E27" s="2157">
        <v>4</v>
      </c>
      <c r="F27" s="2158">
        <v>467.5</v>
      </c>
      <c r="G27" s="2157">
        <v>1</v>
      </c>
      <c r="H27" s="2159">
        <f t="shared" si="0"/>
        <v>1870</v>
      </c>
      <c r="I27" s="2160">
        <v>1</v>
      </c>
      <c r="J27" s="2161"/>
      <c r="K27" s="2161"/>
      <c r="L27" s="2161"/>
      <c r="M27" s="2162">
        <f t="shared" si="1"/>
        <v>0</v>
      </c>
      <c r="N27" s="2163">
        <v>1</v>
      </c>
      <c r="O27" s="2162">
        <f t="shared" si="2"/>
        <v>1870</v>
      </c>
      <c r="P27" s="263">
        <v>1</v>
      </c>
      <c r="Q27" s="2162">
        <f t="shared" si="3"/>
        <v>1870</v>
      </c>
      <c r="R27" s="2164" t="s">
        <v>968</v>
      </c>
      <c r="S27" s="2186">
        <v>1870</v>
      </c>
      <c r="T27" s="2160">
        <f t="shared" ref="T27:T60" si="6">S27/O27</f>
        <v>1</v>
      </c>
      <c r="U27" s="2162" t="s">
        <v>606</v>
      </c>
      <c r="V27" s="2397">
        <f t="shared" ref="V27" si="7">W27/O27</f>
        <v>1</v>
      </c>
      <c r="W27" s="2162">
        <v>1870</v>
      </c>
      <c r="X27" s="2162" t="s">
        <v>606</v>
      </c>
    </row>
    <row r="28" spans="1:26" ht="26" x14ac:dyDescent="0.25">
      <c r="A28" s="717"/>
      <c r="B28" s="264" t="s">
        <v>969</v>
      </c>
      <c r="C28" s="264" t="s">
        <v>15</v>
      </c>
      <c r="D28" s="2156" t="s">
        <v>955</v>
      </c>
      <c r="E28" s="2157">
        <v>15</v>
      </c>
      <c r="F28" s="2158">
        <v>42.583333333333336</v>
      </c>
      <c r="G28" s="2157">
        <v>1</v>
      </c>
      <c r="H28" s="2159">
        <f t="shared" si="0"/>
        <v>638.75</v>
      </c>
      <c r="I28" s="2160">
        <v>1</v>
      </c>
      <c r="J28" s="2161"/>
      <c r="K28" s="2161"/>
      <c r="L28" s="2161"/>
      <c r="M28" s="2162">
        <f t="shared" si="1"/>
        <v>0</v>
      </c>
      <c r="N28" s="2163">
        <v>1</v>
      </c>
      <c r="O28" s="2162">
        <f t="shared" si="2"/>
        <v>638.75</v>
      </c>
      <c r="P28" s="263">
        <v>1</v>
      </c>
      <c r="Q28" s="2162">
        <f t="shared" si="3"/>
        <v>638.75</v>
      </c>
      <c r="R28" s="2164" t="s">
        <v>970</v>
      </c>
      <c r="S28" s="2186">
        <v>639.75</v>
      </c>
      <c r="T28" s="2160">
        <f t="shared" si="6"/>
        <v>1.0015655577299414</v>
      </c>
      <c r="U28" s="2162" t="s">
        <v>606</v>
      </c>
      <c r="V28" s="2165">
        <v>1</v>
      </c>
      <c r="W28" s="2162">
        <v>639.75</v>
      </c>
      <c r="X28" s="2162" t="s">
        <v>606</v>
      </c>
    </row>
    <row r="29" spans="1:26" ht="65" x14ac:dyDescent="0.25">
      <c r="A29" s="717"/>
      <c r="B29" s="264" t="s">
        <v>971</v>
      </c>
      <c r="C29" s="264" t="s">
        <v>48</v>
      </c>
      <c r="D29" s="2170" t="s">
        <v>972</v>
      </c>
      <c r="E29" s="2157">
        <v>1</v>
      </c>
      <c r="F29" s="2158">
        <v>1251.1111111111111</v>
      </c>
      <c r="G29" s="2157">
        <v>9</v>
      </c>
      <c r="H29" s="2159">
        <f t="shared" si="0"/>
        <v>11260</v>
      </c>
      <c r="I29" s="2160">
        <v>0.97</v>
      </c>
      <c r="J29" s="2161">
        <v>0</v>
      </c>
      <c r="K29" s="2161">
        <v>1325</v>
      </c>
      <c r="L29" s="2161">
        <v>12</v>
      </c>
      <c r="M29" s="2162">
        <f t="shared" si="1"/>
        <v>0</v>
      </c>
      <c r="N29" s="2163">
        <v>0.97</v>
      </c>
      <c r="O29" s="2162">
        <f t="shared" si="2"/>
        <v>11260</v>
      </c>
      <c r="P29" s="263">
        <v>0.97</v>
      </c>
      <c r="Q29" s="2162">
        <f t="shared" si="3"/>
        <v>10922.199999999999</v>
      </c>
      <c r="R29" s="2164" t="s">
        <v>973</v>
      </c>
      <c r="S29" s="2186">
        <v>10480</v>
      </c>
      <c r="T29" s="2160">
        <f t="shared" si="6"/>
        <v>0.93072824156305511</v>
      </c>
      <c r="U29" s="2162" t="s">
        <v>606</v>
      </c>
      <c r="V29" s="2165">
        <v>1</v>
      </c>
      <c r="W29" s="2162">
        <v>10480</v>
      </c>
      <c r="X29" s="2162" t="s">
        <v>606</v>
      </c>
    </row>
    <row r="30" spans="1:26" ht="26" x14ac:dyDescent="0.25">
      <c r="A30" s="717"/>
      <c r="B30" s="264" t="s">
        <v>974</v>
      </c>
      <c r="C30" s="264" t="s">
        <v>15</v>
      </c>
      <c r="D30" s="2156" t="s">
        <v>955</v>
      </c>
      <c r="E30" s="2157">
        <v>9</v>
      </c>
      <c r="F30" s="2158">
        <v>76.111111111111114</v>
      </c>
      <c r="G30" s="2157">
        <v>1</v>
      </c>
      <c r="H30" s="2159">
        <f t="shared" si="0"/>
        <v>685</v>
      </c>
      <c r="I30" s="2160">
        <v>1</v>
      </c>
      <c r="J30" s="2161">
        <v>16</v>
      </c>
      <c r="K30" s="2161">
        <v>85</v>
      </c>
      <c r="L30" s="2161">
        <v>1</v>
      </c>
      <c r="M30" s="2162">
        <f t="shared" si="1"/>
        <v>1360</v>
      </c>
      <c r="N30" s="2163">
        <v>1</v>
      </c>
      <c r="O30" s="2162">
        <f t="shared" si="2"/>
        <v>2045</v>
      </c>
      <c r="P30" s="263">
        <v>1</v>
      </c>
      <c r="Q30" s="2162">
        <f t="shared" si="3"/>
        <v>2045</v>
      </c>
      <c r="R30" s="2164" t="s">
        <v>975</v>
      </c>
      <c r="S30" s="2186">
        <v>1148</v>
      </c>
      <c r="T30" s="2160">
        <f t="shared" si="6"/>
        <v>0.56136919315403422</v>
      </c>
      <c r="U30" s="2162" t="s">
        <v>606</v>
      </c>
      <c r="V30" s="2165">
        <v>1</v>
      </c>
      <c r="W30" s="2162">
        <v>1148</v>
      </c>
      <c r="X30" s="2162" t="s">
        <v>606</v>
      </c>
    </row>
    <row r="31" spans="1:26" ht="26" x14ac:dyDescent="0.25">
      <c r="A31" s="717"/>
      <c r="B31" s="264" t="s">
        <v>976</v>
      </c>
      <c r="C31" s="264" t="s">
        <v>15</v>
      </c>
      <c r="D31" s="2156" t="s">
        <v>955</v>
      </c>
      <c r="E31" s="2157">
        <v>16</v>
      </c>
      <c r="F31" s="2158">
        <v>25.171875</v>
      </c>
      <c r="G31" s="2157">
        <v>1</v>
      </c>
      <c r="H31" s="2159">
        <f t="shared" si="0"/>
        <v>402.75</v>
      </c>
      <c r="I31" s="2160">
        <v>1</v>
      </c>
      <c r="J31" s="2161">
        <v>26</v>
      </c>
      <c r="K31" s="2161">
        <v>30</v>
      </c>
      <c r="L31" s="2161">
        <v>1</v>
      </c>
      <c r="M31" s="2162">
        <f t="shared" si="1"/>
        <v>780</v>
      </c>
      <c r="N31" s="2163">
        <v>1</v>
      </c>
      <c r="O31" s="2162">
        <f t="shared" si="2"/>
        <v>1182.75</v>
      </c>
      <c r="P31" s="263">
        <v>1</v>
      </c>
      <c r="Q31" s="2162">
        <f t="shared" si="3"/>
        <v>1182.75</v>
      </c>
      <c r="R31" s="2164" t="s">
        <v>977</v>
      </c>
      <c r="S31" s="2223">
        <f>183.75+931</f>
        <v>1114.75</v>
      </c>
      <c r="T31" s="2167">
        <f t="shared" si="6"/>
        <v>0.94250686958359753</v>
      </c>
      <c r="U31" s="2168" t="s">
        <v>944</v>
      </c>
      <c r="V31" s="2169">
        <v>1</v>
      </c>
      <c r="W31" s="2166">
        <v>1114.75</v>
      </c>
      <c r="X31" s="2168" t="s">
        <v>944</v>
      </c>
    </row>
    <row r="32" spans="1:26" ht="39" x14ac:dyDescent="0.25">
      <c r="A32" s="717"/>
      <c r="B32" s="264" t="s">
        <v>978</v>
      </c>
      <c r="C32" s="264" t="s">
        <v>15</v>
      </c>
      <c r="D32" s="2156" t="s">
        <v>955</v>
      </c>
      <c r="E32" s="2157">
        <v>2</v>
      </c>
      <c r="F32" s="2158">
        <v>125</v>
      </c>
      <c r="G32" s="2157">
        <v>0</v>
      </c>
      <c r="H32" s="2159">
        <f t="shared" si="0"/>
        <v>0</v>
      </c>
      <c r="I32" s="2160">
        <v>1</v>
      </c>
      <c r="J32" s="2161">
        <v>7</v>
      </c>
      <c r="K32" s="2161">
        <v>160.71428571428572</v>
      </c>
      <c r="L32" s="2161">
        <v>1</v>
      </c>
      <c r="M32" s="2162">
        <f t="shared" si="1"/>
        <v>1125</v>
      </c>
      <c r="N32" s="2163">
        <v>1</v>
      </c>
      <c r="O32" s="2162">
        <f t="shared" si="2"/>
        <v>1125</v>
      </c>
      <c r="P32" s="263">
        <v>1</v>
      </c>
      <c r="Q32" s="2162">
        <f t="shared" si="3"/>
        <v>1125</v>
      </c>
      <c r="R32" s="2164" t="s">
        <v>979</v>
      </c>
      <c r="S32" s="2186">
        <v>758</v>
      </c>
      <c r="T32" s="2160">
        <f t="shared" si="6"/>
        <v>0.67377777777777781</v>
      </c>
      <c r="U32" s="2164" t="s">
        <v>944</v>
      </c>
      <c r="V32" s="2165">
        <v>1</v>
      </c>
      <c r="W32" s="2162">
        <f>S32*V32</f>
        <v>758</v>
      </c>
      <c r="X32" s="2164" t="s">
        <v>944</v>
      </c>
    </row>
    <row r="33" spans="1:24" ht="65" x14ac:dyDescent="0.25">
      <c r="A33" s="717"/>
      <c r="B33" s="264" t="s">
        <v>980</v>
      </c>
      <c r="C33" s="264" t="s">
        <v>48</v>
      </c>
      <c r="D33" s="2156" t="s">
        <v>955</v>
      </c>
      <c r="E33" s="2157">
        <v>0</v>
      </c>
      <c r="F33" s="2158">
        <v>0</v>
      </c>
      <c r="G33" s="2157">
        <v>0</v>
      </c>
      <c r="H33" s="2159">
        <f t="shared" si="0"/>
        <v>0</v>
      </c>
      <c r="I33" s="2160">
        <v>1</v>
      </c>
      <c r="J33" s="2161">
        <v>4</v>
      </c>
      <c r="K33" s="2161">
        <v>700</v>
      </c>
      <c r="L33" s="2161">
        <v>1</v>
      </c>
      <c r="M33" s="2162">
        <f t="shared" si="1"/>
        <v>2800</v>
      </c>
      <c r="N33" s="2163">
        <v>1</v>
      </c>
      <c r="O33" s="2162">
        <f t="shared" si="2"/>
        <v>2800</v>
      </c>
      <c r="P33" s="263">
        <v>1</v>
      </c>
      <c r="Q33" s="2162">
        <f t="shared" si="3"/>
        <v>2800</v>
      </c>
      <c r="R33" s="2164" t="s">
        <v>981</v>
      </c>
      <c r="S33" s="2186">
        <v>2920</v>
      </c>
      <c r="T33" s="2160">
        <f t="shared" si="6"/>
        <v>1.0428571428571429</v>
      </c>
      <c r="U33" s="2164" t="s">
        <v>1484</v>
      </c>
      <c r="V33" s="2165">
        <v>1</v>
      </c>
      <c r="W33" s="2162">
        <f t="shared" ref="W33" si="8">S33*V33</f>
        <v>2920</v>
      </c>
      <c r="X33" s="2164" t="s">
        <v>1484</v>
      </c>
    </row>
    <row r="34" spans="1:24" ht="52" x14ac:dyDescent="0.25">
      <c r="A34" s="717"/>
      <c r="B34" s="264" t="s">
        <v>982</v>
      </c>
      <c r="C34" s="264" t="s">
        <v>48</v>
      </c>
      <c r="D34" s="2156" t="s">
        <v>955</v>
      </c>
      <c r="E34" s="2157">
        <v>0</v>
      </c>
      <c r="F34" s="2158">
        <v>0</v>
      </c>
      <c r="G34" s="2157">
        <v>0</v>
      </c>
      <c r="H34" s="2159">
        <f t="shared" si="0"/>
        <v>0</v>
      </c>
      <c r="I34" s="2160">
        <v>1</v>
      </c>
      <c r="J34" s="2161">
        <v>4</v>
      </c>
      <c r="K34" s="2161">
        <v>900</v>
      </c>
      <c r="L34" s="2161">
        <v>1</v>
      </c>
      <c r="M34" s="2162">
        <f t="shared" si="1"/>
        <v>3600</v>
      </c>
      <c r="N34" s="2163">
        <v>1</v>
      </c>
      <c r="O34" s="2162">
        <f t="shared" si="2"/>
        <v>3600</v>
      </c>
      <c r="P34" s="263">
        <v>1</v>
      </c>
      <c r="Q34" s="2162">
        <f t="shared" si="3"/>
        <v>3600</v>
      </c>
      <c r="R34" s="2164" t="s">
        <v>983</v>
      </c>
      <c r="S34" s="2186">
        <v>3200</v>
      </c>
      <c r="T34" s="2160">
        <f t="shared" si="6"/>
        <v>0.88888888888888884</v>
      </c>
      <c r="U34" s="2164" t="s">
        <v>984</v>
      </c>
      <c r="V34" s="2165">
        <v>1</v>
      </c>
      <c r="W34" s="2162">
        <f>S34*V34</f>
        <v>3200</v>
      </c>
      <c r="X34" s="2164" t="s">
        <v>984</v>
      </c>
    </row>
    <row r="35" spans="1:24" ht="39.65" customHeight="1" x14ac:dyDescent="0.25">
      <c r="A35" s="717"/>
      <c r="B35" s="264" t="s">
        <v>985</v>
      </c>
      <c r="C35" s="264" t="s">
        <v>48</v>
      </c>
      <c r="D35" s="2156" t="s">
        <v>955</v>
      </c>
      <c r="E35" s="2157">
        <v>0</v>
      </c>
      <c r="F35" s="2158">
        <v>0</v>
      </c>
      <c r="G35" s="2157">
        <v>0</v>
      </c>
      <c r="H35" s="2159">
        <f t="shared" si="0"/>
        <v>0</v>
      </c>
      <c r="I35" s="2160">
        <v>1</v>
      </c>
      <c r="J35" s="2161">
        <v>8</v>
      </c>
      <c r="K35" s="2161">
        <v>403.38541666666669</v>
      </c>
      <c r="L35" s="2161">
        <v>12</v>
      </c>
      <c r="M35" s="2162">
        <f t="shared" si="1"/>
        <v>38725</v>
      </c>
      <c r="N35" s="2163">
        <v>1</v>
      </c>
      <c r="O35" s="2162">
        <f t="shared" si="2"/>
        <v>38725</v>
      </c>
      <c r="P35" s="263">
        <v>1</v>
      </c>
      <c r="Q35" s="2162">
        <f t="shared" si="3"/>
        <v>38725</v>
      </c>
      <c r="R35" s="2164" t="s">
        <v>986</v>
      </c>
      <c r="S35" s="2223">
        <v>28283.942779999998</v>
      </c>
      <c r="T35" s="2167">
        <f t="shared" si="6"/>
        <v>0.73037941329890244</v>
      </c>
      <c r="U35" s="2168" t="s">
        <v>944</v>
      </c>
      <c r="V35" s="2169">
        <v>1</v>
      </c>
      <c r="W35" s="2166">
        <f>S35*V35</f>
        <v>28283.942779999998</v>
      </c>
      <c r="X35" s="2168" t="s">
        <v>944</v>
      </c>
    </row>
    <row r="36" spans="1:24" ht="19.5" customHeight="1" x14ac:dyDescent="0.25">
      <c r="A36" s="717"/>
      <c r="B36" s="264" t="s">
        <v>987</v>
      </c>
      <c r="C36" s="264" t="s">
        <v>48</v>
      </c>
      <c r="D36" s="2156" t="s">
        <v>955</v>
      </c>
      <c r="E36" s="2157">
        <v>0</v>
      </c>
      <c r="F36" s="2158">
        <v>0</v>
      </c>
      <c r="G36" s="2157">
        <v>0</v>
      </c>
      <c r="H36" s="2159">
        <f t="shared" si="0"/>
        <v>0</v>
      </c>
      <c r="I36" s="2160">
        <v>1</v>
      </c>
      <c r="J36" s="2161">
        <v>1</v>
      </c>
      <c r="K36" s="2161">
        <v>864</v>
      </c>
      <c r="L36" s="2161">
        <v>1</v>
      </c>
      <c r="M36" s="2162">
        <f t="shared" si="1"/>
        <v>864</v>
      </c>
      <c r="N36" s="2163">
        <v>1</v>
      </c>
      <c r="O36" s="2162">
        <f t="shared" si="2"/>
        <v>864</v>
      </c>
      <c r="P36" s="263">
        <v>1</v>
      </c>
      <c r="Q36" s="2162">
        <f t="shared" si="3"/>
        <v>864</v>
      </c>
      <c r="R36" s="2164" t="s">
        <v>988</v>
      </c>
      <c r="S36" s="2186">
        <v>1691.04</v>
      </c>
      <c r="T36" s="2160">
        <f t="shared" si="6"/>
        <v>1.9572222222222222</v>
      </c>
      <c r="U36" s="2164" t="s">
        <v>1485</v>
      </c>
      <c r="V36" s="2165">
        <v>1</v>
      </c>
      <c r="W36" s="2162">
        <f>S36*V36</f>
        <v>1691.04</v>
      </c>
      <c r="X36" s="2164" t="s">
        <v>1485</v>
      </c>
    </row>
    <row r="37" spans="1:24" x14ac:dyDescent="0.25">
      <c r="A37" s="717"/>
      <c r="B37" s="264"/>
      <c r="C37" s="264"/>
      <c r="D37" s="2171" t="s">
        <v>0</v>
      </c>
      <c r="E37" s="2172"/>
      <c r="F37" s="2173"/>
      <c r="G37" s="2172"/>
      <c r="H37" s="2174">
        <f>SUM(H12:H36)</f>
        <v>48501.725000000006</v>
      </c>
      <c r="I37" s="2175"/>
      <c r="J37" s="2176"/>
      <c r="K37" s="2176"/>
      <c r="L37" s="2176"/>
      <c r="M37" s="2174">
        <f>SUM(M12:M36)</f>
        <v>100114</v>
      </c>
      <c r="N37" s="2177"/>
      <c r="O37" s="2174">
        <f>SUM(O12:O36)</f>
        <v>148615.72500000001</v>
      </c>
      <c r="P37" s="2178">
        <f>+Q37/O37</f>
        <v>0.79400729228450184</v>
      </c>
      <c r="Q37" s="2174">
        <f>SUM(Q12:Q36)</f>
        <v>118001.96939814815</v>
      </c>
      <c r="R37" s="2179"/>
      <c r="S37" s="2851">
        <f>SUM(S12:S36)</f>
        <v>135889.08721139401</v>
      </c>
      <c r="T37" s="2180">
        <f t="shared" si="6"/>
        <v>0.9143654698141398</v>
      </c>
      <c r="U37" s="2181"/>
      <c r="V37" s="2175">
        <f>W37/S37</f>
        <v>0.77648003195324111</v>
      </c>
      <c r="W37" s="2174">
        <f>SUM(W12:W36)</f>
        <v>105515.16277999998</v>
      </c>
      <c r="X37" s="2181"/>
    </row>
    <row r="38" spans="1:24" s="2190" customFormat="1" ht="72.650000000000006" customHeight="1" x14ac:dyDescent="0.25">
      <c r="A38" s="2182" t="s">
        <v>989</v>
      </c>
      <c r="B38" s="269" t="s">
        <v>990</v>
      </c>
      <c r="C38" s="269" t="s">
        <v>15</v>
      </c>
      <c r="D38" s="2156" t="s">
        <v>955</v>
      </c>
      <c r="E38" s="2183">
        <v>15</v>
      </c>
      <c r="F38" s="2184">
        <v>25.783333333333335</v>
      </c>
      <c r="G38" s="2183">
        <v>1</v>
      </c>
      <c r="H38" s="2159">
        <f t="shared" ref="H38:H42" si="9">E38*F38*G38</f>
        <v>386.75</v>
      </c>
      <c r="I38" s="2160">
        <v>1</v>
      </c>
      <c r="J38" s="2161"/>
      <c r="K38" s="2161"/>
      <c r="L38" s="2161"/>
      <c r="M38" s="2162">
        <f>J38*K38*L38</f>
        <v>0</v>
      </c>
      <c r="N38" s="2187">
        <v>1</v>
      </c>
      <c r="O38" s="2186">
        <f>+H38+M38</f>
        <v>386.75</v>
      </c>
      <c r="P38" s="2188">
        <v>1</v>
      </c>
      <c r="Q38" s="2186">
        <f t="shared" si="3"/>
        <v>386.75</v>
      </c>
      <c r="R38" s="2189" t="s">
        <v>991</v>
      </c>
      <c r="S38" s="2186">
        <v>508.75</v>
      </c>
      <c r="T38" s="2185">
        <f t="shared" si="6"/>
        <v>1.3154492566257272</v>
      </c>
      <c r="U38" s="2189" t="s">
        <v>1485</v>
      </c>
      <c r="V38" s="2185">
        <v>1</v>
      </c>
      <c r="W38" s="2186">
        <f>S38*V38</f>
        <v>508.75</v>
      </c>
      <c r="X38" s="2189" t="s">
        <v>1485</v>
      </c>
    </row>
    <row r="39" spans="1:24" ht="39" x14ac:dyDescent="0.25">
      <c r="A39" s="717"/>
      <c r="B39" s="264" t="s">
        <v>992</v>
      </c>
      <c r="C39" s="264" t="s">
        <v>15</v>
      </c>
      <c r="D39" s="2156" t="s">
        <v>955</v>
      </c>
      <c r="E39" s="2157">
        <v>645</v>
      </c>
      <c r="F39" s="2158">
        <v>0.7317829457364341</v>
      </c>
      <c r="G39" s="2157">
        <v>1</v>
      </c>
      <c r="H39" s="2159">
        <f t="shared" si="9"/>
        <v>472</v>
      </c>
      <c r="I39" s="2160">
        <v>1</v>
      </c>
      <c r="J39" s="2161">
        <v>1155</v>
      </c>
      <c r="K39" s="2161">
        <v>0.75</v>
      </c>
      <c r="L39" s="2161">
        <v>1</v>
      </c>
      <c r="M39" s="2162">
        <f t="shared" ref="M39:M42" si="10">J39*K39*L39</f>
        <v>866.25</v>
      </c>
      <c r="N39" s="2163">
        <v>1</v>
      </c>
      <c r="O39" s="2162">
        <f>+H39+M39</f>
        <v>1338.25</v>
      </c>
      <c r="P39" s="263">
        <v>1</v>
      </c>
      <c r="Q39" s="2162">
        <f t="shared" si="3"/>
        <v>1338.25</v>
      </c>
      <c r="R39" s="2164" t="s">
        <v>993</v>
      </c>
      <c r="S39" s="2186">
        <v>910</v>
      </c>
      <c r="T39" s="2160">
        <f t="shared" si="6"/>
        <v>0.67999252755464223</v>
      </c>
      <c r="U39" s="2162" t="s">
        <v>944</v>
      </c>
      <c r="V39" s="2160">
        <v>1</v>
      </c>
      <c r="W39" s="2162">
        <f>S39*V39</f>
        <v>910</v>
      </c>
      <c r="X39" s="2162" t="s">
        <v>944</v>
      </c>
    </row>
    <row r="40" spans="1:24" ht="52" x14ac:dyDescent="0.25">
      <c r="A40" s="717"/>
      <c r="B40" s="264" t="s">
        <v>994</v>
      </c>
      <c r="C40" s="264" t="s">
        <v>15</v>
      </c>
      <c r="D40" s="2170"/>
      <c r="E40" s="2157">
        <v>0</v>
      </c>
      <c r="F40" s="2158">
        <v>15</v>
      </c>
      <c r="G40" s="2157">
        <v>8</v>
      </c>
      <c r="H40" s="2159">
        <f t="shared" si="9"/>
        <v>0</v>
      </c>
      <c r="I40" s="2160">
        <v>1</v>
      </c>
      <c r="J40" s="2161">
        <v>30</v>
      </c>
      <c r="K40" s="2161">
        <v>15</v>
      </c>
      <c r="L40" s="2161">
        <v>10</v>
      </c>
      <c r="M40" s="2162">
        <f t="shared" si="10"/>
        <v>4500</v>
      </c>
      <c r="N40" s="2163">
        <v>1</v>
      </c>
      <c r="O40" s="2162">
        <f>+H40+M40</f>
        <v>4500</v>
      </c>
      <c r="P40" s="263">
        <v>1</v>
      </c>
      <c r="Q40" s="2162">
        <f t="shared" si="3"/>
        <v>4500</v>
      </c>
      <c r="R40" s="2164" t="s">
        <v>995</v>
      </c>
      <c r="S40" s="2186">
        <v>0</v>
      </c>
      <c r="T40" s="2160">
        <f t="shared" si="6"/>
        <v>0</v>
      </c>
      <c r="U40" s="2162" t="s">
        <v>944</v>
      </c>
      <c r="V40" s="2160">
        <v>1</v>
      </c>
      <c r="W40" s="2162">
        <f>S40*V40</f>
        <v>0</v>
      </c>
      <c r="X40" s="2162" t="s">
        <v>944</v>
      </c>
    </row>
    <row r="41" spans="1:24" ht="26" x14ac:dyDescent="0.25">
      <c r="A41" s="717"/>
      <c r="B41" s="264" t="s">
        <v>996</v>
      </c>
      <c r="C41" s="264" t="s">
        <v>15</v>
      </c>
      <c r="D41" s="2156" t="s">
        <v>955</v>
      </c>
      <c r="E41" s="2157">
        <v>30</v>
      </c>
      <c r="F41" s="2158">
        <v>36.666666666666664</v>
      </c>
      <c r="G41" s="2157">
        <v>1</v>
      </c>
      <c r="H41" s="2159">
        <f t="shared" si="9"/>
        <v>1100</v>
      </c>
      <c r="I41" s="2160">
        <v>1</v>
      </c>
      <c r="J41" s="2161">
        <v>0</v>
      </c>
      <c r="K41" s="2161">
        <v>0</v>
      </c>
      <c r="L41" s="2161">
        <v>0</v>
      </c>
      <c r="M41" s="2162">
        <f t="shared" si="10"/>
        <v>0</v>
      </c>
      <c r="N41" s="2163">
        <v>1</v>
      </c>
      <c r="O41" s="2162">
        <f>+H41+M41</f>
        <v>1100</v>
      </c>
      <c r="P41" s="263">
        <v>1</v>
      </c>
      <c r="Q41" s="2162">
        <f t="shared" si="3"/>
        <v>1100</v>
      </c>
      <c r="R41" s="2164" t="s">
        <v>997</v>
      </c>
      <c r="S41" s="2186">
        <v>1100</v>
      </c>
      <c r="T41" s="2160">
        <f t="shared" si="6"/>
        <v>1</v>
      </c>
      <c r="U41" s="2162" t="s">
        <v>606</v>
      </c>
      <c r="V41" s="2160">
        <v>1</v>
      </c>
      <c r="W41" s="2162">
        <f>S41*V41</f>
        <v>1100</v>
      </c>
      <c r="X41" s="2162" t="s">
        <v>606</v>
      </c>
    </row>
    <row r="42" spans="1:24" ht="26" x14ac:dyDescent="0.25">
      <c r="A42" s="717"/>
      <c r="B42" s="264" t="s">
        <v>998</v>
      </c>
      <c r="C42" s="264" t="s">
        <v>15</v>
      </c>
      <c r="D42" s="2156" t="s">
        <v>955</v>
      </c>
      <c r="E42" s="2157">
        <v>7</v>
      </c>
      <c r="F42" s="2158">
        <v>75</v>
      </c>
      <c r="G42" s="2157">
        <v>1</v>
      </c>
      <c r="H42" s="2159">
        <f t="shared" si="9"/>
        <v>525</v>
      </c>
      <c r="I42" s="2160">
        <v>1</v>
      </c>
      <c r="J42" s="2161">
        <v>7</v>
      </c>
      <c r="K42" s="2161">
        <v>150</v>
      </c>
      <c r="L42" s="2161">
        <v>1</v>
      </c>
      <c r="M42" s="2162">
        <f t="shared" si="10"/>
        <v>1050</v>
      </c>
      <c r="N42" s="2163">
        <v>1</v>
      </c>
      <c r="O42" s="2162">
        <f>+H42+M42</f>
        <v>1575</v>
      </c>
      <c r="P42" s="263">
        <v>1</v>
      </c>
      <c r="Q42" s="2162">
        <f t="shared" si="3"/>
        <v>1575</v>
      </c>
      <c r="R42" s="2164" t="s">
        <v>999</v>
      </c>
      <c r="S42" s="2186">
        <v>999</v>
      </c>
      <c r="T42" s="2160">
        <f t="shared" si="6"/>
        <v>0.63428571428571423</v>
      </c>
      <c r="U42" s="2162" t="s">
        <v>944</v>
      </c>
      <c r="V42" s="2160">
        <v>1</v>
      </c>
      <c r="W42" s="2162">
        <f>S42*V42</f>
        <v>999</v>
      </c>
      <c r="X42" s="2162" t="s">
        <v>944</v>
      </c>
    </row>
    <row r="43" spans="1:24" x14ac:dyDescent="0.25">
      <c r="A43" s="717"/>
      <c r="B43" s="264"/>
      <c r="C43" s="264"/>
      <c r="D43" s="2171" t="s">
        <v>0</v>
      </c>
      <c r="E43" s="2172"/>
      <c r="F43" s="2173"/>
      <c r="G43" s="2172"/>
      <c r="H43" s="2174">
        <f>SUM(H38:H42)</f>
        <v>2483.75</v>
      </c>
      <c r="I43" s="2175"/>
      <c r="J43" s="2176"/>
      <c r="K43" s="2176"/>
      <c r="L43" s="2176"/>
      <c r="M43" s="2174">
        <f>SUM(M38:M42)</f>
        <v>6416.25</v>
      </c>
      <c r="N43" s="2177"/>
      <c r="O43" s="2174">
        <f>SUM(O38:O42)</f>
        <v>8900</v>
      </c>
      <c r="P43" s="2178">
        <f>+Q43/O43</f>
        <v>1</v>
      </c>
      <c r="Q43" s="2174">
        <f>SUM(Q38:Q42)</f>
        <v>8900</v>
      </c>
      <c r="R43" s="2179"/>
      <c r="S43" s="2851">
        <f>SUM(S38:S42)</f>
        <v>3517.75</v>
      </c>
      <c r="T43" s="2175">
        <f t="shared" si="6"/>
        <v>0.39525280898876403</v>
      </c>
      <c r="U43" s="2181"/>
      <c r="V43" s="2175">
        <f>W43/S43</f>
        <v>1</v>
      </c>
      <c r="W43" s="2174">
        <f>SUM(W38:W42)</f>
        <v>3517.75</v>
      </c>
      <c r="X43" s="2181"/>
    </row>
    <row r="44" spans="1:24" ht="39" x14ac:dyDescent="0.25">
      <c r="A44" s="717" t="s">
        <v>1000</v>
      </c>
      <c r="B44" s="264" t="s">
        <v>1001</v>
      </c>
      <c r="C44" s="264" t="s">
        <v>48</v>
      </c>
      <c r="D44" s="2170" t="s">
        <v>955</v>
      </c>
      <c r="E44" s="2157">
        <v>8</v>
      </c>
      <c r="F44" s="2158">
        <v>7.5</v>
      </c>
      <c r="G44" s="2157">
        <v>8</v>
      </c>
      <c r="H44" s="2159">
        <f t="shared" ref="H44:H60" si="11">E44*F44*G44</f>
        <v>480</v>
      </c>
      <c r="I44" s="2160">
        <v>0.75</v>
      </c>
      <c r="J44" s="2161">
        <v>8</v>
      </c>
      <c r="K44" s="2161">
        <v>40</v>
      </c>
      <c r="L44" s="2161">
        <v>10</v>
      </c>
      <c r="M44" s="2162">
        <f>J44*K44*L44</f>
        <v>3200</v>
      </c>
      <c r="N44" s="2163">
        <v>0.75</v>
      </c>
      <c r="O44" s="2162">
        <f t="shared" ref="O44:O60" si="12">+H44+M44</f>
        <v>3680</v>
      </c>
      <c r="P44" s="263">
        <v>0.75</v>
      </c>
      <c r="Q44" s="2162">
        <f t="shared" si="3"/>
        <v>2760</v>
      </c>
      <c r="R44" s="2164" t="s">
        <v>1002</v>
      </c>
      <c r="S44" s="2223">
        <f>240+1028</f>
        <v>1268</v>
      </c>
      <c r="T44" s="2167">
        <f t="shared" si="6"/>
        <v>0.34456521739130436</v>
      </c>
      <c r="U44" s="2166" t="s">
        <v>606</v>
      </c>
      <c r="V44" s="2167">
        <v>1</v>
      </c>
      <c r="W44" s="2166">
        <f t="shared" ref="W44:W56" si="13">S44*V44</f>
        <v>1268</v>
      </c>
      <c r="X44" s="2166" t="s">
        <v>606</v>
      </c>
    </row>
    <row r="45" spans="1:24" s="2190" customFormat="1" ht="52" x14ac:dyDescent="0.25">
      <c r="A45" s="2182"/>
      <c r="B45" s="269" t="s">
        <v>1003</v>
      </c>
      <c r="C45" s="269" t="s">
        <v>15</v>
      </c>
      <c r="D45" s="2156" t="s">
        <v>955</v>
      </c>
      <c r="E45" s="2183">
        <v>1</v>
      </c>
      <c r="F45" s="2184">
        <v>1681</v>
      </c>
      <c r="G45" s="2183">
        <v>1</v>
      </c>
      <c r="H45" s="2159">
        <f t="shared" si="11"/>
        <v>1681</v>
      </c>
      <c r="I45" s="2160">
        <v>1</v>
      </c>
      <c r="J45" s="2161">
        <v>1</v>
      </c>
      <c r="K45" s="2161">
        <v>2000</v>
      </c>
      <c r="L45" s="2161">
        <v>1</v>
      </c>
      <c r="M45" s="2162">
        <f t="shared" ref="M45:M69" si="14">J45*K45*L45</f>
        <v>2000</v>
      </c>
      <c r="N45" s="2187">
        <v>1</v>
      </c>
      <c r="O45" s="2186">
        <f t="shared" si="12"/>
        <v>3681</v>
      </c>
      <c r="P45" s="2188">
        <v>1</v>
      </c>
      <c r="Q45" s="2186">
        <f t="shared" si="3"/>
        <v>3681</v>
      </c>
      <c r="R45" s="2189" t="s">
        <v>1004</v>
      </c>
      <c r="S45" s="2186">
        <v>5062</v>
      </c>
      <c r="T45" s="2185">
        <f t="shared" si="6"/>
        <v>1.3751697908177125</v>
      </c>
      <c r="U45" s="2186" t="s">
        <v>606</v>
      </c>
      <c r="V45" s="2185">
        <v>1</v>
      </c>
      <c r="W45" s="2186">
        <f t="shared" si="13"/>
        <v>5062</v>
      </c>
      <c r="X45" s="2186" t="s">
        <v>606</v>
      </c>
    </row>
    <row r="46" spans="1:24" ht="39" x14ac:dyDescent="0.25">
      <c r="A46" s="717"/>
      <c r="B46" s="264" t="s">
        <v>1005</v>
      </c>
      <c r="C46" s="264" t="s">
        <v>47</v>
      </c>
      <c r="D46" s="2156" t="s">
        <v>955</v>
      </c>
      <c r="E46" s="2157">
        <v>7</v>
      </c>
      <c r="F46" s="2158">
        <v>764.28571428571433</v>
      </c>
      <c r="G46" s="2157">
        <v>1</v>
      </c>
      <c r="H46" s="2159">
        <f t="shared" si="11"/>
        <v>5350</v>
      </c>
      <c r="I46" s="2160">
        <v>1</v>
      </c>
      <c r="J46" s="2161"/>
      <c r="K46" s="2161"/>
      <c r="L46" s="2161"/>
      <c r="M46" s="2162">
        <f t="shared" si="14"/>
        <v>0</v>
      </c>
      <c r="N46" s="2163">
        <v>1</v>
      </c>
      <c r="O46" s="2162">
        <f t="shared" si="12"/>
        <v>5350</v>
      </c>
      <c r="P46" s="263">
        <v>1</v>
      </c>
      <c r="Q46" s="2162">
        <f t="shared" si="3"/>
        <v>5350</v>
      </c>
      <c r="R46" s="2164" t="s">
        <v>1006</v>
      </c>
      <c r="S46" s="2186">
        <v>4100</v>
      </c>
      <c r="T46" s="2160">
        <f t="shared" si="6"/>
        <v>0.76635514018691586</v>
      </c>
      <c r="U46" s="2162" t="s">
        <v>606</v>
      </c>
      <c r="V46" s="2160">
        <v>1</v>
      </c>
      <c r="W46" s="2162">
        <f t="shared" si="13"/>
        <v>4100</v>
      </c>
      <c r="X46" s="2162" t="s">
        <v>606</v>
      </c>
    </row>
    <row r="47" spans="1:24" ht="52" x14ac:dyDescent="0.25">
      <c r="A47" s="717"/>
      <c r="B47" s="264" t="s">
        <v>1007</v>
      </c>
      <c r="C47" s="264" t="s">
        <v>15</v>
      </c>
      <c r="D47" s="2156" t="s">
        <v>955</v>
      </c>
      <c r="E47" s="2157">
        <v>7</v>
      </c>
      <c r="F47" s="2158">
        <v>181.83673469387756</v>
      </c>
      <c r="G47" s="2157">
        <v>7</v>
      </c>
      <c r="H47" s="2159">
        <f t="shared" si="11"/>
        <v>8910</v>
      </c>
      <c r="I47" s="2160">
        <v>1</v>
      </c>
      <c r="J47" s="2161">
        <v>7</v>
      </c>
      <c r="K47" s="2161">
        <v>90</v>
      </c>
      <c r="L47" s="2161">
        <v>12</v>
      </c>
      <c r="M47" s="2162">
        <f t="shared" si="14"/>
        <v>7560</v>
      </c>
      <c r="N47" s="2163">
        <v>1</v>
      </c>
      <c r="O47" s="2162">
        <f t="shared" si="12"/>
        <v>16470</v>
      </c>
      <c r="P47" s="263">
        <v>1</v>
      </c>
      <c r="Q47" s="2162">
        <f t="shared" si="3"/>
        <v>16470</v>
      </c>
      <c r="R47" s="2164" t="s">
        <v>1008</v>
      </c>
      <c r="S47" s="2223">
        <f>8607+13500</f>
        <v>22107</v>
      </c>
      <c r="T47" s="2167">
        <f t="shared" si="6"/>
        <v>1.3422586520947177</v>
      </c>
      <c r="U47" s="2166" t="s">
        <v>944</v>
      </c>
      <c r="V47" s="2167">
        <v>1</v>
      </c>
      <c r="W47" s="2166">
        <f t="shared" si="13"/>
        <v>22107</v>
      </c>
      <c r="X47" s="2166" t="s">
        <v>944</v>
      </c>
    </row>
    <row r="48" spans="1:24" ht="39" x14ac:dyDescent="0.25">
      <c r="A48" s="717"/>
      <c r="B48" s="264" t="s">
        <v>1009</v>
      </c>
      <c r="C48" s="264" t="s">
        <v>15</v>
      </c>
      <c r="D48" s="2156" t="s">
        <v>955</v>
      </c>
      <c r="E48" s="2157">
        <v>120</v>
      </c>
      <c r="F48" s="2158">
        <v>30</v>
      </c>
      <c r="G48" s="2157">
        <v>0</v>
      </c>
      <c r="H48" s="2159">
        <f t="shared" si="11"/>
        <v>0</v>
      </c>
      <c r="I48" s="2160">
        <v>0.98</v>
      </c>
      <c r="J48" s="2161">
        <v>240</v>
      </c>
      <c r="K48" s="2161">
        <v>30</v>
      </c>
      <c r="L48" s="2161">
        <v>1</v>
      </c>
      <c r="M48" s="2162">
        <f t="shared" si="14"/>
        <v>7200</v>
      </c>
      <c r="N48" s="2163">
        <v>0.98</v>
      </c>
      <c r="O48" s="2162">
        <f t="shared" si="12"/>
        <v>7200</v>
      </c>
      <c r="P48" s="263">
        <v>0.98</v>
      </c>
      <c r="Q48" s="2162">
        <f t="shared" si="3"/>
        <v>7056</v>
      </c>
      <c r="R48" s="2164" t="s">
        <v>1010</v>
      </c>
      <c r="S48" s="2186">
        <v>7470</v>
      </c>
      <c r="T48" s="2160">
        <f t="shared" si="6"/>
        <v>1.0375000000000001</v>
      </c>
      <c r="U48" s="2162" t="s">
        <v>606</v>
      </c>
      <c r="V48" s="2160">
        <v>0.98</v>
      </c>
      <c r="W48" s="2162">
        <f t="shared" si="13"/>
        <v>7320.5999999999995</v>
      </c>
      <c r="X48" s="2162" t="s">
        <v>606</v>
      </c>
    </row>
    <row r="49" spans="1:26" ht="26" x14ac:dyDescent="0.25">
      <c r="A49" s="717"/>
      <c r="B49" s="264" t="s">
        <v>1011</v>
      </c>
      <c r="C49" s="264" t="s">
        <v>15</v>
      </c>
      <c r="D49" s="2170" t="s">
        <v>972</v>
      </c>
      <c r="E49" s="2157">
        <v>22</v>
      </c>
      <c r="F49" s="2158">
        <v>8.0757575757575761</v>
      </c>
      <c r="G49" s="2157">
        <v>3</v>
      </c>
      <c r="H49" s="2159">
        <f t="shared" si="11"/>
        <v>533</v>
      </c>
      <c r="I49" s="2160">
        <v>0.6</v>
      </c>
      <c r="J49" s="2161">
        <v>1</v>
      </c>
      <c r="K49" s="2161">
        <v>457</v>
      </c>
      <c r="L49" s="2161">
        <v>1</v>
      </c>
      <c r="M49" s="2162">
        <f t="shared" si="14"/>
        <v>457</v>
      </c>
      <c r="N49" s="2163">
        <v>0.6</v>
      </c>
      <c r="O49" s="2162">
        <f t="shared" si="12"/>
        <v>990</v>
      </c>
      <c r="P49" s="263">
        <v>0.6</v>
      </c>
      <c r="Q49" s="2162">
        <f t="shared" si="3"/>
        <v>594</v>
      </c>
      <c r="R49" s="2164" t="s">
        <v>1012</v>
      </c>
      <c r="S49" s="2186">
        <v>1371</v>
      </c>
      <c r="T49" s="2160">
        <f t="shared" si="6"/>
        <v>1.3848484848484848</v>
      </c>
      <c r="U49" s="2162" t="s">
        <v>606</v>
      </c>
      <c r="V49" s="2160">
        <v>0.6</v>
      </c>
      <c r="W49" s="2162">
        <f t="shared" si="13"/>
        <v>822.6</v>
      </c>
      <c r="X49" s="2162" t="s">
        <v>606</v>
      </c>
    </row>
    <row r="50" spans="1:26" x14ac:dyDescent="0.25">
      <c r="A50" s="717"/>
      <c r="B50" s="264" t="s">
        <v>1013</v>
      </c>
      <c r="C50" s="264" t="s">
        <v>47</v>
      </c>
      <c r="D50" s="2156" t="s">
        <v>955</v>
      </c>
      <c r="E50" s="2157">
        <v>1</v>
      </c>
      <c r="F50" s="2158">
        <v>84.5</v>
      </c>
      <c r="G50" s="2157">
        <v>4</v>
      </c>
      <c r="H50" s="2159">
        <f t="shared" si="11"/>
        <v>338</v>
      </c>
      <c r="I50" s="2160">
        <v>1</v>
      </c>
      <c r="J50" s="2161"/>
      <c r="K50" s="2161"/>
      <c r="L50" s="2161"/>
      <c r="M50" s="2162">
        <f t="shared" si="14"/>
        <v>0</v>
      </c>
      <c r="N50" s="2163">
        <v>1</v>
      </c>
      <c r="O50" s="2162">
        <f t="shared" si="12"/>
        <v>338</v>
      </c>
      <c r="P50" s="263">
        <v>1</v>
      </c>
      <c r="Q50" s="2162">
        <f t="shared" si="3"/>
        <v>338</v>
      </c>
      <c r="R50" s="2164" t="s">
        <v>1014</v>
      </c>
      <c r="S50" s="2186">
        <v>338</v>
      </c>
      <c r="T50" s="2160">
        <f t="shared" si="6"/>
        <v>1</v>
      </c>
      <c r="U50" s="2162" t="s">
        <v>606</v>
      </c>
      <c r="V50" s="2160">
        <v>1</v>
      </c>
      <c r="W50" s="2162">
        <f t="shared" si="13"/>
        <v>338</v>
      </c>
      <c r="X50" s="2162" t="s">
        <v>606</v>
      </c>
    </row>
    <row r="51" spans="1:26" ht="54.65" customHeight="1" x14ac:dyDescent="0.25">
      <c r="A51" s="717"/>
      <c r="B51" s="264" t="s">
        <v>1015</v>
      </c>
      <c r="C51" s="264" t="s">
        <v>14</v>
      </c>
      <c r="D51" s="2170" t="s">
        <v>955</v>
      </c>
      <c r="E51" s="2157">
        <v>1</v>
      </c>
      <c r="F51" s="2158">
        <v>624.63555555555558</v>
      </c>
      <c r="G51" s="2157">
        <v>9</v>
      </c>
      <c r="H51" s="2159">
        <f t="shared" si="11"/>
        <v>5621.72</v>
      </c>
      <c r="I51" s="2160">
        <v>1</v>
      </c>
      <c r="J51" s="2161">
        <v>1</v>
      </c>
      <c r="K51" s="2161">
        <v>740</v>
      </c>
      <c r="L51" s="2161">
        <v>12</v>
      </c>
      <c r="M51" s="2162">
        <f t="shared" si="14"/>
        <v>8880</v>
      </c>
      <c r="N51" s="2163">
        <v>1</v>
      </c>
      <c r="O51" s="2162">
        <f t="shared" si="12"/>
        <v>14501.720000000001</v>
      </c>
      <c r="P51" s="263">
        <v>1</v>
      </c>
      <c r="Q51" s="2162">
        <f>O51*P51</f>
        <v>14501.720000000001</v>
      </c>
      <c r="R51" s="2164" t="s">
        <v>1016</v>
      </c>
      <c r="S51" s="2223">
        <f>5576.01784525491+8554.24278</f>
        <v>14130.26062525491</v>
      </c>
      <c r="T51" s="2167">
        <f t="shared" si="6"/>
        <v>0.97438515053765407</v>
      </c>
      <c r="U51" s="2166" t="s">
        <v>606</v>
      </c>
      <c r="V51" s="2167">
        <v>1</v>
      </c>
      <c r="W51" s="2166">
        <f t="shared" si="13"/>
        <v>14130.26062525491</v>
      </c>
      <c r="X51" s="2166" t="s">
        <v>606</v>
      </c>
    </row>
    <row r="52" spans="1:26" ht="26" x14ac:dyDescent="0.25">
      <c r="A52" s="717"/>
      <c r="B52" s="264" t="s">
        <v>1017</v>
      </c>
      <c r="C52" s="264" t="s">
        <v>14</v>
      </c>
      <c r="D52" s="2170" t="s">
        <v>955</v>
      </c>
      <c r="E52" s="2157">
        <v>1</v>
      </c>
      <c r="F52" s="2158">
        <v>1439.169523809524</v>
      </c>
      <c r="G52" s="2157">
        <v>10.5</v>
      </c>
      <c r="H52" s="2159">
        <f t="shared" si="11"/>
        <v>15111.280000000002</v>
      </c>
      <c r="I52" s="2160"/>
      <c r="J52" s="2161">
        <v>1</v>
      </c>
      <c r="K52" s="2161">
        <v>1500</v>
      </c>
      <c r="L52" s="2161">
        <v>12</v>
      </c>
      <c r="M52" s="2162">
        <f t="shared" si="14"/>
        <v>18000</v>
      </c>
      <c r="N52" s="2163"/>
      <c r="O52" s="2162">
        <f t="shared" si="12"/>
        <v>33111.279999999999</v>
      </c>
      <c r="P52" s="263">
        <v>0</v>
      </c>
      <c r="Q52" s="2162">
        <f t="shared" si="3"/>
        <v>0</v>
      </c>
      <c r="R52" s="2164" t="s">
        <v>1018</v>
      </c>
      <c r="S52" s="2223">
        <f>15553.3420807173+22763.70278</f>
        <v>38317.044860717302</v>
      </c>
      <c r="T52" s="2167">
        <f t="shared" si="6"/>
        <v>1.1572202844685346</v>
      </c>
      <c r="U52" s="2166" t="s">
        <v>606</v>
      </c>
      <c r="V52" s="2167">
        <v>1</v>
      </c>
      <c r="W52" s="2166">
        <f t="shared" si="13"/>
        <v>38317.044860717302</v>
      </c>
      <c r="X52" s="2166" t="s">
        <v>606</v>
      </c>
    </row>
    <row r="53" spans="1:26" ht="41.25" customHeight="1" x14ac:dyDescent="0.25">
      <c r="A53" s="717"/>
      <c r="B53" s="264" t="s">
        <v>1019</v>
      </c>
      <c r="C53" s="264" t="s">
        <v>48</v>
      </c>
      <c r="D53" s="2170" t="s">
        <v>972</v>
      </c>
      <c r="E53" s="2157">
        <v>1</v>
      </c>
      <c r="F53" s="2158">
        <v>2610</v>
      </c>
      <c r="G53" s="2157">
        <v>9</v>
      </c>
      <c r="H53" s="2159">
        <f t="shared" si="11"/>
        <v>23490</v>
      </c>
      <c r="I53" s="2160">
        <v>0.97</v>
      </c>
      <c r="J53" s="2161">
        <v>0</v>
      </c>
      <c r="K53" s="2161">
        <v>2800</v>
      </c>
      <c r="L53" s="2161">
        <v>12</v>
      </c>
      <c r="M53" s="2162">
        <f t="shared" si="14"/>
        <v>0</v>
      </c>
      <c r="N53" s="2163">
        <v>0.97</v>
      </c>
      <c r="O53" s="2162">
        <f t="shared" si="12"/>
        <v>23490</v>
      </c>
      <c r="P53" s="263">
        <v>0.97</v>
      </c>
      <c r="Q53" s="2162">
        <f t="shared" si="3"/>
        <v>22785.3</v>
      </c>
      <c r="R53" s="2164" t="s">
        <v>1020</v>
      </c>
      <c r="S53" s="2223">
        <f>22645+800</f>
        <v>23445</v>
      </c>
      <c r="T53" s="2167">
        <f t="shared" si="6"/>
        <v>0.99808429118773945</v>
      </c>
      <c r="U53" s="2166"/>
      <c r="V53" s="2167">
        <v>0.97</v>
      </c>
      <c r="W53" s="2166">
        <f t="shared" si="13"/>
        <v>22741.649999999998</v>
      </c>
      <c r="X53" s="2166"/>
      <c r="Y53" s="2191" t="s">
        <v>1614</v>
      </c>
      <c r="Z53" s="2192" t="s">
        <v>1346</v>
      </c>
    </row>
    <row r="54" spans="1:26" ht="26" x14ac:dyDescent="0.25">
      <c r="A54" s="717"/>
      <c r="B54" s="264" t="s">
        <v>1021</v>
      </c>
      <c r="C54" s="264" t="s">
        <v>47</v>
      </c>
      <c r="D54" s="2156" t="s">
        <v>955</v>
      </c>
      <c r="E54" s="2157">
        <v>5</v>
      </c>
      <c r="F54" s="2158">
        <v>662</v>
      </c>
      <c r="G54" s="2157">
        <v>1</v>
      </c>
      <c r="H54" s="2159">
        <f t="shared" si="11"/>
        <v>3310</v>
      </c>
      <c r="I54" s="2160">
        <v>1</v>
      </c>
      <c r="J54" s="2161">
        <v>0</v>
      </c>
      <c r="K54" s="2161">
        <v>0</v>
      </c>
      <c r="L54" s="2161">
        <v>0</v>
      </c>
      <c r="M54" s="2162">
        <f t="shared" si="14"/>
        <v>0</v>
      </c>
      <c r="N54" s="2163">
        <v>1</v>
      </c>
      <c r="O54" s="2162">
        <f t="shared" si="12"/>
        <v>3310</v>
      </c>
      <c r="P54" s="263">
        <v>1</v>
      </c>
      <c r="Q54" s="2162">
        <f t="shared" si="3"/>
        <v>3310</v>
      </c>
      <c r="R54" s="2164" t="s">
        <v>1022</v>
      </c>
      <c r="S54" s="2186">
        <v>3310</v>
      </c>
      <c r="T54" s="2160">
        <f t="shared" si="6"/>
        <v>1</v>
      </c>
      <c r="U54" s="2162"/>
      <c r="V54" s="2160">
        <v>1</v>
      </c>
      <c r="W54" s="2162">
        <f t="shared" si="13"/>
        <v>3310</v>
      </c>
      <c r="X54" s="2162"/>
    </row>
    <row r="55" spans="1:26" ht="37.5" customHeight="1" x14ac:dyDescent="0.25">
      <c r="A55" s="717"/>
      <c r="B55" s="264" t="s">
        <v>1023</v>
      </c>
      <c r="C55" s="264" t="s">
        <v>47</v>
      </c>
      <c r="D55" s="2156" t="s">
        <v>955</v>
      </c>
      <c r="E55" s="2157">
        <v>1</v>
      </c>
      <c r="F55" s="2158">
        <v>1712.5</v>
      </c>
      <c r="G55" s="2157">
        <v>8</v>
      </c>
      <c r="H55" s="2159">
        <f t="shared" si="11"/>
        <v>13700</v>
      </c>
      <c r="I55" s="2160">
        <v>0.97399999999999998</v>
      </c>
      <c r="J55" s="2161">
        <v>0</v>
      </c>
      <c r="K55" s="2161">
        <v>2005</v>
      </c>
      <c r="L55" s="2161">
        <v>12</v>
      </c>
      <c r="M55" s="2162">
        <f t="shared" si="14"/>
        <v>0</v>
      </c>
      <c r="N55" s="2163">
        <v>0.97399999999999998</v>
      </c>
      <c r="O55" s="2162">
        <f t="shared" si="12"/>
        <v>13700</v>
      </c>
      <c r="P55" s="263">
        <v>0.97399999999999998</v>
      </c>
      <c r="Q55" s="2162">
        <f t="shared" si="3"/>
        <v>13343.8</v>
      </c>
      <c r="R55" s="2164" t="s">
        <v>1024</v>
      </c>
      <c r="S55" s="2186">
        <v>14210</v>
      </c>
      <c r="T55" s="2160">
        <f t="shared" si="6"/>
        <v>1.0372262773722627</v>
      </c>
      <c r="U55" s="2164" t="s">
        <v>1025</v>
      </c>
      <c r="V55" s="2160">
        <v>0.97</v>
      </c>
      <c r="W55" s="2162">
        <f t="shared" si="13"/>
        <v>13783.699999999999</v>
      </c>
      <c r="X55" s="2164" t="s">
        <v>1025</v>
      </c>
    </row>
    <row r="56" spans="1:26" ht="22.5" customHeight="1" x14ac:dyDescent="0.25">
      <c r="A56" s="717"/>
      <c r="B56" s="264" t="s">
        <v>1026</v>
      </c>
      <c r="C56" s="264" t="s">
        <v>15</v>
      </c>
      <c r="D56" s="2156" t="s">
        <v>955</v>
      </c>
      <c r="E56" s="2157">
        <v>5</v>
      </c>
      <c r="F56" s="2158">
        <v>0</v>
      </c>
      <c r="G56" s="2157">
        <v>5</v>
      </c>
      <c r="H56" s="2159">
        <f t="shared" si="11"/>
        <v>0</v>
      </c>
      <c r="I56" s="2160">
        <v>0.5</v>
      </c>
      <c r="J56" s="2161">
        <v>5</v>
      </c>
      <c r="K56" s="2161">
        <v>15</v>
      </c>
      <c r="L56" s="2161">
        <v>5</v>
      </c>
      <c r="M56" s="2162">
        <f t="shared" si="14"/>
        <v>375</v>
      </c>
      <c r="N56" s="2163">
        <v>0.5</v>
      </c>
      <c r="O56" s="2162">
        <f t="shared" si="12"/>
        <v>375</v>
      </c>
      <c r="P56" s="263">
        <v>0.5</v>
      </c>
      <c r="Q56" s="2162">
        <f t="shared" si="3"/>
        <v>187.5</v>
      </c>
      <c r="R56" s="2164" t="s">
        <v>1027</v>
      </c>
      <c r="S56" s="2186">
        <v>419</v>
      </c>
      <c r="T56" s="2160">
        <f t="shared" si="6"/>
        <v>1.1173333333333333</v>
      </c>
      <c r="U56" s="2164" t="s">
        <v>1028</v>
      </c>
      <c r="V56" s="2160">
        <v>0.5</v>
      </c>
      <c r="W56" s="2162">
        <f t="shared" si="13"/>
        <v>209.5</v>
      </c>
      <c r="X56" s="2164" t="s">
        <v>1028</v>
      </c>
    </row>
    <row r="57" spans="1:26" ht="39" x14ac:dyDescent="0.25">
      <c r="A57" s="717"/>
      <c r="B57" s="264" t="s">
        <v>1029</v>
      </c>
      <c r="C57" s="264" t="s">
        <v>47</v>
      </c>
      <c r="D57" s="2156" t="s">
        <v>955</v>
      </c>
      <c r="E57" s="2157">
        <v>8</v>
      </c>
      <c r="F57" s="2158">
        <v>40</v>
      </c>
      <c r="G57" s="2157">
        <v>4</v>
      </c>
      <c r="H57" s="2159">
        <f t="shared" si="11"/>
        <v>1280</v>
      </c>
      <c r="I57" s="2160">
        <v>1</v>
      </c>
      <c r="J57" s="2161">
        <v>8</v>
      </c>
      <c r="K57" s="2161">
        <v>40</v>
      </c>
      <c r="L57" s="2161">
        <v>12</v>
      </c>
      <c r="M57" s="2162">
        <f t="shared" si="14"/>
        <v>3840</v>
      </c>
      <c r="N57" s="2163">
        <v>1</v>
      </c>
      <c r="O57" s="2162">
        <f t="shared" si="12"/>
        <v>5120</v>
      </c>
      <c r="P57" s="263">
        <v>1</v>
      </c>
      <c r="Q57" s="2162">
        <f t="shared" si="3"/>
        <v>5120</v>
      </c>
      <c r="R57" s="2164" t="s">
        <v>1030</v>
      </c>
      <c r="S57" s="2223">
        <f>1200+2590</f>
        <v>3790</v>
      </c>
      <c r="T57" s="2167">
        <f t="shared" si="6"/>
        <v>0.740234375</v>
      </c>
      <c r="U57" s="2166" t="s">
        <v>606</v>
      </c>
      <c r="V57" s="2167">
        <v>1</v>
      </c>
      <c r="W57" s="2166">
        <f>S57*V57</f>
        <v>3790</v>
      </c>
      <c r="X57" s="2166" t="s">
        <v>606</v>
      </c>
    </row>
    <row r="58" spans="1:26" ht="26" x14ac:dyDescent="0.25">
      <c r="A58" s="717"/>
      <c r="B58" s="264" t="s">
        <v>1032</v>
      </c>
      <c r="C58" s="264" t="s">
        <v>15</v>
      </c>
      <c r="D58" s="2170"/>
      <c r="E58" s="2157">
        <v>16</v>
      </c>
      <c r="F58" s="2158">
        <v>15</v>
      </c>
      <c r="G58" s="2157">
        <v>2</v>
      </c>
      <c r="H58" s="2159">
        <f t="shared" si="11"/>
        <v>480</v>
      </c>
      <c r="I58" s="2160">
        <v>0.3</v>
      </c>
      <c r="J58" s="2161"/>
      <c r="K58" s="2161"/>
      <c r="L58" s="2161"/>
      <c r="M58" s="2162">
        <f t="shared" si="14"/>
        <v>0</v>
      </c>
      <c r="N58" s="2163">
        <v>0.3</v>
      </c>
      <c r="O58" s="2162">
        <f t="shared" si="12"/>
        <v>480</v>
      </c>
      <c r="P58" s="263">
        <v>0.3</v>
      </c>
      <c r="Q58" s="2162">
        <f t="shared" si="3"/>
        <v>144</v>
      </c>
      <c r="R58" s="2164" t="s">
        <v>1027</v>
      </c>
      <c r="S58" s="2186">
        <v>0</v>
      </c>
      <c r="T58" s="2160">
        <f t="shared" si="6"/>
        <v>0</v>
      </c>
      <c r="U58" s="2162" t="s">
        <v>1031</v>
      </c>
      <c r="V58" s="2160">
        <v>0.3</v>
      </c>
      <c r="W58" s="2162">
        <f>S58*V58</f>
        <v>0</v>
      </c>
      <c r="X58" s="2162"/>
    </row>
    <row r="59" spans="1:26" ht="39" x14ac:dyDescent="0.25">
      <c r="A59" s="717"/>
      <c r="B59" s="264" t="s">
        <v>1033</v>
      </c>
      <c r="C59" s="264" t="s">
        <v>47</v>
      </c>
      <c r="D59" s="2156" t="s">
        <v>955</v>
      </c>
      <c r="E59" s="2157">
        <v>1</v>
      </c>
      <c r="F59" s="2158">
        <v>110.55555555555556</v>
      </c>
      <c r="G59" s="2157">
        <v>9</v>
      </c>
      <c r="H59" s="2159">
        <f t="shared" si="11"/>
        <v>995</v>
      </c>
      <c r="I59" s="2160"/>
      <c r="J59" s="2161">
        <v>1</v>
      </c>
      <c r="K59" s="2161">
        <v>160</v>
      </c>
      <c r="L59" s="2161">
        <v>11</v>
      </c>
      <c r="M59" s="2162">
        <f t="shared" si="14"/>
        <v>1760</v>
      </c>
      <c r="N59" s="2163">
        <v>1</v>
      </c>
      <c r="O59" s="2162">
        <f t="shared" si="12"/>
        <v>2755</v>
      </c>
      <c r="P59" s="263">
        <v>0</v>
      </c>
      <c r="Q59" s="2162">
        <f t="shared" si="3"/>
        <v>0</v>
      </c>
      <c r="R59" s="2164" t="s">
        <v>1034</v>
      </c>
      <c r="S59" s="2223">
        <f>1155+2724</f>
        <v>3879</v>
      </c>
      <c r="T59" s="2167">
        <f t="shared" si="6"/>
        <v>1.4079854809437387</v>
      </c>
      <c r="U59" s="2166" t="s">
        <v>606</v>
      </c>
      <c r="V59" s="2167">
        <v>0</v>
      </c>
      <c r="W59" s="2166">
        <f>S59*V59</f>
        <v>0</v>
      </c>
      <c r="X59" s="2166"/>
    </row>
    <row r="60" spans="1:26" ht="26" x14ac:dyDescent="0.25">
      <c r="A60" s="717"/>
      <c r="B60" s="264" t="s">
        <v>1035</v>
      </c>
      <c r="C60" s="264" t="s">
        <v>47</v>
      </c>
      <c r="D60" s="2156" t="s">
        <v>955</v>
      </c>
      <c r="E60" s="2157">
        <v>1</v>
      </c>
      <c r="F60" s="2158">
        <v>0</v>
      </c>
      <c r="G60" s="2157">
        <v>1</v>
      </c>
      <c r="H60" s="2159">
        <f t="shared" si="11"/>
        <v>0</v>
      </c>
      <c r="I60" s="2160">
        <v>1</v>
      </c>
      <c r="J60" s="2161">
        <v>3</v>
      </c>
      <c r="K60" s="2161">
        <v>1666.6666666666667</v>
      </c>
      <c r="L60" s="2161">
        <v>1</v>
      </c>
      <c r="M60" s="2162">
        <f t="shared" si="14"/>
        <v>5000</v>
      </c>
      <c r="N60" s="2163">
        <v>1</v>
      </c>
      <c r="O60" s="2162">
        <f t="shared" si="12"/>
        <v>5000</v>
      </c>
      <c r="P60" s="263">
        <v>1</v>
      </c>
      <c r="Q60" s="2162">
        <f t="shared" si="3"/>
        <v>5000</v>
      </c>
      <c r="R60" s="2164" t="s">
        <v>1036</v>
      </c>
      <c r="S60" s="2186">
        <v>5422.5</v>
      </c>
      <c r="T60" s="2160">
        <f t="shared" si="6"/>
        <v>1.0845</v>
      </c>
      <c r="U60" s="2162" t="s">
        <v>1486</v>
      </c>
      <c r="V60" s="2160">
        <v>1</v>
      </c>
      <c r="W60" s="2162">
        <f>S60*V60</f>
        <v>5422.5</v>
      </c>
      <c r="X60" s="2162"/>
    </row>
    <row r="61" spans="1:26" x14ac:dyDescent="0.25">
      <c r="A61" s="717"/>
      <c r="B61" s="264"/>
      <c r="C61" s="264"/>
      <c r="D61" s="2171" t="s">
        <v>0</v>
      </c>
      <c r="E61" s="2172"/>
      <c r="F61" s="2173"/>
      <c r="G61" s="2172"/>
      <c r="H61" s="2174">
        <f>SUM(H44:H60)</f>
        <v>81280</v>
      </c>
      <c r="I61" s="2175">
        <v>1</v>
      </c>
      <c r="J61" s="2176"/>
      <c r="K61" s="2176"/>
      <c r="L61" s="2176"/>
      <c r="M61" s="2181">
        <f>SUM(M44:M60)</f>
        <v>58272</v>
      </c>
      <c r="N61" s="2181"/>
      <c r="O61" s="2181">
        <f>SUM(O44:O60)</f>
        <v>139552</v>
      </c>
      <c r="P61" s="2178">
        <f>+Q61/O61</f>
        <v>0.72117432928227476</v>
      </c>
      <c r="Q61" s="2181">
        <f>SUM(Q44:Q60)</f>
        <v>100641.32</v>
      </c>
      <c r="R61" s="2179"/>
      <c r="S61" s="2852">
        <f>SUM(S44:S60)</f>
        <v>148638.8054859722</v>
      </c>
      <c r="T61" s="2175">
        <f>S61/O61</f>
        <v>1.065114118650913</v>
      </c>
      <c r="U61" s="2181"/>
      <c r="V61" s="2175">
        <f>W61/S61</f>
        <v>0.96019915539109801</v>
      </c>
      <c r="W61" s="2181">
        <f>SUM(W44:W60)</f>
        <v>142722.85548597222</v>
      </c>
      <c r="X61" s="2181"/>
    </row>
    <row r="62" spans="1:26" ht="28.5" customHeight="1" x14ac:dyDescent="0.25">
      <c r="A62" s="717" t="s">
        <v>1102</v>
      </c>
      <c r="B62" s="264" t="s">
        <v>1037</v>
      </c>
      <c r="C62" s="264" t="s">
        <v>48</v>
      </c>
      <c r="D62" s="2156" t="s">
        <v>955</v>
      </c>
      <c r="E62" s="2157">
        <v>1</v>
      </c>
      <c r="F62" s="2158">
        <v>385</v>
      </c>
      <c r="G62" s="2193">
        <v>10</v>
      </c>
      <c r="H62" s="2159">
        <f t="shared" ref="H62:H68" si="15">E62*F62*G62</f>
        <v>3850</v>
      </c>
      <c r="I62" s="2160">
        <v>1</v>
      </c>
      <c r="J62" s="2161">
        <v>1</v>
      </c>
      <c r="K62" s="2161">
        <v>385</v>
      </c>
      <c r="L62" s="2161">
        <v>12</v>
      </c>
      <c r="M62" s="2162">
        <f t="shared" si="14"/>
        <v>4620</v>
      </c>
      <c r="N62" s="2163">
        <v>1</v>
      </c>
      <c r="O62" s="2162">
        <f t="shared" ref="O62:O69" si="16">+H62+M62</f>
        <v>8470</v>
      </c>
      <c r="P62" s="263">
        <v>1</v>
      </c>
      <c r="Q62" s="2162">
        <f t="shared" si="3"/>
        <v>8470</v>
      </c>
      <c r="R62" s="2164" t="s">
        <v>1038</v>
      </c>
      <c r="S62" s="2223">
        <f>3865+3465</f>
        <v>7330</v>
      </c>
      <c r="T62" s="2167">
        <f>S62/O62</f>
        <v>0.86540731995277453</v>
      </c>
      <c r="U62" s="2166" t="s">
        <v>1487</v>
      </c>
      <c r="V62" s="2167">
        <v>1</v>
      </c>
      <c r="W62" s="2166">
        <f>S62*V62</f>
        <v>7330</v>
      </c>
      <c r="X62" s="2166" t="s">
        <v>1487</v>
      </c>
    </row>
    <row r="63" spans="1:26" ht="26" x14ac:dyDescent="0.25">
      <c r="A63" s="717"/>
      <c r="B63" s="264" t="s">
        <v>1039</v>
      </c>
      <c r="C63" s="264" t="s">
        <v>47</v>
      </c>
      <c r="D63" s="2170"/>
      <c r="E63" s="2157">
        <v>1</v>
      </c>
      <c r="F63" s="2158">
        <v>0</v>
      </c>
      <c r="G63" s="2193">
        <v>1</v>
      </c>
      <c r="H63" s="2159">
        <f t="shared" si="15"/>
        <v>0</v>
      </c>
      <c r="I63" s="2160">
        <v>1</v>
      </c>
      <c r="J63" s="2161">
        <v>1</v>
      </c>
      <c r="K63" s="2161">
        <v>0</v>
      </c>
      <c r="L63" s="2161">
        <v>1</v>
      </c>
      <c r="M63" s="2162">
        <f t="shared" si="14"/>
        <v>0</v>
      </c>
      <c r="N63" s="2163">
        <v>1</v>
      </c>
      <c r="O63" s="2162">
        <f t="shared" si="16"/>
        <v>0</v>
      </c>
      <c r="P63" s="263">
        <v>0</v>
      </c>
      <c r="Q63" s="2162">
        <f t="shared" si="3"/>
        <v>0</v>
      </c>
      <c r="R63" s="2164" t="s">
        <v>1040</v>
      </c>
      <c r="S63" s="2186">
        <v>0</v>
      </c>
      <c r="T63" s="2160">
        <v>0</v>
      </c>
      <c r="U63" s="2162"/>
      <c r="V63" s="2160">
        <v>0</v>
      </c>
      <c r="W63" s="2162">
        <f>S63*V63</f>
        <v>0</v>
      </c>
      <c r="X63" s="2162"/>
    </row>
    <row r="64" spans="1:26" ht="26" x14ac:dyDescent="0.25">
      <c r="A64" s="717"/>
      <c r="B64" s="264" t="s">
        <v>1041</v>
      </c>
      <c r="C64" s="264" t="s">
        <v>15</v>
      </c>
      <c r="D64" s="2156" t="s">
        <v>955</v>
      </c>
      <c r="E64" s="2157">
        <v>8</v>
      </c>
      <c r="F64" s="2158">
        <v>0</v>
      </c>
      <c r="G64" s="2193">
        <v>1</v>
      </c>
      <c r="H64" s="2159">
        <f t="shared" si="15"/>
        <v>0</v>
      </c>
      <c r="I64" s="2160">
        <v>1</v>
      </c>
      <c r="J64" s="2161">
        <v>8</v>
      </c>
      <c r="K64" s="2161">
        <v>200</v>
      </c>
      <c r="L64" s="2161">
        <v>1</v>
      </c>
      <c r="M64" s="2162">
        <f t="shared" si="14"/>
        <v>1600</v>
      </c>
      <c r="N64" s="2163">
        <v>1</v>
      </c>
      <c r="O64" s="2162">
        <f t="shared" si="16"/>
        <v>1600</v>
      </c>
      <c r="P64" s="263">
        <v>1</v>
      </c>
      <c r="Q64" s="2162">
        <f t="shared" si="3"/>
        <v>1600</v>
      </c>
      <c r="R64" s="2164" t="s">
        <v>1042</v>
      </c>
      <c r="S64" s="2223">
        <v>1300</v>
      </c>
      <c r="T64" s="2167">
        <f t="shared" ref="T64:T71" si="17">S64/O64</f>
        <v>0.8125</v>
      </c>
      <c r="U64" s="2166" t="s">
        <v>1043</v>
      </c>
      <c r="V64" s="2167">
        <v>1</v>
      </c>
      <c r="W64" s="2166">
        <f>S64*V64</f>
        <v>1300</v>
      </c>
      <c r="X64" s="2166"/>
    </row>
    <row r="65" spans="1:485" ht="22.5" customHeight="1" x14ac:dyDescent="0.25">
      <c r="A65" s="717"/>
      <c r="B65" s="264" t="s">
        <v>1044</v>
      </c>
      <c r="C65" s="264" t="s">
        <v>17</v>
      </c>
      <c r="D65" s="2156" t="s">
        <v>955</v>
      </c>
      <c r="E65" s="2157">
        <v>1</v>
      </c>
      <c r="F65" s="2158">
        <v>372.7</v>
      </c>
      <c r="G65" s="2193">
        <v>10</v>
      </c>
      <c r="H65" s="2159">
        <f t="shared" si="15"/>
        <v>3727</v>
      </c>
      <c r="I65" s="2160">
        <v>1</v>
      </c>
      <c r="J65" s="2161">
        <v>1</v>
      </c>
      <c r="K65" s="2161">
        <v>350</v>
      </c>
      <c r="L65" s="2161">
        <v>12</v>
      </c>
      <c r="M65" s="2162">
        <f t="shared" si="14"/>
        <v>4200</v>
      </c>
      <c r="N65" s="2163">
        <v>1</v>
      </c>
      <c r="O65" s="2162">
        <f t="shared" si="16"/>
        <v>7927</v>
      </c>
      <c r="P65" s="263">
        <v>1</v>
      </c>
      <c r="Q65" s="2162">
        <f t="shared" si="3"/>
        <v>7927</v>
      </c>
      <c r="R65" s="2164" t="s">
        <v>1045</v>
      </c>
      <c r="S65" s="2223">
        <f>4022+5730.5</f>
        <v>9752.5</v>
      </c>
      <c r="T65" s="2167">
        <f t="shared" si="17"/>
        <v>1.2302888860855306</v>
      </c>
      <c r="U65" s="2166" t="s">
        <v>1488</v>
      </c>
      <c r="V65" s="2167">
        <v>1</v>
      </c>
      <c r="W65" s="2166">
        <f>S65*V65</f>
        <v>9752.5</v>
      </c>
      <c r="X65" s="2166" t="s">
        <v>1031</v>
      </c>
    </row>
    <row r="66" spans="1:485" ht="18" customHeight="1" x14ac:dyDescent="0.25">
      <c r="A66" s="717"/>
      <c r="B66" s="264" t="s">
        <v>1046</v>
      </c>
      <c r="C66" s="264" t="s">
        <v>15</v>
      </c>
      <c r="D66" s="2156" t="s">
        <v>955</v>
      </c>
      <c r="E66" s="2157">
        <v>1</v>
      </c>
      <c r="F66" s="2158">
        <v>1851</v>
      </c>
      <c r="G66" s="2193">
        <v>1</v>
      </c>
      <c r="H66" s="2159">
        <f t="shared" si="15"/>
        <v>1851</v>
      </c>
      <c r="I66" s="2160">
        <v>1</v>
      </c>
      <c r="J66" s="2161"/>
      <c r="K66" s="2161"/>
      <c r="L66" s="2161"/>
      <c r="M66" s="2162">
        <f t="shared" si="14"/>
        <v>0</v>
      </c>
      <c r="N66" s="2163">
        <v>1</v>
      </c>
      <c r="O66" s="2162">
        <f t="shared" si="16"/>
        <v>1851</v>
      </c>
      <c r="P66" s="263">
        <v>1</v>
      </c>
      <c r="Q66" s="2162">
        <f t="shared" si="3"/>
        <v>1851</v>
      </c>
      <c r="R66" s="2164" t="s">
        <v>1047</v>
      </c>
      <c r="S66" s="2186">
        <v>1851</v>
      </c>
      <c r="T66" s="2160">
        <f t="shared" si="17"/>
        <v>1</v>
      </c>
      <c r="U66" s="2162" t="s">
        <v>606</v>
      </c>
      <c r="V66" s="2160">
        <v>1</v>
      </c>
      <c r="W66" s="2162">
        <f t="shared" ref="W66" si="18">S66*V66</f>
        <v>1851</v>
      </c>
      <c r="X66" s="2162" t="s">
        <v>606</v>
      </c>
    </row>
    <row r="67" spans="1:485" ht="26" x14ac:dyDescent="0.25">
      <c r="A67" s="717"/>
      <c r="B67" s="264" t="s">
        <v>1048</v>
      </c>
      <c r="C67" s="264" t="s">
        <v>14</v>
      </c>
      <c r="D67" s="2156" t="s">
        <v>955</v>
      </c>
      <c r="E67" s="2157">
        <v>0</v>
      </c>
      <c r="F67" s="2158">
        <v>0</v>
      </c>
      <c r="G67" s="2193">
        <v>0</v>
      </c>
      <c r="H67" s="2159">
        <f t="shared" si="15"/>
        <v>0</v>
      </c>
      <c r="I67" s="2160"/>
      <c r="J67" s="2161">
        <v>1</v>
      </c>
      <c r="K67" s="2161">
        <v>800</v>
      </c>
      <c r="L67" s="2161">
        <v>10</v>
      </c>
      <c r="M67" s="2162">
        <f t="shared" si="14"/>
        <v>8000</v>
      </c>
      <c r="N67" s="2163">
        <v>0.35</v>
      </c>
      <c r="O67" s="2162">
        <f t="shared" si="16"/>
        <v>8000</v>
      </c>
      <c r="P67" s="263">
        <v>0</v>
      </c>
      <c r="Q67" s="2162">
        <f t="shared" si="3"/>
        <v>0</v>
      </c>
      <c r="R67" s="2164" t="s">
        <v>1049</v>
      </c>
      <c r="S67" s="2223">
        <v>11185.242779999997</v>
      </c>
      <c r="T67" s="2167">
        <f t="shared" si="17"/>
        <v>1.3981553474999997</v>
      </c>
      <c r="U67" s="2166" t="s">
        <v>1489</v>
      </c>
      <c r="V67" s="2167">
        <v>0</v>
      </c>
      <c r="W67" s="2166">
        <f>S67*V67</f>
        <v>0</v>
      </c>
      <c r="X67" s="2166" t="s">
        <v>1489</v>
      </c>
    </row>
    <row r="68" spans="1:485" ht="26" x14ac:dyDescent="0.25">
      <c r="A68" s="717"/>
      <c r="B68" s="264" t="s">
        <v>1051</v>
      </c>
      <c r="C68" s="264" t="s">
        <v>14</v>
      </c>
      <c r="D68" s="2156" t="s">
        <v>955</v>
      </c>
      <c r="E68" s="2157">
        <v>0</v>
      </c>
      <c r="F68" s="2158">
        <v>0</v>
      </c>
      <c r="G68" s="2193">
        <v>0</v>
      </c>
      <c r="H68" s="2159">
        <f t="shared" si="15"/>
        <v>0</v>
      </c>
      <c r="I68" s="2160"/>
      <c r="J68" s="2161">
        <v>1</v>
      </c>
      <c r="K68" s="2161">
        <v>800</v>
      </c>
      <c r="L68" s="2161">
        <v>10</v>
      </c>
      <c r="M68" s="2162">
        <f t="shared" si="14"/>
        <v>8000</v>
      </c>
      <c r="N68" s="2163">
        <v>0.35</v>
      </c>
      <c r="O68" s="2162">
        <f t="shared" si="16"/>
        <v>8000</v>
      </c>
      <c r="P68" s="263">
        <v>0</v>
      </c>
      <c r="Q68" s="2162">
        <f t="shared" si="3"/>
        <v>0</v>
      </c>
      <c r="R68" s="2164" t="s">
        <v>1052</v>
      </c>
      <c r="S68" s="2223">
        <v>8497.5127800000009</v>
      </c>
      <c r="T68" s="2167">
        <f t="shared" si="17"/>
        <v>1.0621890975000001</v>
      </c>
      <c r="U68" s="2166" t="s">
        <v>1489</v>
      </c>
      <c r="V68" s="2167">
        <v>0</v>
      </c>
      <c r="W68" s="2166">
        <f>S68*V68</f>
        <v>0</v>
      </c>
      <c r="X68" s="2166" t="s">
        <v>1489</v>
      </c>
    </row>
    <row r="69" spans="1:485" ht="26" x14ac:dyDescent="0.25">
      <c r="A69" s="717"/>
      <c r="B69" s="264" t="s">
        <v>1053</v>
      </c>
      <c r="C69" s="264" t="s">
        <v>15</v>
      </c>
      <c r="D69" s="2156" t="s">
        <v>955</v>
      </c>
      <c r="E69" s="2157">
        <v>0</v>
      </c>
      <c r="F69" s="2158">
        <v>0</v>
      </c>
      <c r="G69" s="2193">
        <v>0</v>
      </c>
      <c r="H69" s="2159">
        <f>E69*F69*G69</f>
        <v>0</v>
      </c>
      <c r="I69" s="2160"/>
      <c r="J69" s="2161">
        <v>1</v>
      </c>
      <c r="K69" s="2161">
        <v>40</v>
      </c>
      <c r="L69" s="2161">
        <v>12</v>
      </c>
      <c r="M69" s="2162">
        <f t="shared" si="14"/>
        <v>480</v>
      </c>
      <c r="N69" s="2163">
        <v>0.35</v>
      </c>
      <c r="O69" s="2162">
        <f t="shared" si="16"/>
        <v>480</v>
      </c>
      <c r="P69" s="263">
        <v>1</v>
      </c>
      <c r="Q69" s="2162">
        <f t="shared" si="3"/>
        <v>480</v>
      </c>
      <c r="R69" s="2164" t="s">
        <v>1054</v>
      </c>
      <c r="S69" s="2223">
        <v>200</v>
      </c>
      <c r="T69" s="2167">
        <f t="shared" si="17"/>
        <v>0.41666666666666669</v>
      </c>
      <c r="U69" s="2166" t="s">
        <v>1031</v>
      </c>
      <c r="V69" s="2167">
        <v>1</v>
      </c>
      <c r="W69" s="2166">
        <f>S69*V69</f>
        <v>200</v>
      </c>
      <c r="X69" s="2166" t="s">
        <v>1055</v>
      </c>
    </row>
    <row r="70" spans="1:485" s="454" customFormat="1" x14ac:dyDescent="0.25">
      <c r="A70" s="717"/>
      <c r="B70" s="264"/>
      <c r="C70" s="264"/>
      <c r="D70" s="2171" t="s">
        <v>0</v>
      </c>
      <c r="E70" s="2172"/>
      <c r="F70" s="2172"/>
      <c r="G70" s="2172"/>
      <c r="H70" s="2174">
        <f>SUM(H62:H69)</f>
        <v>9428</v>
      </c>
      <c r="I70" s="2174"/>
      <c r="J70" s="2176"/>
      <c r="K70" s="2176"/>
      <c r="L70" s="2176"/>
      <c r="M70" s="2174">
        <f t="shared" ref="M70:Q70" si="19">SUM(M62:M69)</f>
        <v>26900</v>
      </c>
      <c r="N70" s="2180"/>
      <c r="O70" s="2174">
        <f t="shared" si="19"/>
        <v>36328</v>
      </c>
      <c r="P70" s="2194">
        <f>+Q70/O70</f>
        <v>0.55956837700946926</v>
      </c>
      <c r="Q70" s="2174">
        <f t="shared" si="19"/>
        <v>20328</v>
      </c>
      <c r="R70" s="2195"/>
      <c r="S70" s="2851">
        <f t="shared" ref="S70" si="20">SUM(S62:S69)</f>
        <v>40116.255559999998</v>
      </c>
      <c r="T70" s="2180">
        <f t="shared" si="17"/>
        <v>1.1042792215371062</v>
      </c>
      <c r="U70" s="2174"/>
      <c r="V70" s="2180">
        <f>W70/S70</f>
        <v>0.509357110098139</v>
      </c>
      <c r="W70" s="2174">
        <f>SUM(W62:W69)</f>
        <v>20433.5</v>
      </c>
      <c r="X70" s="2174"/>
    </row>
    <row r="71" spans="1:485" s="454" customFormat="1" x14ac:dyDescent="0.25">
      <c r="A71" s="3009" t="s">
        <v>1056</v>
      </c>
      <c r="B71" s="3010"/>
      <c r="C71" s="2053"/>
      <c r="D71" s="455"/>
      <c r="E71" s="456"/>
      <c r="F71" s="456"/>
      <c r="G71" s="456"/>
      <c r="H71" s="457">
        <f>H37+H43+H61+H70</f>
        <v>141693.47500000001</v>
      </c>
      <c r="I71" s="457"/>
      <c r="J71" s="458"/>
      <c r="K71" s="458"/>
      <c r="L71" s="458"/>
      <c r="M71" s="457">
        <f>M37+M43+M61+M70</f>
        <v>191702.25</v>
      </c>
      <c r="N71" s="459"/>
      <c r="O71" s="457">
        <f>O37+O43+O61+O70</f>
        <v>333395.72499999998</v>
      </c>
      <c r="P71" s="2196">
        <f>+Q71/O71</f>
        <v>0.74347470831591556</v>
      </c>
      <c r="Q71" s="457">
        <f>Q37+Q43+Q61+Q70</f>
        <v>247871.28939814816</v>
      </c>
      <c r="R71" s="460"/>
      <c r="S71" s="2791">
        <f>S37+S43+S61+S70</f>
        <v>328161.89825736621</v>
      </c>
      <c r="T71" s="459">
        <f t="shared" si="17"/>
        <v>0.98430145814667014</v>
      </c>
      <c r="U71" s="457"/>
      <c r="V71" s="459">
        <f>W71/S71</f>
        <v>0.82943592693537938</v>
      </c>
      <c r="W71" s="457">
        <f>W37+W43+W61+W70</f>
        <v>272189.2682659722</v>
      </c>
      <c r="X71" s="457"/>
    </row>
    <row r="72" spans="1:485" s="1688" customFormat="1" ht="22.5" customHeight="1" x14ac:dyDescent="0.25">
      <c r="A72" s="3348" t="s">
        <v>260</v>
      </c>
      <c r="B72" s="3349"/>
      <c r="C72" s="3349"/>
      <c r="D72" s="3349"/>
      <c r="E72" s="3349"/>
      <c r="F72" s="3349"/>
      <c r="G72" s="3349"/>
      <c r="H72" s="3349"/>
      <c r="I72" s="3349"/>
      <c r="J72" s="3349"/>
      <c r="K72" s="3349"/>
      <c r="L72" s="3349"/>
      <c r="M72" s="3349"/>
      <c r="N72" s="3349"/>
      <c r="O72" s="3349"/>
      <c r="P72" s="3349"/>
      <c r="Q72" s="3349"/>
      <c r="R72" s="3349"/>
      <c r="S72" s="3349"/>
      <c r="T72" s="3349"/>
      <c r="U72" s="3349"/>
      <c r="V72" s="3349"/>
      <c r="W72" s="3349"/>
      <c r="X72" s="3349"/>
      <c r="Y72" s="2197"/>
      <c r="Z72" s="2198"/>
      <c r="AA72" s="2198"/>
      <c r="AB72" s="2198"/>
      <c r="AC72" s="2198"/>
      <c r="AD72" s="2198"/>
      <c r="AE72" s="2198"/>
      <c r="AF72" s="2198"/>
      <c r="AG72" s="2198"/>
      <c r="AH72" s="2198"/>
      <c r="AI72" s="2198"/>
      <c r="AJ72" s="2198"/>
      <c r="AK72" s="2198"/>
      <c r="AL72" s="2198"/>
      <c r="AM72" s="2198"/>
      <c r="AN72" s="2198"/>
      <c r="AO72" s="2198"/>
      <c r="AP72" s="2198"/>
      <c r="AQ72" s="2198"/>
      <c r="AR72" s="2198"/>
      <c r="AS72" s="2198"/>
      <c r="AT72" s="2198"/>
      <c r="AU72" s="2198"/>
      <c r="AV72" s="2198"/>
      <c r="AW72" s="2198"/>
      <c r="AX72" s="2198"/>
      <c r="AY72" s="2198"/>
      <c r="AZ72" s="2198"/>
      <c r="BA72" s="2198"/>
      <c r="BB72" s="2198"/>
      <c r="BC72" s="2198"/>
      <c r="BD72" s="2198"/>
      <c r="BE72" s="2198"/>
      <c r="BF72" s="2198"/>
      <c r="BG72" s="2198"/>
      <c r="BH72" s="2198"/>
      <c r="BI72" s="2198"/>
      <c r="BJ72" s="2198"/>
      <c r="BK72" s="2198"/>
      <c r="BL72" s="2198"/>
      <c r="BM72" s="2198"/>
      <c r="BN72" s="2198"/>
      <c r="BO72" s="2198"/>
      <c r="BP72" s="2198"/>
      <c r="BQ72" s="2198"/>
      <c r="BR72" s="2198"/>
      <c r="BS72" s="2198"/>
      <c r="BT72" s="2198"/>
      <c r="BU72" s="2198"/>
      <c r="BV72" s="2198"/>
      <c r="BW72" s="2198"/>
      <c r="BX72" s="2198"/>
      <c r="BY72" s="2198"/>
      <c r="BZ72" s="2198"/>
      <c r="CA72" s="2198"/>
      <c r="CB72" s="2198"/>
      <c r="CC72" s="2198"/>
      <c r="CD72" s="2198"/>
      <c r="CE72" s="2198"/>
      <c r="CF72" s="2198"/>
      <c r="CG72" s="2198"/>
      <c r="CH72" s="2198"/>
      <c r="CI72" s="2198"/>
      <c r="CJ72" s="2198"/>
      <c r="CK72" s="2198"/>
      <c r="CL72" s="2198"/>
      <c r="CM72" s="2198"/>
      <c r="CN72" s="2198"/>
      <c r="CO72" s="2198"/>
      <c r="CP72" s="2198"/>
      <c r="CQ72" s="2198"/>
      <c r="CR72" s="2198"/>
      <c r="CS72" s="2198"/>
      <c r="CT72" s="2198"/>
      <c r="CU72" s="2198"/>
      <c r="CV72" s="2198"/>
      <c r="CW72" s="2198"/>
      <c r="CX72" s="2198"/>
      <c r="CY72" s="2198"/>
      <c r="CZ72" s="2198"/>
      <c r="DA72" s="2198"/>
      <c r="DB72" s="2198"/>
      <c r="DC72" s="2198"/>
      <c r="DD72" s="2198"/>
      <c r="DE72" s="2198"/>
      <c r="DF72" s="2198"/>
      <c r="DG72" s="2198"/>
      <c r="DH72" s="2198"/>
      <c r="DI72" s="2198"/>
      <c r="DJ72" s="2198"/>
      <c r="DK72" s="2198"/>
      <c r="DL72" s="2198"/>
      <c r="DM72" s="2198"/>
      <c r="DN72" s="2198"/>
      <c r="DO72" s="2198"/>
      <c r="DP72" s="2198"/>
      <c r="DQ72" s="2198"/>
      <c r="DR72" s="2198"/>
      <c r="DS72" s="2198"/>
      <c r="DT72" s="2198"/>
      <c r="DU72" s="2198"/>
      <c r="DV72" s="2198"/>
      <c r="DW72" s="2198"/>
      <c r="DX72" s="2198"/>
      <c r="DY72" s="2198"/>
      <c r="DZ72" s="2198"/>
      <c r="EA72" s="2198"/>
      <c r="EB72" s="2198"/>
      <c r="EC72" s="2198"/>
      <c r="ED72" s="2198"/>
      <c r="EE72" s="2198"/>
      <c r="EF72" s="2198"/>
      <c r="EG72" s="2198"/>
      <c r="EH72" s="2198"/>
      <c r="EI72" s="2198"/>
      <c r="EJ72" s="2198"/>
      <c r="EK72" s="2198"/>
      <c r="EL72" s="2198"/>
      <c r="EM72" s="2198"/>
      <c r="EN72" s="2198"/>
      <c r="EO72" s="2198"/>
      <c r="EP72" s="2198"/>
      <c r="EQ72" s="2198"/>
      <c r="ER72" s="2198"/>
      <c r="ES72" s="2198"/>
      <c r="ET72" s="2198"/>
      <c r="EU72" s="2198"/>
      <c r="EV72" s="2198"/>
      <c r="EW72" s="2198"/>
      <c r="EX72" s="2198"/>
      <c r="EY72" s="2198"/>
      <c r="EZ72" s="2198"/>
      <c r="FA72" s="2198"/>
      <c r="FB72" s="2198"/>
      <c r="FC72" s="2198"/>
      <c r="FD72" s="2198"/>
      <c r="FE72" s="2198"/>
      <c r="FF72" s="2198"/>
      <c r="FG72" s="2198"/>
      <c r="FH72" s="2198"/>
      <c r="FI72" s="2198"/>
      <c r="FJ72" s="2198"/>
      <c r="FK72" s="2198"/>
      <c r="FL72" s="2198"/>
      <c r="FM72" s="2198"/>
      <c r="FN72" s="2198"/>
      <c r="FO72" s="2198"/>
      <c r="FP72" s="2198"/>
      <c r="FQ72" s="2198"/>
      <c r="FR72" s="2198"/>
      <c r="FS72" s="2198"/>
      <c r="FT72" s="2198"/>
      <c r="FU72" s="2198"/>
      <c r="FV72" s="2198"/>
      <c r="FW72" s="2198"/>
      <c r="FX72" s="2198"/>
      <c r="FY72" s="2198"/>
      <c r="FZ72" s="2198"/>
      <c r="GA72" s="2198"/>
      <c r="GB72" s="2198"/>
      <c r="GC72" s="2198"/>
      <c r="GD72" s="2198"/>
      <c r="GE72" s="2198"/>
      <c r="GF72" s="2198"/>
      <c r="GG72" s="2198"/>
      <c r="GH72" s="2198"/>
      <c r="GI72" s="2198"/>
      <c r="GJ72" s="2198"/>
      <c r="GK72" s="2198"/>
      <c r="GL72" s="2198"/>
      <c r="GM72" s="2198"/>
      <c r="GN72" s="2198"/>
      <c r="GO72" s="2198"/>
      <c r="GP72" s="2198"/>
      <c r="GQ72" s="2198"/>
      <c r="GR72" s="2198"/>
      <c r="GS72" s="2198"/>
      <c r="GT72" s="2198"/>
      <c r="GU72" s="2198"/>
      <c r="GV72" s="2198"/>
      <c r="GW72" s="2198"/>
      <c r="GX72" s="2198"/>
      <c r="GY72" s="2198"/>
      <c r="GZ72" s="2198"/>
      <c r="HA72" s="2198"/>
      <c r="HB72" s="2198"/>
      <c r="HC72" s="2198"/>
      <c r="HD72" s="2198"/>
      <c r="HE72" s="2198"/>
      <c r="HF72" s="2198"/>
      <c r="HG72" s="2198"/>
      <c r="HH72" s="2198"/>
      <c r="HI72" s="2198"/>
      <c r="HJ72" s="2198"/>
      <c r="HK72" s="2198"/>
      <c r="HL72" s="2198"/>
      <c r="HM72" s="2198"/>
      <c r="HN72" s="2198"/>
      <c r="HO72" s="2198"/>
      <c r="HP72" s="2198"/>
      <c r="HQ72" s="2198"/>
      <c r="HR72" s="2198"/>
      <c r="HS72" s="2198"/>
      <c r="HT72" s="2198"/>
      <c r="HU72" s="2198"/>
      <c r="HV72" s="2198"/>
      <c r="HW72" s="2198"/>
      <c r="HX72" s="2198"/>
      <c r="HY72" s="2198"/>
      <c r="HZ72" s="2198"/>
      <c r="IA72" s="2198"/>
      <c r="IB72" s="2198"/>
      <c r="IC72" s="2198"/>
      <c r="ID72" s="2198"/>
      <c r="IE72" s="2198"/>
      <c r="IF72" s="2198"/>
      <c r="IG72" s="2198"/>
      <c r="IH72" s="2198"/>
      <c r="II72" s="2198"/>
      <c r="IJ72" s="2198"/>
      <c r="IK72" s="2198"/>
      <c r="IL72" s="2198"/>
      <c r="IM72" s="2198"/>
      <c r="IN72" s="2198"/>
      <c r="IO72" s="2198"/>
      <c r="IP72" s="2198"/>
      <c r="IQ72" s="2198"/>
      <c r="IR72" s="2198"/>
      <c r="IS72" s="2198"/>
      <c r="IT72" s="2198"/>
      <c r="IU72" s="2198"/>
      <c r="IV72" s="2198"/>
      <c r="IW72" s="2198"/>
      <c r="IX72" s="2198"/>
      <c r="IY72" s="2198"/>
      <c r="IZ72" s="2198"/>
      <c r="JA72" s="2198"/>
      <c r="JB72" s="2198"/>
      <c r="JC72" s="2198"/>
      <c r="JD72" s="2198"/>
      <c r="JE72" s="2198"/>
      <c r="JF72" s="2198"/>
      <c r="JG72" s="2198"/>
      <c r="JH72" s="2198"/>
      <c r="JI72" s="2198"/>
      <c r="JJ72" s="2198"/>
      <c r="JK72" s="2198"/>
      <c r="JL72" s="2198"/>
      <c r="JM72" s="2198"/>
      <c r="JN72" s="2198"/>
      <c r="JO72" s="2198"/>
      <c r="JP72" s="2198"/>
      <c r="JQ72" s="2198"/>
      <c r="JR72" s="2198"/>
      <c r="JS72" s="2198"/>
      <c r="JT72" s="2198"/>
      <c r="JU72" s="2198"/>
      <c r="JV72" s="2198"/>
      <c r="JW72" s="2198"/>
      <c r="JX72" s="2198"/>
      <c r="JY72" s="2198"/>
      <c r="JZ72" s="2198"/>
      <c r="KA72" s="2198"/>
      <c r="KB72" s="2198"/>
      <c r="KC72" s="2198"/>
      <c r="KD72" s="2198"/>
      <c r="KE72" s="2198"/>
      <c r="KF72" s="2198"/>
      <c r="KG72" s="2198"/>
      <c r="KH72" s="2198"/>
      <c r="KI72" s="2198"/>
      <c r="KJ72" s="2198"/>
      <c r="KK72" s="2198"/>
      <c r="KL72" s="2198"/>
      <c r="KM72" s="2198"/>
      <c r="KN72" s="2198"/>
      <c r="KO72" s="2198"/>
      <c r="KP72" s="2198"/>
      <c r="KQ72" s="2198"/>
      <c r="KR72" s="2198"/>
      <c r="KS72" s="2198"/>
      <c r="KT72" s="2198"/>
      <c r="KU72" s="2198"/>
      <c r="KV72" s="2198"/>
      <c r="KW72" s="2198"/>
      <c r="KX72" s="2198"/>
      <c r="KY72" s="2198"/>
      <c r="KZ72" s="2198"/>
      <c r="LA72" s="2198"/>
      <c r="LB72" s="2198"/>
      <c r="LC72" s="2198"/>
      <c r="LD72" s="2198"/>
      <c r="LE72" s="2198"/>
      <c r="LF72" s="2198"/>
      <c r="LG72" s="2198"/>
      <c r="LH72" s="2198"/>
      <c r="LI72" s="2198"/>
      <c r="LJ72" s="2198"/>
      <c r="LK72" s="2198"/>
      <c r="LL72" s="2198"/>
      <c r="LM72" s="2198"/>
      <c r="LN72" s="2198"/>
      <c r="LO72" s="2198"/>
      <c r="LP72" s="2198"/>
      <c r="LQ72" s="2198"/>
      <c r="LR72" s="2198"/>
      <c r="LS72" s="2198"/>
      <c r="LT72" s="2198"/>
      <c r="LU72" s="2198"/>
      <c r="LV72" s="2198"/>
      <c r="LW72" s="2198"/>
      <c r="LX72" s="2198"/>
      <c r="LY72" s="2198"/>
      <c r="LZ72" s="2198"/>
      <c r="MA72" s="2198"/>
      <c r="MB72" s="2198"/>
      <c r="MC72" s="2198"/>
      <c r="MD72" s="2198"/>
      <c r="ME72" s="2198"/>
      <c r="MF72" s="2198"/>
      <c r="MG72" s="2198"/>
      <c r="MH72" s="2198"/>
      <c r="MI72" s="2198"/>
      <c r="MJ72" s="2198"/>
      <c r="MK72" s="2198"/>
      <c r="ML72" s="2198"/>
      <c r="MM72" s="2198"/>
      <c r="MN72" s="2198"/>
      <c r="MO72" s="2198"/>
      <c r="MP72" s="2198"/>
      <c r="MQ72" s="2198"/>
      <c r="MR72" s="2198"/>
      <c r="MS72" s="2198"/>
      <c r="MT72" s="2198"/>
      <c r="MU72" s="2198"/>
      <c r="MV72" s="2198"/>
      <c r="MW72" s="2198"/>
      <c r="MX72" s="2198"/>
      <c r="MY72" s="2198"/>
      <c r="MZ72" s="2198"/>
      <c r="NA72" s="2198"/>
      <c r="NB72" s="2198"/>
      <c r="NC72" s="2198"/>
      <c r="ND72" s="2198"/>
      <c r="NE72" s="2198"/>
      <c r="NF72" s="2198"/>
      <c r="NG72" s="2198"/>
      <c r="NH72" s="2198"/>
      <c r="NI72" s="2198"/>
      <c r="NJ72" s="2198"/>
      <c r="NK72" s="2198"/>
      <c r="NL72" s="2198"/>
      <c r="NM72" s="2198"/>
      <c r="NN72" s="2198"/>
      <c r="NO72" s="2198"/>
      <c r="NP72" s="2198"/>
      <c r="NQ72" s="2198"/>
      <c r="NR72" s="2198"/>
      <c r="NS72" s="2198"/>
      <c r="NT72" s="2198"/>
      <c r="NU72" s="2198"/>
      <c r="NV72" s="2198"/>
      <c r="NW72" s="2198"/>
      <c r="NX72" s="2198"/>
      <c r="NY72" s="2198"/>
      <c r="NZ72" s="2198"/>
      <c r="OA72" s="2198"/>
      <c r="OB72" s="2198"/>
      <c r="OC72" s="2198"/>
      <c r="OD72" s="2198"/>
      <c r="OE72" s="2198"/>
      <c r="OF72" s="2198"/>
      <c r="OG72" s="2198"/>
      <c r="OH72" s="2198"/>
      <c r="OI72" s="2198"/>
      <c r="OJ72" s="2198"/>
      <c r="OK72" s="2198"/>
      <c r="OL72" s="2198"/>
      <c r="OM72" s="2198"/>
      <c r="ON72" s="2198"/>
      <c r="OO72" s="2198"/>
      <c r="OP72" s="2198"/>
      <c r="OQ72" s="2198"/>
      <c r="OR72" s="2198"/>
      <c r="OS72" s="2198"/>
      <c r="OT72" s="2198"/>
      <c r="OU72" s="2198"/>
      <c r="OV72" s="2198"/>
      <c r="OW72" s="2198"/>
      <c r="OX72" s="2198"/>
      <c r="OY72" s="2198"/>
      <c r="OZ72" s="2198"/>
      <c r="PA72" s="2198"/>
      <c r="PB72" s="2198"/>
      <c r="PC72" s="2198"/>
      <c r="PD72" s="2198"/>
      <c r="PE72" s="2198"/>
      <c r="PF72" s="2198"/>
      <c r="PG72" s="2198"/>
      <c r="PH72" s="2198"/>
      <c r="PI72" s="2198"/>
      <c r="PJ72" s="2198"/>
      <c r="PK72" s="2198"/>
      <c r="PL72" s="2198"/>
      <c r="PM72" s="2198"/>
      <c r="PN72" s="2198"/>
      <c r="PO72" s="2198"/>
      <c r="PP72" s="2198"/>
      <c r="PQ72" s="2198"/>
      <c r="PR72" s="2198"/>
      <c r="PS72" s="2198"/>
      <c r="PT72" s="2198"/>
      <c r="PU72" s="2198"/>
      <c r="PV72" s="2198"/>
      <c r="PW72" s="2198"/>
      <c r="PX72" s="2198"/>
      <c r="PY72" s="2198"/>
      <c r="PZ72" s="2198"/>
      <c r="QA72" s="2198"/>
      <c r="QB72" s="2198"/>
      <c r="QC72" s="2198"/>
      <c r="QD72" s="2198"/>
      <c r="QE72" s="2198"/>
      <c r="QF72" s="2198"/>
      <c r="QG72" s="2198"/>
      <c r="QH72" s="2198"/>
      <c r="QI72" s="2198"/>
      <c r="QJ72" s="2198"/>
      <c r="QK72" s="2198"/>
      <c r="QL72" s="2198"/>
      <c r="QM72" s="2198"/>
      <c r="QN72" s="2198"/>
      <c r="QO72" s="2198"/>
      <c r="QP72" s="2198"/>
      <c r="QQ72" s="2198"/>
      <c r="QR72" s="2198"/>
      <c r="QS72" s="2198"/>
      <c r="QT72" s="2198"/>
      <c r="QU72" s="2198"/>
      <c r="QV72" s="2198"/>
      <c r="QW72" s="2198"/>
      <c r="QX72" s="2198"/>
      <c r="QY72" s="2198"/>
      <c r="QZ72" s="2198"/>
      <c r="RA72" s="2198"/>
      <c r="RB72" s="2198"/>
      <c r="RC72" s="2198"/>
      <c r="RD72" s="2198"/>
      <c r="RE72" s="2198"/>
      <c r="RF72" s="2198"/>
      <c r="RG72" s="2198"/>
      <c r="RH72" s="2198"/>
      <c r="RI72" s="2198"/>
      <c r="RJ72" s="2198"/>
      <c r="RK72" s="2198"/>
      <c r="RL72" s="2198"/>
      <c r="RM72" s="2198"/>
      <c r="RN72" s="2198"/>
      <c r="RO72" s="2198"/>
      <c r="RP72" s="2198"/>
      <c r="RQ72" s="2198"/>
    </row>
    <row r="73" spans="1:485" s="2199" customFormat="1" ht="12.75" customHeight="1" x14ac:dyDescent="0.25">
      <c r="A73" s="3141" t="s">
        <v>54</v>
      </c>
      <c r="B73" s="3142"/>
      <c r="C73" s="3142"/>
      <c r="D73" s="283"/>
      <c r="E73" s="462"/>
      <c r="F73" s="462"/>
      <c r="G73" s="462"/>
      <c r="H73" s="463"/>
      <c r="I73" s="464"/>
      <c r="J73" s="462"/>
      <c r="K73" s="462"/>
      <c r="L73" s="462"/>
      <c r="M73" s="283"/>
      <c r="N73" s="464"/>
      <c r="O73" s="283"/>
      <c r="P73" s="687"/>
      <c r="Q73" s="283"/>
      <c r="R73" s="283"/>
      <c r="S73" s="2853"/>
      <c r="T73" s="802"/>
      <c r="U73" s="283"/>
      <c r="V73" s="464"/>
      <c r="W73" s="283"/>
      <c r="X73" s="283"/>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69"/>
      <c r="AY73" s="669"/>
      <c r="AZ73" s="669"/>
      <c r="BA73" s="669"/>
      <c r="BB73" s="669"/>
      <c r="BC73" s="669"/>
      <c r="BD73" s="669"/>
      <c r="BE73" s="669"/>
      <c r="BF73" s="669"/>
      <c r="BG73" s="669"/>
      <c r="BH73" s="669"/>
      <c r="BI73" s="669"/>
      <c r="BJ73" s="669"/>
      <c r="BK73" s="669"/>
      <c r="BL73" s="669"/>
      <c r="BM73" s="669"/>
      <c r="BN73" s="669"/>
      <c r="BO73" s="669"/>
      <c r="BP73" s="669"/>
      <c r="BQ73" s="669"/>
      <c r="BR73" s="669"/>
      <c r="BS73" s="669"/>
      <c r="BT73" s="669"/>
      <c r="BU73" s="669"/>
      <c r="BV73" s="669"/>
      <c r="BW73" s="669"/>
      <c r="BX73" s="669"/>
      <c r="BY73" s="669"/>
      <c r="BZ73" s="669"/>
      <c r="CA73" s="669"/>
      <c r="CB73" s="669"/>
      <c r="CC73" s="669"/>
      <c r="CD73" s="669"/>
      <c r="CE73" s="669"/>
      <c r="CF73" s="669"/>
      <c r="CG73" s="669"/>
      <c r="CH73" s="669"/>
      <c r="CI73" s="669"/>
      <c r="CJ73" s="669"/>
      <c r="CK73" s="669"/>
      <c r="CL73" s="669"/>
      <c r="CM73" s="669"/>
      <c r="CN73" s="669"/>
      <c r="CO73" s="669"/>
      <c r="CP73" s="669"/>
      <c r="CQ73" s="669"/>
      <c r="CR73" s="669"/>
      <c r="CS73" s="669"/>
      <c r="CT73" s="669"/>
      <c r="CU73" s="669"/>
      <c r="CV73" s="669"/>
      <c r="CW73" s="669"/>
      <c r="CX73" s="669"/>
      <c r="CY73" s="669"/>
      <c r="CZ73" s="669"/>
      <c r="DA73" s="669"/>
      <c r="DB73" s="669"/>
      <c r="DC73" s="669"/>
      <c r="DD73" s="669"/>
      <c r="DE73" s="669"/>
      <c r="DF73" s="669"/>
      <c r="DG73" s="669"/>
      <c r="DH73" s="669"/>
      <c r="DI73" s="669"/>
      <c r="DJ73" s="669"/>
      <c r="DK73" s="669"/>
      <c r="DL73" s="669"/>
      <c r="DM73" s="669"/>
      <c r="DN73" s="669"/>
      <c r="DO73" s="669"/>
      <c r="DP73" s="669"/>
      <c r="DQ73" s="669"/>
      <c r="DR73" s="669"/>
      <c r="DS73" s="669"/>
      <c r="DT73" s="669"/>
      <c r="DU73" s="669"/>
      <c r="DV73" s="669"/>
      <c r="DW73" s="669"/>
      <c r="DX73" s="669"/>
      <c r="DY73" s="669"/>
      <c r="DZ73" s="669"/>
      <c r="EA73" s="669"/>
      <c r="EB73" s="669"/>
      <c r="EC73" s="669"/>
      <c r="ED73" s="669"/>
      <c r="EE73" s="669"/>
      <c r="EF73" s="669"/>
      <c r="EG73" s="669"/>
      <c r="EH73" s="669"/>
      <c r="EI73" s="669"/>
      <c r="EJ73" s="669"/>
      <c r="EK73" s="669"/>
      <c r="EL73" s="669"/>
      <c r="EM73" s="669"/>
      <c r="EN73" s="669"/>
      <c r="EO73" s="669"/>
      <c r="EP73" s="669"/>
      <c r="EQ73" s="669"/>
      <c r="ER73" s="669"/>
      <c r="ES73" s="669"/>
      <c r="ET73" s="669"/>
      <c r="EU73" s="669"/>
      <c r="EV73" s="669"/>
      <c r="EW73" s="669"/>
      <c r="EX73" s="669"/>
      <c r="EY73" s="669"/>
      <c r="EZ73" s="669"/>
      <c r="FA73" s="669"/>
      <c r="FB73" s="669"/>
      <c r="FC73" s="669"/>
      <c r="FD73" s="669"/>
      <c r="FE73" s="669"/>
      <c r="FF73" s="669"/>
      <c r="FG73" s="669"/>
      <c r="FH73" s="669"/>
      <c r="FI73" s="669"/>
      <c r="FJ73" s="669"/>
      <c r="FK73" s="669"/>
      <c r="FL73" s="669"/>
      <c r="FM73" s="669"/>
      <c r="FN73" s="669"/>
      <c r="FO73" s="669"/>
      <c r="FP73" s="669"/>
      <c r="FQ73" s="669"/>
      <c r="FR73" s="669"/>
      <c r="FS73" s="669"/>
      <c r="FT73" s="669"/>
      <c r="FU73" s="669"/>
      <c r="FV73" s="669"/>
      <c r="FW73" s="669"/>
      <c r="FX73" s="669"/>
      <c r="FY73" s="669"/>
      <c r="FZ73" s="669"/>
      <c r="GA73" s="669"/>
      <c r="GB73" s="669"/>
      <c r="GC73" s="669"/>
      <c r="GD73" s="669"/>
      <c r="GE73" s="669"/>
      <c r="GF73" s="669"/>
      <c r="GG73" s="669"/>
      <c r="GH73" s="669"/>
      <c r="GI73" s="669"/>
      <c r="GJ73" s="669"/>
      <c r="GK73" s="669"/>
      <c r="GL73" s="669"/>
      <c r="GM73" s="669"/>
      <c r="GN73" s="669"/>
      <c r="GO73" s="669"/>
      <c r="GP73" s="669"/>
      <c r="GQ73" s="669"/>
      <c r="GR73" s="669"/>
      <c r="GS73" s="669"/>
      <c r="GT73" s="669"/>
      <c r="GU73" s="669"/>
      <c r="GV73" s="669"/>
      <c r="GW73" s="669"/>
      <c r="GX73" s="669"/>
      <c r="GY73" s="669"/>
      <c r="GZ73" s="669"/>
      <c r="HA73" s="669"/>
      <c r="HB73" s="669"/>
      <c r="HC73" s="669"/>
      <c r="HD73" s="669"/>
      <c r="HE73" s="669"/>
      <c r="HF73" s="669"/>
      <c r="HG73" s="669"/>
      <c r="HH73" s="669"/>
      <c r="HI73" s="669"/>
      <c r="HJ73" s="669"/>
      <c r="HK73" s="669"/>
      <c r="HL73" s="669"/>
      <c r="HM73" s="669"/>
      <c r="HN73" s="669"/>
      <c r="HO73" s="669"/>
      <c r="HP73" s="669"/>
      <c r="HQ73" s="669"/>
      <c r="HR73" s="669"/>
      <c r="HS73" s="669"/>
      <c r="HT73" s="669"/>
      <c r="HU73" s="669"/>
      <c r="HV73" s="669"/>
      <c r="HW73" s="669"/>
      <c r="HX73" s="669"/>
      <c r="HY73" s="669"/>
      <c r="HZ73" s="669"/>
      <c r="IA73" s="669"/>
      <c r="IB73" s="669"/>
      <c r="IC73" s="669"/>
      <c r="ID73" s="669"/>
      <c r="IE73" s="669"/>
      <c r="IF73" s="669"/>
      <c r="IG73" s="669"/>
      <c r="IH73" s="669"/>
      <c r="II73" s="669"/>
      <c r="IJ73" s="669"/>
      <c r="IK73" s="669"/>
      <c r="IL73" s="669"/>
      <c r="IM73" s="669"/>
      <c r="IN73" s="669"/>
      <c r="IO73" s="669"/>
      <c r="IP73" s="669"/>
      <c r="IQ73" s="669"/>
      <c r="IR73" s="669"/>
      <c r="IS73" s="669"/>
      <c r="IT73" s="669"/>
      <c r="IU73" s="669"/>
      <c r="IV73" s="669"/>
      <c r="IW73" s="669"/>
      <c r="IX73" s="669"/>
      <c r="IY73" s="669"/>
      <c r="IZ73" s="669"/>
      <c r="JA73" s="669"/>
      <c r="JB73" s="669"/>
      <c r="JC73" s="669"/>
      <c r="JD73" s="669"/>
      <c r="JE73" s="669"/>
      <c r="JF73" s="669"/>
      <c r="JG73" s="669"/>
      <c r="JH73" s="669"/>
      <c r="JI73" s="669"/>
      <c r="JJ73" s="669"/>
      <c r="JK73" s="669"/>
      <c r="JL73" s="669"/>
      <c r="JM73" s="669"/>
      <c r="JN73" s="669"/>
      <c r="JO73" s="669"/>
      <c r="JP73" s="669"/>
      <c r="JQ73" s="669"/>
      <c r="JR73" s="669"/>
      <c r="JS73" s="669"/>
      <c r="JT73" s="669"/>
      <c r="JU73" s="669"/>
      <c r="JV73" s="669"/>
      <c r="JW73" s="669"/>
      <c r="JX73" s="669"/>
      <c r="JY73" s="669"/>
      <c r="JZ73" s="669"/>
      <c r="KA73" s="669"/>
      <c r="KB73" s="669"/>
      <c r="KC73" s="669"/>
      <c r="KD73" s="669"/>
      <c r="KE73" s="669"/>
      <c r="KF73" s="669"/>
      <c r="KG73" s="669"/>
      <c r="KH73" s="669"/>
      <c r="KI73" s="669"/>
      <c r="KJ73" s="669"/>
      <c r="KK73" s="669"/>
      <c r="KL73" s="669"/>
      <c r="KM73" s="669"/>
      <c r="KN73" s="669"/>
      <c r="KO73" s="669"/>
      <c r="KP73" s="669"/>
      <c r="KQ73" s="669"/>
      <c r="KR73" s="669"/>
      <c r="KS73" s="669"/>
      <c r="KT73" s="669"/>
      <c r="KU73" s="669"/>
      <c r="KV73" s="669"/>
      <c r="KW73" s="669"/>
      <c r="KX73" s="669"/>
      <c r="KY73" s="669"/>
      <c r="KZ73" s="669"/>
      <c r="LA73" s="669"/>
      <c r="LB73" s="669"/>
      <c r="LC73" s="669"/>
      <c r="LD73" s="669"/>
      <c r="LE73" s="669"/>
      <c r="LF73" s="669"/>
      <c r="LG73" s="669"/>
      <c r="LH73" s="669"/>
      <c r="LI73" s="669"/>
      <c r="LJ73" s="669"/>
      <c r="LK73" s="669"/>
      <c r="LL73" s="669"/>
      <c r="LM73" s="669"/>
      <c r="LN73" s="669"/>
      <c r="LO73" s="669"/>
      <c r="LP73" s="669"/>
      <c r="LQ73" s="669"/>
      <c r="LR73" s="669"/>
      <c r="LS73" s="669"/>
      <c r="LT73" s="669"/>
      <c r="LU73" s="669"/>
      <c r="LV73" s="669"/>
      <c r="LW73" s="669"/>
      <c r="LX73" s="669"/>
      <c r="LY73" s="669"/>
      <c r="LZ73" s="669"/>
      <c r="MA73" s="669"/>
      <c r="MB73" s="669"/>
      <c r="MC73" s="669"/>
      <c r="MD73" s="669"/>
      <c r="ME73" s="669"/>
      <c r="MF73" s="669"/>
      <c r="MG73" s="669"/>
      <c r="MH73" s="669"/>
      <c r="MI73" s="669"/>
      <c r="MJ73" s="669"/>
      <c r="MK73" s="669"/>
      <c r="ML73" s="669"/>
      <c r="MM73" s="669"/>
      <c r="MN73" s="669"/>
      <c r="MO73" s="669"/>
      <c r="MP73" s="669"/>
      <c r="MQ73" s="669"/>
      <c r="MR73" s="669"/>
      <c r="MS73" s="669"/>
      <c r="MT73" s="669"/>
      <c r="MU73" s="669"/>
      <c r="MV73" s="669"/>
      <c r="MW73" s="669"/>
      <c r="MX73" s="669"/>
      <c r="MY73" s="669"/>
      <c r="MZ73" s="669"/>
      <c r="NA73" s="669"/>
      <c r="NB73" s="669"/>
      <c r="NC73" s="669"/>
      <c r="ND73" s="669"/>
      <c r="NE73" s="669"/>
      <c r="NF73" s="669"/>
      <c r="NG73" s="669"/>
      <c r="NH73" s="669"/>
      <c r="NI73" s="669"/>
      <c r="NJ73" s="669"/>
      <c r="NK73" s="669"/>
      <c r="NL73" s="669"/>
      <c r="NM73" s="669"/>
      <c r="NN73" s="669"/>
      <c r="NO73" s="669"/>
      <c r="NP73" s="669"/>
      <c r="NQ73" s="669"/>
      <c r="NR73" s="669"/>
      <c r="NS73" s="669"/>
      <c r="NT73" s="669"/>
      <c r="NU73" s="669"/>
      <c r="NV73" s="669"/>
      <c r="NW73" s="669"/>
      <c r="NX73" s="669"/>
      <c r="NY73" s="669"/>
      <c r="NZ73" s="669"/>
      <c r="OA73" s="669"/>
      <c r="OB73" s="669"/>
      <c r="OC73" s="669"/>
      <c r="OD73" s="669"/>
      <c r="OE73" s="669"/>
      <c r="OF73" s="669"/>
      <c r="OG73" s="669"/>
      <c r="OH73" s="669"/>
      <c r="OI73" s="669"/>
      <c r="OJ73" s="669"/>
      <c r="OK73" s="669"/>
      <c r="OL73" s="669"/>
      <c r="OM73" s="669"/>
      <c r="ON73" s="669"/>
      <c r="OO73" s="669"/>
      <c r="OP73" s="669"/>
      <c r="OQ73" s="669"/>
      <c r="OR73" s="669"/>
      <c r="OS73" s="669"/>
      <c r="OT73" s="669"/>
      <c r="OU73" s="669"/>
      <c r="OV73" s="669"/>
      <c r="OW73" s="669"/>
      <c r="OX73" s="669"/>
      <c r="OY73" s="669"/>
      <c r="OZ73" s="669"/>
      <c r="PA73" s="669"/>
      <c r="PB73" s="669"/>
      <c r="PC73" s="669"/>
      <c r="PD73" s="669"/>
      <c r="PE73" s="669"/>
      <c r="PF73" s="669"/>
      <c r="PG73" s="669"/>
      <c r="PH73" s="669"/>
      <c r="PI73" s="669"/>
      <c r="PJ73" s="669"/>
      <c r="PK73" s="669"/>
      <c r="PL73" s="669"/>
      <c r="PM73" s="669"/>
      <c r="PN73" s="669"/>
      <c r="PO73" s="669"/>
      <c r="PP73" s="669"/>
      <c r="PQ73" s="669"/>
      <c r="PR73" s="669"/>
      <c r="PS73" s="669"/>
      <c r="PT73" s="669"/>
      <c r="PU73" s="669"/>
      <c r="PV73" s="669"/>
      <c r="PW73" s="669"/>
      <c r="PX73" s="669"/>
      <c r="PY73" s="669"/>
      <c r="PZ73" s="669"/>
      <c r="QA73" s="669"/>
      <c r="QB73" s="669"/>
      <c r="QC73" s="669"/>
      <c r="QD73" s="669"/>
      <c r="QE73" s="669"/>
      <c r="QF73" s="669"/>
      <c r="QG73" s="669"/>
      <c r="QH73" s="669"/>
      <c r="QI73" s="669"/>
      <c r="QJ73" s="669"/>
      <c r="QK73" s="669"/>
      <c r="QL73" s="669"/>
      <c r="QM73" s="669"/>
      <c r="QN73" s="669"/>
      <c r="QO73" s="669"/>
      <c r="QP73" s="669"/>
      <c r="QQ73" s="669"/>
      <c r="QR73" s="669"/>
      <c r="QS73" s="669"/>
      <c r="QT73" s="669"/>
      <c r="QU73" s="669"/>
      <c r="QV73" s="669"/>
      <c r="QW73" s="669"/>
      <c r="QX73" s="669"/>
      <c r="QY73" s="669"/>
      <c r="QZ73" s="669"/>
      <c r="RA73" s="669"/>
      <c r="RB73" s="669"/>
      <c r="RC73" s="669"/>
      <c r="RD73" s="669"/>
      <c r="RE73" s="669"/>
      <c r="RF73" s="669"/>
      <c r="RG73" s="669"/>
      <c r="RH73" s="669"/>
      <c r="RI73" s="669"/>
      <c r="RJ73" s="669"/>
      <c r="RK73" s="669"/>
      <c r="RL73" s="669"/>
      <c r="RM73" s="669"/>
      <c r="RN73" s="669"/>
      <c r="RO73" s="669"/>
      <c r="RP73" s="669"/>
      <c r="RQ73" s="669"/>
    </row>
    <row r="74" spans="1:485" s="454" customFormat="1" x14ac:dyDescent="0.25">
      <c r="A74" s="2200"/>
      <c r="B74" s="2201" t="s">
        <v>1057</v>
      </c>
      <c r="C74" s="2202" t="s">
        <v>14</v>
      </c>
      <c r="D74" s="2203" t="s">
        <v>955</v>
      </c>
      <c r="E74" s="2157">
        <v>1</v>
      </c>
      <c r="F74" s="2158">
        <v>4119.4975000000004</v>
      </c>
      <c r="G74" s="2157">
        <v>4</v>
      </c>
      <c r="H74" s="2159">
        <f t="shared" ref="H74:H79" si="21">E74*F74*G74</f>
        <v>16477.990000000002</v>
      </c>
      <c r="I74" s="2160">
        <v>1</v>
      </c>
      <c r="J74" s="2161">
        <v>3</v>
      </c>
      <c r="K74" s="2161">
        <v>6200</v>
      </c>
      <c r="L74" s="2161">
        <v>1</v>
      </c>
      <c r="M74" s="2162">
        <f>J74*K74*L74</f>
        <v>18600</v>
      </c>
      <c r="N74" s="2160">
        <v>1</v>
      </c>
      <c r="O74" s="2162">
        <f t="shared" ref="O74:O79" si="22">+H74+M74</f>
        <v>35077.990000000005</v>
      </c>
      <c r="P74" s="263">
        <v>1</v>
      </c>
      <c r="Q74" s="2162">
        <f t="shared" ref="Q74:Q79" si="23">O74*P74</f>
        <v>35077.990000000005</v>
      </c>
      <c r="R74" s="2164" t="s">
        <v>1058</v>
      </c>
      <c r="S74" s="2223">
        <f>19739.441704+22245.73154276</f>
        <v>41985.173246760001</v>
      </c>
      <c r="T74" s="2167">
        <f t="shared" ref="T74:T80" si="24">S74/O74</f>
        <v>1.1969093225341587</v>
      </c>
      <c r="U74" s="2166" t="s">
        <v>1490</v>
      </c>
      <c r="V74" s="2167">
        <v>1</v>
      </c>
      <c r="W74" s="2166">
        <f>S74*V74</f>
        <v>41985.173246760001</v>
      </c>
      <c r="X74" s="2166" t="s">
        <v>1490</v>
      </c>
    </row>
    <row r="75" spans="1:485" s="454" customFormat="1" x14ac:dyDescent="0.25">
      <c r="A75" s="2200"/>
      <c r="B75" s="2201" t="s">
        <v>1059</v>
      </c>
      <c r="C75" s="2202" t="s">
        <v>14</v>
      </c>
      <c r="D75" s="2156" t="s">
        <v>955</v>
      </c>
      <c r="E75" s="2157">
        <v>1</v>
      </c>
      <c r="F75" s="2158">
        <v>6199.75</v>
      </c>
      <c r="G75" s="2157">
        <v>1</v>
      </c>
      <c r="H75" s="2159">
        <f t="shared" si="21"/>
        <v>6199.75</v>
      </c>
      <c r="I75" s="2160">
        <v>0</v>
      </c>
      <c r="J75" s="2161">
        <v>1</v>
      </c>
      <c r="K75" s="2161">
        <v>5187</v>
      </c>
      <c r="L75" s="2161">
        <v>1</v>
      </c>
      <c r="M75" s="2162">
        <f t="shared" ref="M75:M79" si="25">J75*K75*L75</f>
        <v>5187</v>
      </c>
      <c r="N75" s="2160">
        <v>0</v>
      </c>
      <c r="O75" s="2162">
        <f t="shared" si="22"/>
        <v>11386.75</v>
      </c>
      <c r="P75" s="263">
        <v>0</v>
      </c>
      <c r="Q75" s="2162">
        <f t="shared" si="23"/>
        <v>0</v>
      </c>
      <c r="R75" s="2164" t="s">
        <v>1058</v>
      </c>
      <c r="S75" s="2186">
        <f>8175.51025+6513.792632</f>
        <v>14689.302882</v>
      </c>
      <c r="T75" s="2160">
        <f t="shared" si="24"/>
        <v>1.2900347229894396</v>
      </c>
      <c r="U75" s="2162" t="s">
        <v>1490</v>
      </c>
      <c r="V75" s="2160">
        <v>1</v>
      </c>
      <c r="W75" s="2162">
        <f t="shared" ref="W75" si="26">S75*V75</f>
        <v>14689.302882</v>
      </c>
      <c r="X75" s="2162" t="s">
        <v>1490</v>
      </c>
    </row>
    <row r="76" spans="1:485" s="454" customFormat="1" x14ac:dyDescent="0.25">
      <c r="A76" s="2200"/>
      <c r="B76" s="2201" t="s">
        <v>1060</v>
      </c>
      <c r="C76" s="2202" t="s">
        <v>14</v>
      </c>
      <c r="D76" s="2156" t="s">
        <v>955</v>
      </c>
      <c r="E76" s="2157">
        <v>1</v>
      </c>
      <c r="F76" s="2158">
        <v>800</v>
      </c>
      <c r="G76" s="2157">
        <v>0.6116625</v>
      </c>
      <c r="H76" s="2159">
        <f t="shared" si="21"/>
        <v>489.33</v>
      </c>
      <c r="I76" s="2160">
        <v>1</v>
      </c>
      <c r="J76" s="2161">
        <v>1</v>
      </c>
      <c r="K76" s="2161">
        <v>850</v>
      </c>
      <c r="L76" s="2161">
        <v>6</v>
      </c>
      <c r="M76" s="2162">
        <f t="shared" si="25"/>
        <v>5100</v>
      </c>
      <c r="N76" s="2160">
        <v>1</v>
      </c>
      <c r="O76" s="2162">
        <f t="shared" si="22"/>
        <v>5589.33</v>
      </c>
      <c r="P76" s="263">
        <v>1</v>
      </c>
      <c r="Q76" s="2162">
        <f t="shared" si="23"/>
        <v>5589.33</v>
      </c>
      <c r="R76" s="2164" t="s">
        <v>1058</v>
      </c>
      <c r="S76" s="2223">
        <f>489.33+3909.72278</f>
        <v>4399.05278</v>
      </c>
      <c r="T76" s="2167">
        <f t="shared" si="24"/>
        <v>0.78704474060397223</v>
      </c>
      <c r="U76" s="2166" t="s">
        <v>1490</v>
      </c>
      <c r="V76" s="2167">
        <v>1</v>
      </c>
      <c r="W76" s="2166">
        <f>S76*V76</f>
        <v>4399.05278</v>
      </c>
      <c r="X76" s="2166" t="s">
        <v>1490</v>
      </c>
    </row>
    <row r="77" spans="1:485" s="454" customFormat="1" x14ac:dyDescent="0.25">
      <c r="A77" s="2200"/>
      <c r="B77" s="2201" t="s">
        <v>1061</v>
      </c>
      <c r="C77" s="2202" t="s">
        <v>14</v>
      </c>
      <c r="D77" s="2156" t="s">
        <v>955</v>
      </c>
      <c r="E77" s="2157">
        <v>1</v>
      </c>
      <c r="F77" s="2158">
        <v>850</v>
      </c>
      <c r="G77" s="2157">
        <v>4.4687176470588232</v>
      </c>
      <c r="H77" s="2159">
        <f t="shared" si="21"/>
        <v>3798.41</v>
      </c>
      <c r="I77" s="2160">
        <v>0</v>
      </c>
      <c r="J77" s="2161">
        <v>1</v>
      </c>
      <c r="K77" s="2161">
        <v>900</v>
      </c>
      <c r="L77" s="2161">
        <v>6</v>
      </c>
      <c r="M77" s="2162">
        <f t="shared" si="25"/>
        <v>5400</v>
      </c>
      <c r="N77" s="2160">
        <v>0</v>
      </c>
      <c r="O77" s="2162">
        <f t="shared" si="22"/>
        <v>9198.41</v>
      </c>
      <c r="P77" s="263">
        <v>0</v>
      </c>
      <c r="Q77" s="2162">
        <f t="shared" si="23"/>
        <v>0</v>
      </c>
      <c r="R77" s="2164" t="s">
        <v>1058</v>
      </c>
      <c r="S77" s="2223">
        <f>3171.05406070522+7657.21278</f>
        <v>10828.266840705219</v>
      </c>
      <c r="T77" s="2167">
        <f t="shared" si="24"/>
        <v>1.1771889751277904</v>
      </c>
      <c r="U77" s="2166" t="s">
        <v>1490</v>
      </c>
      <c r="V77" s="2167">
        <v>1</v>
      </c>
      <c r="W77" s="2166">
        <f>S77*V77</f>
        <v>10828.266840705219</v>
      </c>
      <c r="X77" s="2166" t="s">
        <v>1490</v>
      </c>
    </row>
    <row r="78" spans="1:485" s="454" customFormat="1" x14ac:dyDescent="0.25">
      <c r="A78" s="2200"/>
      <c r="B78" s="2201" t="s">
        <v>1062</v>
      </c>
      <c r="C78" s="2202" t="s">
        <v>14</v>
      </c>
      <c r="D78" s="2156" t="s">
        <v>955</v>
      </c>
      <c r="E78" s="2157">
        <v>1</v>
      </c>
      <c r="F78" s="2158">
        <v>600</v>
      </c>
      <c r="G78" s="2157">
        <v>3.2778333333333336</v>
      </c>
      <c r="H78" s="2159">
        <f t="shared" si="21"/>
        <v>1966.7000000000003</v>
      </c>
      <c r="I78" s="2160">
        <v>0</v>
      </c>
      <c r="J78" s="2161">
        <v>1</v>
      </c>
      <c r="K78" s="2161">
        <v>600</v>
      </c>
      <c r="L78" s="2161">
        <v>6</v>
      </c>
      <c r="M78" s="2162">
        <f t="shared" si="25"/>
        <v>3600</v>
      </c>
      <c r="N78" s="2160">
        <v>0</v>
      </c>
      <c r="O78" s="2162">
        <f t="shared" si="22"/>
        <v>5566.7000000000007</v>
      </c>
      <c r="P78" s="263">
        <v>0</v>
      </c>
      <c r="Q78" s="2162">
        <f t="shared" si="23"/>
        <v>0</v>
      </c>
      <c r="R78" s="2164" t="s">
        <v>1058</v>
      </c>
      <c r="S78" s="2223">
        <f>1966.70406070522+3056.17278</f>
        <v>5022.8768407052194</v>
      </c>
      <c r="T78" s="2167">
        <f t="shared" si="24"/>
        <v>0.90230780187637538</v>
      </c>
      <c r="U78" s="2166" t="s">
        <v>1490</v>
      </c>
      <c r="V78" s="2167">
        <v>1</v>
      </c>
      <c r="W78" s="2166">
        <f>S78*V78</f>
        <v>5022.8768407052194</v>
      </c>
      <c r="X78" s="2166" t="s">
        <v>1490</v>
      </c>
    </row>
    <row r="79" spans="1:485" s="454" customFormat="1" ht="26" x14ac:dyDescent="0.25">
      <c r="A79" s="2200"/>
      <c r="B79" s="2201" t="s">
        <v>1063</v>
      </c>
      <c r="C79" s="2202" t="s">
        <v>14</v>
      </c>
      <c r="D79" s="2156" t="s">
        <v>955</v>
      </c>
      <c r="E79" s="2157">
        <v>118.55555555555556</v>
      </c>
      <c r="F79" s="2158">
        <v>6</v>
      </c>
      <c r="G79" s="2157">
        <v>3</v>
      </c>
      <c r="H79" s="2159">
        <f t="shared" si="21"/>
        <v>2134</v>
      </c>
      <c r="I79" s="2160">
        <v>0.35</v>
      </c>
      <c r="J79" s="2161">
        <v>9</v>
      </c>
      <c r="K79" s="2161">
        <v>49.6</v>
      </c>
      <c r="L79" s="2161">
        <v>5</v>
      </c>
      <c r="M79" s="2162">
        <f t="shared" si="25"/>
        <v>2232</v>
      </c>
      <c r="N79" s="2160">
        <v>0.35</v>
      </c>
      <c r="O79" s="2162">
        <f t="shared" si="22"/>
        <v>4366</v>
      </c>
      <c r="P79" s="263">
        <v>0.35</v>
      </c>
      <c r="Q79" s="2162">
        <f t="shared" si="23"/>
        <v>1528.1</v>
      </c>
      <c r="R79" s="2164" t="s">
        <v>1064</v>
      </c>
      <c r="S79" s="2223">
        <f>1669.59+2165.54</f>
        <v>3835.13</v>
      </c>
      <c r="T79" s="2167">
        <f t="shared" si="24"/>
        <v>0.87840815391662852</v>
      </c>
      <c r="U79" s="2166" t="s">
        <v>1050</v>
      </c>
      <c r="V79" s="2167">
        <v>0.35</v>
      </c>
      <c r="W79" s="2166">
        <f>S79*V79</f>
        <v>1342.2954999999999</v>
      </c>
      <c r="X79" s="2166" t="s">
        <v>1050</v>
      </c>
    </row>
    <row r="80" spans="1:485" s="454" customFormat="1" x14ac:dyDescent="0.25">
      <c r="A80" s="2204"/>
      <c r="B80" s="2205"/>
      <c r="C80" s="2206"/>
      <c r="D80" s="516" t="s">
        <v>0</v>
      </c>
      <c r="E80" s="1689"/>
      <c r="F80" s="1689"/>
      <c r="G80" s="1689"/>
      <c r="H80" s="470">
        <f>SUM(H74:H79)</f>
        <v>31066.180000000004</v>
      </c>
      <c r="I80" s="470"/>
      <c r="J80" s="471"/>
      <c r="K80" s="471"/>
      <c r="L80" s="471"/>
      <c r="M80" s="470">
        <f t="shared" ref="M80:S80" si="27">SUM(M74:M79)</f>
        <v>40119</v>
      </c>
      <c r="N80" s="472"/>
      <c r="O80" s="470">
        <f t="shared" si="27"/>
        <v>71185.180000000008</v>
      </c>
      <c r="P80" s="1076">
        <f>+Q80/O80</f>
        <v>0.59275568313516946</v>
      </c>
      <c r="Q80" s="470">
        <f t="shared" si="27"/>
        <v>42195.420000000006</v>
      </c>
      <c r="R80" s="473">
        <f t="shared" si="27"/>
        <v>0</v>
      </c>
      <c r="S80" s="2854">
        <f t="shared" si="27"/>
        <v>80759.802590170439</v>
      </c>
      <c r="T80" s="472">
        <f t="shared" si="24"/>
        <v>1.134503032656101</v>
      </c>
      <c r="U80" s="470"/>
      <c r="V80" s="472">
        <f>W80/S80</f>
        <v>0.96913273163073055</v>
      </c>
      <c r="W80" s="470">
        <f>SUM(W74:W79)</f>
        <v>78266.968090170427</v>
      </c>
      <c r="X80" s="470"/>
    </row>
    <row r="81" spans="1:29" s="454" customFormat="1" x14ac:dyDescent="0.25">
      <c r="A81" s="3036" t="s">
        <v>55</v>
      </c>
      <c r="B81" s="3037"/>
      <c r="C81" s="3037"/>
      <c r="D81" s="3037"/>
      <c r="E81" s="3037"/>
      <c r="F81" s="3037"/>
      <c r="G81" s="3037"/>
      <c r="H81" s="3037"/>
      <c r="I81" s="3037"/>
      <c r="J81" s="3037"/>
      <c r="K81" s="3037"/>
      <c r="L81" s="3037"/>
      <c r="M81" s="3037"/>
      <c r="N81" s="3037"/>
      <c r="O81" s="3037"/>
      <c r="P81" s="3037"/>
      <c r="Q81" s="3037"/>
      <c r="R81" s="3038"/>
      <c r="S81" s="2855"/>
      <c r="T81" s="2208"/>
      <c r="U81" s="2207"/>
      <c r="V81" s="2208"/>
      <c r="W81" s="2207"/>
      <c r="X81" s="2207"/>
    </row>
    <row r="82" spans="1:29" s="454" customFormat="1" ht="25" x14ac:dyDescent="0.25">
      <c r="A82" s="2204"/>
      <c r="B82" s="2205"/>
      <c r="C82" s="2209" t="s">
        <v>15</v>
      </c>
      <c r="D82" s="2210" t="s">
        <v>955</v>
      </c>
      <c r="E82" s="2059"/>
      <c r="F82" s="2059"/>
      <c r="G82" s="2059"/>
      <c r="H82" s="2159">
        <f t="shared" ref="H82" si="28">E82*F82*G82</f>
        <v>0</v>
      </c>
      <c r="I82" s="2211"/>
      <c r="J82" s="2212"/>
      <c r="K82" s="2212"/>
      <c r="L82" s="2212"/>
      <c r="M82" s="2162">
        <f t="shared" ref="M82" si="29">J82*K82*L82</f>
        <v>0</v>
      </c>
      <c r="N82" s="2213">
        <v>0</v>
      </c>
      <c r="O82" s="2162">
        <f>+H82+M82</f>
        <v>0</v>
      </c>
      <c r="P82" s="562">
        <v>0</v>
      </c>
      <c r="Q82" s="2162">
        <f t="shared" ref="Q82" si="30">O82*P82</f>
        <v>0</v>
      </c>
      <c r="R82" s="2214"/>
      <c r="S82" s="2186">
        <v>0</v>
      </c>
      <c r="T82" s="2215">
        <v>0</v>
      </c>
      <c r="U82" s="2216"/>
      <c r="V82" s="2211">
        <v>0</v>
      </c>
      <c r="W82" s="2216">
        <f>S82*V82</f>
        <v>0</v>
      </c>
      <c r="X82" s="2216"/>
    </row>
    <row r="83" spans="1:29" s="454" customFormat="1" x14ac:dyDescent="0.25">
      <c r="A83" s="2204"/>
      <c r="B83" s="2205"/>
      <c r="C83" s="2206"/>
      <c r="D83" s="516" t="s">
        <v>0</v>
      </c>
      <c r="E83" s="1689"/>
      <c r="F83" s="1689"/>
      <c r="G83" s="1689"/>
      <c r="H83" s="470">
        <f>SUM(H82:H82)</f>
        <v>0</v>
      </c>
      <c r="I83" s="470"/>
      <c r="J83" s="471">
        <f t="shared" ref="J83:T83" si="31">SUM(J82:J82)</f>
        <v>0</v>
      </c>
      <c r="K83" s="471">
        <f t="shared" si="31"/>
        <v>0</v>
      </c>
      <c r="L83" s="471">
        <f t="shared" si="31"/>
        <v>0</v>
      </c>
      <c r="M83" s="470">
        <f t="shared" si="31"/>
        <v>0</v>
      </c>
      <c r="N83" s="472">
        <f t="shared" si="31"/>
        <v>0</v>
      </c>
      <c r="O83" s="470">
        <f t="shared" si="31"/>
        <v>0</v>
      </c>
      <c r="P83" s="511">
        <f t="shared" si="31"/>
        <v>0</v>
      </c>
      <c r="Q83" s="470">
        <f t="shared" si="31"/>
        <v>0</v>
      </c>
      <c r="R83" s="473">
        <f t="shared" si="31"/>
        <v>0</v>
      </c>
      <c r="S83" s="2854">
        <f>SUM(S82:S82)</f>
        <v>0</v>
      </c>
      <c r="T83" s="803">
        <f t="shared" si="31"/>
        <v>0</v>
      </c>
      <c r="U83" s="470"/>
      <c r="V83" s="472">
        <v>0</v>
      </c>
      <c r="W83" s="470">
        <f>SUM(W82)</f>
        <v>0</v>
      </c>
      <c r="X83" s="470"/>
    </row>
    <row r="84" spans="1:29" s="454" customFormat="1" x14ac:dyDescent="0.25">
      <c r="A84" s="3036" t="s">
        <v>56</v>
      </c>
      <c r="B84" s="3037"/>
      <c r="C84" s="3037"/>
      <c r="D84" s="3037"/>
      <c r="E84" s="3037"/>
      <c r="F84" s="3037"/>
      <c r="G84" s="3037"/>
      <c r="H84" s="3037"/>
      <c r="I84" s="3037"/>
      <c r="J84" s="3037"/>
      <c r="K84" s="3037"/>
      <c r="L84" s="3037"/>
      <c r="M84" s="3037"/>
      <c r="N84" s="3037"/>
      <c r="O84" s="3037"/>
      <c r="P84" s="3037"/>
      <c r="Q84" s="3037"/>
      <c r="R84" s="3038"/>
      <c r="S84" s="2855"/>
      <c r="T84" s="2208"/>
      <c r="U84" s="2207"/>
      <c r="V84" s="2208"/>
      <c r="W84" s="2207"/>
      <c r="X84" s="2207"/>
    </row>
    <row r="85" spans="1:29" s="454" customFormat="1" ht="26" x14ac:dyDescent="0.25">
      <c r="A85" s="2204"/>
      <c r="B85" s="2205" t="s">
        <v>1065</v>
      </c>
      <c r="C85" s="2217" t="s">
        <v>36</v>
      </c>
      <c r="D85" s="2210" t="s">
        <v>955</v>
      </c>
      <c r="E85" s="2059">
        <v>2</v>
      </c>
      <c r="F85" s="2059">
        <v>485</v>
      </c>
      <c r="G85" s="2059">
        <v>1</v>
      </c>
      <c r="H85" s="2159">
        <f t="shared" ref="H85" si="32">E85*F85*G85</f>
        <v>970</v>
      </c>
      <c r="I85" s="2160">
        <v>1</v>
      </c>
      <c r="J85" s="2212"/>
      <c r="K85" s="2212"/>
      <c r="L85" s="2212"/>
      <c r="M85" s="2162">
        <f t="shared" ref="M85" si="33">J85*K85*L85</f>
        <v>0</v>
      </c>
      <c r="N85" s="2213">
        <v>0</v>
      </c>
      <c r="O85" s="2162">
        <f>+H85+M85</f>
        <v>970</v>
      </c>
      <c r="P85" s="263">
        <v>1</v>
      </c>
      <c r="Q85" s="2162">
        <f t="shared" ref="Q85" si="34">O85*P85</f>
        <v>970</v>
      </c>
      <c r="R85" s="2164" t="s">
        <v>1066</v>
      </c>
      <c r="S85" s="2186">
        <v>970</v>
      </c>
      <c r="T85" s="2160">
        <f>S85/O85</f>
        <v>1</v>
      </c>
      <c r="U85" s="2162" t="s">
        <v>606</v>
      </c>
      <c r="V85" s="2160">
        <v>1</v>
      </c>
      <c r="W85" s="2162">
        <f>S85*V85</f>
        <v>970</v>
      </c>
      <c r="X85" s="2162" t="s">
        <v>606</v>
      </c>
      <c r="Z85" s="261">
        <v>-500</v>
      </c>
      <c r="AA85" s="261" t="s">
        <v>1491</v>
      </c>
      <c r="AB85" s="261"/>
      <c r="AC85" s="1690" t="s">
        <v>1492</v>
      </c>
    </row>
    <row r="86" spans="1:29" s="454" customFormat="1" x14ac:dyDescent="0.25">
      <c r="A86" s="2204"/>
      <c r="B86" s="2218"/>
      <c r="C86" s="2204"/>
      <c r="D86" s="516" t="s">
        <v>0</v>
      </c>
      <c r="E86" s="1689"/>
      <c r="F86" s="1689"/>
      <c r="G86" s="1689"/>
      <c r="H86" s="470">
        <f>SUM(H85:H85)</f>
        <v>970</v>
      </c>
      <c r="I86" s="470">
        <f>SUM(I85:I85)</f>
        <v>1</v>
      </c>
      <c r="J86" s="471">
        <f t="shared" ref="J86:Q86" si="35">SUM(J85:J85)</f>
        <v>0</v>
      </c>
      <c r="K86" s="471">
        <f t="shared" si="35"/>
        <v>0</v>
      </c>
      <c r="L86" s="471">
        <f t="shared" si="35"/>
        <v>0</v>
      </c>
      <c r="M86" s="470">
        <f t="shared" si="35"/>
        <v>0</v>
      </c>
      <c r="N86" s="472">
        <f t="shared" si="35"/>
        <v>0</v>
      </c>
      <c r="O86" s="470">
        <f t="shared" si="35"/>
        <v>970</v>
      </c>
      <c r="P86" s="1076">
        <f>+Q86/O86</f>
        <v>1</v>
      </c>
      <c r="Q86" s="470">
        <f t="shared" si="35"/>
        <v>970</v>
      </c>
      <c r="R86" s="473">
        <f>SUM(R85:R85)</f>
        <v>0</v>
      </c>
      <c r="S86" s="2854">
        <f>SUM(S85:S85)</f>
        <v>970</v>
      </c>
      <c r="T86" s="803">
        <f>S86/O86</f>
        <v>1</v>
      </c>
      <c r="U86" s="470"/>
      <c r="V86" s="472">
        <f>W86/S86</f>
        <v>1</v>
      </c>
      <c r="W86" s="470">
        <f>SUM(W85)</f>
        <v>970</v>
      </c>
      <c r="X86" s="470"/>
    </row>
    <row r="87" spans="1:29" s="454" customFormat="1" ht="14.25" customHeight="1" x14ac:dyDescent="0.25">
      <c r="A87" s="3036" t="s">
        <v>57</v>
      </c>
      <c r="B87" s="3037"/>
      <c r="C87" s="3037"/>
      <c r="D87" s="3037"/>
      <c r="E87" s="3037"/>
      <c r="F87" s="3037"/>
      <c r="G87" s="3037"/>
      <c r="H87" s="3037"/>
      <c r="I87" s="3037"/>
      <c r="J87" s="3037"/>
      <c r="K87" s="3037"/>
      <c r="L87" s="3037"/>
      <c r="M87" s="3037"/>
      <c r="N87" s="3037"/>
      <c r="O87" s="3037"/>
      <c r="P87" s="3037"/>
      <c r="Q87" s="3037"/>
      <c r="R87" s="3038"/>
      <c r="S87" s="2855"/>
      <c r="T87" s="2208"/>
      <c r="U87" s="2207"/>
      <c r="V87" s="2208"/>
      <c r="W87" s="2207"/>
      <c r="X87" s="2207"/>
    </row>
    <row r="88" spans="1:29" s="454" customFormat="1" ht="14.25" customHeight="1" x14ac:dyDescent="0.25">
      <c r="A88" s="2204"/>
      <c r="B88" s="2201" t="s">
        <v>1067</v>
      </c>
      <c r="C88" s="2202" t="s">
        <v>47</v>
      </c>
      <c r="D88" s="2203" t="s">
        <v>955</v>
      </c>
      <c r="E88" s="2157">
        <v>1</v>
      </c>
      <c r="F88" s="2158">
        <v>154.37899999999999</v>
      </c>
      <c r="G88" s="2157">
        <v>10</v>
      </c>
      <c r="H88" s="2159">
        <f t="shared" ref="H88:H90" si="36">E88*F88*G88</f>
        <v>1543.79</v>
      </c>
      <c r="I88" s="2160">
        <v>1</v>
      </c>
      <c r="J88" s="2161">
        <v>1</v>
      </c>
      <c r="K88" s="2161">
        <v>150</v>
      </c>
      <c r="L88" s="2161">
        <v>6</v>
      </c>
      <c r="M88" s="2162">
        <f t="shared" ref="M88:M90" si="37">J88*K88*L88</f>
        <v>900</v>
      </c>
      <c r="N88" s="2160">
        <v>1</v>
      </c>
      <c r="O88" s="2162">
        <f>+H88+M88</f>
        <v>2443.79</v>
      </c>
      <c r="P88" s="263">
        <v>1</v>
      </c>
      <c r="Q88" s="2162">
        <f t="shared" ref="Q88:Q90" si="38">O88*P88</f>
        <v>2443.79</v>
      </c>
      <c r="R88" s="2164" t="s">
        <v>1068</v>
      </c>
      <c r="S88" s="2223">
        <f>1403.79+2456.96</f>
        <v>3860.75</v>
      </c>
      <c r="T88" s="2167">
        <f>S88/O88</f>
        <v>1.5798206883570192</v>
      </c>
      <c r="U88" s="2166" t="s">
        <v>606</v>
      </c>
      <c r="V88" s="2167">
        <v>1</v>
      </c>
      <c r="W88" s="2166">
        <f>S88*V88</f>
        <v>3860.75</v>
      </c>
      <c r="X88" s="2166" t="s">
        <v>1031</v>
      </c>
    </row>
    <row r="89" spans="1:29" s="454" customFormat="1" ht="14.25" customHeight="1" x14ac:dyDescent="0.25">
      <c r="A89" s="2204"/>
      <c r="B89" s="2201" t="s">
        <v>1069</v>
      </c>
      <c r="C89" s="2202" t="s">
        <v>47</v>
      </c>
      <c r="D89" s="2203" t="s">
        <v>955</v>
      </c>
      <c r="E89" s="2157">
        <v>1</v>
      </c>
      <c r="F89" s="2158">
        <v>200</v>
      </c>
      <c r="G89" s="2157">
        <v>4.5999999999999996</v>
      </c>
      <c r="H89" s="2159">
        <f t="shared" si="36"/>
        <v>919.99999999999989</v>
      </c>
      <c r="I89" s="2160">
        <v>1</v>
      </c>
      <c r="J89" s="2161">
        <v>1</v>
      </c>
      <c r="K89" s="2161">
        <v>400</v>
      </c>
      <c r="L89" s="2161">
        <v>5</v>
      </c>
      <c r="M89" s="2162">
        <f t="shared" si="37"/>
        <v>2000</v>
      </c>
      <c r="N89" s="2160">
        <v>1</v>
      </c>
      <c r="O89" s="2162">
        <f>+H89+M89</f>
        <v>2920</v>
      </c>
      <c r="P89" s="263">
        <v>1</v>
      </c>
      <c r="Q89" s="2162">
        <f t="shared" si="38"/>
        <v>2920</v>
      </c>
      <c r="R89" s="2164" t="s">
        <v>1070</v>
      </c>
      <c r="S89" s="2223">
        <f>520+1040.39</f>
        <v>1560.39</v>
      </c>
      <c r="T89" s="2167">
        <f>S89/O89</f>
        <v>0.53438013698630138</v>
      </c>
      <c r="U89" s="2166" t="s">
        <v>1031</v>
      </c>
      <c r="V89" s="2167">
        <v>1</v>
      </c>
      <c r="W89" s="2166">
        <f t="shared" ref="W89:W90" si="39">S89*V89</f>
        <v>1560.39</v>
      </c>
      <c r="X89" s="2166" t="s">
        <v>1031</v>
      </c>
    </row>
    <row r="90" spans="1:29" s="454" customFormat="1" ht="14.25" customHeight="1" x14ac:dyDescent="0.25">
      <c r="A90" s="2204"/>
      <c r="B90" s="2201" t="s">
        <v>1071</v>
      </c>
      <c r="C90" s="2202" t="s">
        <v>47</v>
      </c>
      <c r="D90" s="2203" t="s">
        <v>955</v>
      </c>
      <c r="E90" s="2157">
        <v>1</v>
      </c>
      <c r="F90" s="2158">
        <v>469.62571428571431</v>
      </c>
      <c r="G90" s="2157">
        <v>7</v>
      </c>
      <c r="H90" s="2159">
        <f t="shared" si="36"/>
        <v>3287.38</v>
      </c>
      <c r="I90" s="2160">
        <v>0.35</v>
      </c>
      <c r="J90" s="2161">
        <v>1</v>
      </c>
      <c r="K90" s="2161">
        <v>600</v>
      </c>
      <c r="L90" s="2161">
        <v>12</v>
      </c>
      <c r="M90" s="2162">
        <f t="shared" si="37"/>
        <v>7200</v>
      </c>
      <c r="N90" s="2160">
        <v>0.35</v>
      </c>
      <c r="O90" s="2162">
        <f>+H90+M90</f>
        <v>10487.380000000001</v>
      </c>
      <c r="P90" s="263">
        <v>0.35</v>
      </c>
      <c r="Q90" s="2162">
        <f t="shared" si="38"/>
        <v>3670.5830000000001</v>
      </c>
      <c r="R90" s="2164" t="s">
        <v>1072</v>
      </c>
      <c r="S90" s="2223">
        <f>3287.38030352609+6744.25778</f>
        <v>10031.63808352609</v>
      </c>
      <c r="T90" s="2167">
        <f>S90/O90</f>
        <v>0.95654377771436605</v>
      </c>
      <c r="U90" s="2166" t="s">
        <v>1031</v>
      </c>
      <c r="V90" s="2167">
        <v>0.35</v>
      </c>
      <c r="W90" s="2166">
        <f t="shared" si="39"/>
        <v>3511.0733292341311</v>
      </c>
      <c r="X90" s="2166" t="s">
        <v>1031</v>
      </c>
    </row>
    <row r="91" spans="1:29" s="454" customFormat="1" ht="14.25" customHeight="1" x14ac:dyDescent="0.25">
      <c r="A91" s="2204"/>
      <c r="B91" s="2218"/>
      <c r="C91" s="2204"/>
      <c r="D91" s="516" t="s">
        <v>0</v>
      </c>
      <c r="E91" s="1689"/>
      <c r="F91" s="1689"/>
      <c r="G91" s="1689"/>
      <c r="H91" s="470">
        <f>SUM(H88:H90)</f>
        <v>5751.17</v>
      </c>
      <c r="I91" s="470"/>
      <c r="J91" s="471">
        <f t="shared" ref="J91:S91" si="40">SUM(J88:J90)</f>
        <v>3</v>
      </c>
      <c r="K91" s="471">
        <f t="shared" si="40"/>
        <v>1150</v>
      </c>
      <c r="L91" s="471">
        <f t="shared" si="40"/>
        <v>23</v>
      </c>
      <c r="M91" s="470">
        <f t="shared" si="40"/>
        <v>10100</v>
      </c>
      <c r="N91" s="472"/>
      <c r="O91" s="470">
        <f t="shared" si="40"/>
        <v>15851.170000000002</v>
      </c>
      <c r="P91" s="1076">
        <f>+Q91/O91</f>
        <v>0.56994991536902317</v>
      </c>
      <c r="Q91" s="470">
        <f t="shared" si="40"/>
        <v>9034.3729999999996</v>
      </c>
      <c r="R91" s="473">
        <f t="shared" si="40"/>
        <v>0</v>
      </c>
      <c r="S91" s="2854">
        <f t="shared" si="40"/>
        <v>15452.778083526089</v>
      </c>
      <c r="T91" s="472">
        <f>S91/O91</f>
        <v>0.97486671857825558</v>
      </c>
      <c r="U91" s="470"/>
      <c r="V91" s="472">
        <f>W91/S91</f>
        <v>0.57803284826542567</v>
      </c>
      <c r="W91" s="470">
        <f>SUM(W88:W90)</f>
        <v>8932.2133292341314</v>
      </c>
      <c r="X91" s="470"/>
    </row>
    <row r="92" spans="1:29" s="454" customFormat="1" ht="14.25" customHeight="1" x14ac:dyDescent="0.25">
      <c r="A92" s="3036" t="s">
        <v>59</v>
      </c>
      <c r="B92" s="3037"/>
      <c r="C92" s="3037"/>
      <c r="D92" s="3037"/>
      <c r="E92" s="3037"/>
      <c r="F92" s="3037"/>
      <c r="G92" s="3037"/>
      <c r="H92" s="3037"/>
      <c r="I92" s="3037"/>
      <c r="J92" s="3037"/>
      <c r="K92" s="3037"/>
      <c r="L92" s="3037"/>
      <c r="M92" s="3037"/>
      <c r="N92" s="3037"/>
      <c r="O92" s="3037"/>
      <c r="P92" s="3037"/>
      <c r="Q92" s="3037"/>
      <c r="R92" s="3038"/>
      <c r="S92" s="2855"/>
      <c r="T92" s="2208"/>
      <c r="U92" s="2207"/>
      <c r="V92" s="2208"/>
      <c r="W92" s="2207"/>
      <c r="X92" s="2207"/>
    </row>
    <row r="93" spans="1:29" s="454" customFormat="1" ht="26" x14ac:dyDescent="0.25">
      <c r="A93" s="2204"/>
      <c r="B93" s="2201" t="s">
        <v>1073</v>
      </c>
      <c r="C93" s="2202" t="s">
        <v>17</v>
      </c>
      <c r="D93" s="2203" t="s">
        <v>955</v>
      </c>
      <c r="E93" s="2157">
        <v>1</v>
      </c>
      <c r="F93" s="2158">
        <v>2306.6666666666665</v>
      </c>
      <c r="G93" s="2157">
        <v>3</v>
      </c>
      <c r="H93" s="2159">
        <f t="shared" ref="H93:H102" si="41">E93*F93*G93</f>
        <v>6920</v>
      </c>
      <c r="I93" s="2160">
        <v>1</v>
      </c>
      <c r="J93" s="2161">
        <v>1</v>
      </c>
      <c r="K93" s="2161">
        <v>2300</v>
      </c>
      <c r="L93" s="2161">
        <v>8</v>
      </c>
      <c r="M93" s="2162">
        <f t="shared" ref="M93:M102" si="42">J93*K93*L93</f>
        <v>18400</v>
      </c>
      <c r="N93" s="2160">
        <v>1</v>
      </c>
      <c r="O93" s="2162">
        <f t="shared" ref="O93:O102" si="43">+H93+M93</f>
        <v>25320</v>
      </c>
      <c r="P93" s="263">
        <v>1</v>
      </c>
      <c r="Q93" s="2162">
        <f t="shared" ref="Q93:Q102" si="44">O93*P93</f>
        <v>25320</v>
      </c>
      <c r="R93" s="2164" t="s">
        <v>1074</v>
      </c>
      <c r="S93" s="2223">
        <f>6500.60052353134+17675.16</f>
        <v>24175.760523531339</v>
      </c>
      <c r="T93" s="2167">
        <f t="shared" ref="T93:T103" si="45">S93/O93</f>
        <v>0.95480886743804649</v>
      </c>
      <c r="U93" s="2166" t="s">
        <v>1031</v>
      </c>
      <c r="V93" s="2167">
        <v>1</v>
      </c>
      <c r="W93" s="2166">
        <f t="shared" ref="W93:W102" si="46">S93*V93</f>
        <v>24175.760523531339</v>
      </c>
      <c r="X93" s="2166" t="s">
        <v>1031</v>
      </c>
    </row>
    <row r="94" spans="1:29" s="454" customFormat="1" ht="52" x14ac:dyDescent="0.25">
      <c r="A94" s="2204"/>
      <c r="B94" s="2201" t="s">
        <v>1075</v>
      </c>
      <c r="C94" s="2202" t="s">
        <v>17</v>
      </c>
      <c r="D94" s="2203" t="s">
        <v>955</v>
      </c>
      <c r="E94" s="2157">
        <v>1</v>
      </c>
      <c r="F94" s="2158">
        <v>124.58333333333333</v>
      </c>
      <c r="G94" s="2157">
        <v>12</v>
      </c>
      <c r="H94" s="2159">
        <f t="shared" si="41"/>
        <v>1495</v>
      </c>
      <c r="I94" s="2160">
        <v>1</v>
      </c>
      <c r="J94" s="2161">
        <v>1</v>
      </c>
      <c r="K94" s="2161">
        <v>165</v>
      </c>
      <c r="L94" s="2161">
        <v>12</v>
      </c>
      <c r="M94" s="2162">
        <f t="shared" si="42"/>
        <v>1980</v>
      </c>
      <c r="N94" s="2160">
        <v>1</v>
      </c>
      <c r="O94" s="2162">
        <f t="shared" si="43"/>
        <v>3475</v>
      </c>
      <c r="P94" s="263">
        <v>1</v>
      </c>
      <c r="Q94" s="2162">
        <f t="shared" si="44"/>
        <v>3475</v>
      </c>
      <c r="R94" s="2164" t="s">
        <v>1076</v>
      </c>
      <c r="S94" s="2223">
        <f>1295+1736.18</f>
        <v>3031.1800000000003</v>
      </c>
      <c r="T94" s="2167">
        <f t="shared" si="45"/>
        <v>0.87228201438848929</v>
      </c>
      <c r="U94" s="2166" t="s">
        <v>1031</v>
      </c>
      <c r="V94" s="2167">
        <v>1</v>
      </c>
      <c r="W94" s="2166">
        <f t="shared" si="46"/>
        <v>3031.1800000000003</v>
      </c>
      <c r="X94" s="2166" t="s">
        <v>1031</v>
      </c>
    </row>
    <row r="95" spans="1:29" s="454" customFormat="1" ht="52" x14ac:dyDescent="0.25">
      <c r="A95" s="2204"/>
      <c r="B95" s="2201" t="s">
        <v>1077</v>
      </c>
      <c r="C95" s="2202" t="s">
        <v>17</v>
      </c>
      <c r="D95" s="2203" t="s">
        <v>955</v>
      </c>
      <c r="E95" s="2157">
        <v>1</v>
      </c>
      <c r="F95" s="2158">
        <v>784.505</v>
      </c>
      <c r="G95" s="2157">
        <v>4</v>
      </c>
      <c r="H95" s="2159">
        <f t="shared" si="41"/>
        <v>3138.02</v>
      </c>
      <c r="I95" s="2160">
        <v>1</v>
      </c>
      <c r="J95" s="2161">
        <v>1</v>
      </c>
      <c r="K95" s="2161">
        <v>487</v>
      </c>
      <c r="L95" s="2161">
        <v>10</v>
      </c>
      <c r="M95" s="2162">
        <f t="shared" si="42"/>
        <v>4870</v>
      </c>
      <c r="N95" s="2160">
        <v>1</v>
      </c>
      <c r="O95" s="2162">
        <f t="shared" si="43"/>
        <v>8008.02</v>
      </c>
      <c r="P95" s="263">
        <v>1</v>
      </c>
      <c r="Q95" s="2162">
        <f t="shared" si="44"/>
        <v>8008.02</v>
      </c>
      <c r="R95" s="2164" t="s">
        <v>1078</v>
      </c>
      <c r="S95" s="2223">
        <f>2642.02197245643+4572.75</f>
        <v>7214.7719724564304</v>
      </c>
      <c r="T95" s="2167">
        <f t="shared" si="45"/>
        <v>0.90094330089790364</v>
      </c>
      <c r="U95" s="2166" t="s">
        <v>1031</v>
      </c>
      <c r="V95" s="2167">
        <v>1</v>
      </c>
      <c r="W95" s="2166">
        <f t="shared" si="46"/>
        <v>7214.7719724564304</v>
      </c>
      <c r="X95" s="2166" t="s">
        <v>1031</v>
      </c>
    </row>
    <row r="96" spans="1:29" s="454" customFormat="1" ht="26" x14ac:dyDescent="0.25">
      <c r="A96" s="2204"/>
      <c r="B96" s="2201" t="s">
        <v>1079</v>
      </c>
      <c r="C96" s="2202" t="s">
        <v>17</v>
      </c>
      <c r="D96" s="2203" t="s">
        <v>955</v>
      </c>
      <c r="E96" s="2157">
        <v>179.4403846153846</v>
      </c>
      <c r="F96" s="2158">
        <v>1.3</v>
      </c>
      <c r="G96" s="2157">
        <v>12</v>
      </c>
      <c r="H96" s="2159">
        <f t="shared" si="41"/>
        <v>2799.2699999999995</v>
      </c>
      <c r="I96" s="2160">
        <v>1</v>
      </c>
      <c r="J96" s="2161">
        <v>280</v>
      </c>
      <c r="K96" s="2161">
        <v>1.3</v>
      </c>
      <c r="L96" s="2161">
        <v>12</v>
      </c>
      <c r="M96" s="2162">
        <f t="shared" si="42"/>
        <v>4368</v>
      </c>
      <c r="N96" s="2160">
        <v>1</v>
      </c>
      <c r="O96" s="2162">
        <f t="shared" si="43"/>
        <v>7167.2699999999995</v>
      </c>
      <c r="P96" s="263">
        <v>1</v>
      </c>
      <c r="Q96" s="2162">
        <f t="shared" si="44"/>
        <v>7167.2699999999995</v>
      </c>
      <c r="R96" s="2164" t="s">
        <v>1080</v>
      </c>
      <c r="S96" s="2223">
        <f>2599.27097719289+4231.18</f>
        <v>6830.4509771928897</v>
      </c>
      <c r="T96" s="2167">
        <f t="shared" si="45"/>
        <v>0.95300595306063396</v>
      </c>
      <c r="U96" s="2166" t="s">
        <v>1031</v>
      </c>
      <c r="V96" s="2167">
        <v>1</v>
      </c>
      <c r="W96" s="2166">
        <f t="shared" si="46"/>
        <v>6830.4509771928897</v>
      </c>
      <c r="X96" s="2166" t="s">
        <v>1031</v>
      </c>
    </row>
    <row r="97" spans="1:24" s="454" customFormat="1" ht="26" x14ac:dyDescent="0.25">
      <c r="A97" s="2204"/>
      <c r="B97" s="2201" t="s">
        <v>1081</v>
      </c>
      <c r="C97" s="2202" t="s">
        <v>17</v>
      </c>
      <c r="D97" s="2203" t="s">
        <v>955</v>
      </c>
      <c r="E97" s="2157">
        <v>208.33333333333334</v>
      </c>
      <c r="F97" s="2158">
        <v>1.3</v>
      </c>
      <c r="G97" s="2157">
        <v>12</v>
      </c>
      <c r="H97" s="2159">
        <f t="shared" si="41"/>
        <v>3250.0000000000005</v>
      </c>
      <c r="I97" s="2160">
        <v>1</v>
      </c>
      <c r="J97" s="2161">
        <v>137.39294871794871</v>
      </c>
      <c r="K97" s="2161">
        <v>1.3</v>
      </c>
      <c r="L97" s="2161">
        <v>12</v>
      </c>
      <c r="M97" s="2162">
        <f t="shared" si="42"/>
        <v>2143.33</v>
      </c>
      <c r="N97" s="2160">
        <v>1</v>
      </c>
      <c r="O97" s="2162">
        <f t="shared" si="43"/>
        <v>5393.33</v>
      </c>
      <c r="P97" s="263">
        <v>1</v>
      </c>
      <c r="Q97" s="2162">
        <f t="shared" si="44"/>
        <v>5393.33</v>
      </c>
      <c r="R97" s="2164" t="s">
        <v>1082</v>
      </c>
      <c r="S97" s="2223">
        <f>2850+2382.7</f>
        <v>5232.7</v>
      </c>
      <c r="T97" s="2167">
        <f t="shared" si="45"/>
        <v>0.97021691607967619</v>
      </c>
      <c r="U97" s="2166" t="s">
        <v>1031</v>
      </c>
      <c r="V97" s="2167">
        <v>1</v>
      </c>
      <c r="W97" s="2166">
        <f t="shared" si="46"/>
        <v>5232.7</v>
      </c>
      <c r="X97" s="2166" t="s">
        <v>1031</v>
      </c>
    </row>
    <row r="98" spans="1:24" s="454" customFormat="1" x14ac:dyDescent="0.25">
      <c r="A98" s="2204"/>
      <c r="B98" s="2201" t="s">
        <v>1083</v>
      </c>
      <c r="C98" s="2202" t="s">
        <v>17</v>
      </c>
      <c r="D98" s="2203" t="s">
        <v>955</v>
      </c>
      <c r="E98" s="2157">
        <v>60.256410256410255</v>
      </c>
      <c r="F98" s="2158">
        <v>1.3</v>
      </c>
      <c r="G98" s="2157">
        <v>12</v>
      </c>
      <c r="H98" s="2159">
        <f t="shared" si="41"/>
        <v>940</v>
      </c>
      <c r="I98" s="2160">
        <v>1</v>
      </c>
      <c r="J98" s="2161">
        <v>100</v>
      </c>
      <c r="K98" s="2161">
        <v>1.3</v>
      </c>
      <c r="L98" s="2161">
        <v>12</v>
      </c>
      <c r="M98" s="2162">
        <f t="shared" si="42"/>
        <v>1560</v>
      </c>
      <c r="N98" s="2160">
        <v>1</v>
      </c>
      <c r="O98" s="2162">
        <f t="shared" si="43"/>
        <v>2500</v>
      </c>
      <c r="P98" s="263">
        <v>1</v>
      </c>
      <c r="Q98" s="2162">
        <f t="shared" si="44"/>
        <v>2500</v>
      </c>
      <c r="R98" s="2164" t="s">
        <v>1084</v>
      </c>
      <c r="S98" s="2223">
        <f>890+2141.9</f>
        <v>3031.9</v>
      </c>
      <c r="T98" s="2167">
        <f t="shared" si="45"/>
        <v>1.2127600000000001</v>
      </c>
      <c r="U98" s="2166" t="s">
        <v>1031</v>
      </c>
      <c r="V98" s="2167">
        <v>1</v>
      </c>
      <c r="W98" s="2166">
        <f t="shared" si="46"/>
        <v>3031.9</v>
      </c>
      <c r="X98" s="2166" t="s">
        <v>1031</v>
      </c>
    </row>
    <row r="99" spans="1:24" s="454" customFormat="1" ht="65" x14ac:dyDescent="0.25">
      <c r="A99" s="2204"/>
      <c r="B99" s="2201" t="s">
        <v>1085</v>
      </c>
      <c r="C99" s="2202" t="s">
        <v>17</v>
      </c>
      <c r="D99" s="2203" t="s">
        <v>955</v>
      </c>
      <c r="E99" s="2157">
        <v>1</v>
      </c>
      <c r="F99" s="2158">
        <v>1456.12</v>
      </c>
      <c r="G99" s="2157">
        <v>1</v>
      </c>
      <c r="H99" s="2159">
        <f t="shared" si="41"/>
        <v>1456.12</v>
      </c>
      <c r="I99" s="2160">
        <v>1</v>
      </c>
      <c r="J99" s="2161">
        <v>1</v>
      </c>
      <c r="K99" s="2161">
        <v>1500</v>
      </c>
      <c r="L99" s="2161">
        <v>1</v>
      </c>
      <c r="M99" s="2162">
        <f t="shared" si="42"/>
        <v>1500</v>
      </c>
      <c r="N99" s="2160">
        <v>1</v>
      </c>
      <c r="O99" s="2162">
        <f t="shared" si="43"/>
        <v>2956.12</v>
      </c>
      <c r="P99" s="263">
        <v>1</v>
      </c>
      <c r="Q99" s="2162">
        <f t="shared" si="44"/>
        <v>2956.12</v>
      </c>
      <c r="R99" s="2164" t="s">
        <v>1086</v>
      </c>
      <c r="S99" s="2223">
        <f>1456.11669380359+1260</f>
        <v>2716.1166938035899</v>
      </c>
      <c r="T99" s="2167">
        <f t="shared" si="45"/>
        <v>0.91881137903860133</v>
      </c>
      <c r="U99" s="2166" t="s">
        <v>1031</v>
      </c>
      <c r="V99" s="2167">
        <v>1</v>
      </c>
      <c r="W99" s="2166">
        <f t="shared" si="46"/>
        <v>2716.1166938035899</v>
      </c>
      <c r="X99" s="2166" t="s">
        <v>1031</v>
      </c>
    </row>
    <row r="100" spans="1:24" s="454" customFormat="1" ht="39" x14ac:dyDescent="0.25">
      <c r="A100" s="2204"/>
      <c r="B100" s="2201" t="s">
        <v>1087</v>
      </c>
      <c r="C100" s="2202" t="s">
        <v>17</v>
      </c>
      <c r="D100" s="2203" t="s">
        <v>955</v>
      </c>
      <c r="E100" s="2157">
        <v>1</v>
      </c>
      <c r="F100" s="2158">
        <v>1338.5</v>
      </c>
      <c r="G100" s="2157">
        <v>1</v>
      </c>
      <c r="H100" s="2159">
        <f t="shared" si="41"/>
        <v>1338.5</v>
      </c>
      <c r="I100" s="2160">
        <v>1</v>
      </c>
      <c r="J100" s="2161">
        <v>2</v>
      </c>
      <c r="K100" s="2161">
        <v>500</v>
      </c>
      <c r="L100" s="2161">
        <v>2</v>
      </c>
      <c r="M100" s="2162">
        <f t="shared" si="42"/>
        <v>2000</v>
      </c>
      <c r="N100" s="2160">
        <v>1</v>
      </c>
      <c r="O100" s="2162">
        <f t="shared" si="43"/>
        <v>3338.5</v>
      </c>
      <c r="P100" s="263">
        <v>1</v>
      </c>
      <c r="Q100" s="2162">
        <f t="shared" si="44"/>
        <v>3338.5</v>
      </c>
      <c r="R100" s="2164" t="s">
        <v>1088</v>
      </c>
      <c r="S100" s="2223">
        <f>546.5+951</f>
        <v>1497.5</v>
      </c>
      <c r="T100" s="2167">
        <f t="shared" si="45"/>
        <v>0.4485547401527632</v>
      </c>
      <c r="U100" s="2166" t="s">
        <v>1493</v>
      </c>
      <c r="V100" s="2167">
        <v>1</v>
      </c>
      <c r="W100" s="2166">
        <f t="shared" si="46"/>
        <v>1497.5</v>
      </c>
      <c r="X100" s="2166" t="s">
        <v>1031</v>
      </c>
    </row>
    <row r="101" spans="1:24" s="454" customFormat="1" ht="39" x14ac:dyDescent="0.25">
      <c r="A101" s="2204"/>
      <c r="B101" s="2201" t="s">
        <v>1089</v>
      </c>
      <c r="C101" s="2202" t="s">
        <v>17</v>
      </c>
      <c r="D101" s="2203" t="s">
        <v>955</v>
      </c>
      <c r="E101" s="2157">
        <v>2</v>
      </c>
      <c r="F101" s="2158">
        <v>350</v>
      </c>
      <c r="G101" s="2157">
        <v>5.1235999999999997</v>
      </c>
      <c r="H101" s="2159">
        <f t="shared" si="41"/>
        <v>3586.52</v>
      </c>
      <c r="I101" s="2160">
        <v>1</v>
      </c>
      <c r="J101" s="2161">
        <v>4</v>
      </c>
      <c r="K101" s="2161">
        <v>900</v>
      </c>
      <c r="L101" s="2161">
        <v>1</v>
      </c>
      <c r="M101" s="2162">
        <f t="shared" si="42"/>
        <v>3600</v>
      </c>
      <c r="N101" s="2160">
        <v>1</v>
      </c>
      <c r="O101" s="2162">
        <f t="shared" si="43"/>
        <v>7186.52</v>
      </c>
      <c r="P101" s="263">
        <v>1</v>
      </c>
      <c r="Q101" s="2162">
        <f t="shared" si="44"/>
        <v>7186.52</v>
      </c>
      <c r="R101" s="2164" t="s">
        <v>1090</v>
      </c>
      <c r="S101" s="2223">
        <f>3272.9+2536</f>
        <v>5808.9</v>
      </c>
      <c r="T101" s="2167">
        <f t="shared" si="45"/>
        <v>0.80830499323733873</v>
      </c>
      <c r="U101" s="2166" t="s">
        <v>1493</v>
      </c>
      <c r="V101" s="2167">
        <v>1</v>
      </c>
      <c r="W101" s="2166">
        <f t="shared" si="46"/>
        <v>5808.9</v>
      </c>
      <c r="X101" s="2166" t="s">
        <v>1031</v>
      </c>
    </row>
    <row r="102" spans="1:24" s="454" customFormat="1" ht="26" x14ac:dyDescent="0.25">
      <c r="A102" s="2204"/>
      <c r="B102" s="2201" t="s">
        <v>1091</v>
      </c>
      <c r="C102" s="2202" t="s">
        <v>17</v>
      </c>
      <c r="D102" s="2203" t="s">
        <v>955</v>
      </c>
      <c r="E102" s="2157">
        <v>2</v>
      </c>
      <c r="F102" s="2158">
        <v>458.16500000000002</v>
      </c>
      <c r="G102" s="2157">
        <v>1</v>
      </c>
      <c r="H102" s="2159">
        <f t="shared" si="41"/>
        <v>916.33</v>
      </c>
      <c r="I102" s="2160">
        <v>1</v>
      </c>
      <c r="J102" s="2161">
        <v>2</v>
      </c>
      <c r="K102" s="2161">
        <v>1300</v>
      </c>
      <c r="L102" s="2161">
        <v>1</v>
      </c>
      <c r="M102" s="2162">
        <f t="shared" si="42"/>
        <v>2600</v>
      </c>
      <c r="N102" s="2160">
        <v>1</v>
      </c>
      <c r="O102" s="2162">
        <f t="shared" si="43"/>
        <v>3516.33</v>
      </c>
      <c r="P102" s="263">
        <v>1</v>
      </c>
      <c r="Q102" s="2162">
        <f t="shared" si="44"/>
        <v>3516.33</v>
      </c>
      <c r="R102" s="2164" t="s">
        <v>1092</v>
      </c>
      <c r="S102" s="2186">
        <f>916.3284+1100.0048</f>
        <v>2016.3332</v>
      </c>
      <c r="T102" s="2160">
        <f t="shared" si="45"/>
        <v>0.5734197871075809</v>
      </c>
      <c r="U102" s="2162" t="s">
        <v>1031</v>
      </c>
      <c r="V102" s="2160">
        <v>1</v>
      </c>
      <c r="W102" s="2162">
        <f t="shared" si="46"/>
        <v>2016.3332</v>
      </c>
      <c r="X102" s="2162" t="s">
        <v>1031</v>
      </c>
    </row>
    <row r="103" spans="1:24" s="454" customFormat="1" ht="14.25" customHeight="1" x14ac:dyDescent="0.25">
      <c r="A103" s="2204"/>
      <c r="B103" s="2218"/>
      <c r="C103" s="2204"/>
      <c r="D103" s="516" t="s">
        <v>0</v>
      </c>
      <c r="E103" s="1689"/>
      <c r="F103" s="1689"/>
      <c r="G103" s="1689"/>
      <c r="H103" s="470">
        <f>SUM(H93:H102)</f>
        <v>25839.760000000002</v>
      </c>
      <c r="I103" s="470"/>
      <c r="J103" s="471"/>
      <c r="K103" s="471"/>
      <c r="L103" s="471"/>
      <c r="M103" s="470">
        <f>SUM(M93:M102)</f>
        <v>43021.33</v>
      </c>
      <c r="N103" s="472"/>
      <c r="O103" s="470">
        <f>SUM(O93:O102)</f>
        <v>68861.090000000011</v>
      </c>
      <c r="P103" s="1076">
        <f>+Q103/O103</f>
        <v>1</v>
      </c>
      <c r="Q103" s="470">
        <f>SUM(Q93:Q102)</f>
        <v>68861.090000000011</v>
      </c>
      <c r="R103" s="473"/>
      <c r="S103" s="2854">
        <f>SUM(S93:S102)</f>
        <v>61555.613366984246</v>
      </c>
      <c r="T103" s="472">
        <f t="shared" si="45"/>
        <v>0.89390994779467237</v>
      </c>
      <c r="U103" s="470"/>
      <c r="V103" s="472">
        <f>W103/S103</f>
        <v>1</v>
      </c>
      <c r="W103" s="470">
        <f>SUM(W93:W102)</f>
        <v>61555.613366984246</v>
      </c>
      <c r="X103" s="470"/>
    </row>
    <row r="104" spans="1:24" s="454" customFormat="1" ht="14.25" customHeight="1" x14ac:dyDescent="0.25">
      <c r="A104" s="3036" t="s">
        <v>60</v>
      </c>
      <c r="B104" s="3037"/>
      <c r="C104" s="3037"/>
      <c r="D104" s="3037"/>
      <c r="E104" s="3037"/>
      <c r="F104" s="3037"/>
      <c r="G104" s="3037"/>
      <c r="H104" s="3037"/>
      <c r="I104" s="3037"/>
      <c r="J104" s="3037"/>
      <c r="K104" s="3037"/>
      <c r="L104" s="3037"/>
      <c r="M104" s="3037"/>
      <c r="N104" s="3037"/>
      <c r="O104" s="3037"/>
      <c r="P104" s="3037"/>
      <c r="Q104" s="3037"/>
      <c r="R104" s="3038"/>
      <c r="S104" s="2855"/>
      <c r="T104" s="2208"/>
      <c r="U104" s="2207"/>
      <c r="V104" s="2208"/>
      <c r="W104" s="2207"/>
      <c r="X104" s="2207"/>
    </row>
    <row r="105" spans="1:24" s="454" customFormat="1" ht="14.25" customHeight="1" x14ac:dyDescent="0.25">
      <c r="A105" s="2204"/>
      <c r="B105" s="2205"/>
      <c r="C105" s="2206"/>
      <c r="D105" s="2210" t="s">
        <v>955</v>
      </c>
      <c r="E105" s="2059"/>
      <c r="F105" s="2059"/>
      <c r="G105" s="2059"/>
      <c r="H105" s="2159">
        <f t="shared" ref="H105" si="47">E105*F105*G105</f>
        <v>0</v>
      </c>
      <c r="I105" s="2211"/>
      <c r="J105" s="2212"/>
      <c r="K105" s="2212"/>
      <c r="L105" s="2212"/>
      <c r="M105" s="2162">
        <f t="shared" ref="M105" si="48">J105*K105*L105</f>
        <v>0</v>
      </c>
      <c r="N105" s="2213">
        <v>0</v>
      </c>
      <c r="O105" s="2162">
        <f>+H105+M105</f>
        <v>0</v>
      </c>
      <c r="P105" s="263">
        <v>0</v>
      </c>
      <c r="Q105" s="2162">
        <f t="shared" ref="Q105" si="49">O105*P105</f>
        <v>0</v>
      </c>
      <c r="R105" s="2214"/>
      <c r="S105" s="2186">
        <v>0</v>
      </c>
      <c r="T105" s="2215">
        <v>0</v>
      </c>
      <c r="U105" s="2216"/>
      <c r="V105" s="2211">
        <v>0</v>
      </c>
      <c r="W105" s="2216">
        <f>S105*V105</f>
        <v>0</v>
      </c>
      <c r="X105" s="2216"/>
    </row>
    <row r="106" spans="1:24" s="454" customFormat="1" ht="14.25" customHeight="1" x14ac:dyDescent="0.25">
      <c r="A106" s="2204"/>
      <c r="B106" s="2218"/>
      <c r="C106" s="2204"/>
      <c r="D106" s="516" t="s">
        <v>0</v>
      </c>
      <c r="E106" s="1689"/>
      <c r="F106" s="1689"/>
      <c r="G106" s="1689"/>
      <c r="H106" s="470">
        <f>SUM(H105:H105)</f>
        <v>0</v>
      </c>
      <c r="I106" s="470"/>
      <c r="J106" s="471"/>
      <c r="K106" s="471"/>
      <c r="L106" s="471"/>
      <c r="M106" s="470">
        <f>SUM(M105:M105)</f>
        <v>0</v>
      </c>
      <c r="N106" s="472">
        <f>SUM(N105:N105)</f>
        <v>0</v>
      </c>
      <c r="O106" s="470">
        <f>SUM(O105:O105)</f>
        <v>0</v>
      </c>
      <c r="P106" s="511"/>
      <c r="Q106" s="470">
        <f>SUM(Q105:Q105)</f>
        <v>0</v>
      </c>
      <c r="R106" s="473"/>
      <c r="S106" s="2854">
        <f>SUM(S105:S105)</f>
        <v>0</v>
      </c>
      <c r="T106" s="803">
        <v>0</v>
      </c>
      <c r="U106" s="470"/>
      <c r="V106" s="472">
        <v>0</v>
      </c>
      <c r="W106" s="470">
        <f>SUM(W105)</f>
        <v>0</v>
      </c>
      <c r="X106" s="470"/>
    </row>
    <row r="107" spans="1:24" s="454" customFormat="1" ht="14.25" customHeight="1" x14ac:dyDescent="0.25">
      <c r="A107" s="3036" t="s">
        <v>58</v>
      </c>
      <c r="B107" s="3037"/>
      <c r="C107" s="3037"/>
      <c r="D107" s="3037"/>
      <c r="E107" s="3037"/>
      <c r="F107" s="3037"/>
      <c r="G107" s="3037"/>
      <c r="H107" s="3037"/>
      <c r="I107" s="3037"/>
      <c r="J107" s="3037"/>
      <c r="K107" s="3037"/>
      <c r="L107" s="3037"/>
      <c r="M107" s="3037"/>
      <c r="N107" s="3037"/>
      <c r="O107" s="3037"/>
      <c r="P107" s="3037"/>
      <c r="Q107" s="3037"/>
      <c r="R107" s="3038"/>
      <c r="S107" s="2855"/>
      <c r="T107" s="2208"/>
      <c r="U107" s="2207"/>
      <c r="V107" s="2208"/>
      <c r="W107" s="2207"/>
      <c r="X107" s="2207"/>
    </row>
    <row r="108" spans="1:24" s="2226" customFormat="1" ht="24.75" customHeight="1" x14ac:dyDescent="0.25">
      <c r="A108" s="1098"/>
      <c r="B108" s="2219" t="s">
        <v>212</v>
      </c>
      <c r="C108" s="2220" t="s">
        <v>19</v>
      </c>
      <c r="D108" s="2221" t="s">
        <v>955</v>
      </c>
      <c r="E108" s="2183">
        <v>1</v>
      </c>
      <c r="F108" s="2184">
        <v>4818.9975000000004</v>
      </c>
      <c r="G108" s="2183">
        <v>4</v>
      </c>
      <c r="H108" s="2159">
        <f t="shared" ref="H108:H109" si="50">E108*F108*G108</f>
        <v>19275.990000000002</v>
      </c>
      <c r="I108" s="2160">
        <v>1</v>
      </c>
      <c r="J108" s="2161">
        <v>1</v>
      </c>
      <c r="K108" s="2161">
        <v>3378.1</v>
      </c>
      <c r="L108" s="2161">
        <v>1</v>
      </c>
      <c r="M108" s="2162">
        <f t="shared" ref="M108:M109" si="51">J108*K108*L108</f>
        <v>3378.1</v>
      </c>
      <c r="N108" s="2222">
        <v>1</v>
      </c>
      <c r="O108" s="2186">
        <f>+H108+M108</f>
        <v>22654.09</v>
      </c>
      <c r="P108" s="2188">
        <v>1</v>
      </c>
      <c r="Q108" s="2186">
        <f t="shared" ref="Q108:Q109" si="52">O108*P108</f>
        <v>22654.09</v>
      </c>
      <c r="R108" s="2189" t="s">
        <v>1093</v>
      </c>
      <c r="S108" s="2223">
        <f>19410.718542+9418.873136</f>
        <v>28829.591677999997</v>
      </c>
      <c r="T108" s="2224">
        <f>S108/O108</f>
        <v>1.2725998562731937</v>
      </c>
      <c r="U108" s="2223" t="s">
        <v>1094</v>
      </c>
      <c r="V108" s="2224">
        <v>1</v>
      </c>
      <c r="W108" s="2223">
        <f>S108*V108</f>
        <v>28829.591677999997</v>
      </c>
      <c r="X108" s="2225" t="s">
        <v>1094</v>
      </c>
    </row>
    <row r="109" spans="1:24" s="454" customFormat="1" ht="26" x14ac:dyDescent="0.25">
      <c r="A109" s="2204"/>
      <c r="B109" s="2201" t="s">
        <v>1095</v>
      </c>
      <c r="C109" s="2202" t="s">
        <v>19</v>
      </c>
      <c r="D109" s="2203" t="s">
        <v>955</v>
      </c>
      <c r="E109" s="2157">
        <v>1</v>
      </c>
      <c r="F109" s="2158">
        <v>1131.77</v>
      </c>
      <c r="G109" s="2157">
        <v>10</v>
      </c>
      <c r="H109" s="2159">
        <f t="shared" si="50"/>
        <v>11317.7</v>
      </c>
      <c r="I109" s="2160">
        <v>1</v>
      </c>
      <c r="J109" s="2161">
        <v>1</v>
      </c>
      <c r="K109" s="2161">
        <v>1415</v>
      </c>
      <c r="L109" s="2161">
        <v>12</v>
      </c>
      <c r="M109" s="2162">
        <f t="shared" si="51"/>
        <v>16980</v>
      </c>
      <c r="N109" s="2213">
        <v>1</v>
      </c>
      <c r="O109" s="2162">
        <f>+H109+M109</f>
        <v>28297.7</v>
      </c>
      <c r="P109" s="263">
        <v>1</v>
      </c>
      <c r="Q109" s="2162">
        <f t="shared" si="52"/>
        <v>28297.7</v>
      </c>
      <c r="R109" s="2164" t="s">
        <v>1096</v>
      </c>
      <c r="S109" s="2223">
        <f>11633.2072515337+13853.768198</f>
        <v>25486.9754495337</v>
      </c>
      <c r="T109" s="2167">
        <f>S109/O109</f>
        <v>0.90067303878172777</v>
      </c>
      <c r="U109" s="2166" t="s">
        <v>1494</v>
      </c>
      <c r="V109" s="2167">
        <v>1</v>
      </c>
      <c r="W109" s="2166">
        <f>S109*V109</f>
        <v>25486.9754495337</v>
      </c>
      <c r="X109" s="2166" t="s">
        <v>1494</v>
      </c>
    </row>
    <row r="110" spans="1:24" s="454" customFormat="1" x14ac:dyDescent="0.25">
      <c r="A110" s="2204"/>
      <c r="B110" s="2205"/>
      <c r="C110" s="2206"/>
      <c r="D110" s="516" t="s">
        <v>0</v>
      </c>
      <c r="E110" s="1689"/>
      <c r="F110" s="1689"/>
      <c r="G110" s="1689"/>
      <c r="H110" s="470">
        <f>SUM(H108:H109)</f>
        <v>30593.690000000002</v>
      </c>
      <c r="I110" s="470"/>
      <c r="J110" s="471"/>
      <c r="K110" s="471"/>
      <c r="L110" s="471"/>
      <c r="M110" s="470">
        <f t="shared" ref="M110:Q110" si="53">SUM(M108:M109)</f>
        <v>20358.099999999999</v>
      </c>
      <c r="N110" s="472"/>
      <c r="O110" s="470">
        <f t="shared" si="53"/>
        <v>50951.79</v>
      </c>
      <c r="P110" s="1076">
        <f>+Q110/O110</f>
        <v>1</v>
      </c>
      <c r="Q110" s="470">
        <f t="shared" si="53"/>
        <v>50951.79</v>
      </c>
      <c r="R110" s="473"/>
      <c r="S110" s="2854">
        <f t="shared" ref="S110" si="54">SUM(S108:S109)</f>
        <v>54316.567127533694</v>
      </c>
      <c r="T110" s="472">
        <f>S110/O110</f>
        <v>1.0660384478648088</v>
      </c>
      <c r="U110" s="470"/>
      <c r="V110" s="472">
        <f>W110/S110</f>
        <v>1</v>
      </c>
      <c r="W110" s="470">
        <f>SUM(W108:W109)</f>
        <v>54316.567127533694</v>
      </c>
      <c r="X110" s="470"/>
    </row>
    <row r="111" spans="1:24" s="480" customFormat="1" x14ac:dyDescent="0.25">
      <c r="A111" s="3009" t="s">
        <v>51</v>
      </c>
      <c r="B111" s="3010"/>
      <c r="C111" s="3146"/>
      <c r="D111" s="474"/>
      <c r="E111" s="475"/>
      <c r="F111" s="475"/>
      <c r="G111" s="475"/>
      <c r="H111" s="476">
        <f>H110+H106+H103+H91+H86+H83+H80</f>
        <v>94220.800000000003</v>
      </c>
      <c r="I111" s="476"/>
      <c r="J111" s="477"/>
      <c r="K111" s="477"/>
      <c r="L111" s="477"/>
      <c r="M111" s="476">
        <f>M110+M106+M103+M91+M86+M83+M80</f>
        <v>113598.43</v>
      </c>
      <c r="N111" s="478"/>
      <c r="O111" s="476">
        <f>O110+O106+O103+O91+O86+O83+O80</f>
        <v>207819.23000000004</v>
      </c>
      <c r="P111" s="677">
        <f>+Q111/O111</f>
        <v>0.82770335064757949</v>
      </c>
      <c r="Q111" s="476">
        <f>Q110+Q106+Q103+Q91+Q86+Q83+Q80</f>
        <v>172012.67300000001</v>
      </c>
      <c r="R111" s="479"/>
      <c r="S111" s="2856">
        <f>S110+S106+S103+S91+S86+S83+S80</f>
        <v>213054.76116821446</v>
      </c>
      <c r="T111" s="478">
        <f>S111/O111</f>
        <v>1.0251927175758202</v>
      </c>
      <c r="U111" s="476"/>
      <c r="V111" s="478">
        <f>W111/S111</f>
        <v>0.95769444810869264</v>
      </c>
      <c r="W111" s="476">
        <f>W110+W106+W103+W91+W86+W83+W80</f>
        <v>204041.36191392248</v>
      </c>
      <c r="X111" s="476"/>
    </row>
    <row r="112" spans="1:24" x14ac:dyDescent="0.25">
      <c r="A112" s="3350"/>
      <c r="B112" s="3351"/>
      <c r="C112" s="3351"/>
      <c r="D112" s="3354" t="s">
        <v>50</v>
      </c>
      <c r="E112" s="481"/>
      <c r="F112" s="481"/>
      <c r="G112" s="481"/>
      <c r="H112" s="482">
        <f>H111+H71</f>
        <v>235914.27500000002</v>
      </c>
      <c r="I112" s="482"/>
      <c r="J112" s="483"/>
      <c r="K112" s="483"/>
      <c r="L112" s="483"/>
      <c r="M112" s="482">
        <f t="shared" ref="M112" si="55">M111+M71</f>
        <v>305300.68</v>
      </c>
      <c r="N112" s="484"/>
      <c r="O112" s="482">
        <f>O111+O71</f>
        <v>541214.95500000007</v>
      </c>
      <c r="P112" s="1086">
        <f>+Q112/O112</f>
        <v>0.77581736890132325</v>
      </c>
      <c r="Q112" s="482">
        <f t="shared" ref="Q112" si="56">Q111+Q71</f>
        <v>419883.96239814814</v>
      </c>
      <c r="R112" s="482"/>
      <c r="S112" s="2753">
        <f>S111+S71</f>
        <v>541216.65942558064</v>
      </c>
      <c r="T112" s="484">
        <f>S112/O112</f>
        <v>1.0000031492580994</v>
      </c>
      <c r="U112" s="482"/>
      <c r="V112" s="484">
        <f>W112/S112</f>
        <v>0.87992603680260184</v>
      </c>
      <c r="W112" s="482">
        <f>W111+W71</f>
        <v>476230.63017989468</v>
      </c>
      <c r="X112" s="482"/>
    </row>
    <row r="113" spans="1:24" x14ac:dyDescent="0.25">
      <c r="A113" s="3352"/>
      <c r="B113" s="3353"/>
      <c r="C113" s="3353"/>
      <c r="D113" s="3355"/>
      <c r="E113" s="481"/>
      <c r="F113" s="481"/>
      <c r="G113" s="481"/>
      <c r="H113" s="485"/>
      <c r="I113" s="486"/>
      <c r="J113" s="289"/>
      <c r="K113" s="289"/>
      <c r="L113" s="289"/>
      <c r="M113" s="289"/>
      <c r="N113" s="487"/>
      <c r="O113" s="289"/>
      <c r="P113" s="2227"/>
      <c r="Q113" s="289"/>
      <c r="R113" s="288"/>
      <c r="S113" s="2857"/>
      <c r="T113" s="804"/>
      <c r="U113" s="288"/>
      <c r="V113" s="486"/>
      <c r="W113" s="288"/>
      <c r="X113" s="288"/>
    </row>
    <row r="114" spans="1:24" ht="39" x14ac:dyDescent="0.25">
      <c r="A114" s="3045"/>
      <c r="B114" s="3046"/>
      <c r="C114" s="3046"/>
      <c r="D114" s="424" t="s">
        <v>61</v>
      </c>
      <c r="E114" s="488">
        <v>7.0000000000000007E-2</v>
      </c>
      <c r="F114" s="425"/>
      <c r="G114" s="425"/>
      <c r="H114" s="489">
        <f>H112*E114</f>
        <v>16513.999250000004</v>
      </c>
      <c r="I114" s="489"/>
      <c r="J114" s="490"/>
      <c r="K114" s="490"/>
      <c r="L114" s="490"/>
      <c r="M114" s="489">
        <f>M112*E114</f>
        <v>21371.047600000002</v>
      </c>
      <c r="N114" s="491"/>
      <c r="O114" s="489">
        <f>+H114+M114</f>
        <v>37885.046850000006</v>
      </c>
      <c r="P114" s="512"/>
      <c r="Q114" s="489"/>
      <c r="R114" s="805">
        <v>7.0003968892732082E-2</v>
      </c>
      <c r="S114" s="2836">
        <v>37883.351646916009</v>
      </c>
      <c r="T114" s="806"/>
      <c r="U114" s="489"/>
      <c r="V114" s="491"/>
      <c r="W114" s="489">
        <f>W112*E114</f>
        <v>33336.144112592629</v>
      </c>
      <c r="X114" s="489"/>
    </row>
    <row r="115" spans="1:24" x14ac:dyDescent="0.25">
      <c r="A115" s="3045"/>
      <c r="B115" s="3046"/>
      <c r="C115" s="3046"/>
      <c r="D115" s="293" t="s">
        <v>26</v>
      </c>
      <c r="E115" s="493"/>
      <c r="F115" s="493"/>
      <c r="G115" s="493"/>
      <c r="H115" s="489">
        <f>H114+H112</f>
        <v>252428.27425000002</v>
      </c>
      <c r="I115" s="489"/>
      <c r="J115" s="490"/>
      <c r="K115" s="490"/>
      <c r="L115" s="490"/>
      <c r="M115" s="489">
        <f t="shared" ref="M115:O115" si="57">M114+M112</f>
        <v>326671.72759999998</v>
      </c>
      <c r="N115" s="491"/>
      <c r="O115" s="489">
        <f t="shared" si="57"/>
        <v>579100.00185000012</v>
      </c>
      <c r="P115" s="512"/>
      <c r="Q115" s="489"/>
      <c r="R115" s="492"/>
      <c r="S115" s="2836">
        <f>S114+S112</f>
        <v>579100.01107249665</v>
      </c>
      <c r="T115" s="806">
        <f>S115/O115</f>
        <v>1.0000000159255682</v>
      </c>
      <c r="U115" s="489"/>
      <c r="V115" s="491">
        <f>W115/S115</f>
        <v>0.87992879390343404</v>
      </c>
      <c r="W115" s="489">
        <f>W114+W112</f>
        <v>509566.7742924873</v>
      </c>
      <c r="X115" s="489"/>
    </row>
    <row r="116" spans="1:24" x14ac:dyDescent="0.25">
      <c r="A116" s="454"/>
    </row>
    <row r="117" spans="1:24" x14ac:dyDescent="0.25">
      <c r="A117" s="496" t="s">
        <v>5</v>
      </c>
      <c r="B117" s="497"/>
      <c r="C117" s="497"/>
      <c r="D117" s="497"/>
      <c r="E117" s="498"/>
      <c r="F117" s="499"/>
      <c r="G117" s="499"/>
      <c r="H117" s="500"/>
      <c r="J117" s="499"/>
      <c r="K117" s="499"/>
      <c r="L117" s="499"/>
      <c r="R117" s="669"/>
      <c r="S117" s="2858"/>
      <c r="T117" s="808"/>
      <c r="U117" s="454"/>
      <c r="V117" s="502"/>
      <c r="W117" s="454"/>
      <c r="X117" s="454"/>
    </row>
    <row r="118" spans="1:24" x14ac:dyDescent="0.25">
      <c r="A118" s="503" t="s">
        <v>27</v>
      </c>
      <c r="E118" s="504"/>
      <c r="F118" s="499"/>
      <c r="G118" s="499"/>
      <c r="H118" s="505"/>
      <c r="I118" s="502"/>
      <c r="J118" s="499"/>
      <c r="K118" s="499"/>
      <c r="L118" s="499"/>
      <c r="P118" s="807"/>
      <c r="R118" s="669"/>
      <c r="S118" s="2859"/>
      <c r="T118" s="808"/>
      <c r="U118" s="454"/>
      <c r="V118" s="502"/>
      <c r="W118" s="454"/>
      <c r="X118" s="454"/>
    </row>
    <row r="119" spans="1:24" ht="12.75" customHeight="1" x14ac:dyDescent="0.25">
      <c r="A119" s="3020" t="s">
        <v>46</v>
      </c>
      <c r="B119" s="3153"/>
      <c r="C119" s="3153"/>
      <c r="D119" s="3153"/>
      <c r="E119" s="3022"/>
      <c r="H119" s="505"/>
    </row>
    <row r="120" spans="1:24" x14ac:dyDescent="0.25">
      <c r="A120" s="503" t="s">
        <v>62</v>
      </c>
      <c r="D120" s="454"/>
      <c r="E120" s="504"/>
      <c r="H120" s="505"/>
    </row>
    <row r="121" spans="1:24" x14ac:dyDescent="0.25">
      <c r="A121" s="503"/>
      <c r="B121" s="261" t="s">
        <v>33</v>
      </c>
      <c r="E121" s="504"/>
      <c r="H121" s="505"/>
    </row>
    <row r="122" spans="1:24" x14ac:dyDescent="0.25">
      <c r="A122" s="503"/>
      <c r="B122" s="261" t="s">
        <v>34</v>
      </c>
      <c r="E122" s="504"/>
      <c r="H122" s="505"/>
    </row>
    <row r="123" spans="1:24" ht="12.75" customHeight="1" x14ac:dyDescent="0.25">
      <c r="A123" s="3033" t="s">
        <v>63</v>
      </c>
      <c r="B123" s="3034"/>
      <c r="C123" s="3034"/>
      <c r="D123" s="3034"/>
      <c r="E123" s="3035"/>
      <c r="H123" s="505"/>
    </row>
    <row r="124" spans="1:24" x14ac:dyDescent="0.25">
      <c r="H124" s="505"/>
    </row>
    <row r="125" spans="1:24" x14ac:dyDescent="0.25">
      <c r="A125" s="497" t="s">
        <v>49</v>
      </c>
      <c r="B125" s="506"/>
      <c r="C125" s="506"/>
      <c r="D125" s="506"/>
      <c r="E125" s="507"/>
    </row>
    <row r="126" spans="1:24" x14ac:dyDescent="0.25">
      <c r="A126" s="261" t="s">
        <v>14</v>
      </c>
      <c r="E126" s="504"/>
    </row>
    <row r="127" spans="1:24" x14ac:dyDescent="0.25">
      <c r="A127" s="261" t="s">
        <v>15</v>
      </c>
      <c r="E127" s="504"/>
    </row>
    <row r="128" spans="1:24" x14ac:dyDescent="0.25">
      <c r="A128" s="261" t="s">
        <v>36</v>
      </c>
      <c r="E128" s="504"/>
    </row>
    <row r="129" spans="1:5" x14ac:dyDescent="0.25">
      <c r="A129" s="261" t="s">
        <v>47</v>
      </c>
      <c r="E129" s="504"/>
    </row>
    <row r="130" spans="1:5" x14ac:dyDescent="0.25">
      <c r="A130" s="261" t="s">
        <v>17</v>
      </c>
      <c r="E130" s="504"/>
    </row>
    <row r="131" spans="1:5" x14ac:dyDescent="0.25">
      <c r="A131" s="261" t="s">
        <v>48</v>
      </c>
      <c r="E131" s="504"/>
    </row>
    <row r="132" spans="1:5" x14ac:dyDescent="0.25">
      <c r="A132" s="508" t="s">
        <v>19</v>
      </c>
      <c r="B132" s="508"/>
      <c r="C132" s="508"/>
      <c r="D132" s="508"/>
      <c r="E132" s="509"/>
    </row>
  </sheetData>
  <mergeCells count="19">
    <mergeCell ref="A123:E123"/>
    <mergeCell ref="A111:C111"/>
    <mergeCell ref="A112:C113"/>
    <mergeCell ref="D112:D113"/>
    <mergeCell ref="A114:C114"/>
    <mergeCell ref="A115:C115"/>
    <mergeCell ref="A119:E119"/>
    <mergeCell ref="A107:R107"/>
    <mergeCell ref="S8:X8"/>
    <mergeCell ref="A10:X10"/>
    <mergeCell ref="A11:X11"/>
    <mergeCell ref="A71:B71"/>
    <mergeCell ref="A72:X72"/>
    <mergeCell ref="A73:C73"/>
    <mergeCell ref="A81:R81"/>
    <mergeCell ref="A84:R84"/>
    <mergeCell ref="A87:R87"/>
    <mergeCell ref="A92:R92"/>
    <mergeCell ref="A104:R104"/>
  </mergeCells>
  <dataValidations count="1">
    <dataValidation type="list" allowBlank="1" showInputMessage="1" showErrorMessage="1" sqref="C108:C110 C88:C91 C80 C82:C83 C85:C86 C93:C103 C105:C106 C12:C70" xr:uid="{C1F3126A-0C8E-451D-BDE8-8D8B63F6CCAA}">
      <formula1>categories</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C7E6-F1A1-4CA0-AA94-D36620A7BAEF}">
  <dimension ref="A1:V42"/>
  <sheetViews>
    <sheetView topLeftCell="A8" zoomScale="62" workbookViewId="0">
      <selection activeCell="P19" sqref="P19"/>
    </sheetView>
  </sheetViews>
  <sheetFormatPr baseColWidth="10" defaultColWidth="9.1796875" defaultRowHeight="12.5" x14ac:dyDescent="0.25"/>
  <cols>
    <col min="1" max="1" width="36.81640625" customWidth="1"/>
    <col min="2" max="2" width="16.81640625" customWidth="1"/>
    <col min="3" max="3" width="12.81640625" customWidth="1"/>
    <col min="4" max="4" width="13.26953125" customWidth="1"/>
    <col min="5" max="5" width="15.1796875" customWidth="1"/>
    <col min="6" max="6" width="15.26953125" customWidth="1"/>
    <col min="7" max="7" width="13.453125" customWidth="1"/>
    <col min="8" max="9" width="12.1796875" customWidth="1"/>
    <col min="10" max="10" width="15.08984375" customWidth="1"/>
    <col min="11" max="11" width="12.7265625" style="657" customWidth="1"/>
    <col min="12" max="12" width="12.7265625" customWidth="1"/>
    <col min="13" max="13" width="15.453125" style="657" customWidth="1"/>
    <col min="14" max="15" width="12.7265625" customWidth="1"/>
    <col min="16" max="17" width="12.26953125" customWidth="1"/>
    <col min="18" max="18" width="14.7265625" customWidth="1"/>
    <col min="19" max="19" width="11.26953125" customWidth="1"/>
    <col min="20" max="20" width="10.81640625" customWidth="1"/>
    <col min="259" max="259" width="36.81640625" customWidth="1"/>
    <col min="260" max="260" width="16.81640625" customWidth="1"/>
    <col min="261" max="261" width="12.81640625" customWidth="1"/>
    <col min="262" max="262" width="13.26953125" customWidth="1"/>
    <col min="263" max="263" width="15.1796875" customWidth="1"/>
    <col min="264" max="264" width="15.26953125" customWidth="1"/>
    <col min="265" max="265" width="13.453125" customWidth="1"/>
    <col min="266" max="266" width="12.1796875" customWidth="1"/>
    <col min="267" max="267" width="17" customWidth="1"/>
    <col min="268" max="269" width="12.7265625" customWidth="1"/>
    <col min="270" max="270" width="15.453125" customWidth="1"/>
    <col min="271" max="271" width="12.7265625" customWidth="1"/>
    <col min="272" max="273" width="12.26953125" customWidth="1"/>
    <col min="274" max="274" width="14.7265625" customWidth="1"/>
    <col min="275" max="275" width="11.26953125" customWidth="1"/>
    <col min="276" max="276" width="10.81640625" customWidth="1"/>
    <col min="515" max="515" width="36.81640625" customWidth="1"/>
    <col min="516" max="516" width="16.81640625" customWidth="1"/>
    <col min="517" max="517" width="12.81640625" customWidth="1"/>
    <col min="518" max="518" width="13.26953125" customWidth="1"/>
    <col min="519" max="519" width="15.1796875" customWidth="1"/>
    <col min="520" max="520" width="15.26953125" customWidth="1"/>
    <col min="521" max="521" width="13.453125" customWidth="1"/>
    <col min="522" max="522" width="12.1796875" customWidth="1"/>
    <col min="523" max="523" width="17" customWidth="1"/>
    <col min="524" max="525" width="12.7265625" customWidth="1"/>
    <col min="526" max="526" width="15.453125" customWidth="1"/>
    <col min="527" max="527" width="12.7265625" customWidth="1"/>
    <col min="528" max="529" width="12.26953125" customWidth="1"/>
    <col min="530" max="530" width="14.7265625" customWidth="1"/>
    <col min="531" max="531" width="11.26953125" customWidth="1"/>
    <col min="532" max="532" width="10.81640625" customWidth="1"/>
    <col min="771" max="771" width="36.81640625" customWidth="1"/>
    <col min="772" max="772" width="16.81640625" customWidth="1"/>
    <col min="773" max="773" width="12.81640625" customWidth="1"/>
    <col min="774" max="774" width="13.26953125" customWidth="1"/>
    <col min="775" max="775" width="15.1796875" customWidth="1"/>
    <col min="776" max="776" width="15.26953125" customWidth="1"/>
    <col min="777" max="777" width="13.453125" customWidth="1"/>
    <col min="778" max="778" width="12.1796875" customWidth="1"/>
    <col min="779" max="779" width="17" customWidth="1"/>
    <col min="780" max="781" width="12.7265625" customWidth="1"/>
    <col min="782" max="782" width="15.453125" customWidth="1"/>
    <col min="783" max="783" width="12.7265625" customWidth="1"/>
    <col min="784" max="785" width="12.26953125" customWidth="1"/>
    <col min="786" max="786" width="14.7265625" customWidth="1"/>
    <col min="787" max="787" width="11.26953125" customWidth="1"/>
    <col min="788" max="788" width="10.81640625" customWidth="1"/>
    <col min="1027" max="1027" width="36.81640625" customWidth="1"/>
    <col min="1028" max="1028" width="16.81640625" customWidth="1"/>
    <col min="1029" max="1029" width="12.81640625" customWidth="1"/>
    <col min="1030" max="1030" width="13.26953125" customWidth="1"/>
    <col min="1031" max="1031" width="15.1796875" customWidth="1"/>
    <col min="1032" max="1032" width="15.26953125" customWidth="1"/>
    <col min="1033" max="1033" width="13.453125" customWidth="1"/>
    <col min="1034" max="1034" width="12.1796875" customWidth="1"/>
    <col min="1035" max="1035" width="17" customWidth="1"/>
    <col min="1036" max="1037" width="12.7265625" customWidth="1"/>
    <col min="1038" max="1038" width="15.453125" customWidth="1"/>
    <col min="1039" max="1039" width="12.7265625" customWidth="1"/>
    <col min="1040" max="1041" width="12.26953125" customWidth="1"/>
    <col min="1042" max="1042" width="14.7265625" customWidth="1"/>
    <col min="1043" max="1043" width="11.26953125" customWidth="1"/>
    <col min="1044" max="1044" width="10.81640625" customWidth="1"/>
    <col min="1283" max="1283" width="36.81640625" customWidth="1"/>
    <col min="1284" max="1284" width="16.81640625" customWidth="1"/>
    <col min="1285" max="1285" width="12.81640625" customWidth="1"/>
    <col min="1286" max="1286" width="13.26953125" customWidth="1"/>
    <col min="1287" max="1287" width="15.1796875" customWidth="1"/>
    <col min="1288" max="1288" width="15.26953125" customWidth="1"/>
    <col min="1289" max="1289" width="13.453125" customWidth="1"/>
    <col min="1290" max="1290" width="12.1796875" customWidth="1"/>
    <col min="1291" max="1291" width="17" customWidth="1"/>
    <col min="1292" max="1293" width="12.7265625" customWidth="1"/>
    <col min="1294" max="1294" width="15.453125" customWidth="1"/>
    <col min="1295" max="1295" width="12.7265625" customWidth="1"/>
    <col min="1296" max="1297" width="12.26953125" customWidth="1"/>
    <col min="1298" max="1298" width="14.7265625" customWidth="1"/>
    <col min="1299" max="1299" width="11.26953125" customWidth="1"/>
    <col min="1300" max="1300" width="10.81640625" customWidth="1"/>
    <col min="1539" max="1539" width="36.81640625" customWidth="1"/>
    <col min="1540" max="1540" width="16.81640625" customWidth="1"/>
    <col min="1541" max="1541" width="12.81640625" customWidth="1"/>
    <col min="1542" max="1542" width="13.26953125" customWidth="1"/>
    <col min="1543" max="1543" width="15.1796875" customWidth="1"/>
    <col min="1544" max="1544" width="15.26953125" customWidth="1"/>
    <col min="1545" max="1545" width="13.453125" customWidth="1"/>
    <col min="1546" max="1546" width="12.1796875" customWidth="1"/>
    <col min="1547" max="1547" width="17" customWidth="1"/>
    <col min="1548" max="1549" width="12.7265625" customWidth="1"/>
    <col min="1550" max="1550" width="15.453125" customWidth="1"/>
    <col min="1551" max="1551" width="12.7265625" customWidth="1"/>
    <col min="1552" max="1553" width="12.26953125" customWidth="1"/>
    <col min="1554" max="1554" width="14.7265625" customWidth="1"/>
    <col min="1555" max="1555" width="11.26953125" customWidth="1"/>
    <col min="1556" max="1556" width="10.81640625" customWidth="1"/>
    <col min="1795" max="1795" width="36.81640625" customWidth="1"/>
    <col min="1796" max="1796" width="16.81640625" customWidth="1"/>
    <col min="1797" max="1797" width="12.81640625" customWidth="1"/>
    <col min="1798" max="1798" width="13.26953125" customWidth="1"/>
    <col min="1799" max="1799" width="15.1796875" customWidth="1"/>
    <col min="1800" max="1800" width="15.26953125" customWidth="1"/>
    <col min="1801" max="1801" width="13.453125" customWidth="1"/>
    <col min="1802" max="1802" width="12.1796875" customWidth="1"/>
    <col min="1803" max="1803" width="17" customWidth="1"/>
    <col min="1804" max="1805" width="12.7265625" customWidth="1"/>
    <col min="1806" max="1806" width="15.453125" customWidth="1"/>
    <col min="1807" max="1807" width="12.7265625" customWidth="1"/>
    <col min="1808" max="1809" width="12.26953125" customWidth="1"/>
    <col min="1810" max="1810" width="14.7265625" customWidth="1"/>
    <col min="1811" max="1811" width="11.26953125" customWidth="1"/>
    <col min="1812" max="1812" width="10.81640625" customWidth="1"/>
    <col min="2051" max="2051" width="36.81640625" customWidth="1"/>
    <col min="2052" max="2052" width="16.81640625" customWidth="1"/>
    <col min="2053" max="2053" width="12.81640625" customWidth="1"/>
    <col min="2054" max="2054" width="13.26953125" customWidth="1"/>
    <col min="2055" max="2055" width="15.1796875" customWidth="1"/>
    <col min="2056" max="2056" width="15.26953125" customWidth="1"/>
    <col min="2057" max="2057" width="13.453125" customWidth="1"/>
    <col min="2058" max="2058" width="12.1796875" customWidth="1"/>
    <col min="2059" max="2059" width="17" customWidth="1"/>
    <col min="2060" max="2061" width="12.7265625" customWidth="1"/>
    <col min="2062" max="2062" width="15.453125" customWidth="1"/>
    <col min="2063" max="2063" width="12.7265625" customWidth="1"/>
    <col min="2064" max="2065" width="12.26953125" customWidth="1"/>
    <col min="2066" max="2066" width="14.7265625" customWidth="1"/>
    <col min="2067" max="2067" width="11.26953125" customWidth="1"/>
    <col min="2068" max="2068" width="10.81640625" customWidth="1"/>
    <col min="2307" max="2307" width="36.81640625" customWidth="1"/>
    <col min="2308" max="2308" width="16.81640625" customWidth="1"/>
    <col min="2309" max="2309" width="12.81640625" customWidth="1"/>
    <col min="2310" max="2310" width="13.26953125" customWidth="1"/>
    <col min="2311" max="2311" width="15.1796875" customWidth="1"/>
    <col min="2312" max="2312" width="15.26953125" customWidth="1"/>
    <col min="2313" max="2313" width="13.453125" customWidth="1"/>
    <col min="2314" max="2314" width="12.1796875" customWidth="1"/>
    <col min="2315" max="2315" width="17" customWidth="1"/>
    <col min="2316" max="2317" width="12.7265625" customWidth="1"/>
    <col min="2318" max="2318" width="15.453125" customWidth="1"/>
    <col min="2319" max="2319" width="12.7265625" customWidth="1"/>
    <col min="2320" max="2321" width="12.26953125" customWidth="1"/>
    <col min="2322" max="2322" width="14.7265625" customWidth="1"/>
    <col min="2323" max="2323" width="11.26953125" customWidth="1"/>
    <col min="2324" max="2324" width="10.81640625" customWidth="1"/>
    <col min="2563" max="2563" width="36.81640625" customWidth="1"/>
    <col min="2564" max="2564" width="16.81640625" customWidth="1"/>
    <col min="2565" max="2565" width="12.81640625" customWidth="1"/>
    <col min="2566" max="2566" width="13.26953125" customWidth="1"/>
    <col min="2567" max="2567" width="15.1796875" customWidth="1"/>
    <col min="2568" max="2568" width="15.26953125" customWidth="1"/>
    <col min="2569" max="2569" width="13.453125" customWidth="1"/>
    <col min="2570" max="2570" width="12.1796875" customWidth="1"/>
    <col min="2571" max="2571" width="17" customWidth="1"/>
    <col min="2572" max="2573" width="12.7265625" customWidth="1"/>
    <col min="2574" max="2574" width="15.453125" customWidth="1"/>
    <col min="2575" max="2575" width="12.7265625" customWidth="1"/>
    <col min="2576" max="2577" width="12.26953125" customWidth="1"/>
    <col min="2578" max="2578" width="14.7265625" customWidth="1"/>
    <col min="2579" max="2579" width="11.26953125" customWidth="1"/>
    <col min="2580" max="2580" width="10.81640625" customWidth="1"/>
    <col min="2819" max="2819" width="36.81640625" customWidth="1"/>
    <col min="2820" max="2820" width="16.81640625" customWidth="1"/>
    <col min="2821" max="2821" width="12.81640625" customWidth="1"/>
    <col min="2822" max="2822" width="13.26953125" customWidth="1"/>
    <col min="2823" max="2823" width="15.1796875" customWidth="1"/>
    <col min="2824" max="2824" width="15.26953125" customWidth="1"/>
    <col min="2825" max="2825" width="13.453125" customWidth="1"/>
    <col min="2826" max="2826" width="12.1796875" customWidth="1"/>
    <col min="2827" max="2827" width="17" customWidth="1"/>
    <col min="2828" max="2829" width="12.7265625" customWidth="1"/>
    <col min="2830" max="2830" width="15.453125" customWidth="1"/>
    <col min="2831" max="2831" width="12.7265625" customWidth="1"/>
    <col min="2832" max="2833" width="12.26953125" customWidth="1"/>
    <col min="2834" max="2834" width="14.7265625" customWidth="1"/>
    <col min="2835" max="2835" width="11.26953125" customWidth="1"/>
    <col min="2836" max="2836" width="10.81640625" customWidth="1"/>
    <col min="3075" max="3075" width="36.81640625" customWidth="1"/>
    <col min="3076" max="3076" width="16.81640625" customWidth="1"/>
    <col min="3077" max="3077" width="12.81640625" customWidth="1"/>
    <col min="3078" max="3078" width="13.26953125" customWidth="1"/>
    <col min="3079" max="3079" width="15.1796875" customWidth="1"/>
    <col min="3080" max="3080" width="15.26953125" customWidth="1"/>
    <col min="3081" max="3081" width="13.453125" customWidth="1"/>
    <col min="3082" max="3082" width="12.1796875" customWidth="1"/>
    <col min="3083" max="3083" width="17" customWidth="1"/>
    <col min="3084" max="3085" width="12.7265625" customWidth="1"/>
    <col min="3086" max="3086" width="15.453125" customWidth="1"/>
    <col min="3087" max="3087" width="12.7265625" customWidth="1"/>
    <col min="3088" max="3089" width="12.26953125" customWidth="1"/>
    <col min="3090" max="3090" width="14.7265625" customWidth="1"/>
    <col min="3091" max="3091" width="11.26953125" customWidth="1"/>
    <col min="3092" max="3092" width="10.81640625" customWidth="1"/>
    <col min="3331" max="3331" width="36.81640625" customWidth="1"/>
    <col min="3332" max="3332" width="16.81640625" customWidth="1"/>
    <col min="3333" max="3333" width="12.81640625" customWidth="1"/>
    <col min="3334" max="3334" width="13.26953125" customWidth="1"/>
    <col min="3335" max="3335" width="15.1796875" customWidth="1"/>
    <col min="3336" max="3336" width="15.26953125" customWidth="1"/>
    <col min="3337" max="3337" width="13.453125" customWidth="1"/>
    <col min="3338" max="3338" width="12.1796875" customWidth="1"/>
    <col min="3339" max="3339" width="17" customWidth="1"/>
    <col min="3340" max="3341" width="12.7265625" customWidth="1"/>
    <col min="3342" max="3342" width="15.453125" customWidth="1"/>
    <col min="3343" max="3343" width="12.7265625" customWidth="1"/>
    <col min="3344" max="3345" width="12.26953125" customWidth="1"/>
    <col min="3346" max="3346" width="14.7265625" customWidth="1"/>
    <col min="3347" max="3347" width="11.26953125" customWidth="1"/>
    <col min="3348" max="3348" width="10.81640625" customWidth="1"/>
    <col min="3587" max="3587" width="36.81640625" customWidth="1"/>
    <col min="3588" max="3588" width="16.81640625" customWidth="1"/>
    <col min="3589" max="3589" width="12.81640625" customWidth="1"/>
    <col min="3590" max="3590" width="13.26953125" customWidth="1"/>
    <col min="3591" max="3591" width="15.1796875" customWidth="1"/>
    <col min="3592" max="3592" width="15.26953125" customWidth="1"/>
    <col min="3593" max="3593" width="13.453125" customWidth="1"/>
    <col min="3594" max="3594" width="12.1796875" customWidth="1"/>
    <col min="3595" max="3595" width="17" customWidth="1"/>
    <col min="3596" max="3597" width="12.7265625" customWidth="1"/>
    <col min="3598" max="3598" width="15.453125" customWidth="1"/>
    <col min="3599" max="3599" width="12.7265625" customWidth="1"/>
    <col min="3600" max="3601" width="12.26953125" customWidth="1"/>
    <col min="3602" max="3602" width="14.7265625" customWidth="1"/>
    <col min="3603" max="3603" width="11.26953125" customWidth="1"/>
    <col min="3604" max="3604" width="10.81640625" customWidth="1"/>
    <col min="3843" max="3843" width="36.81640625" customWidth="1"/>
    <col min="3844" max="3844" width="16.81640625" customWidth="1"/>
    <col min="3845" max="3845" width="12.81640625" customWidth="1"/>
    <col min="3846" max="3846" width="13.26953125" customWidth="1"/>
    <col min="3847" max="3847" width="15.1796875" customWidth="1"/>
    <col min="3848" max="3848" width="15.26953125" customWidth="1"/>
    <col min="3849" max="3849" width="13.453125" customWidth="1"/>
    <col min="3850" max="3850" width="12.1796875" customWidth="1"/>
    <col min="3851" max="3851" width="17" customWidth="1"/>
    <col min="3852" max="3853" width="12.7265625" customWidth="1"/>
    <col min="3854" max="3854" width="15.453125" customWidth="1"/>
    <col min="3855" max="3855" width="12.7265625" customWidth="1"/>
    <col min="3856" max="3857" width="12.26953125" customWidth="1"/>
    <col min="3858" max="3858" width="14.7265625" customWidth="1"/>
    <col min="3859" max="3859" width="11.26953125" customWidth="1"/>
    <col min="3860" max="3860" width="10.81640625" customWidth="1"/>
    <col min="4099" max="4099" width="36.81640625" customWidth="1"/>
    <col min="4100" max="4100" width="16.81640625" customWidth="1"/>
    <col min="4101" max="4101" width="12.81640625" customWidth="1"/>
    <col min="4102" max="4102" width="13.26953125" customWidth="1"/>
    <col min="4103" max="4103" width="15.1796875" customWidth="1"/>
    <col min="4104" max="4104" width="15.26953125" customWidth="1"/>
    <col min="4105" max="4105" width="13.453125" customWidth="1"/>
    <col min="4106" max="4106" width="12.1796875" customWidth="1"/>
    <col min="4107" max="4107" width="17" customWidth="1"/>
    <col min="4108" max="4109" width="12.7265625" customWidth="1"/>
    <col min="4110" max="4110" width="15.453125" customWidth="1"/>
    <col min="4111" max="4111" width="12.7265625" customWidth="1"/>
    <col min="4112" max="4113" width="12.26953125" customWidth="1"/>
    <col min="4114" max="4114" width="14.7265625" customWidth="1"/>
    <col min="4115" max="4115" width="11.26953125" customWidth="1"/>
    <col min="4116" max="4116" width="10.81640625" customWidth="1"/>
    <col min="4355" max="4355" width="36.81640625" customWidth="1"/>
    <col min="4356" max="4356" width="16.81640625" customWidth="1"/>
    <col min="4357" max="4357" width="12.81640625" customWidth="1"/>
    <col min="4358" max="4358" width="13.26953125" customWidth="1"/>
    <col min="4359" max="4359" width="15.1796875" customWidth="1"/>
    <col min="4360" max="4360" width="15.26953125" customWidth="1"/>
    <col min="4361" max="4361" width="13.453125" customWidth="1"/>
    <col min="4362" max="4362" width="12.1796875" customWidth="1"/>
    <col min="4363" max="4363" width="17" customWidth="1"/>
    <col min="4364" max="4365" width="12.7265625" customWidth="1"/>
    <col min="4366" max="4366" width="15.453125" customWidth="1"/>
    <col min="4367" max="4367" width="12.7265625" customWidth="1"/>
    <col min="4368" max="4369" width="12.26953125" customWidth="1"/>
    <col min="4370" max="4370" width="14.7265625" customWidth="1"/>
    <col min="4371" max="4371" width="11.26953125" customWidth="1"/>
    <col min="4372" max="4372" width="10.81640625" customWidth="1"/>
    <col min="4611" max="4611" width="36.81640625" customWidth="1"/>
    <col min="4612" max="4612" width="16.81640625" customWidth="1"/>
    <col min="4613" max="4613" width="12.81640625" customWidth="1"/>
    <col min="4614" max="4614" width="13.26953125" customWidth="1"/>
    <col min="4615" max="4615" width="15.1796875" customWidth="1"/>
    <col min="4616" max="4616" width="15.26953125" customWidth="1"/>
    <col min="4617" max="4617" width="13.453125" customWidth="1"/>
    <col min="4618" max="4618" width="12.1796875" customWidth="1"/>
    <col min="4619" max="4619" width="17" customWidth="1"/>
    <col min="4620" max="4621" width="12.7265625" customWidth="1"/>
    <col min="4622" max="4622" width="15.453125" customWidth="1"/>
    <col min="4623" max="4623" width="12.7265625" customWidth="1"/>
    <col min="4624" max="4625" width="12.26953125" customWidth="1"/>
    <col min="4626" max="4626" width="14.7265625" customWidth="1"/>
    <col min="4627" max="4627" width="11.26953125" customWidth="1"/>
    <col min="4628" max="4628" width="10.81640625" customWidth="1"/>
    <col min="4867" max="4867" width="36.81640625" customWidth="1"/>
    <col min="4868" max="4868" width="16.81640625" customWidth="1"/>
    <col min="4869" max="4869" width="12.81640625" customWidth="1"/>
    <col min="4870" max="4870" width="13.26953125" customWidth="1"/>
    <col min="4871" max="4871" width="15.1796875" customWidth="1"/>
    <col min="4872" max="4872" width="15.26953125" customWidth="1"/>
    <col min="4873" max="4873" width="13.453125" customWidth="1"/>
    <col min="4874" max="4874" width="12.1796875" customWidth="1"/>
    <col min="4875" max="4875" width="17" customWidth="1"/>
    <col min="4876" max="4877" width="12.7265625" customWidth="1"/>
    <col min="4878" max="4878" width="15.453125" customWidth="1"/>
    <col min="4879" max="4879" width="12.7265625" customWidth="1"/>
    <col min="4880" max="4881" width="12.26953125" customWidth="1"/>
    <col min="4882" max="4882" width="14.7265625" customWidth="1"/>
    <col min="4883" max="4883" width="11.26953125" customWidth="1"/>
    <col min="4884" max="4884" width="10.81640625" customWidth="1"/>
    <col min="5123" max="5123" width="36.81640625" customWidth="1"/>
    <col min="5124" max="5124" width="16.81640625" customWidth="1"/>
    <col min="5125" max="5125" width="12.81640625" customWidth="1"/>
    <col min="5126" max="5126" width="13.26953125" customWidth="1"/>
    <col min="5127" max="5127" width="15.1796875" customWidth="1"/>
    <col min="5128" max="5128" width="15.26953125" customWidth="1"/>
    <col min="5129" max="5129" width="13.453125" customWidth="1"/>
    <col min="5130" max="5130" width="12.1796875" customWidth="1"/>
    <col min="5131" max="5131" width="17" customWidth="1"/>
    <col min="5132" max="5133" width="12.7265625" customWidth="1"/>
    <col min="5134" max="5134" width="15.453125" customWidth="1"/>
    <col min="5135" max="5135" width="12.7265625" customWidth="1"/>
    <col min="5136" max="5137" width="12.26953125" customWidth="1"/>
    <col min="5138" max="5138" width="14.7265625" customWidth="1"/>
    <col min="5139" max="5139" width="11.26953125" customWidth="1"/>
    <col min="5140" max="5140" width="10.81640625" customWidth="1"/>
    <col min="5379" max="5379" width="36.81640625" customWidth="1"/>
    <col min="5380" max="5380" width="16.81640625" customWidth="1"/>
    <col min="5381" max="5381" width="12.81640625" customWidth="1"/>
    <col min="5382" max="5382" width="13.26953125" customWidth="1"/>
    <col min="5383" max="5383" width="15.1796875" customWidth="1"/>
    <col min="5384" max="5384" width="15.26953125" customWidth="1"/>
    <col min="5385" max="5385" width="13.453125" customWidth="1"/>
    <col min="5386" max="5386" width="12.1796875" customWidth="1"/>
    <col min="5387" max="5387" width="17" customWidth="1"/>
    <col min="5388" max="5389" width="12.7265625" customWidth="1"/>
    <col min="5390" max="5390" width="15.453125" customWidth="1"/>
    <col min="5391" max="5391" width="12.7265625" customWidth="1"/>
    <col min="5392" max="5393" width="12.26953125" customWidth="1"/>
    <col min="5394" max="5394" width="14.7265625" customWidth="1"/>
    <col min="5395" max="5395" width="11.26953125" customWidth="1"/>
    <col min="5396" max="5396" width="10.81640625" customWidth="1"/>
    <col min="5635" max="5635" width="36.81640625" customWidth="1"/>
    <col min="5636" max="5636" width="16.81640625" customWidth="1"/>
    <col min="5637" max="5637" width="12.81640625" customWidth="1"/>
    <col min="5638" max="5638" width="13.26953125" customWidth="1"/>
    <col min="5639" max="5639" width="15.1796875" customWidth="1"/>
    <col min="5640" max="5640" width="15.26953125" customWidth="1"/>
    <col min="5641" max="5641" width="13.453125" customWidth="1"/>
    <col min="5642" max="5642" width="12.1796875" customWidth="1"/>
    <col min="5643" max="5643" width="17" customWidth="1"/>
    <col min="5644" max="5645" width="12.7265625" customWidth="1"/>
    <col min="5646" max="5646" width="15.453125" customWidth="1"/>
    <col min="5647" max="5647" width="12.7265625" customWidth="1"/>
    <col min="5648" max="5649" width="12.26953125" customWidth="1"/>
    <col min="5650" max="5650" width="14.7265625" customWidth="1"/>
    <col min="5651" max="5651" width="11.26953125" customWidth="1"/>
    <col min="5652" max="5652" width="10.81640625" customWidth="1"/>
    <col min="5891" max="5891" width="36.81640625" customWidth="1"/>
    <col min="5892" max="5892" width="16.81640625" customWidth="1"/>
    <col min="5893" max="5893" width="12.81640625" customWidth="1"/>
    <col min="5894" max="5894" width="13.26953125" customWidth="1"/>
    <col min="5895" max="5895" width="15.1796875" customWidth="1"/>
    <col min="5896" max="5896" width="15.26953125" customWidth="1"/>
    <col min="5897" max="5897" width="13.453125" customWidth="1"/>
    <col min="5898" max="5898" width="12.1796875" customWidth="1"/>
    <col min="5899" max="5899" width="17" customWidth="1"/>
    <col min="5900" max="5901" width="12.7265625" customWidth="1"/>
    <col min="5902" max="5902" width="15.453125" customWidth="1"/>
    <col min="5903" max="5903" width="12.7265625" customWidth="1"/>
    <col min="5904" max="5905" width="12.26953125" customWidth="1"/>
    <col min="5906" max="5906" width="14.7265625" customWidth="1"/>
    <col min="5907" max="5907" width="11.26953125" customWidth="1"/>
    <col min="5908" max="5908" width="10.81640625" customWidth="1"/>
    <col min="6147" max="6147" width="36.81640625" customWidth="1"/>
    <col min="6148" max="6148" width="16.81640625" customWidth="1"/>
    <col min="6149" max="6149" width="12.81640625" customWidth="1"/>
    <col min="6150" max="6150" width="13.26953125" customWidth="1"/>
    <col min="6151" max="6151" width="15.1796875" customWidth="1"/>
    <col min="6152" max="6152" width="15.26953125" customWidth="1"/>
    <col min="6153" max="6153" width="13.453125" customWidth="1"/>
    <col min="6154" max="6154" width="12.1796875" customWidth="1"/>
    <col min="6155" max="6155" width="17" customWidth="1"/>
    <col min="6156" max="6157" width="12.7265625" customWidth="1"/>
    <col min="6158" max="6158" width="15.453125" customWidth="1"/>
    <col min="6159" max="6159" width="12.7265625" customWidth="1"/>
    <col min="6160" max="6161" width="12.26953125" customWidth="1"/>
    <col min="6162" max="6162" width="14.7265625" customWidth="1"/>
    <col min="6163" max="6163" width="11.26953125" customWidth="1"/>
    <col min="6164" max="6164" width="10.81640625" customWidth="1"/>
    <col min="6403" max="6403" width="36.81640625" customWidth="1"/>
    <col min="6404" max="6404" width="16.81640625" customWidth="1"/>
    <col min="6405" max="6405" width="12.81640625" customWidth="1"/>
    <col min="6406" max="6406" width="13.26953125" customWidth="1"/>
    <col min="6407" max="6407" width="15.1796875" customWidth="1"/>
    <col min="6408" max="6408" width="15.26953125" customWidth="1"/>
    <col min="6409" max="6409" width="13.453125" customWidth="1"/>
    <col min="6410" max="6410" width="12.1796875" customWidth="1"/>
    <col min="6411" max="6411" width="17" customWidth="1"/>
    <col min="6412" max="6413" width="12.7265625" customWidth="1"/>
    <col min="6414" max="6414" width="15.453125" customWidth="1"/>
    <col min="6415" max="6415" width="12.7265625" customWidth="1"/>
    <col min="6416" max="6417" width="12.26953125" customWidth="1"/>
    <col min="6418" max="6418" width="14.7265625" customWidth="1"/>
    <col min="6419" max="6419" width="11.26953125" customWidth="1"/>
    <col min="6420" max="6420" width="10.81640625" customWidth="1"/>
    <col min="6659" max="6659" width="36.81640625" customWidth="1"/>
    <col min="6660" max="6660" width="16.81640625" customWidth="1"/>
    <col min="6661" max="6661" width="12.81640625" customWidth="1"/>
    <col min="6662" max="6662" width="13.26953125" customWidth="1"/>
    <col min="6663" max="6663" width="15.1796875" customWidth="1"/>
    <col min="6664" max="6664" width="15.26953125" customWidth="1"/>
    <col min="6665" max="6665" width="13.453125" customWidth="1"/>
    <col min="6666" max="6666" width="12.1796875" customWidth="1"/>
    <col min="6667" max="6667" width="17" customWidth="1"/>
    <col min="6668" max="6669" width="12.7265625" customWidth="1"/>
    <col min="6670" max="6670" width="15.453125" customWidth="1"/>
    <col min="6671" max="6671" width="12.7265625" customWidth="1"/>
    <col min="6672" max="6673" width="12.26953125" customWidth="1"/>
    <col min="6674" max="6674" width="14.7265625" customWidth="1"/>
    <col min="6675" max="6675" width="11.26953125" customWidth="1"/>
    <col min="6676" max="6676" width="10.81640625" customWidth="1"/>
    <col min="6915" max="6915" width="36.81640625" customWidth="1"/>
    <col min="6916" max="6916" width="16.81640625" customWidth="1"/>
    <col min="6917" max="6917" width="12.81640625" customWidth="1"/>
    <col min="6918" max="6918" width="13.26953125" customWidth="1"/>
    <col min="6919" max="6919" width="15.1796875" customWidth="1"/>
    <col min="6920" max="6920" width="15.26953125" customWidth="1"/>
    <col min="6921" max="6921" width="13.453125" customWidth="1"/>
    <col min="6922" max="6922" width="12.1796875" customWidth="1"/>
    <col min="6923" max="6923" width="17" customWidth="1"/>
    <col min="6924" max="6925" width="12.7265625" customWidth="1"/>
    <col min="6926" max="6926" width="15.453125" customWidth="1"/>
    <col min="6927" max="6927" width="12.7265625" customWidth="1"/>
    <col min="6928" max="6929" width="12.26953125" customWidth="1"/>
    <col min="6930" max="6930" width="14.7265625" customWidth="1"/>
    <col min="6931" max="6931" width="11.26953125" customWidth="1"/>
    <col min="6932" max="6932" width="10.81640625" customWidth="1"/>
    <col min="7171" max="7171" width="36.81640625" customWidth="1"/>
    <col min="7172" max="7172" width="16.81640625" customWidth="1"/>
    <col min="7173" max="7173" width="12.81640625" customWidth="1"/>
    <col min="7174" max="7174" width="13.26953125" customWidth="1"/>
    <col min="7175" max="7175" width="15.1796875" customWidth="1"/>
    <col min="7176" max="7176" width="15.26953125" customWidth="1"/>
    <col min="7177" max="7177" width="13.453125" customWidth="1"/>
    <col min="7178" max="7178" width="12.1796875" customWidth="1"/>
    <col min="7179" max="7179" width="17" customWidth="1"/>
    <col min="7180" max="7181" width="12.7265625" customWidth="1"/>
    <col min="7182" max="7182" width="15.453125" customWidth="1"/>
    <col min="7183" max="7183" width="12.7265625" customWidth="1"/>
    <col min="7184" max="7185" width="12.26953125" customWidth="1"/>
    <col min="7186" max="7186" width="14.7265625" customWidth="1"/>
    <col min="7187" max="7187" width="11.26953125" customWidth="1"/>
    <col min="7188" max="7188" width="10.81640625" customWidth="1"/>
    <col min="7427" max="7427" width="36.81640625" customWidth="1"/>
    <col min="7428" max="7428" width="16.81640625" customWidth="1"/>
    <col min="7429" max="7429" width="12.81640625" customWidth="1"/>
    <col min="7430" max="7430" width="13.26953125" customWidth="1"/>
    <col min="7431" max="7431" width="15.1796875" customWidth="1"/>
    <col min="7432" max="7432" width="15.26953125" customWidth="1"/>
    <col min="7433" max="7433" width="13.453125" customWidth="1"/>
    <col min="7434" max="7434" width="12.1796875" customWidth="1"/>
    <col min="7435" max="7435" width="17" customWidth="1"/>
    <col min="7436" max="7437" width="12.7265625" customWidth="1"/>
    <col min="7438" max="7438" width="15.453125" customWidth="1"/>
    <col min="7439" max="7439" width="12.7265625" customWidth="1"/>
    <col min="7440" max="7441" width="12.26953125" customWidth="1"/>
    <col min="7442" max="7442" width="14.7265625" customWidth="1"/>
    <col min="7443" max="7443" width="11.26953125" customWidth="1"/>
    <col min="7444" max="7444" width="10.81640625" customWidth="1"/>
    <col min="7683" max="7683" width="36.81640625" customWidth="1"/>
    <col min="7684" max="7684" width="16.81640625" customWidth="1"/>
    <col min="7685" max="7685" width="12.81640625" customWidth="1"/>
    <col min="7686" max="7686" width="13.26953125" customWidth="1"/>
    <col min="7687" max="7687" width="15.1796875" customWidth="1"/>
    <col min="7688" max="7688" width="15.26953125" customWidth="1"/>
    <col min="7689" max="7689" width="13.453125" customWidth="1"/>
    <col min="7690" max="7690" width="12.1796875" customWidth="1"/>
    <col min="7691" max="7691" width="17" customWidth="1"/>
    <col min="7692" max="7693" width="12.7265625" customWidth="1"/>
    <col min="7694" max="7694" width="15.453125" customWidth="1"/>
    <col min="7695" max="7695" width="12.7265625" customWidth="1"/>
    <col min="7696" max="7697" width="12.26953125" customWidth="1"/>
    <col min="7698" max="7698" width="14.7265625" customWidth="1"/>
    <col min="7699" max="7699" width="11.26953125" customWidth="1"/>
    <col min="7700" max="7700" width="10.81640625" customWidth="1"/>
    <col min="7939" max="7939" width="36.81640625" customWidth="1"/>
    <col min="7940" max="7940" width="16.81640625" customWidth="1"/>
    <col min="7941" max="7941" width="12.81640625" customWidth="1"/>
    <col min="7942" max="7942" width="13.26953125" customWidth="1"/>
    <col min="7943" max="7943" width="15.1796875" customWidth="1"/>
    <col min="7944" max="7944" width="15.26953125" customWidth="1"/>
    <col min="7945" max="7945" width="13.453125" customWidth="1"/>
    <col min="7946" max="7946" width="12.1796875" customWidth="1"/>
    <col min="7947" max="7947" width="17" customWidth="1"/>
    <col min="7948" max="7949" width="12.7265625" customWidth="1"/>
    <col min="7950" max="7950" width="15.453125" customWidth="1"/>
    <col min="7951" max="7951" width="12.7265625" customWidth="1"/>
    <col min="7952" max="7953" width="12.26953125" customWidth="1"/>
    <col min="7954" max="7954" width="14.7265625" customWidth="1"/>
    <col min="7955" max="7955" width="11.26953125" customWidth="1"/>
    <col min="7956" max="7956" width="10.81640625" customWidth="1"/>
    <col min="8195" max="8195" width="36.81640625" customWidth="1"/>
    <col min="8196" max="8196" width="16.81640625" customWidth="1"/>
    <col min="8197" max="8197" width="12.81640625" customWidth="1"/>
    <col min="8198" max="8198" width="13.26953125" customWidth="1"/>
    <col min="8199" max="8199" width="15.1796875" customWidth="1"/>
    <col min="8200" max="8200" width="15.26953125" customWidth="1"/>
    <col min="8201" max="8201" width="13.453125" customWidth="1"/>
    <col min="8202" max="8202" width="12.1796875" customWidth="1"/>
    <col min="8203" max="8203" width="17" customWidth="1"/>
    <col min="8204" max="8205" width="12.7265625" customWidth="1"/>
    <col min="8206" max="8206" width="15.453125" customWidth="1"/>
    <col min="8207" max="8207" width="12.7265625" customWidth="1"/>
    <col min="8208" max="8209" width="12.26953125" customWidth="1"/>
    <col min="8210" max="8210" width="14.7265625" customWidth="1"/>
    <col min="8211" max="8211" width="11.26953125" customWidth="1"/>
    <col min="8212" max="8212" width="10.81640625" customWidth="1"/>
    <col min="8451" max="8451" width="36.81640625" customWidth="1"/>
    <col min="8452" max="8452" width="16.81640625" customWidth="1"/>
    <col min="8453" max="8453" width="12.81640625" customWidth="1"/>
    <col min="8454" max="8454" width="13.26953125" customWidth="1"/>
    <col min="8455" max="8455" width="15.1796875" customWidth="1"/>
    <col min="8456" max="8456" width="15.26953125" customWidth="1"/>
    <col min="8457" max="8457" width="13.453125" customWidth="1"/>
    <col min="8458" max="8458" width="12.1796875" customWidth="1"/>
    <col min="8459" max="8459" width="17" customWidth="1"/>
    <col min="8460" max="8461" width="12.7265625" customWidth="1"/>
    <col min="8462" max="8462" width="15.453125" customWidth="1"/>
    <col min="8463" max="8463" width="12.7265625" customWidth="1"/>
    <col min="8464" max="8465" width="12.26953125" customWidth="1"/>
    <col min="8466" max="8466" width="14.7265625" customWidth="1"/>
    <col min="8467" max="8467" width="11.26953125" customWidth="1"/>
    <col min="8468" max="8468" width="10.81640625" customWidth="1"/>
    <col min="8707" max="8707" width="36.81640625" customWidth="1"/>
    <col min="8708" max="8708" width="16.81640625" customWidth="1"/>
    <col min="8709" max="8709" width="12.81640625" customWidth="1"/>
    <col min="8710" max="8710" width="13.26953125" customWidth="1"/>
    <col min="8711" max="8711" width="15.1796875" customWidth="1"/>
    <col min="8712" max="8712" width="15.26953125" customWidth="1"/>
    <col min="8713" max="8713" width="13.453125" customWidth="1"/>
    <col min="8714" max="8714" width="12.1796875" customWidth="1"/>
    <col min="8715" max="8715" width="17" customWidth="1"/>
    <col min="8716" max="8717" width="12.7265625" customWidth="1"/>
    <col min="8718" max="8718" width="15.453125" customWidth="1"/>
    <col min="8719" max="8719" width="12.7265625" customWidth="1"/>
    <col min="8720" max="8721" width="12.26953125" customWidth="1"/>
    <col min="8722" max="8722" width="14.7265625" customWidth="1"/>
    <col min="8723" max="8723" width="11.26953125" customWidth="1"/>
    <col min="8724" max="8724" width="10.81640625" customWidth="1"/>
    <col min="8963" max="8963" width="36.81640625" customWidth="1"/>
    <col min="8964" max="8964" width="16.81640625" customWidth="1"/>
    <col min="8965" max="8965" width="12.81640625" customWidth="1"/>
    <col min="8966" max="8966" width="13.26953125" customWidth="1"/>
    <col min="8967" max="8967" width="15.1796875" customWidth="1"/>
    <col min="8968" max="8968" width="15.26953125" customWidth="1"/>
    <col min="8969" max="8969" width="13.453125" customWidth="1"/>
    <col min="8970" max="8970" width="12.1796875" customWidth="1"/>
    <col min="8971" max="8971" width="17" customWidth="1"/>
    <col min="8972" max="8973" width="12.7265625" customWidth="1"/>
    <col min="8974" max="8974" width="15.453125" customWidth="1"/>
    <col min="8975" max="8975" width="12.7265625" customWidth="1"/>
    <col min="8976" max="8977" width="12.26953125" customWidth="1"/>
    <col min="8978" max="8978" width="14.7265625" customWidth="1"/>
    <col min="8979" max="8979" width="11.26953125" customWidth="1"/>
    <col min="8980" max="8980" width="10.81640625" customWidth="1"/>
    <col min="9219" max="9219" width="36.81640625" customWidth="1"/>
    <col min="9220" max="9220" width="16.81640625" customWidth="1"/>
    <col min="9221" max="9221" width="12.81640625" customWidth="1"/>
    <col min="9222" max="9222" width="13.26953125" customWidth="1"/>
    <col min="9223" max="9223" width="15.1796875" customWidth="1"/>
    <col min="9224" max="9224" width="15.26953125" customWidth="1"/>
    <col min="9225" max="9225" width="13.453125" customWidth="1"/>
    <col min="9226" max="9226" width="12.1796875" customWidth="1"/>
    <col min="9227" max="9227" width="17" customWidth="1"/>
    <col min="9228" max="9229" width="12.7265625" customWidth="1"/>
    <col min="9230" max="9230" width="15.453125" customWidth="1"/>
    <col min="9231" max="9231" width="12.7265625" customWidth="1"/>
    <col min="9232" max="9233" width="12.26953125" customWidth="1"/>
    <col min="9234" max="9234" width="14.7265625" customWidth="1"/>
    <col min="9235" max="9235" width="11.26953125" customWidth="1"/>
    <col min="9236" max="9236" width="10.81640625" customWidth="1"/>
    <col min="9475" max="9475" width="36.81640625" customWidth="1"/>
    <col min="9476" max="9476" width="16.81640625" customWidth="1"/>
    <col min="9477" max="9477" width="12.81640625" customWidth="1"/>
    <col min="9478" max="9478" width="13.26953125" customWidth="1"/>
    <col min="9479" max="9479" width="15.1796875" customWidth="1"/>
    <col min="9480" max="9480" width="15.26953125" customWidth="1"/>
    <col min="9481" max="9481" width="13.453125" customWidth="1"/>
    <col min="9482" max="9482" width="12.1796875" customWidth="1"/>
    <col min="9483" max="9483" width="17" customWidth="1"/>
    <col min="9484" max="9485" width="12.7265625" customWidth="1"/>
    <col min="9486" max="9486" width="15.453125" customWidth="1"/>
    <col min="9487" max="9487" width="12.7265625" customWidth="1"/>
    <col min="9488" max="9489" width="12.26953125" customWidth="1"/>
    <col min="9490" max="9490" width="14.7265625" customWidth="1"/>
    <col min="9491" max="9491" width="11.26953125" customWidth="1"/>
    <col min="9492" max="9492" width="10.81640625" customWidth="1"/>
    <col min="9731" max="9731" width="36.81640625" customWidth="1"/>
    <col min="9732" max="9732" width="16.81640625" customWidth="1"/>
    <col min="9733" max="9733" width="12.81640625" customWidth="1"/>
    <col min="9734" max="9734" width="13.26953125" customWidth="1"/>
    <col min="9735" max="9735" width="15.1796875" customWidth="1"/>
    <col min="9736" max="9736" width="15.26953125" customWidth="1"/>
    <col min="9737" max="9737" width="13.453125" customWidth="1"/>
    <col min="9738" max="9738" width="12.1796875" customWidth="1"/>
    <col min="9739" max="9739" width="17" customWidth="1"/>
    <col min="9740" max="9741" width="12.7265625" customWidth="1"/>
    <col min="9742" max="9742" width="15.453125" customWidth="1"/>
    <col min="9743" max="9743" width="12.7265625" customWidth="1"/>
    <col min="9744" max="9745" width="12.26953125" customWidth="1"/>
    <col min="9746" max="9746" width="14.7265625" customWidth="1"/>
    <col min="9747" max="9747" width="11.26953125" customWidth="1"/>
    <col min="9748" max="9748" width="10.81640625" customWidth="1"/>
    <col min="9987" max="9987" width="36.81640625" customWidth="1"/>
    <col min="9988" max="9988" width="16.81640625" customWidth="1"/>
    <col min="9989" max="9989" width="12.81640625" customWidth="1"/>
    <col min="9990" max="9990" width="13.26953125" customWidth="1"/>
    <col min="9991" max="9991" width="15.1796875" customWidth="1"/>
    <col min="9992" max="9992" width="15.26953125" customWidth="1"/>
    <col min="9993" max="9993" width="13.453125" customWidth="1"/>
    <col min="9994" max="9994" width="12.1796875" customWidth="1"/>
    <col min="9995" max="9995" width="17" customWidth="1"/>
    <col min="9996" max="9997" width="12.7265625" customWidth="1"/>
    <col min="9998" max="9998" width="15.453125" customWidth="1"/>
    <col min="9999" max="9999" width="12.7265625" customWidth="1"/>
    <col min="10000" max="10001" width="12.26953125" customWidth="1"/>
    <col min="10002" max="10002" width="14.7265625" customWidth="1"/>
    <col min="10003" max="10003" width="11.26953125" customWidth="1"/>
    <col min="10004" max="10004" width="10.81640625" customWidth="1"/>
    <col min="10243" max="10243" width="36.81640625" customWidth="1"/>
    <col min="10244" max="10244" width="16.81640625" customWidth="1"/>
    <col min="10245" max="10245" width="12.81640625" customWidth="1"/>
    <col min="10246" max="10246" width="13.26953125" customWidth="1"/>
    <col min="10247" max="10247" width="15.1796875" customWidth="1"/>
    <col min="10248" max="10248" width="15.26953125" customWidth="1"/>
    <col min="10249" max="10249" width="13.453125" customWidth="1"/>
    <col min="10250" max="10250" width="12.1796875" customWidth="1"/>
    <col min="10251" max="10251" width="17" customWidth="1"/>
    <col min="10252" max="10253" width="12.7265625" customWidth="1"/>
    <col min="10254" max="10254" width="15.453125" customWidth="1"/>
    <col min="10255" max="10255" width="12.7265625" customWidth="1"/>
    <col min="10256" max="10257" width="12.26953125" customWidth="1"/>
    <col min="10258" max="10258" width="14.7265625" customWidth="1"/>
    <col min="10259" max="10259" width="11.26953125" customWidth="1"/>
    <col min="10260" max="10260" width="10.81640625" customWidth="1"/>
    <col min="10499" max="10499" width="36.81640625" customWidth="1"/>
    <col min="10500" max="10500" width="16.81640625" customWidth="1"/>
    <col min="10501" max="10501" width="12.81640625" customWidth="1"/>
    <col min="10502" max="10502" width="13.26953125" customWidth="1"/>
    <col min="10503" max="10503" width="15.1796875" customWidth="1"/>
    <col min="10504" max="10504" width="15.26953125" customWidth="1"/>
    <col min="10505" max="10505" width="13.453125" customWidth="1"/>
    <col min="10506" max="10506" width="12.1796875" customWidth="1"/>
    <col min="10507" max="10507" width="17" customWidth="1"/>
    <col min="10508" max="10509" width="12.7265625" customWidth="1"/>
    <col min="10510" max="10510" width="15.453125" customWidth="1"/>
    <col min="10511" max="10511" width="12.7265625" customWidth="1"/>
    <col min="10512" max="10513" width="12.26953125" customWidth="1"/>
    <col min="10514" max="10514" width="14.7265625" customWidth="1"/>
    <col min="10515" max="10515" width="11.26953125" customWidth="1"/>
    <col min="10516" max="10516" width="10.81640625" customWidth="1"/>
    <col min="10755" max="10755" width="36.81640625" customWidth="1"/>
    <col min="10756" max="10756" width="16.81640625" customWidth="1"/>
    <col min="10757" max="10757" width="12.81640625" customWidth="1"/>
    <col min="10758" max="10758" width="13.26953125" customWidth="1"/>
    <col min="10759" max="10759" width="15.1796875" customWidth="1"/>
    <col min="10760" max="10760" width="15.26953125" customWidth="1"/>
    <col min="10761" max="10761" width="13.453125" customWidth="1"/>
    <col min="10762" max="10762" width="12.1796875" customWidth="1"/>
    <col min="10763" max="10763" width="17" customWidth="1"/>
    <col min="10764" max="10765" width="12.7265625" customWidth="1"/>
    <col min="10766" max="10766" width="15.453125" customWidth="1"/>
    <col min="10767" max="10767" width="12.7265625" customWidth="1"/>
    <col min="10768" max="10769" width="12.26953125" customWidth="1"/>
    <col min="10770" max="10770" width="14.7265625" customWidth="1"/>
    <col min="10771" max="10771" width="11.26953125" customWidth="1"/>
    <col min="10772" max="10772" width="10.81640625" customWidth="1"/>
    <col min="11011" max="11011" width="36.81640625" customWidth="1"/>
    <col min="11012" max="11012" width="16.81640625" customWidth="1"/>
    <col min="11013" max="11013" width="12.81640625" customWidth="1"/>
    <col min="11014" max="11014" width="13.26953125" customWidth="1"/>
    <col min="11015" max="11015" width="15.1796875" customWidth="1"/>
    <col min="11016" max="11016" width="15.26953125" customWidth="1"/>
    <col min="11017" max="11017" width="13.453125" customWidth="1"/>
    <col min="11018" max="11018" width="12.1796875" customWidth="1"/>
    <col min="11019" max="11019" width="17" customWidth="1"/>
    <col min="11020" max="11021" width="12.7265625" customWidth="1"/>
    <col min="11022" max="11022" width="15.453125" customWidth="1"/>
    <col min="11023" max="11023" width="12.7265625" customWidth="1"/>
    <col min="11024" max="11025" width="12.26953125" customWidth="1"/>
    <col min="11026" max="11026" width="14.7265625" customWidth="1"/>
    <col min="11027" max="11027" width="11.26953125" customWidth="1"/>
    <col min="11028" max="11028" width="10.81640625" customWidth="1"/>
    <col min="11267" max="11267" width="36.81640625" customWidth="1"/>
    <col min="11268" max="11268" width="16.81640625" customWidth="1"/>
    <col min="11269" max="11269" width="12.81640625" customWidth="1"/>
    <col min="11270" max="11270" width="13.26953125" customWidth="1"/>
    <col min="11271" max="11271" width="15.1796875" customWidth="1"/>
    <col min="11272" max="11272" width="15.26953125" customWidth="1"/>
    <col min="11273" max="11273" width="13.453125" customWidth="1"/>
    <col min="11274" max="11274" width="12.1796875" customWidth="1"/>
    <col min="11275" max="11275" width="17" customWidth="1"/>
    <col min="11276" max="11277" width="12.7265625" customWidth="1"/>
    <col min="11278" max="11278" width="15.453125" customWidth="1"/>
    <col min="11279" max="11279" width="12.7265625" customWidth="1"/>
    <col min="11280" max="11281" width="12.26953125" customWidth="1"/>
    <col min="11282" max="11282" width="14.7265625" customWidth="1"/>
    <col min="11283" max="11283" width="11.26953125" customWidth="1"/>
    <col min="11284" max="11284" width="10.81640625" customWidth="1"/>
    <col min="11523" max="11523" width="36.81640625" customWidth="1"/>
    <col min="11524" max="11524" width="16.81640625" customWidth="1"/>
    <col min="11525" max="11525" width="12.81640625" customWidth="1"/>
    <col min="11526" max="11526" width="13.26953125" customWidth="1"/>
    <col min="11527" max="11527" width="15.1796875" customWidth="1"/>
    <col min="11528" max="11528" width="15.26953125" customWidth="1"/>
    <col min="11529" max="11529" width="13.453125" customWidth="1"/>
    <col min="11530" max="11530" width="12.1796875" customWidth="1"/>
    <col min="11531" max="11531" width="17" customWidth="1"/>
    <col min="11532" max="11533" width="12.7265625" customWidth="1"/>
    <col min="11534" max="11534" width="15.453125" customWidth="1"/>
    <col min="11535" max="11535" width="12.7265625" customWidth="1"/>
    <col min="11536" max="11537" width="12.26953125" customWidth="1"/>
    <col min="11538" max="11538" width="14.7265625" customWidth="1"/>
    <col min="11539" max="11539" width="11.26953125" customWidth="1"/>
    <col min="11540" max="11540" width="10.81640625" customWidth="1"/>
    <col min="11779" max="11779" width="36.81640625" customWidth="1"/>
    <col min="11780" max="11780" width="16.81640625" customWidth="1"/>
    <col min="11781" max="11781" width="12.81640625" customWidth="1"/>
    <col min="11782" max="11782" width="13.26953125" customWidth="1"/>
    <col min="11783" max="11783" width="15.1796875" customWidth="1"/>
    <col min="11784" max="11784" width="15.26953125" customWidth="1"/>
    <col min="11785" max="11785" width="13.453125" customWidth="1"/>
    <col min="11786" max="11786" width="12.1796875" customWidth="1"/>
    <col min="11787" max="11787" width="17" customWidth="1"/>
    <col min="11788" max="11789" width="12.7265625" customWidth="1"/>
    <col min="11790" max="11790" width="15.453125" customWidth="1"/>
    <col min="11791" max="11791" width="12.7265625" customWidth="1"/>
    <col min="11792" max="11793" width="12.26953125" customWidth="1"/>
    <col min="11794" max="11794" width="14.7265625" customWidth="1"/>
    <col min="11795" max="11795" width="11.26953125" customWidth="1"/>
    <col min="11796" max="11796" width="10.81640625" customWidth="1"/>
    <col min="12035" max="12035" width="36.81640625" customWidth="1"/>
    <col min="12036" max="12036" width="16.81640625" customWidth="1"/>
    <col min="12037" max="12037" width="12.81640625" customWidth="1"/>
    <col min="12038" max="12038" width="13.26953125" customWidth="1"/>
    <col min="12039" max="12039" width="15.1796875" customWidth="1"/>
    <col min="12040" max="12040" width="15.26953125" customWidth="1"/>
    <col min="12041" max="12041" width="13.453125" customWidth="1"/>
    <col min="12042" max="12042" width="12.1796875" customWidth="1"/>
    <col min="12043" max="12043" width="17" customWidth="1"/>
    <col min="12044" max="12045" width="12.7265625" customWidth="1"/>
    <col min="12046" max="12046" width="15.453125" customWidth="1"/>
    <col min="12047" max="12047" width="12.7265625" customWidth="1"/>
    <col min="12048" max="12049" width="12.26953125" customWidth="1"/>
    <col min="12050" max="12050" width="14.7265625" customWidth="1"/>
    <col min="12051" max="12051" width="11.26953125" customWidth="1"/>
    <col min="12052" max="12052" width="10.81640625" customWidth="1"/>
    <col min="12291" max="12291" width="36.81640625" customWidth="1"/>
    <col min="12292" max="12292" width="16.81640625" customWidth="1"/>
    <col min="12293" max="12293" width="12.81640625" customWidth="1"/>
    <col min="12294" max="12294" width="13.26953125" customWidth="1"/>
    <col min="12295" max="12295" width="15.1796875" customWidth="1"/>
    <col min="12296" max="12296" width="15.26953125" customWidth="1"/>
    <col min="12297" max="12297" width="13.453125" customWidth="1"/>
    <col min="12298" max="12298" width="12.1796875" customWidth="1"/>
    <col min="12299" max="12299" width="17" customWidth="1"/>
    <col min="12300" max="12301" width="12.7265625" customWidth="1"/>
    <col min="12302" max="12302" width="15.453125" customWidth="1"/>
    <col min="12303" max="12303" width="12.7265625" customWidth="1"/>
    <col min="12304" max="12305" width="12.26953125" customWidth="1"/>
    <col min="12306" max="12306" width="14.7265625" customWidth="1"/>
    <col min="12307" max="12307" width="11.26953125" customWidth="1"/>
    <col min="12308" max="12308" width="10.81640625" customWidth="1"/>
    <col min="12547" max="12547" width="36.81640625" customWidth="1"/>
    <col min="12548" max="12548" width="16.81640625" customWidth="1"/>
    <col min="12549" max="12549" width="12.81640625" customWidth="1"/>
    <col min="12550" max="12550" width="13.26953125" customWidth="1"/>
    <col min="12551" max="12551" width="15.1796875" customWidth="1"/>
    <col min="12552" max="12552" width="15.26953125" customWidth="1"/>
    <col min="12553" max="12553" width="13.453125" customWidth="1"/>
    <col min="12554" max="12554" width="12.1796875" customWidth="1"/>
    <col min="12555" max="12555" width="17" customWidth="1"/>
    <col min="12556" max="12557" width="12.7265625" customWidth="1"/>
    <col min="12558" max="12558" width="15.453125" customWidth="1"/>
    <col min="12559" max="12559" width="12.7265625" customWidth="1"/>
    <col min="12560" max="12561" width="12.26953125" customWidth="1"/>
    <col min="12562" max="12562" width="14.7265625" customWidth="1"/>
    <col min="12563" max="12563" width="11.26953125" customWidth="1"/>
    <col min="12564" max="12564" width="10.81640625" customWidth="1"/>
    <col min="12803" max="12803" width="36.81640625" customWidth="1"/>
    <col min="12804" max="12804" width="16.81640625" customWidth="1"/>
    <col min="12805" max="12805" width="12.81640625" customWidth="1"/>
    <col min="12806" max="12806" width="13.26953125" customWidth="1"/>
    <col min="12807" max="12807" width="15.1796875" customWidth="1"/>
    <col min="12808" max="12808" width="15.26953125" customWidth="1"/>
    <col min="12809" max="12809" width="13.453125" customWidth="1"/>
    <col min="12810" max="12810" width="12.1796875" customWidth="1"/>
    <col min="12811" max="12811" width="17" customWidth="1"/>
    <col min="12812" max="12813" width="12.7265625" customWidth="1"/>
    <col min="12814" max="12814" width="15.453125" customWidth="1"/>
    <col min="12815" max="12815" width="12.7265625" customWidth="1"/>
    <col min="12816" max="12817" width="12.26953125" customWidth="1"/>
    <col min="12818" max="12818" width="14.7265625" customWidth="1"/>
    <col min="12819" max="12819" width="11.26953125" customWidth="1"/>
    <col min="12820" max="12820" width="10.81640625" customWidth="1"/>
    <col min="13059" max="13059" width="36.81640625" customWidth="1"/>
    <col min="13060" max="13060" width="16.81640625" customWidth="1"/>
    <col min="13061" max="13061" width="12.81640625" customWidth="1"/>
    <col min="13062" max="13062" width="13.26953125" customWidth="1"/>
    <col min="13063" max="13063" width="15.1796875" customWidth="1"/>
    <col min="13064" max="13064" width="15.26953125" customWidth="1"/>
    <col min="13065" max="13065" width="13.453125" customWidth="1"/>
    <col min="13066" max="13066" width="12.1796875" customWidth="1"/>
    <col min="13067" max="13067" width="17" customWidth="1"/>
    <col min="13068" max="13069" width="12.7265625" customWidth="1"/>
    <col min="13070" max="13070" width="15.453125" customWidth="1"/>
    <col min="13071" max="13071" width="12.7265625" customWidth="1"/>
    <col min="13072" max="13073" width="12.26953125" customWidth="1"/>
    <col min="13074" max="13074" width="14.7265625" customWidth="1"/>
    <col min="13075" max="13075" width="11.26953125" customWidth="1"/>
    <col min="13076" max="13076" width="10.81640625" customWidth="1"/>
    <col min="13315" max="13315" width="36.81640625" customWidth="1"/>
    <col min="13316" max="13316" width="16.81640625" customWidth="1"/>
    <col min="13317" max="13317" width="12.81640625" customWidth="1"/>
    <col min="13318" max="13318" width="13.26953125" customWidth="1"/>
    <col min="13319" max="13319" width="15.1796875" customWidth="1"/>
    <col min="13320" max="13320" width="15.26953125" customWidth="1"/>
    <col min="13321" max="13321" width="13.453125" customWidth="1"/>
    <col min="13322" max="13322" width="12.1796875" customWidth="1"/>
    <col min="13323" max="13323" width="17" customWidth="1"/>
    <col min="13324" max="13325" width="12.7265625" customWidth="1"/>
    <col min="13326" max="13326" width="15.453125" customWidth="1"/>
    <col min="13327" max="13327" width="12.7265625" customWidth="1"/>
    <col min="13328" max="13329" width="12.26953125" customWidth="1"/>
    <col min="13330" max="13330" width="14.7265625" customWidth="1"/>
    <col min="13331" max="13331" width="11.26953125" customWidth="1"/>
    <col min="13332" max="13332" width="10.81640625" customWidth="1"/>
    <col min="13571" max="13571" width="36.81640625" customWidth="1"/>
    <col min="13572" max="13572" width="16.81640625" customWidth="1"/>
    <col min="13573" max="13573" width="12.81640625" customWidth="1"/>
    <col min="13574" max="13574" width="13.26953125" customWidth="1"/>
    <col min="13575" max="13575" width="15.1796875" customWidth="1"/>
    <col min="13576" max="13576" width="15.26953125" customWidth="1"/>
    <col min="13577" max="13577" width="13.453125" customWidth="1"/>
    <col min="13578" max="13578" width="12.1796875" customWidth="1"/>
    <col min="13579" max="13579" width="17" customWidth="1"/>
    <col min="13580" max="13581" width="12.7265625" customWidth="1"/>
    <col min="13582" max="13582" width="15.453125" customWidth="1"/>
    <col min="13583" max="13583" width="12.7265625" customWidth="1"/>
    <col min="13584" max="13585" width="12.26953125" customWidth="1"/>
    <col min="13586" max="13586" width="14.7265625" customWidth="1"/>
    <col min="13587" max="13587" width="11.26953125" customWidth="1"/>
    <col min="13588" max="13588" width="10.81640625" customWidth="1"/>
    <col min="13827" max="13827" width="36.81640625" customWidth="1"/>
    <col min="13828" max="13828" width="16.81640625" customWidth="1"/>
    <col min="13829" max="13829" width="12.81640625" customWidth="1"/>
    <col min="13830" max="13830" width="13.26953125" customWidth="1"/>
    <col min="13831" max="13831" width="15.1796875" customWidth="1"/>
    <col min="13832" max="13832" width="15.26953125" customWidth="1"/>
    <col min="13833" max="13833" width="13.453125" customWidth="1"/>
    <col min="13834" max="13834" width="12.1796875" customWidth="1"/>
    <col min="13835" max="13835" width="17" customWidth="1"/>
    <col min="13836" max="13837" width="12.7265625" customWidth="1"/>
    <col min="13838" max="13838" width="15.453125" customWidth="1"/>
    <col min="13839" max="13839" width="12.7265625" customWidth="1"/>
    <col min="13840" max="13841" width="12.26953125" customWidth="1"/>
    <col min="13842" max="13842" width="14.7265625" customWidth="1"/>
    <col min="13843" max="13843" width="11.26953125" customWidth="1"/>
    <col min="13844" max="13844" width="10.81640625" customWidth="1"/>
    <col min="14083" max="14083" width="36.81640625" customWidth="1"/>
    <col min="14084" max="14084" width="16.81640625" customWidth="1"/>
    <col min="14085" max="14085" width="12.81640625" customWidth="1"/>
    <col min="14086" max="14086" width="13.26953125" customWidth="1"/>
    <col min="14087" max="14087" width="15.1796875" customWidth="1"/>
    <col min="14088" max="14088" width="15.26953125" customWidth="1"/>
    <col min="14089" max="14089" width="13.453125" customWidth="1"/>
    <col min="14090" max="14090" width="12.1796875" customWidth="1"/>
    <col min="14091" max="14091" width="17" customWidth="1"/>
    <col min="14092" max="14093" width="12.7265625" customWidth="1"/>
    <col min="14094" max="14094" width="15.453125" customWidth="1"/>
    <col min="14095" max="14095" width="12.7265625" customWidth="1"/>
    <col min="14096" max="14097" width="12.26953125" customWidth="1"/>
    <col min="14098" max="14098" width="14.7265625" customWidth="1"/>
    <col min="14099" max="14099" width="11.26953125" customWidth="1"/>
    <col min="14100" max="14100" width="10.81640625" customWidth="1"/>
    <col min="14339" max="14339" width="36.81640625" customWidth="1"/>
    <col min="14340" max="14340" width="16.81640625" customWidth="1"/>
    <col min="14341" max="14341" width="12.81640625" customWidth="1"/>
    <col min="14342" max="14342" width="13.26953125" customWidth="1"/>
    <col min="14343" max="14343" width="15.1796875" customWidth="1"/>
    <col min="14344" max="14344" width="15.26953125" customWidth="1"/>
    <col min="14345" max="14345" width="13.453125" customWidth="1"/>
    <col min="14346" max="14346" width="12.1796875" customWidth="1"/>
    <col min="14347" max="14347" width="17" customWidth="1"/>
    <col min="14348" max="14349" width="12.7265625" customWidth="1"/>
    <col min="14350" max="14350" width="15.453125" customWidth="1"/>
    <col min="14351" max="14351" width="12.7265625" customWidth="1"/>
    <col min="14352" max="14353" width="12.26953125" customWidth="1"/>
    <col min="14354" max="14354" width="14.7265625" customWidth="1"/>
    <col min="14355" max="14355" width="11.26953125" customWidth="1"/>
    <col min="14356" max="14356" width="10.81640625" customWidth="1"/>
    <col min="14595" max="14595" width="36.81640625" customWidth="1"/>
    <col min="14596" max="14596" width="16.81640625" customWidth="1"/>
    <col min="14597" max="14597" width="12.81640625" customWidth="1"/>
    <col min="14598" max="14598" width="13.26953125" customWidth="1"/>
    <col min="14599" max="14599" width="15.1796875" customWidth="1"/>
    <col min="14600" max="14600" width="15.26953125" customWidth="1"/>
    <col min="14601" max="14601" width="13.453125" customWidth="1"/>
    <col min="14602" max="14602" width="12.1796875" customWidth="1"/>
    <col min="14603" max="14603" width="17" customWidth="1"/>
    <col min="14604" max="14605" width="12.7265625" customWidth="1"/>
    <col min="14606" max="14606" width="15.453125" customWidth="1"/>
    <col min="14607" max="14607" width="12.7265625" customWidth="1"/>
    <col min="14608" max="14609" width="12.26953125" customWidth="1"/>
    <col min="14610" max="14610" width="14.7265625" customWidth="1"/>
    <col min="14611" max="14611" width="11.26953125" customWidth="1"/>
    <col min="14612" max="14612" width="10.81640625" customWidth="1"/>
    <col min="14851" max="14851" width="36.81640625" customWidth="1"/>
    <col min="14852" max="14852" width="16.81640625" customWidth="1"/>
    <col min="14853" max="14853" width="12.81640625" customWidth="1"/>
    <col min="14854" max="14854" width="13.26953125" customWidth="1"/>
    <col min="14855" max="14855" width="15.1796875" customWidth="1"/>
    <col min="14856" max="14856" width="15.26953125" customWidth="1"/>
    <col min="14857" max="14857" width="13.453125" customWidth="1"/>
    <col min="14858" max="14858" width="12.1796875" customWidth="1"/>
    <col min="14859" max="14859" width="17" customWidth="1"/>
    <col min="14860" max="14861" width="12.7265625" customWidth="1"/>
    <col min="14862" max="14862" width="15.453125" customWidth="1"/>
    <col min="14863" max="14863" width="12.7265625" customWidth="1"/>
    <col min="14864" max="14865" width="12.26953125" customWidth="1"/>
    <col min="14866" max="14866" width="14.7265625" customWidth="1"/>
    <col min="14867" max="14867" width="11.26953125" customWidth="1"/>
    <col min="14868" max="14868" width="10.81640625" customWidth="1"/>
    <col min="15107" max="15107" width="36.81640625" customWidth="1"/>
    <col min="15108" max="15108" width="16.81640625" customWidth="1"/>
    <col min="15109" max="15109" width="12.81640625" customWidth="1"/>
    <col min="15110" max="15110" width="13.26953125" customWidth="1"/>
    <col min="15111" max="15111" width="15.1796875" customWidth="1"/>
    <col min="15112" max="15112" width="15.26953125" customWidth="1"/>
    <col min="15113" max="15113" width="13.453125" customWidth="1"/>
    <col min="15114" max="15114" width="12.1796875" customWidth="1"/>
    <col min="15115" max="15115" width="17" customWidth="1"/>
    <col min="15116" max="15117" width="12.7265625" customWidth="1"/>
    <col min="15118" max="15118" width="15.453125" customWidth="1"/>
    <col min="15119" max="15119" width="12.7265625" customWidth="1"/>
    <col min="15120" max="15121" width="12.26953125" customWidth="1"/>
    <col min="15122" max="15122" width="14.7265625" customWidth="1"/>
    <col min="15123" max="15123" width="11.26953125" customWidth="1"/>
    <col min="15124" max="15124" width="10.81640625" customWidth="1"/>
    <col min="15363" max="15363" width="36.81640625" customWidth="1"/>
    <col min="15364" max="15364" width="16.81640625" customWidth="1"/>
    <col min="15365" max="15365" width="12.81640625" customWidth="1"/>
    <col min="15366" max="15366" width="13.26953125" customWidth="1"/>
    <col min="15367" max="15367" width="15.1796875" customWidth="1"/>
    <col min="15368" max="15368" width="15.26953125" customWidth="1"/>
    <col min="15369" max="15369" width="13.453125" customWidth="1"/>
    <col min="15370" max="15370" width="12.1796875" customWidth="1"/>
    <col min="15371" max="15371" width="17" customWidth="1"/>
    <col min="15372" max="15373" width="12.7265625" customWidth="1"/>
    <col min="15374" max="15374" width="15.453125" customWidth="1"/>
    <col min="15375" max="15375" width="12.7265625" customWidth="1"/>
    <col min="15376" max="15377" width="12.26953125" customWidth="1"/>
    <col min="15378" max="15378" width="14.7265625" customWidth="1"/>
    <col min="15379" max="15379" width="11.26953125" customWidth="1"/>
    <col min="15380" max="15380" width="10.81640625" customWidth="1"/>
    <col min="15619" max="15619" width="36.81640625" customWidth="1"/>
    <col min="15620" max="15620" width="16.81640625" customWidth="1"/>
    <col min="15621" max="15621" width="12.81640625" customWidth="1"/>
    <col min="15622" max="15622" width="13.26953125" customWidth="1"/>
    <col min="15623" max="15623" width="15.1796875" customWidth="1"/>
    <col min="15624" max="15624" width="15.26953125" customWidth="1"/>
    <col min="15625" max="15625" width="13.453125" customWidth="1"/>
    <col min="15626" max="15626" width="12.1796875" customWidth="1"/>
    <col min="15627" max="15627" width="17" customWidth="1"/>
    <col min="15628" max="15629" width="12.7265625" customWidth="1"/>
    <col min="15630" max="15630" width="15.453125" customWidth="1"/>
    <col min="15631" max="15631" width="12.7265625" customWidth="1"/>
    <col min="15632" max="15633" width="12.26953125" customWidth="1"/>
    <col min="15634" max="15634" width="14.7265625" customWidth="1"/>
    <col min="15635" max="15635" width="11.26953125" customWidth="1"/>
    <col min="15636" max="15636" width="10.81640625" customWidth="1"/>
    <col min="15875" max="15875" width="36.81640625" customWidth="1"/>
    <col min="15876" max="15876" width="16.81640625" customWidth="1"/>
    <col min="15877" max="15877" width="12.81640625" customWidth="1"/>
    <col min="15878" max="15878" width="13.26953125" customWidth="1"/>
    <col min="15879" max="15879" width="15.1796875" customWidth="1"/>
    <col min="15880" max="15880" width="15.26953125" customWidth="1"/>
    <col min="15881" max="15881" width="13.453125" customWidth="1"/>
    <col min="15882" max="15882" width="12.1796875" customWidth="1"/>
    <col min="15883" max="15883" width="17" customWidth="1"/>
    <col min="15884" max="15885" width="12.7265625" customWidth="1"/>
    <col min="15886" max="15886" width="15.453125" customWidth="1"/>
    <col min="15887" max="15887" width="12.7265625" customWidth="1"/>
    <col min="15888" max="15889" width="12.26953125" customWidth="1"/>
    <col min="15890" max="15890" width="14.7265625" customWidth="1"/>
    <col min="15891" max="15891" width="11.26953125" customWidth="1"/>
    <col min="15892" max="15892" width="10.81640625" customWidth="1"/>
    <col min="16131" max="16131" width="36.81640625" customWidth="1"/>
    <col min="16132" max="16132" width="16.81640625" customWidth="1"/>
    <col min="16133" max="16133" width="12.81640625" customWidth="1"/>
    <col min="16134" max="16134" width="13.26953125" customWidth="1"/>
    <col min="16135" max="16135" width="15.1796875" customWidth="1"/>
    <col min="16136" max="16136" width="15.26953125" customWidth="1"/>
    <col min="16137" max="16137" width="13.453125" customWidth="1"/>
    <col min="16138" max="16138" width="12.1796875" customWidth="1"/>
    <col min="16139" max="16139" width="17" customWidth="1"/>
    <col min="16140" max="16141" width="12.7265625" customWidth="1"/>
    <col min="16142" max="16142" width="15.453125" customWidth="1"/>
    <col min="16143" max="16143" width="12.7265625" customWidth="1"/>
    <col min="16144" max="16145" width="12.26953125" customWidth="1"/>
    <col min="16146" max="16146" width="14.7265625" customWidth="1"/>
    <col min="16147" max="16147" width="11.26953125" customWidth="1"/>
    <col min="16148" max="16148" width="10.81640625" customWidth="1"/>
  </cols>
  <sheetData>
    <row r="1" spans="1:21" ht="15.5" x14ac:dyDescent="0.35">
      <c r="A1" s="1"/>
      <c r="B1" s="8" t="s">
        <v>32</v>
      </c>
      <c r="C1" s="8"/>
      <c r="D1" s="8"/>
      <c r="E1" s="8"/>
      <c r="F1" s="1"/>
      <c r="G1" s="1"/>
      <c r="H1" s="1"/>
      <c r="I1" s="1"/>
      <c r="J1" s="1"/>
      <c r="K1" s="447"/>
      <c r="L1" s="1"/>
      <c r="M1" s="447"/>
      <c r="N1" s="1"/>
      <c r="O1" s="1"/>
      <c r="P1" s="1"/>
      <c r="Q1" s="1"/>
      <c r="R1" s="1"/>
      <c r="S1" s="1"/>
      <c r="T1" s="1"/>
      <c r="U1" s="1"/>
    </row>
    <row r="2" spans="1:21" ht="13" x14ac:dyDescent="0.3">
      <c r="A2" s="5" t="s">
        <v>23</v>
      </c>
      <c r="B2" s="548" t="s">
        <v>1131</v>
      </c>
      <c r="C2" s="279"/>
      <c r="D2" s="279"/>
      <c r="E2" s="279"/>
      <c r="F2" s="295"/>
      <c r="G2" s="295"/>
      <c r="H2" s="295"/>
      <c r="I2" s="295"/>
      <c r="J2" s="295"/>
      <c r="K2" s="2406"/>
      <c r="L2" s="295"/>
      <c r="M2" s="2406"/>
      <c r="N2" s="295"/>
      <c r="O2" s="295"/>
      <c r="P2" s="1"/>
      <c r="Q2" s="1"/>
      <c r="R2" s="1"/>
      <c r="S2" s="1"/>
      <c r="T2" s="1"/>
      <c r="U2" s="1"/>
    </row>
    <row r="3" spans="1:21" ht="13" x14ac:dyDescent="0.3">
      <c r="A3" s="5" t="s">
        <v>24</v>
      </c>
      <c r="B3" s="549" t="s">
        <v>501</v>
      </c>
      <c r="C3" s="602"/>
      <c r="D3" s="602"/>
      <c r="E3" s="602"/>
      <c r="F3" s="603"/>
      <c r="G3" s="603"/>
      <c r="H3" s="603"/>
      <c r="I3" s="603"/>
      <c r="J3" s="603"/>
      <c r="K3" s="2407"/>
      <c r="L3" s="603"/>
      <c r="M3" s="2407"/>
      <c r="N3" s="603"/>
      <c r="O3" s="603"/>
      <c r="P3" s="1"/>
      <c r="Q3" s="1"/>
      <c r="R3" s="1"/>
      <c r="S3" s="1"/>
      <c r="T3" s="1"/>
      <c r="U3" s="1"/>
    </row>
    <row r="4" spans="1:21" ht="13" x14ac:dyDescent="0.3">
      <c r="A4" s="5" t="s">
        <v>21</v>
      </c>
      <c r="B4" s="550" t="s">
        <v>1500</v>
      </c>
      <c r="C4" s="604"/>
      <c r="D4" s="604"/>
      <c r="E4" s="604"/>
      <c r="F4" s="603"/>
      <c r="G4" s="603"/>
      <c r="H4" s="603"/>
      <c r="I4" s="603"/>
      <c r="J4" s="603"/>
      <c r="K4" s="2407"/>
      <c r="L4" s="603"/>
      <c r="M4" s="2407"/>
      <c r="N4" s="603"/>
      <c r="O4" s="603"/>
      <c r="P4" s="1"/>
      <c r="Q4" s="1"/>
      <c r="R4" s="1"/>
      <c r="S4" s="1"/>
      <c r="T4" s="1"/>
      <c r="U4" s="1"/>
    </row>
    <row r="5" spans="1:21" ht="13" x14ac:dyDescent="0.3">
      <c r="A5" s="5" t="s">
        <v>22</v>
      </c>
      <c r="B5" s="605">
        <f>P19</f>
        <v>6234904.7599999998</v>
      </c>
      <c r="D5" s="1"/>
      <c r="G5" s="606"/>
      <c r="H5" s="606"/>
      <c r="I5" s="606"/>
      <c r="J5" s="606"/>
      <c r="K5" s="609"/>
      <c r="L5" s="606"/>
      <c r="M5" s="609"/>
      <c r="N5" s="606"/>
      <c r="O5" s="606"/>
      <c r="P5" s="1"/>
      <c r="Q5" s="1"/>
      <c r="R5" s="1"/>
      <c r="S5" s="1"/>
      <c r="T5" s="1"/>
      <c r="U5" s="1"/>
    </row>
    <row r="6" spans="1:21" ht="13" x14ac:dyDescent="0.3">
      <c r="A6" s="6" t="s">
        <v>1138</v>
      </c>
      <c r="B6" s="607">
        <f>B5*0.07</f>
        <v>436443.33320000005</v>
      </c>
      <c r="D6" s="608"/>
      <c r="G6" s="609"/>
      <c r="H6" s="609"/>
      <c r="I6" s="609"/>
      <c r="J6" s="609"/>
      <c r="K6" s="609"/>
      <c r="L6" s="609"/>
      <c r="M6" s="609"/>
      <c r="N6" s="609"/>
      <c r="O6" s="609"/>
      <c r="P6" s="1"/>
      <c r="Q6" s="1"/>
      <c r="R6" s="1"/>
      <c r="S6" s="1"/>
      <c r="T6" s="1"/>
      <c r="U6" s="1"/>
    </row>
    <row r="7" spans="1:21" ht="13" x14ac:dyDescent="0.3">
      <c r="A7" s="6" t="s">
        <v>38</v>
      </c>
      <c r="B7" s="605">
        <f>SUM(B5:B6)</f>
        <v>6671348.0932</v>
      </c>
      <c r="D7" s="608"/>
      <c r="G7" s="606"/>
      <c r="H7" s="606"/>
      <c r="I7" s="2414"/>
      <c r="J7" s="606"/>
      <c r="K7" s="609"/>
      <c r="L7" s="606"/>
      <c r="M7" s="609"/>
      <c r="N7" s="606"/>
      <c r="O7" s="606"/>
      <c r="P7" s="1"/>
      <c r="Q7" s="1"/>
      <c r="R7" s="1"/>
      <c r="S7" s="1"/>
      <c r="T7" s="1"/>
      <c r="U7" s="1"/>
    </row>
    <row r="8" spans="1:21" ht="13" x14ac:dyDescent="0.3">
      <c r="A8" s="6" t="s">
        <v>1678</v>
      </c>
      <c r="B8" s="605">
        <f>Q21</f>
        <v>6366908.6216853717</v>
      </c>
      <c r="D8" s="608"/>
      <c r="G8" s="606"/>
      <c r="H8" s="606"/>
      <c r="I8" s="2414"/>
      <c r="J8" s="606"/>
      <c r="K8" s="609"/>
      <c r="L8" s="606"/>
      <c r="M8" s="609"/>
      <c r="N8" s="606"/>
      <c r="O8" s="606"/>
      <c r="P8" s="1"/>
      <c r="Q8" s="1"/>
      <c r="R8" s="1"/>
      <c r="S8" s="1"/>
      <c r="T8" s="1"/>
      <c r="U8" s="1"/>
    </row>
    <row r="9" spans="1:21" ht="13" x14ac:dyDescent="0.3">
      <c r="A9" s="6" t="s">
        <v>1679</v>
      </c>
      <c r="B9" s="605">
        <f>B7-B8</f>
        <v>304439.47151462827</v>
      </c>
      <c r="D9" s="608"/>
      <c r="G9" s="606"/>
      <c r="H9" s="606"/>
      <c r="I9" s="2414"/>
      <c r="J9" s="606"/>
      <c r="K9" s="609"/>
      <c r="L9" s="606"/>
      <c r="M9" s="609"/>
      <c r="N9" s="606"/>
      <c r="O9" s="606"/>
      <c r="P9" s="1"/>
      <c r="Q9" s="1"/>
      <c r="R9" s="1"/>
      <c r="S9" s="1"/>
      <c r="T9" s="1"/>
      <c r="U9" s="1"/>
    </row>
    <row r="10" spans="1:21" ht="13" x14ac:dyDescent="0.3">
      <c r="A10" s="1"/>
      <c r="B10" s="1"/>
      <c r="C10" s="1"/>
      <c r="D10" s="1"/>
      <c r="E10" s="1"/>
      <c r="F10" s="1"/>
      <c r="G10" s="1"/>
      <c r="H10" s="1"/>
      <c r="I10" s="1"/>
      <c r="J10" s="1"/>
      <c r="K10" s="447"/>
      <c r="L10" s="1"/>
      <c r="M10" s="447"/>
      <c r="N10" s="1"/>
      <c r="O10" s="1"/>
      <c r="P10" s="1"/>
      <c r="Q10" s="1"/>
      <c r="R10" s="1"/>
      <c r="S10" s="1"/>
      <c r="T10" s="1"/>
      <c r="U10" s="1"/>
    </row>
    <row r="11" spans="1:21" ht="26" x14ac:dyDescent="0.25">
      <c r="A11" s="610" t="s">
        <v>1</v>
      </c>
      <c r="B11" s="612" t="s">
        <v>97</v>
      </c>
      <c r="C11" s="613" t="s">
        <v>1640</v>
      </c>
      <c r="D11" s="612" t="s">
        <v>1141</v>
      </c>
      <c r="E11" s="613" t="s">
        <v>1640</v>
      </c>
      <c r="F11" s="611" t="s">
        <v>500</v>
      </c>
      <c r="G11" s="613" t="s">
        <v>1640</v>
      </c>
      <c r="H11" s="611" t="s">
        <v>927</v>
      </c>
      <c r="I11" s="613" t="s">
        <v>1640</v>
      </c>
      <c r="J11" s="611" t="s">
        <v>398</v>
      </c>
      <c r="K11" s="2408" t="s">
        <v>1640</v>
      </c>
      <c r="L11" s="611" t="s">
        <v>194</v>
      </c>
      <c r="M11" s="2408" t="s">
        <v>1640</v>
      </c>
      <c r="N11" s="611" t="s">
        <v>955</v>
      </c>
      <c r="O11" s="613" t="s">
        <v>1640</v>
      </c>
      <c r="P11" s="2415" t="s">
        <v>1641</v>
      </c>
      <c r="Q11" s="616" t="s">
        <v>1640</v>
      </c>
      <c r="R11" s="616" t="s">
        <v>39</v>
      </c>
    </row>
    <row r="12" spans="1:21" ht="25" customHeight="1" x14ac:dyDescent="0.25">
      <c r="A12" s="262" t="s">
        <v>1146</v>
      </c>
      <c r="B12" s="618">
        <v>391525.66</v>
      </c>
      <c r="C12" s="619">
        <f>UNHABITAT!V67+UNHABITAT!V49</f>
        <v>394526.07</v>
      </c>
      <c r="D12" s="620">
        <v>120000</v>
      </c>
      <c r="E12" s="619">
        <f>OIM!T149</f>
        <v>148669.67000000001</v>
      </c>
      <c r="F12" s="617">
        <v>159600</v>
      </c>
      <c r="G12" s="619">
        <f>ACIAR!T177</f>
        <v>173333.14</v>
      </c>
      <c r="H12" s="621">
        <v>113061</v>
      </c>
      <c r="I12" s="2405">
        <f>SUM(CARITAS!S95)</f>
        <v>113200.66</v>
      </c>
      <c r="J12" s="621">
        <v>175952.1</v>
      </c>
      <c r="K12" s="2409">
        <f>SUM(SFCG!T25,SFCG!T48,SFCG!T49,SFCG!T102)</f>
        <v>166308.09000000003</v>
      </c>
      <c r="L12" s="621">
        <v>450970.49</v>
      </c>
      <c r="M12" s="657">
        <f>SUM('MERCY COPRS'!H17,'MERCY COPRS'!H18,'MERCY COPRS'!H19,'MERCY COPRS'!H20,'MERCY COPRS'!H21,'MERCY COPRS'!H27,'MERCY COPRS'!H28,'MERCY COPRS'!H29,'MERCY COPRS'!H30,'MERCY COPRS'!H31,'MERCY COPRS'!H42,'MERCY COPRS'!H43,'MERCY COPRS'!H44,'MERCY COPRS'!H45,'MERCY COPRS'!H46,'MERCY COPRS'!H52,'MERCY COPRS'!H53,'MERCY COPRS'!H54,'MERCY COPRS'!H55,'MERCY COPRS'!H56,'MERCY COPRS'!H63,'MERCY COPRS'!H64,'MERCY COPRS'!H65,'MERCY COPRS'!H66,'MERCY COPRS'!H67,'MERCY COPRS'!H125)</f>
        <v>387659.7300000001</v>
      </c>
      <c r="N12" s="621">
        <v>89672</v>
      </c>
      <c r="O12" s="2405">
        <f>SUM(COOPI!S51,COOPI!S52,COOPI!S67,COOPI!S68,COOPI!S80)</f>
        <v>152889.86363614263</v>
      </c>
      <c r="P12" s="622">
        <f>F12+B12+D12+H12+J12+L12+N12</f>
        <v>1500781.25</v>
      </c>
      <c r="Q12" s="2416">
        <f>G12+C12+E12+I12+K12+M12+O12</f>
        <v>1536587.2236361429</v>
      </c>
      <c r="R12" s="624">
        <f>Q12/P12</f>
        <v>1.0238582229329845</v>
      </c>
    </row>
    <row r="13" spans="1:21" ht="25" customHeight="1" x14ac:dyDescent="0.25">
      <c r="A13" s="265" t="s">
        <v>1147</v>
      </c>
      <c r="B13" s="618">
        <v>414592.5</v>
      </c>
      <c r="C13" s="619">
        <f>UNHABITAT!V69+UNHABITAT!V56+UNHABITAT!V55+UNHABITAT!V52+UNHABITAT!V51+UNHABITAT!V48+UNHABITAT!V43+UNHABITAT!V42+UNHABITAT!V40+UNHABITAT!V38+UNHABITAT!V37+UNHABITAT!V32+UNHABITAT!V31+UNHABITAT!V30+UNHABITAT!V29+UNHABITAT!V28+UNHABITAT!V23+UNHABITAT!V19+UNHABITAT!V18+UNHABITAT!V15+UNHABITAT!V16+UNHABITAT!V13</f>
        <v>395915.93999999994</v>
      </c>
      <c r="D13" s="620">
        <v>307688.5</v>
      </c>
      <c r="E13" s="619">
        <f>SUM(OIM!T15,OIM!T18,OIM!T19,OIM!T26,OIM!T31,OIM!T33,OIM!T34,OIM!T35,OIM!T38,OIM!T41,OIM!T46,OIM!T49,OIM!T53,OIM!T56,OIM!T57,OIM!T74,OIM!T83,OIM!T90,OIM!T97,OIM!T98,OIM!T102,OIM!T103,OIM!T104,OIM!T106,OIM!T107,OIM!T108,OIM!T109,OIM!T110,OIM!T111,OIM!T112,OIM!T113,OIM!T114,OIM!T116,OIM!T118,OIM!T119,OIM!T120,OIM!T121,OIM!T123,OIM!T122,OIM!T126,OIM!T127,OIM!T128,OIM!T130,OIM!T131)</f>
        <v>243470.73</v>
      </c>
      <c r="F13" s="617">
        <v>205935</v>
      </c>
      <c r="G13" s="619">
        <f>SUM(ACIAR!T12,ACIAR!T18,ACIAR!T24,ACIAR!T30,ACIAR!T37,ACIAR!T43,ACIAR!T49,ACIAR!T56,ACIAR!T62,ACIAR!T67,ACIAR!T72,ACIAR!T79,ACIAR!T85,ACIAR!T91,ACIAR!T97,ACIAR!T104,ACIAR!T110,ACIAR!T116,ACIAR!T123,ACIAR!T129,ACIAR!T135,ACIAR!T141,ACIAR!T147,ACIAR!T154,ACIAR!T157,ACIAR!T163,ACIAR!T165,ACIAR!T168,ACIAR!T179,ACIAR!T183)</f>
        <v>180189.77000000002</v>
      </c>
      <c r="H13" s="621">
        <v>126921.60000000001</v>
      </c>
      <c r="I13" s="2405">
        <f>SUM(CARITAS!S12,CARITAS!S13,CARITAS!S20,CARITAS!S22,CARITAS!S23,CARITAS!S24,CARITAS!S25,CARITAS!S26,CARITAS!S27,CARITAS!S29,CARITAS!S30,CARITAS!S31,CARITAS!S32,CARITAS!S33,CARITAS!S36,CARITAS!S37,CARITAS!S50,CARITAS!S56,CARITAS!S64,CARITAS!S65,CARITAS!S67,CARITAS!S69,CARITAS!S70,CARITAS!S71,CARITAS!S74,CARITAS!S78,CARITAS!S79,CARITAS!S97,CARITAS!S98)</f>
        <v>128416.45</v>
      </c>
      <c r="J13" s="621">
        <v>68400</v>
      </c>
      <c r="K13" s="2456">
        <f>SUM(SFCG!T28,SFCG!T30,SFCG!T32,SFCG!T42,SFCG!T104,SFCG!T105,SFCG!T113)</f>
        <v>25221.3</v>
      </c>
      <c r="L13" s="621">
        <v>314979.20000000001</v>
      </c>
      <c r="M13" s="2409">
        <f>SUM('MERCY COPRS'!H13,'MERCY COPRS'!H15,'MERCY COPRS'!H16,'MERCY COPRS'!H23,'MERCY COPRS'!H25,'MERCY COPRS'!H26,'MERCY COPRS'!H34,'MERCY COPRS'!H35,'MERCY COPRS'!H36,'MERCY COPRS'!H37,'MERCY COPRS'!H38,'MERCY COPRS'!H40,'MERCY COPRS'!H41,'MERCY COPRS'!H48,'MERCY COPRS'!H50,'MERCY COPRS'!H51,'MERCY COPRS'!H58,'MERCY COPRS'!H59,'MERCY COPRS'!H61,'MERCY COPRS'!H62)</f>
        <v>232707.55000000002</v>
      </c>
      <c r="N13" s="621">
        <v>95782</v>
      </c>
      <c r="O13" s="2405">
        <f>SUM(COOPI!S12:S16,COOPI!S20,COOPI!S21,COOPI!S24,COOPI!S25,COOPI!S27,COOPI!S28,COOPI!S30,COOPI!S31,COOPI!S32,COOPI!S38,COOPI!S39,COOPI!S40,COOPI!S41,COOPI!S42,COOPI!S45,COOPI!S47,COOPI!S48,COOPI!S49,COOPI!S56,COOPI!S58,COOPI!S64,COOPI!S66,COOPI!S69,COOPI!S82)</f>
        <v>76422.484431394027</v>
      </c>
      <c r="P13" s="622">
        <f t="shared" ref="P13:P18" si="0">F13+B13+D13+H13+J13+L13+N13</f>
        <v>1534298.8</v>
      </c>
      <c r="Q13" s="2416">
        <f t="shared" ref="Q13:Q18" si="1">G13+C13+E13+I13+K13+M13+O13</f>
        <v>1282344.2244313941</v>
      </c>
      <c r="R13" s="624">
        <f t="shared" ref="R13:R21" si="2">Q13/P13</f>
        <v>0.83578519675006857</v>
      </c>
    </row>
    <row r="14" spans="1:21" ht="25" customHeight="1" x14ac:dyDescent="0.25">
      <c r="A14" s="265" t="s">
        <v>1148</v>
      </c>
      <c r="B14" s="618">
        <v>5000</v>
      </c>
      <c r="C14" s="619">
        <f>UNHABITAT!V72</f>
        <v>5446</v>
      </c>
      <c r="D14" s="620">
        <v>4800</v>
      </c>
      <c r="E14" s="619">
        <f>OIM!T154</f>
        <v>6312.12</v>
      </c>
      <c r="F14" s="617">
        <v>4000</v>
      </c>
      <c r="G14" s="619">
        <f>ACIAR!T182</f>
        <v>6983.39</v>
      </c>
      <c r="H14" s="621">
        <v>30800</v>
      </c>
      <c r="I14" s="2405">
        <f>SUM(CARITAS!S105,CARITAS!S14)</f>
        <v>30800</v>
      </c>
      <c r="J14" s="621">
        <v>10200</v>
      </c>
      <c r="K14" s="2409">
        <f>SUM(SFCG!T108)</f>
        <v>22015.05</v>
      </c>
      <c r="L14" s="621">
        <v>50000</v>
      </c>
      <c r="M14" s="2409">
        <f>SUM('MERCY COPRS'!H132,'MERCY COPRS'!H127)</f>
        <v>58246.89</v>
      </c>
      <c r="N14" s="621">
        <v>1000</v>
      </c>
      <c r="O14" s="2405">
        <f>COOPI!S85</f>
        <v>970</v>
      </c>
      <c r="P14" s="622">
        <f t="shared" si="0"/>
        <v>105800</v>
      </c>
      <c r="Q14" s="2416">
        <f t="shared" si="1"/>
        <v>130773.45</v>
      </c>
      <c r="R14" s="624">
        <f t="shared" si="2"/>
        <v>1.2360439508506615</v>
      </c>
    </row>
    <row r="15" spans="1:21" ht="25" customHeight="1" x14ac:dyDescent="0.25">
      <c r="A15" s="625" t="s">
        <v>1149</v>
      </c>
      <c r="B15" s="618">
        <v>120000</v>
      </c>
      <c r="C15" s="619">
        <f>UNHABITAT!V12+UNHABITAT!V27+UNHABITAT!V47+UNHABITAT!V57</f>
        <v>86123.67</v>
      </c>
      <c r="D15" s="620">
        <v>167000</v>
      </c>
      <c r="E15" s="619">
        <f>SUM(OIM!T73,OIM!T75,OIM!T96,OIM!T158)</f>
        <v>190581.91000000003</v>
      </c>
      <c r="F15" s="617">
        <v>381544</v>
      </c>
      <c r="G15" s="619">
        <f>SUM(ACIAR!T13,ACIAR!T19,ACIAR!T25,ACIAR!T31,ACIAR!T38,ACIAR!T44,ACIAR!T50,ACIAR!T57,ACIAR!T63,ACIAR!T68,ACIAR!T73,ACIAR!T80,ACIAR!T86,ACIAR!T92,ACIAR!T98,ACIAR!T105,ACIAR!T111,ACIAR!T117,ACIAR!T124,ACIAR!T130,ACIAR!T136,ACIAR!T142,ACIAR!T148,ACIAR!T155,ACIAR!T158,ACIAR!T166,ACIAR!T186)</f>
        <v>272728.94</v>
      </c>
      <c r="H15" s="621">
        <v>68313</v>
      </c>
      <c r="I15" s="2405">
        <f>SUM(CARITAS!S16,CARITAS!S17,CARITAS!S18,CARITAS!S19,CARITAS!S41,CARITAS!S109)</f>
        <v>68313</v>
      </c>
      <c r="J15" s="621">
        <v>68209</v>
      </c>
      <c r="K15" s="2409">
        <f>SUM(SFCG!T15,SFCG!T17,SFCG!T33,SFCG!T43,SFCG!T112)</f>
        <v>79079.86</v>
      </c>
      <c r="L15" s="621">
        <v>129968</v>
      </c>
      <c r="M15" s="2409">
        <f>SUM('MERCY COPRS'!H33)</f>
        <v>60431.369999999995</v>
      </c>
      <c r="N15" s="621">
        <v>83740</v>
      </c>
      <c r="O15" s="2405">
        <f>SUM(COOPI!S22,COOPI!S46,COOPI!S50,COOPI!S54,COOPI!S55,COOPI!S57,COOPI!S59,COOPI!S60,COOPI!S63,COOPI!S91)</f>
        <v>50592.278083526093</v>
      </c>
      <c r="P15" s="622">
        <f t="shared" si="0"/>
        <v>1018774</v>
      </c>
      <c r="Q15" s="2416">
        <f t="shared" si="1"/>
        <v>807851.02808352606</v>
      </c>
      <c r="R15" s="624">
        <f t="shared" si="2"/>
        <v>0.79296392338587951</v>
      </c>
    </row>
    <row r="16" spans="1:21" ht="25" customHeight="1" x14ac:dyDescent="0.25">
      <c r="A16" s="427" t="s">
        <v>1150</v>
      </c>
      <c r="B16" s="618">
        <v>107792</v>
      </c>
      <c r="C16" s="619">
        <f>UNHABITAT!V78+UNHABITAT!V50</f>
        <v>113890.32</v>
      </c>
      <c r="D16" s="620">
        <v>62680</v>
      </c>
      <c r="E16" s="619">
        <f>SUM(OIM!T32,OIM!T63,OIM!T66,OIM!T72,OIM!T80,OIM!T99,OIM!T132,OIM!T162,OIM!T163)</f>
        <v>52641.29</v>
      </c>
      <c r="F16" s="617">
        <v>83011</v>
      </c>
      <c r="G16" s="619">
        <f>SUM(ACIAR!T14,ACIAR!T20,ACIAR!T26,ACIAR!T32,ACIAR!T39,ACIAR!T45,ACIAR!T51,ACIAR!T58,ACIAR!T64,ACIAR!T69,ACIAR!T74,ACIAR!T81,ACIAR!T87,ACIAR!T93,ACIAR!T99,ACIAR!T106,ACIAR!T112,ACIAR!T125,ACIAR!T131,ACIAR!T137,ACIAR!T143,ACIAR!T149,ACIAR!T159,ACIAR!T189)</f>
        <v>132714.89000000001</v>
      </c>
      <c r="H16" s="621">
        <v>47539</v>
      </c>
      <c r="I16" s="2405">
        <f>SUM(CARITAS!S43,CARITAS!S44,CARITAS!S53,CARITAS!S61,CARITAS!S73,CARITAS!S75,CARITAS!S77,CARITAS!S111,CARITAS!S112)</f>
        <v>42137.919999999998</v>
      </c>
      <c r="J16" s="621">
        <v>36230</v>
      </c>
      <c r="K16" s="2409">
        <f>SUM(SFCG!T20,SFCG!T116,SFCG!T117)</f>
        <v>47032.17</v>
      </c>
      <c r="L16" s="621">
        <v>41504</v>
      </c>
      <c r="M16" s="2409">
        <f>SUM('MERCY COPRS'!H14,'MERCY COPRS'!H24,'MERCY COPRS'!H39,'MERCY COPRS'!H49,'MERCY COPRS'!H60,'MERCY COPRS'!H142,'MERCY COPRS'!H143,'MERCY COPRS'!H144)</f>
        <v>73772.149999999994</v>
      </c>
      <c r="N16" s="621">
        <v>76685.960000000006</v>
      </c>
      <c r="O16" s="2405">
        <f>SUM(COOPI!S65,COOPI!S103)</f>
        <v>71308.113366984238</v>
      </c>
      <c r="P16" s="622">
        <f t="shared" si="0"/>
        <v>455441.96</v>
      </c>
      <c r="Q16" s="2416">
        <f t="shared" si="1"/>
        <v>533496.85336698429</v>
      </c>
      <c r="R16" s="624">
        <f t="shared" si="2"/>
        <v>1.1713827451624885</v>
      </c>
    </row>
    <row r="17" spans="1:21" ht="25" customHeight="1" x14ac:dyDescent="0.25">
      <c r="A17" s="427" t="s">
        <v>1151</v>
      </c>
      <c r="B17" s="618">
        <v>293300</v>
      </c>
      <c r="C17" s="2404">
        <f>UNHABITAT!V20+UNHABITAT!V21+UNHABITAT!V33+UNHABITAT!V34+UNHABITAT!V17+UNHABITAT!V36+UNHABITAT!V41+UNHABITAT!V14</f>
        <v>342931.52</v>
      </c>
      <c r="D17" s="620"/>
      <c r="E17" s="619">
        <v>0</v>
      </c>
      <c r="F17" s="617">
        <v>162600</v>
      </c>
      <c r="G17" s="619">
        <f>SUM(ACIAR!T15,ACIAR!T21,ACIAR!T27,ACIAR!T33,ACIAR!T40,ACIAR!T46,ACIAR!T52,ACIAR!T59,ACIAR!T75,ACIAR!T82,ACIAR!T88,ACIAR!T94,ACIAR!T100,ACIAR!T107,ACIAR!T113,ACIAR!T126,ACIAR!T132,ACIAR!T138,ACIAR!T144,ACIAR!T150,ACIAR!T160)</f>
        <v>222122.38</v>
      </c>
      <c r="H17" s="621">
        <v>273750</v>
      </c>
      <c r="I17" s="2405">
        <f>SUM(CARITAS!S45,CARITAS!S42,CARITAS!S46,CARITAS!S48,CARITAS!S49,CARITAS!S54,CARITAS!S58,CARITAS!S66,CARITAS!S76)</f>
        <v>273749</v>
      </c>
      <c r="J17" s="621">
        <v>258355</v>
      </c>
      <c r="K17" s="2409">
        <f>SUM(SFCG!T16,SFCG!T18,SFCG!T19,SFCG!T29,SFCG!T34,SFCG!T36,SFCG!T37,SFCG!T38,SFCG!T39,SFCG!T41,SFCG!T44,SFCG!T45,SFCG!T50)</f>
        <v>228890.71999999997</v>
      </c>
      <c r="L17" s="621">
        <v>0</v>
      </c>
      <c r="M17" s="2409">
        <v>0</v>
      </c>
      <c r="N17" s="621">
        <v>136575</v>
      </c>
      <c r="O17" s="2405">
        <f>SUM(COOPI!S17,COOPI!S18,COOPI!S19,COOPI!S23,COOPI!S26,COOPI!S29,COOPI!S33,COOPI!S34,COOPI!S35,COOPI!S36,COOPI!S44,COOPI!S53,COOPI!S62)</f>
        <v>134717.35277999999</v>
      </c>
      <c r="P17" s="622">
        <f t="shared" si="0"/>
        <v>1124580</v>
      </c>
      <c r="Q17" s="2416">
        <f t="shared" si="1"/>
        <v>1202410.9727800002</v>
      </c>
      <c r="R17" s="624">
        <f t="shared" si="2"/>
        <v>1.0692089249141903</v>
      </c>
    </row>
    <row r="18" spans="1:21" ht="25" customHeight="1" x14ac:dyDescent="0.25">
      <c r="A18" s="427" t="s">
        <v>1152</v>
      </c>
      <c r="B18" s="618">
        <v>65920.800000000003</v>
      </c>
      <c r="C18" s="619">
        <f>UNHABITAT!V84+UNHABITAT!V54+UNHABITAT!V53+UNHABITAT!V85</f>
        <v>59297.329999999994</v>
      </c>
      <c r="D18" s="620">
        <v>64000</v>
      </c>
      <c r="E18" s="619">
        <f>SUM(OIM!T171:T177)</f>
        <v>61546.78</v>
      </c>
      <c r="F18" s="617">
        <v>45366.1</v>
      </c>
      <c r="G18" s="619">
        <f>SUM(ACIAR!T16,ACIAR!T22,ACIAR!T28,ACIAR!T34,ACIAR!T41,ACIAR!T47,ACIAR!T53,ACIAR!T60,ACIAR!T65,ACIAR!T70,ACIAR!T76,ACIAR!T83,ACIAR!T89,ACIAR!T95,ACIAR!T101,ACIAR!T108,ACIAR!T114,ACIAR!T127,ACIAR!T133,ACIAR!T139,ACIAR!T145,ACIAR!T151,ACIAR!T161,ACIAR!T196)</f>
        <v>53983.49</v>
      </c>
      <c r="H18" s="621">
        <v>54568.85</v>
      </c>
      <c r="I18" s="2405">
        <f>SUM(CARITAS!S124)</f>
        <v>51541.33</v>
      </c>
      <c r="J18" s="621">
        <v>75876</v>
      </c>
      <c r="K18" s="2409">
        <f>SUM(SFCG!T131)</f>
        <v>74551.289999999994</v>
      </c>
      <c r="L18" s="621">
        <v>131737</v>
      </c>
      <c r="M18" s="2409">
        <f>SUM('MERCY COPRS'!H154:H157,'MERCY COPRS'!H158:H169)</f>
        <v>101681.35000000005</v>
      </c>
      <c r="N18" s="621">
        <v>57760</v>
      </c>
      <c r="O18" s="2405">
        <f>COOPI!S110</f>
        <v>54316.567127533694</v>
      </c>
      <c r="P18" s="622">
        <f t="shared" si="0"/>
        <v>495228.75</v>
      </c>
      <c r="Q18" s="2416">
        <f t="shared" si="1"/>
        <v>456918.13712753367</v>
      </c>
      <c r="R18" s="624">
        <f t="shared" si="2"/>
        <v>0.92264057191254278</v>
      </c>
    </row>
    <row r="19" spans="1:21" ht="26" x14ac:dyDescent="0.25">
      <c r="A19" s="626" t="s">
        <v>1153</v>
      </c>
      <c r="B19" s="628">
        <f>SUM(B12:B18)</f>
        <v>1398130.96</v>
      </c>
      <c r="C19" s="628">
        <f>SUM(C12:C18)</f>
        <v>1398130.85</v>
      </c>
      <c r="D19" s="629">
        <f>SUM(D12:D18)</f>
        <v>726168.5</v>
      </c>
      <c r="E19" s="628">
        <f>SUM(E12:E18)</f>
        <v>703222.50000000012</v>
      </c>
      <c r="F19" s="627">
        <f>+F12+F13+F14+F15+F16+F17+F18</f>
        <v>1042056.1</v>
      </c>
      <c r="G19" s="627">
        <f>+G12+G13+G14+G15+G16+G17+G18</f>
        <v>1042056</v>
      </c>
      <c r="H19" s="628">
        <f>SUM(H12:H18)</f>
        <v>714953.45</v>
      </c>
      <c r="I19" s="628">
        <f t="shared" ref="I19:O19" si="3">SUM(I12:I18)</f>
        <v>708158.36</v>
      </c>
      <c r="J19" s="628">
        <f t="shared" si="3"/>
        <v>693222.1</v>
      </c>
      <c r="K19" s="628">
        <f t="shared" si="3"/>
        <v>643098.48</v>
      </c>
      <c r="L19" s="628">
        <f t="shared" si="3"/>
        <v>1119158.69</v>
      </c>
      <c r="M19" s="628">
        <f t="shared" si="3"/>
        <v>914499.04000000027</v>
      </c>
      <c r="N19" s="628">
        <f t="shared" si="3"/>
        <v>541214.96</v>
      </c>
      <c r="O19" s="628">
        <f t="shared" si="3"/>
        <v>541216.65942558076</v>
      </c>
      <c r="P19" s="630">
        <f>SUM(P12:P18)</f>
        <v>6234904.7599999998</v>
      </c>
      <c r="Q19" s="630">
        <f t="shared" ref="Q19" si="4">SUM(Q12:Q18)</f>
        <v>5950381.8894255813</v>
      </c>
      <c r="R19" s="2417">
        <f t="shared" si="2"/>
        <v>0.95436612401848164</v>
      </c>
    </row>
    <row r="20" spans="1:21" ht="15" customHeight="1" x14ac:dyDescent="0.25">
      <c r="A20" s="632" t="s">
        <v>1154</v>
      </c>
      <c r="B20" s="634">
        <f>B19*0.07</f>
        <v>97869.167200000011</v>
      </c>
      <c r="C20" s="634">
        <f>C19*0.07</f>
        <v>97869.159500000009</v>
      </c>
      <c r="D20" s="14">
        <f>D19*0.07</f>
        <v>50831.795000000006</v>
      </c>
      <c r="E20" s="634">
        <f>E19*0.07</f>
        <v>49225.575000000012</v>
      </c>
      <c r="F20" s="634">
        <f t="shared" ref="F20:H20" si="5">F19*0.07</f>
        <v>72943.927000000011</v>
      </c>
      <c r="G20" s="634">
        <f t="shared" si="5"/>
        <v>72943.920000000013</v>
      </c>
      <c r="H20" s="634">
        <f t="shared" si="5"/>
        <v>50046.741500000004</v>
      </c>
      <c r="I20" s="634">
        <f>CARITAS!S128</f>
        <v>51126.939999999995</v>
      </c>
      <c r="J20" s="634">
        <f t="shared" ref="J20" si="6">J19*0.07</f>
        <v>48525.547000000006</v>
      </c>
      <c r="K20" s="634">
        <f t="shared" ref="K20" si="7">K19*0.07</f>
        <v>45016.893600000003</v>
      </c>
      <c r="L20" s="634">
        <f t="shared" ref="L20" si="8">L19*0.07</f>
        <v>78341.108300000007</v>
      </c>
      <c r="M20" s="634">
        <f t="shared" ref="M20" si="9">M19*0.07</f>
        <v>64014.932800000024</v>
      </c>
      <c r="N20" s="634">
        <f t="shared" ref="N20" si="10">N19*0.07</f>
        <v>37885.047200000001</v>
      </c>
      <c r="O20" s="634">
        <f t="shared" ref="O20" si="11">O19*0.07</f>
        <v>37885.166159790657</v>
      </c>
      <c r="P20" s="2596">
        <f>P19*0.07</f>
        <v>436443.33320000005</v>
      </c>
      <c r="Q20" s="2596">
        <f>Q19*0.07</f>
        <v>416526.7322597907</v>
      </c>
      <c r="R20" s="635">
        <f t="shared" si="2"/>
        <v>0.95436612401848153</v>
      </c>
    </row>
    <row r="21" spans="1:21" ht="16.5" customHeight="1" x14ac:dyDescent="0.25">
      <c r="A21" s="469" t="s">
        <v>2</v>
      </c>
      <c r="B21" s="17">
        <f t="shared" ref="B21:G21" si="12">B19+B20</f>
        <v>1496000.1272</v>
      </c>
      <c r="C21" s="637">
        <f t="shared" si="12"/>
        <v>1496000.0095000002</v>
      </c>
      <c r="D21" s="16">
        <f>D19+D20</f>
        <v>777000.29500000004</v>
      </c>
      <c r="E21" s="638">
        <f>E19+E20</f>
        <v>752448.07500000019</v>
      </c>
      <c r="F21" s="636">
        <f>F19+F20</f>
        <v>1115000.027</v>
      </c>
      <c r="G21" s="638">
        <f t="shared" si="12"/>
        <v>1114999.92</v>
      </c>
      <c r="H21" s="17">
        <f>H19+H20</f>
        <v>765000.19149999996</v>
      </c>
      <c r="I21" s="17">
        <f t="shared" ref="I21:O21" si="13">I19+I20</f>
        <v>759285.29999999993</v>
      </c>
      <c r="J21" s="17">
        <f t="shared" si="13"/>
        <v>741747.647</v>
      </c>
      <c r="K21" s="2410">
        <f t="shared" si="13"/>
        <v>688115.37359999993</v>
      </c>
      <c r="L21" s="17">
        <f t="shared" si="13"/>
        <v>1197499.7982999999</v>
      </c>
      <c r="M21" s="2410">
        <f t="shared" si="13"/>
        <v>978513.97280000034</v>
      </c>
      <c r="N21" s="17">
        <f t="shared" si="13"/>
        <v>579100.00719999999</v>
      </c>
      <c r="O21" s="17">
        <f t="shared" si="13"/>
        <v>579101.82558537147</v>
      </c>
      <c r="P21" s="2597">
        <f>SUM(P19:P20)</f>
        <v>6671348.0932</v>
      </c>
      <c r="Q21" s="2597">
        <f>SUM(Q19:Q20)</f>
        <v>6366908.6216853717</v>
      </c>
      <c r="R21" s="641">
        <f t="shared" si="2"/>
        <v>0.95436612401848153</v>
      </c>
    </row>
    <row r="22" spans="1:21" ht="13" x14ac:dyDescent="0.3">
      <c r="A22" s="1"/>
      <c r="B22" s="1"/>
      <c r="C22" s="447"/>
      <c r="D22" s="1"/>
      <c r="E22" s="642"/>
      <c r="F22" s="301"/>
      <c r="G22" s="301"/>
      <c r="H22" s="447"/>
      <c r="I22" s="447"/>
      <c r="J22" s="1"/>
      <c r="K22" s="447"/>
      <c r="L22" s="552"/>
      <c r="M22" s="447"/>
      <c r="N22" s="644"/>
      <c r="O22" s="644"/>
      <c r="P22" s="1"/>
      <c r="Q22" s="301"/>
      <c r="R22" s="1"/>
      <c r="S22" s="642"/>
      <c r="T22" s="1"/>
      <c r="U22" s="1"/>
    </row>
    <row r="23" spans="1:21" ht="13" x14ac:dyDescent="0.3">
      <c r="A23" s="1"/>
      <c r="B23" s="1"/>
      <c r="C23" s="447"/>
      <c r="D23" s="1"/>
      <c r="E23" s="642"/>
      <c r="F23" s="301"/>
      <c r="G23" s="301"/>
      <c r="H23" s="447"/>
      <c r="I23" s="447"/>
      <c r="J23" s="1"/>
      <c r="K23" s="447"/>
      <c r="L23" s="552"/>
      <c r="M23" s="447"/>
      <c r="N23" s="644"/>
      <c r="O23" s="644"/>
      <c r="P23" s="1"/>
      <c r="Q23" s="301"/>
      <c r="R23" s="1"/>
      <c r="S23" s="642"/>
      <c r="T23" s="1"/>
      <c r="U23" s="1"/>
    </row>
    <row r="24" spans="1:21" ht="13" x14ac:dyDescent="0.3">
      <c r="A24" s="1"/>
      <c r="B24" s="1"/>
      <c r="C24" s="447"/>
      <c r="D24" s="1"/>
      <c r="E24" s="642"/>
      <c r="F24" s="301"/>
      <c r="G24" s="301"/>
      <c r="H24" s="447"/>
      <c r="I24" s="447"/>
      <c r="J24" s="1"/>
      <c r="K24" s="447"/>
      <c r="L24" s="552"/>
      <c r="M24" s="447"/>
      <c r="N24" s="644"/>
      <c r="O24" s="644"/>
      <c r="P24" s="1"/>
      <c r="Q24" s="301"/>
      <c r="R24" s="1"/>
      <c r="S24" s="642"/>
      <c r="T24" s="1"/>
      <c r="U24" s="1"/>
    </row>
    <row r="25" spans="1:21" ht="13" x14ac:dyDescent="0.25">
      <c r="A25" s="3153" t="s">
        <v>65</v>
      </c>
      <c r="B25" s="3153"/>
      <c r="C25" s="3153"/>
      <c r="D25" s="3153"/>
      <c r="E25" s="3153"/>
      <c r="F25" s="3153"/>
      <c r="G25" s="3153"/>
      <c r="H25" s="3153"/>
      <c r="I25" s="3153"/>
      <c r="J25" s="3153"/>
      <c r="K25" s="3153"/>
      <c r="L25" s="3153"/>
      <c r="M25" s="3153"/>
      <c r="N25" s="3153"/>
      <c r="O25" s="3153"/>
      <c r="P25" s="3153"/>
      <c r="Q25" s="3153"/>
      <c r="R25" s="3153"/>
      <c r="S25" s="3153"/>
      <c r="T25" s="3153"/>
      <c r="U25" s="3153"/>
    </row>
    <row r="26" spans="1:21" ht="13" x14ac:dyDescent="0.3">
      <c r="A26" s="3356" t="s">
        <v>1155</v>
      </c>
      <c r="B26" s="3066"/>
      <c r="C26" s="3066"/>
      <c r="D26" s="3066"/>
      <c r="E26" s="3066"/>
      <c r="F26" s="3066"/>
      <c r="G26" s="3066"/>
      <c r="H26" s="3066"/>
      <c r="I26" s="3066"/>
      <c r="J26" s="3066"/>
      <c r="K26" s="3066"/>
      <c r="L26" s="3066"/>
      <c r="M26" s="3066"/>
      <c r="N26" s="3066"/>
      <c r="O26" s="3066"/>
      <c r="P26" s="3066"/>
      <c r="Q26" s="2398"/>
      <c r="R26" s="2398"/>
      <c r="S26" s="2398"/>
      <c r="T26" s="2398"/>
      <c r="U26" s="1"/>
    </row>
    <row r="27" spans="1:21" x14ac:dyDescent="0.25">
      <c r="A27" s="645"/>
      <c r="B27" s="646"/>
      <c r="C27" s="646"/>
      <c r="D27" s="646"/>
      <c r="E27" s="646"/>
      <c r="F27" s="647"/>
      <c r="G27" s="645"/>
      <c r="H27" s="648"/>
      <c r="I27" s="648"/>
      <c r="J27" s="645"/>
      <c r="K27" s="647"/>
      <c r="L27" s="645"/>
      <c r="M27" s="647"/>
      <c r="N27" s="645"/>
      <c r="O27" s="645"/>
      <c r="P27" s="302"/>
      <c r="Q27" s="302"/>
      <c r="R27" s="302"/>
      <c r="S27" s="649"/>
      <c r="T27" s="302"/>
      <c r="U27" s="302"/>
    </row>
    <row r="28" spans="1:21" x14ac:dyDescent="0.25">
      <c r="A28" s="645"/>
      <c r="B28" s="650"/>
      <c r="C28" s="650"/>
      <c r="D28" s="650"/>
      <c r="E28" s="650"/>
      <c r="F28" s="645"/>
      <c r="G28" s="648"/>
      <c r="H28" s="645"/>
      <c r="I28" s="645"/>
      <c r="J28" s="645"/>
      <c r="K28" s="647"/>
      <c r="L28" s="645"/>
      <c r="M28" s="647"/>
      <c r="N28" s="645"/>
      <c r="O28" s="645"/>
      <c r="P28" s="651"/>
      <c r="Q28" s="651"/>
      <c r="R28" s="651"/>
      <c r="S28" s="302"/>
      <c r="T28" s="302"/>
      <c r="U28" s="302"/>
    </row>
    <row r="29" spans="1:21" ht="13" x14ac:dyDescent="0.3">
      <c r="A29" s="652"/>
      <c r="B29" s="653"/>
      <c r="C29" s="653"/>
      <c r="D29" s="653"/>
      <c r="E29" s="653"/>
      <c r="F29" s="645"/>
      <c r="G29" s="645"/>
      <c r="H29" s="648"/>
      <c r="I29" s="648"/>
      <c r="J29" s="645"/>
      <c r="K29" s="647"/>
      <c r="L29" s="645"/>
      <c r="M29" s="647"/>
      <c r="N29" s="645"/>
      <c r="O29" s="645"/>
      <c r="P29" s="302"/>
      <c r="Q29" s="302"/>
      <c r="R29" s="302"/>
      <c r="S29" s="302"/>
      <c r="T29" s="302"/>
      <c r="U29" s="302"/>
    </row>
    <row r="30" spans="1:21" ht="13" x14ac:dyDescent="0.3">
      <c r="A30" s="9" t="s">
        <v>1132</v>
      </c>
      <c r="B30" s="10" t="s">
        <v>500</v>
      </c>
      <c r="C30" s="10" t="s">
        <v>927</v>
      </c>
      <c r="D30" s="10" t="s">
        <v>398</v>
      </c>
      <c r="E30" s="10" t="s">
        <v>1156</v>
      </c>
      <c r="F30" s="10" t="s">
        <v>955</v>
      </c>
      <c r="G30" s="10" t="s">
        <v>66</v>
      </c>
      <c r="H30" s="645"/>
      <c r="I30" s="645"/>
      <c r="J30" s="645"/>
      <c r="K30" s="647"/>
      <c r="L30" s="645"/>
      <c r="M30" s="647"/>
      <c r="N30" s="645"/>
      <c r="O30" s="645"/>
      <c r="P30" s="302"/>
      <c r="Q30" s="302"/>
      <c r="R30" s="302"/>
      <c r="S30" s="302"/>
      <c r="T30" s="302"/>
      <c r="U30" s="302"/>
    </row>
    <row r="31" spans="1:21" ht="18.75" customHeight="1" x14ac:dyDescent="0.25">
      <c r="A31" s="11" t="s">
        <v>67</v>
      </c>
      <c r="B31" s="12">
        <f>F19</f>
        <v>1042056.1</v>
      </c>
      <c r="C31" s="12">
        <f>H19</f>
        <v>714953.45</v>
      </c>
      <c r="D31" s="12">
        <f>J19</f>
        <v>693222.1</v>
      </c>
      <c r="E31" s="12">
        <f>L19</f>
        <v>1119158.69</v>
      </c>
      <c r="F31" s="12">
        <f>N19</f>
        <v>541214.96</v>
      </c>
      <c r="G31" s="654">
        <f>SUM(B31:F31)</f>
        <v>4110605.3</v>
      </c>
      <c r="H31" s="645"/>
      <c r="I31" s="645"/>
      <c r="J31" s="648"/>
      <c r="K31" s="647"/>
      <c r="L31" s="648"/>
      <c r="M31" s="647"/>
      <c r="N31" s="648"/>
      <c r="O31" s="648"/>
      <c r="P31" s="302"/>
      <c r="Q31" s="302"/>
      <c r="R31" s="302"/>
      <c r="S31" s="302"/>
      <c r="T31" s="302"/>
      <c r="U31" s="302"/>
    </row>
    <row r="32" spans="1:21" ht="18.75" customHeight="1" x14ac:dyDescent="0.25">
      <c r="A32" s="13" t="s">
        <v>68</v>
      </c>
      <c r="B32" s="14">
        <f>B31*0.07</f>
        <v>72943.927000000011</v>
      </c>
      <c r="C32" s="14">
        <f>C31*0.07</f>
        <v>50046.741500000004</v>
      </c>
      <c r="D32" s="14">
        <f>D31*0.07</f>
        <v>48525.547000000006</v>
      </c>
      <c r="E32" s="14">
        <f>E31*0.07</f>
        <v>78341.108300000007</v>
      </c>
      <c r="F32" s="14">
        <f>F31*0.07</f>
        <v>37885.047200000001</v>
      </c>
      <c r="G32" s="655">
        <f>SUM(B32:F32)</f>
        <v>287742.37100000004</v>
      </c>
      <c r="H32" s="645"/>
      <c r="I32" s="645"/>
      <c r="J32" s="645"/>
      <c r="K32" s="647"/>
      <c r="L32" s="645"/>
      <c r="M32" s="647"/>
      <c r="N32" s="645"/>
      <c r="O32" s="645"/>
      <c r="P32" s="302"/>
      <c r="Q32" s="302"/>
      <c r="R32" s="302"/>
      <c r="S32" s="302"/>
      <c r="T32" s="302"/>
      <c r="U32" s="302"/>
    </row>
    <row r="33" spans="1:22" ht="21.75" customHeight="1" x14ac:dyDescent="0.25">
      <c r="A33" s="15" t="s">
        <v>0</v>
      </c>
      <c r="B33" s="16">
        <f>B31+B32</f>
        <v>1115000.027</v>
      </c>
      <c r="C33" s="16">
        <f>SUM(C31:C32)</f>
        <v>765000.19149999996</v>
      </c>
      <c r="D33" s="16">
        <f>SUM(D31:D32)</f>
        <v>741747.647</v>
      </c>
      <c r="E33" s="16">
        <f>SUM(E31:E32)</f>
        <v>1197499.7982999999</v>
      </c>
      <c r="F33" s="16">
        <f>SUM(F31:F32)</f>
        <v>579100.00719999999</v>
      </c>
      <c r="G33" s="656">
        <f>SUM(G31:G32)</f>
        <v>4398347.6710000001</v>
      </c>
      <c r="H33" s="645"/>
      <c r="I33" s="645"/>
      <c r="J33" s="645"/>
      <c r="K33" s="647"/>
      <c r="L33" s="645"/>
      <c r="M33" s="647"/>
      <c r="N33" s="645"/>
      <c r="O33" s="645"/>
      <c r="P33" s="302"/>
      <c r="Q33" s="302"/>
      <c r="R33" s="302"/>
      <c r="S33" s="302"/>
      <c r="T33" s="302"/>
      <c r="U33" s="302"/>
    </row>
    <row r="34" spans="1:22" x14ac:dyDescent="0.25">
      <c r="G34" s="657"/>
      <c r="H34" s="303"/>
      <c r="I34" s="303"/>
    </row>
    <row r="35" spans="1:22" ht="13" x14ac:dyDescent="0.3">
      <c r="G35" s="658"/>
    </row>
    <row r="36" spans="1:22" ht="29" x14ac:dyDescent="0.35">
      <c r="A36" s="19" t="s">
        <v>74</v>
      </c>
      <c r="B36" s="20" t="s">
        <v>500</v>
      </c>
      <c r="C36" s="20" t="s">
        <v>75</v>
      </c>
      <c r="D36" s="20" t="s">
        <v>97</v>
      </c>
      <c r="E36" s="20" t="s">
        <v>75</v>
      </c>
      <c r="F36" s="20" t="s">
        <v>1157</v>
      </c>
      <c r="G36" s="20" t="s">
        <v>75</v>
      </c>
      <c r="H36" s="20" t="s">
        <v>1158</v>
      </c>
      <c r="I36" s="20"/>
      <c r="J36" s="20" t="s">
        <v>75</v>
      </c>
      <c r="K36" s="2411" t="s">
        <v>398</v>
      </c>
      <c r="L36" s="20" t="s">
        <v>75</v>
      </c>
      <c r="M36" s="2411" t="s">
        <v>194</v>
      </c>
      <c r="N36" s="20" t="s">
        <v>75</v>
      </c>
      <c r="O36" s="20"/>
      <c r="P36" s="20" t="s">
        <v>972</v>
      </c>
      <c r="Q36" s="659" t="s">
        <v>75</v>
      </c>
    </row>
    <row r="37" spans="1:22" ht="41.5" x14ac:dyDescent="0.35">
      <c r="A37" s="21" t="s">
        <v>554</v>
      </c>
      <c r="B37" s="22">
        <f>'[5]ACIAR_OS 1 &amp; 6'!Q249</f>
        <v>800424</v>
      </c>
      <c r="C37" s="23">
        <f>B37/B40</f>
        <v>0.7178690409125883</v>
      </c>
      <c r="D37" s="22">
        <f>'[5]OS 1&amp;2 UNH'!Q68</f>
        <v>1013392.04</v>
      </c>
      <c r="E37" s="23">
        <f>D37/D40</f>
        <v>0.67740104834957826</v>
      </c>
      <c r="F37" s="22">
        <f>'[5]OIM_OS 3&amp;4'!Q136</f>
        <v>506168.5</v>
      </c>
      <c r="G37" s="23">
        <f>F37/F40</f>
        <v>0.65143926361057558</v>
      </c>
      <c r="H37" s="22">
        <f>'[5]Caritas_OS 4'!Q83</f>
        <v>476484.6</v>
      </c>
      <c r="I37" s="22"/>
      <c r="J37" s="23">
        <f>H37/H40</f>
        <v>0.62285549550974817</v>
      </c>
      <c r="K37" s="2412">
        <f>+SFCG!P112</f>
        <v>10200</v>
      </c>
      <c r="L37" s="23">
        <f>K37/K40</f>
        <v>1</v>
      </c>
      <c r="M37" s="2412">
        <f>'[5]MERCY CORPS_OS 6'!Q70</f>
        <v>745034.79999999993</v>
      </c>
      <c r="N37" s="660">
        <f>M37/M40</f>
        <v>0.62215849047803806</v>
      </c>
      <c r="O37" s="660"/>
      <c r="P37" s="22">
        <f>[5]COOPI_OS7!Q64</f>
        <v>348187</v>
      </c>
      <c r="Q37" s="23">
        <f>P37/P40</f>
        <v>0.60125538882915075</v>
      </c>
      <c r="V37" s="657"/>
    </row>
    <row r="38" spans="1:22" ht="41.5" x14ac:dyDescent="0.35">
      <c r="A38" s="21" t="s">
        <v>555</v>
      </c>
      <c r="B38" s="24">
        <f>'[5]ACIAR_OS 1 &amp; 6'!Q285</f>
        <v>241632.1</v>
      </c>
      <c r="C38" s="23">
        <f>B38/B40</f>
        <v>0.2167103983397482</v>
      </c>
      <c r="D38" s="22">
        <f>'[5]OS 1&amp;2 UNH'!Q97</f>
        <v>384738.89999999997</v>
      </c>
      <c r="E38" s="23">
        <f>D38/D40</f>
        <v>0.25717839090275818</v>
      </c>
      <c r="F38" s="22">
        <f>'[5]OIM_OS 3&amp;4'!Q187</f>
        <v>220000</v>
      </c>
      <c r="G38" s="23">
        <f>F38/F40</f>
        <v>0.28314017564176086</v>
      </c>
      <c r="H38" s="22">
        <f>'[5]Caritas_OS 4'!Q126</f>
        <v>238468.89</v>
      </c>
      <c r="I38" s="22"/>
      <c r="J38" s="23">
        <f>H38/H40</f>
        <v>0.31172394374258822</v>
      </c>
      <c r="K38" s="2412">
        <f>+SFCG!P158</f>
        <v>0</v>
      </c>
      <c r="L38" s="23">
        <f>K38/K40</f>
        <v>0</v>
      </c>
      <c r="M38" s="2412">
        <f>'[5]MERCY CORPS_OS 6'!Q172</f>
        <v>374124.09</v>
      </c>
      <c r="N38" s="660">
        <f>M38/M40</f>
        <v>0.31242094877429849</v>
      </c>
      <c r="O38" s="660"/>
      <c r="P38" s="22">
        <f>[5]COOPI_OS7!Q106</f>
        <v>193027.96000000002</v>
      </c>
      <c r="Q38" s="23">
        <f>P38/P40</f>
        <v>0.33332405042318575</v>
      </c>
      <c r="V38" s="657"/>
    </row>
    <row r="39" spans="1:22" ht="14.5" x14ac:dyDescent="0.35">
      <c r="A39" s="21" t="s">
        <v>556</v>
      </c>
      <c r="B39" s="24">
        <f>'[5]ACIAR_OS 1 &amp; 6'!Q289</f>
        <v>72943.927000000011</v>
      </c>
      <c r="C39" s="23">
        <f>B39/B40</f>
        <v>6.5420560747663559E-2</v>
      </c>
      <c r="D39" s="22">
        <f>'[5]OS 1&amp;2 UNH'!Q101</f>
        <v>97869.165800000002</v>
      </c>
      <c r="E39" s="23">
        <f>D39/D40</f>
        <v>6.5420560747663559E-2</v>
      </c>
      <c r="F39" s="22">
        <f>'[5]OIM_OS 3&amp;4'!Q191</f>
        <v>50831.795000000006</v>
      </c>
      <c r="G39" s="23">
        <f>F39/F40</f>
        <v>6.5420560747663559E-2</v>
      </c>
      <c r="H39" s="22">
        <f>'[5]Caritas_OS 4'!Q129</f>
        <v>50046.744300000006</v>
      </c>
      <c r="I39" s="22"/>
      <c r="J39" s="23">
        <f>H39/H40</f>
        <v>6.5420560747663559E-2</v>
      </c>
      <c r="K39" s="2412">
        <f>+SFCG!P161</f>
        <v>0</v>
      </c>
      <c r="L39" s="23">
        <f>K39/K40</f>
        <v>0</v>
      </c>
      <c r="M39" s="2412">
        <f>'[5]MERCY CORPS_OS 6'!Q176</f>
        <v>78341.122300000003</v>
      </c>
      <c r="N39" s="23">
        <f>M39/M40</f>
        <v>6.5420560747663559E-2</v>
      </c>
      <c r="O39" s="23"/>
      <c r="P39" s="22">
        <f>[5]COOPI_OS7!Q110</f>
        <v>37885.047200000001</v>
      </c>
      <c r="Q39" s="23">
        <f>P39/P40</f>
        <v>6.5420560747663559E-2</v>
      </c>
      <c r="V39" s="661"/>
    </row>
    <row r="40" spans="1:22" ht="14.5" x14ac:dyDescent="0.35">
      <c r="A40" s="25" t="s">
        <v>31</v>
      </c>
      <c r="B40" s="26">
        <f>SUM(B37:B39)</f>
        <v>1115000.027</v>
      </c>
      <c r="C40" s="27">
        <f>C37+C38+C39</f>
        <v>1</v>
      </c>
      <c r="D40" s="26">
        <f>SUM(D37:D39)</f>
        <v>1496000.1058</v>
      </c>
      <c r="E40" s="662">
        <f>E37+E38+E39</f>
        <v>1</v>
      </c>
      <c r="F40" s="663">
        <f t="shared" ref="F40:Q40" si="14">SUM(F37:F39)</f>
        <v>777000.29500000004</v>
      </c>
      <c r="G40" s="662">
        <f t="shared" si="14"/>
        <v>1</v>
      </c>
      <c r="H40" s="664">
        <f t="shared" si="14"/>
        <v>765000.23430000001</v>
      </c>
      <c r="I40" s="664"/>
      <c r="J40" s="662">
        <f t="shared" si="14"/>
        <v>0.99999999999999989</v>
      </c>
      <c r="K40" s="2413">
        <f t="shared" si="14"/>
        <v>10200</v>
      </c>
      <c r="L40" s="665">
        <f t="shared" si="14"/>
        <v>1</v>
      </c>
      <c r="M40" s="2413">
        <f t="shared" si="14"/>
        <v>1197500.0122999998</v>
      </c>
      <c r="N40" s="662">
        <f t="shared" si="14"/>
        <v>1</v>
      </c>
      <c r="O40" s="662"/>
      <c r="P40" s="664">
        <f t="shared" si="14"/>
        <v>579100.00719999999</v>
      </c>
      <c r="Q40" s="27">
        <f t="shared" si="14"/>
        <v>1</v>
      </c>
      <c r="R40" s="657"/>
    </row>
    <row r="41" spans="1:22" x14ac:dyDescent="0.25">
      <c r="R41" s="657"/>
    </row>
    <row r="42" spans="1:22" x14ac:dyDescent="0.25">
      <c r="R42" s="657"/>
    </row>
  </sheetData>
  <mergeCells count="2">
    <mergeCell ref="A25:U25"/>
    <mergeCell ref="A26:P26"/>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3"/>
  <sheetViews>
    <sheetView topLeftCell="G9" workbookViewId="0">
      <selection activeCell="H18" sqref="H18"/>
    </sheetView>
  </sheetViews>
  <sheetFormatPr baseColWidth="10" defaultColWidth="9.1796875" defaultRowHeight="12.5" x14ac:dyDescent="0.25"/>
  <cols>
    <col min="1" max="1" width="36.81640625" customWidth="1"/>
    <col min="2" max="2" width="14" customWidth="1"/>
    <col min="3" max="3" width="12.81640625" customWidth="1"/>
    <col min="4" max="4" width="13.26953125" customWidth="1"/>
    <col min="5" max="5" width="13.6328125" customWidth="1"/>
    <col min="6" max="6" width="15.26953125" customWidth="1"/>
    <col min="7" max="7" width="13.453125" customWidth="1"/>
    <col min="8" max="9" width="12.1796875" customWidth="1"/>
    <col min="10" max="10" width="13.7265625" customWidth="1"/>
    <col min="11" max="12" width="12.7265625" customWidth="1"/>
    <col min="13" max="13" width="15.453125" customWidth="1"/>
    <col min="14" max="14" width="12.7265625" customWidth="1"/>
    <col min="15" max="16" width="12.26953125" customWidth="1"/>
    <col min="17" max="17" width="14.7265625" customWidth="1"/>
    <col min="18" max="18" width="11.26953125" customWidth="1"/>
    <col min="19" max="19" width="10.81640625" customWidth="1"/>
    <col min="258" max="258" width="36.81640625" customWidth="1"/>
    <col min="259" max="259" width="16.81640625" customWidth="1"/>
    <col min="260" max="260" width="12.81640625" customWidth="1"/>
    <col min="261" max="261" width="13.26953125" customWidth="1"/>
    <col min="262" max="262" width="15.1796875" customWidth="1"/>
    <col min="263" max="263" width="15.26953125" customWidth="1"/>
    <col min="264" max="264" width="13.453125" customWidth="1"/>
    <col min="265" max="265" width="12.1796875" customWidth="1"/>
    <col min="266" max="266" width="17" customWidth="1"/>
    <col min="267" max="268" width="12.7265625" customWidth="1"/>
    <col min="269" max="269" width="15.453125" customWidth="1"/>
    <col min="270" max="270" width="12.7265625" customWidth="1"/>
    <col min="271" max="272" width="12.26953125" customWidth="1"/>
    <col min="273" max="273" width="14.7265625" customWidth="1"/>
    <col min="274" max="274" width="11.26953125" customWidth="1"/>
    <col min="275" max="275" width="10.81640625" customWidth="1"/>
    <col min="514" max="514" width="36.81640625" customWidth="1"/>
    <col min="515" max="515" width="16.81640625" customWidth="1"/>
    <col min="516" max="516" width="12.81640625" customWidth="1"/>
    <col min="517" max="517" width="13.26953125" customWidth="1"/>
    <col min="518" max="518" width="15.1796875" customWidth="1"/>
    <col min="519" max="519" width="15.26953125" customWidth="1"/>
    <col min="520" max="520" width="13.453125" customWidth="1"/>
    <col min="521" max="521" width="12.1796875" customWidth="1"/>
    <col min="522" max="522" width="17" customWidth="1"/>
    <col min="523" max="524" width="12.7265625" customWidth="1"/>
    <col min="525" max="525" width="15.453125" customWidth="1"/>
    <col min="526" max="526" width="12.7265625" customWidth="1"/>
    <col min="527" max="528" width="12.26953125" customWidth="1"/>
    <col min="529" max="529" width="14.7265625" customWidth="1"/>
    <col min="530" max="530" width="11.26953125" customWidth="1"/>
    <col min="531" max="531" width="10.81640625" customWidth="1"/>
    <col min="770" max="770" width="36.81640625" customWidth="1"/>
    <col min="771" max="771" width="16.81640625" customWidth="1"/>
    <col min="772" max="772" width="12.81640625" customWidth="1"/>
    <col min="773" max="773" width="13.26953125" customWidth="1"/>
    <col min="774" max="774" width="15.1796875" customWidth="1"/>
    <col min="775" max="775" width="15.26953125" customWidth="1"/>
    <col min="776" max="776" width="13.453125" customWidth="1"/>
    <col min="777" max="777" width="12.1796875" customWidth="1"/>
    <col min="778" max="778" width="17" customWidth="1"/>
    <col min="779" max="780" width="12.7265625" customWidth="1"/>
    <col min="781" max="781" width="15.453125" customWidth="1"/>
    <col min="782" max="782" width="12.7265625" customWidth="1"/>
    <col min="783" max="784" width="12.26953125" customWidth="1"/>
    <col min="785" max="785" width="14.7265625" customWidth="1"/>
    <col min="786" max="786" width="11.26953125" customWidth="1"/>
    <col min="787" max="787" width="10.81640625" customWidth="1"/>
    <col min="1026" max="1026" width="36.81640625" customWidth="1"/>
    <col min="1027" max="1027" width="16.81640625" customWidth="1"/>
    <col min="1028" max="1028" width="12.81640625" customWidth="1"/>
    <col min="1029" max="1029" width="13.26953125" customWidth="1"/>
    <col min="1030" max="1030" width="15.1796875" customWidth="1"/>
    <col min="1031" max="1031" width="15.26953125" customWidth="1"/>
    <col min="1032" max="1032" width="13.453125" customWidth="1"/>
    <col min="1033" max="1033" width="12.1796875" customWidth="1"/>
    <col min="1034" max="1034" width="17" customWidth="1"/>
    <col min="1035" max="1036" width="12.7265625" customWidth="1"/>
    <col min="1037" max="1037" width="15.453125" customWidth="1"/>
    <col min="1038" max="1038" width="12.7265625" customWidth="1"/>
    <col min="1039" max="1040" width="12.26953125" customWidth="1"/>
    <col min="1041" max="1041" width="14.7265625" customWidth="1"/>
    <col min="1042" max="1042" width="11.26953125" customWidth="1"/>
    <col min="1043" max="1043" width="10.81640625" customWidth="1"/>
    <col min="1282" max="1282" width="36.81640625" customWidth="1"/>
    <col min="1283" max="1283" width="16.81640625" customWidth="1"/>
    <col min="1284" max="1284" width="12.81640625" customWidth="1"/>
    <col min="1285" max="1285" width="13.26953125" customWidth="1"/>
    <col min="1286" max="1286" width="15.1796875" customWidth="1"/>
    <col min="1287" max="1287" width="15.26953125" customWidth="1"/>
    <col min="1288" max="1288" width="13.453125" customWidth="1"/>
    <col min="1289" max="1289" width="12.1796875" customWidth="1"/>
    <col min="1290" max="1290" width="17" customWidth="1"/>
    <col min="1291" max="1292" width="12.7265625" customWidth="1"/>
    <col min="1293" max="1293" width="15.453125" customWidth="1"/>
    <col min="1294" max="1294" width="12.7265625" customWidth="1"/>
    <col min="1295" max="1296" width="12.26953125" customWidth="1"/>
    <col min="1297" max="1297" width="14.7265625" customWidth="1"/>
    <col min="1298" max="1298" width="11.26953125" customWidth="1"/>
    <col min="1299" max="1299" width="10.81640625" customWidth="1"/>
    <col min="1538" max="1538" width="36.81640625" customWidth="1"/>
    <col min="1539" max="1539" width="16.81640625" customWidth="1"/>
    <col min="1540" max="1540" width="12.81640625" customWidth="1"/>
    <col min="1541" max="1541" width="13.26953125" customWidth="1"/>
    <col min="1542" max="1542" width="15.1796875" customWidth="1"/>
    <col min="1543" max="1543" width="15.26953125" customWidth="1"/>
    <col min="1544" max="1544" width="13.453125" customWidth="1"/>
    <col min="1545" max="1545" width="12.1796875" customWidth="1"/>
    <col min="1546" max="1546" width="17" customWidth="1"/>
    <col min="1547" max="1548" width="12.7265625" customWidth="1"/>
    <col min="1549" max="1549" width="15.453125" customWidth="1"/>
    <col min="1550" max="1550" width="12.7265625" customWidth="1"/>
    <col min="1551" max="1552" width="12.26953125" customWidth="1"/>
    <col min="1553" max="1553" width="14.7265625" customWidth="1"/>
    <col min="1554" max="1554" width="11.26953125" customWidth="1"/>
    <col min="1555" max="1555" width="10.81640625" customWidth="1"/>
    <col min="1794" max="1794" width="36.81640625" customWidth="1"/>
    <col min="1795" max="1795" width="16.81640625" customWidth="1"/>
    <col min="1796" max="1796" width="12.81640625" customWidth="1"/>
    <col min="1797" max="1797" width="13.26953125" customWidth="1"/>
    <col min="1798" max="1798" width="15.1796875" customWidth="1"/>
    <col min="1799" max="1799" width="15.26953125" customWidth="1"/>
    <col min="1800" max="1800" width="13.453125" customWidth="1"/>
    <col min="1801" max="1801" width="12.1796875" customWidth="1"/>
    <col min="1802" max="1802" width="17" customWidth="1"/>
    <col min="1803" max="1804" width="12.7265625" customWidth="1"/>
    <col min="1805" max="1805" width="15.453125" customWidth="1"/>
    <col min="1806" max="1806" width="12.7265625" customWidth="1"/>
    <col min="1807" max="1808" width="12.26953125" customWidth="1"/>
    <col min="1809" max="1809" width="14.7265625" customWidth="1"/>
    <col min="1810" max="1810" width="11.26953125" customWidth="1"/>
    <col min="1811" max="1811" width="10.81640625" customWidth="1"/>
    <col min="2050" max="2050" width="36.81640625" customWidth="1"/>
    <col min="2051" max="2051" width="16.81640625" customWidth="1"/>
    <col min="2052" max="2052" width="12.81640625" customWidth="1"/>
    <col min="2053" max="2053" width="13.26953125" customWidth="1"/>
    <col min="2054" max="2054" width="15.1796875" customWidth="1"/>
    <col min="2055" max="2055" width="15.26953125" customWidth="1"/>
    <col min="2056" max="2056" width="13.453125" customWidth="1"/>
    <col min="2057" max="2057" width="12.1796875" customWidth="1"/>
    <col min="2058" max="2058" width="17" customWidth="1"/>
    <col min="2059" max="2060" width="12.7265625" customWidth="1"/>
    <col min="2061" max="2061" width="15.453125" customWidth="1"/>
    <col min="2062" max="2062" width="12.7265625" customWidth="1"/>
    <col min="2063" max="2064" width="12.26953125" customWidth="1"/>
    <col min="2065" max="2065" width="14.7265625" customWidth="1"/>
    <col min="2066" max="2066" width="11.26953125" customWidth="1"/>
    <col min="2067" max="2067" width="10.81640625" customWidth="1"/>
    <col min="2306" max="2306" width="36.81640625" customWidth="1"/>
    <col min="2307" max="2307" width="16.81640625" customWidth="1"/>
    <col min="2308" max="2308" width="12.81640625" customWidth="1"/>
    <col min="2309" max="2309" width="13.26953125" customWidth="1"/>
    <col min="2310" max="2310" width="15.1796875" customWidth="1"/>
    <col min="2311" max="2311" width="15.26953125" customWidth="1"/>
    <col min="2312" max="2312" width="13.453125" customWidth="1"/>
    <col min="2313" max="2313" width="12.1796875" customWidth="1"/>
    <col min="2314" max="2314" width="17" customWidth="1"/>
    <col min="2315" max="2316" width="12.7265625" customWidth="1"/>
    <col min="2317" max="2317" width="15.453125" customWidth="1"/>
    <col min="2318" max="2318" width="12.7265625" customWidth="1"/>
    <col min="2319" max="2320" width="12.26953125" customWidth="1"/>
    <col min="2321" max="2321" width="14.7265625" customWidth="1"/>
    <col min="2322" max="2322" width="11.26953125" customWidth="1"/>
    <col min="2323" max="2323" width="10.81640625" customWidth="1"/>
    <col min="2562" max="2562" width="36.81640625" customWidth="1"/>
    <col min="2563" max="2563" width="16.81640625" customWidth="1"/>
    <col min="2564" max="2564" width="12.81640625" customWidth="1"/>
    <col min="2565" max="2565" width="13.26953125" customWidth="1"/>
    <col min="2566" max="2566" width="15.1796875" customWidth="1"/>
    <col min="2567" max="2567" width="15.26953125" customWidth="1"/>
    <col min="2568" max="2568" width="13.453125" customWidth="1"/>
    <col min="2569" max="2569" width="12.1796875" customWidth="1"/>
    <col min="2570" max="2570" width="17" customWidth="1"/>
    <col min="2571" max="2572" width="12.7265625" customWidth="1"/>
    <col min="2573" max="2573" width="15.453125" customWidth="1"/>
    <col min="2574" max="2574" width="12.7265625" customWidth="1"/>
    <col min="2575" max="2576" width="12.26953125" customWidth="1"/>
    <col min="2577" max="2577" width="14.7265625" customWidth="1"/>
    <col min="2578" max="2578" width="11.26953125" customWidth="1"/>
    <col min="2579" max="2579" width="10.81640625" customWidth="1"/>
    <col min="2818" max="2818" width="36.81640625" customWidth="1"/>
    <col min="2819" max="2819" width="16.81640625" customWidth="1"/>
    <col min="2820" max="2820" width="12.81640625" customWidth="1"/>
    <col min="2821" max="2821" width="13.26953125" customWidth="1"/>
    <col min="2822" max="2822" width="15.1796875" customWidth="1"/>
    <col min="2823" max="2823" width="15.26953125" customWidth="1"/>
    <col min="2824" max="2824" width="13.453125" customWidth="1"/>
    <col min="2825" max="2825" width="12.1796875" customWidth="1"/>
    <col min="2826" max="2826" width="17" customWidth="1"/>
    <col min="2827" max="2828" width="12.7265625" customWidth="1"/>
    <col min="2829" max="2829" width="15.453125" customWidth="1"/>
    <col min="2830" max="2830" width="12.7265625" customWidth="1"/>
    <col min="2831" max="2832" width="12.26953125" customWidth="1"/>
    <col min="2833" max="2833" width="14.7265625" customWidth="1"/>
    <col min="2834" max="2834" width="11.26953125" customWidth="1"/>
    <col min="2835" max="2835" width="10.81640625" customWidth="1"/>
    <col min="3074" max="3074" width="36.81640625" customWidth="1"/>
    <col min="3075" max="3075" width="16.81640625" customWidth="1"/>
    <col min="3076" max="3076" width="12.81640625" customWidth="1"/>
    <col min="3077" max="3077" width="13.26953125" customWidth="1"/>
    <col min="3078" max="3078" width="15.1796875" customWidth="1"/>
    <col min="3079" max="3079" width="15.26953125" customWidth="1"/>
    <col min="3080" max="3080" width="13.453125" customWidth="1"/>
    <col min="3081" max="3081" width="12.1796875" customWidth="1"/>
    <col min="3082" max="3082" width="17" customWidth="1"/>
    <col min="3083" max="3084" width="12.7265625" customWidth="1"/>
    <col min="3085" max="3085" width="15.453125" customWidth="1"/>
    <col min="3086" max="3086" width="12.7265625" customWidth="1"/>
    <col min="3087" max="3088" width="12.26953125" customWidth="1"/>
    <col min="3089" max="3089" width="14.7265625" customWidth="1"/>
    <col min="3090" max="3090" width="11.26953125" customWidth="1"/>
    <col min="3091" max="3091" width="10.81640625" customWidth="1"/>
    <col min="3330" max="3330" width="36.81640625" customWidth="1"/>
    <col min="3331" max="3331" width="16.81640625" customWidth="1"/>
    <col min="3332" max="3332" width="12.81640625" customWidth="1"/>
    <col min="3333" max="3333" width="13.26953125" customWidth="1"/>
    <col min="3334" max="3334" width="15.1796875" customWidth="1"/>
    <col min="3335" max="3335" width="15.26953125" customWidth="1"/>
    <col min="3336" max="3336" width="13.453125" customWidth="1"/>
    <col min="3337" max="3337" width="12.1796875" customWidth="1"/>
    <col min="3338" max="3338" width="17" customWidth="1"/>
    <col min="3339" max="3340" width="12.7265625" customWidth="1"/>
    <col min="3341" max="3341" width="15.453125" customWidth="1"/>
    <col min="3342" max="3342" width="12.7265625" customWidth="1"/>
    <col min="3343" max="3344" width="12.26953125" customWidth="1"/>
    <col min="3345" max="3345" width="14.7265625" customWidth="1"/>
    <col min="3346" max="3346" width="11.26953125" customWidth="1"/>
    <col min="3347" max="3347" width="10.81640625" customWidth="1"/>
    <col min="3586" max="3586" width="36.81640625" customWidth="1"/>
    <col min="3587" max="3587" width="16.81640625" customWidth="1"/>
    <col min="3588" max="3588" width="12.81640625" customWidth="1"/>
    <col min="3589" max="3589" width="13.26953125" customWidth="1"/>
    <col min="3590" max="3590" width="15.1796875" customWidth="1"/>
    <col min="3591" max="3591" width="15.26953125" customWidth="1"/>
    <col min="3592" max="3592" width="13.453125" customWidth="1"/>
    <col min="3593" max="3593" width="12.1796875" customWidth="1"/>
    <col min="3594" max="3594" width="17" customWidth="1"/>
    <col min="3595" max="3596" width="12.7265625" customWidth="1"/>
    <col min="3597" max="3597" width="15.453125" customWidth="1"/>
    <col min="3598" max="3598" width="12.7265625" customWidth="1"/>
    <col min="3599" max="3600" width="12.26953125" customWidth="1"/>
    <col min="3601" max="3601" width="14.7265625" customWidth="1"/>
    <col min="3602" max="3602" width="11.26953125" customWidth="1"/>
    <col min="3603" max="3603" width="10.81640625" customWidth="1"/>
    <col min="3842" max="3842" width="36.81640625" customWidth="1"/>
    <col min="3843" max="3843" width="16.81640625" customWidth="1"/>
    <col min="3844" max="3844" width="12.81640625" customWidth="1"/>
    <col min="3845" max="3845" width="13.26953125" customWidth="1"/>
    <col min="3846" max="3846" width="15.1796875" customWidth="1"/>
    <col min="3847" max="3847" width="15.26953125" customWidth="1"/>
    <col min="3848" max="3848" width="13.453125" customWidth="1"/>
    <col min="3849" max="3849" width="12.1796875" customWidth="1"/>
    <col min="3850" max="3850" width="17" customWidth="1"/>
    <col min="3851" max="3852" width="12.7265625" customWidth="1"/>
    <col min="3853" max="3853" width="15.453125" customWidth="1"/>
    <col min="3854" max="3854" width="12.7265625" customWidth="1"/>
    <col min="3855" max="3856" width="12.26953125" customWidth="1"/>
    <col min="3857" max="3857" width="14.7265625" customWidth="1"/>
    <col min="3858" max="3858" width="11.26953125" customWidth="1"/>
    <col min="3859" max="3859" width="10.81640625" customWidth="1"/>
    <col min="4098" max="4098" width="36.81640625" customWidth="1"/>
    <col min="4099" max="4099" width="16.81640625" customWidth="1"/>
    <col min="4100" max="4100" width="12.81640625" customWidth="1"/>
    <col min="4101" max="4101" width="13.26953125" customWidth="1"/>
    <col min="4102" max="4102" width="15.1796875" customWidth="1"/>
    <col min="4103" max="4103" width="15.26953125" customWidth="1"/>
    <col min="4104" max="4104" width="13.453125" customWidth="1"/>
    <col min="4105" max="4105" width="12.1796875" customWidth="1"/>
    <col min="4106" max="4106" width="17" customWidth="1"/>
    <col min="4107" max="4108" width="12.7265625" customWidth="1"/>
    <col min="4109" max="4109" width="15.453125" customWidth="1"/>
    <col min="4110" max="4110" width="12.7265625" customWidth="1"/>
    <col min="4111" max="4112" width="12.26953125" customWidth="1"/>
    <col min="4113" max="4113" width="14.7265625" customWidth="1"/>
    <col min="4114" max="4114" width="11.26953125" customWidth="1"/>
    <col min="4115" max="4115" width="10.81640625" customWidth="1"/>
    <col min="4354" max="4354" width="36.81640625" customWidth="1"/>
    <col min="4355" max="4355" width="16.81640625" customWidth="1"/>
    <col min="4356" max="4356" width="12.81640625" customWidth="1"/>
    <col min="4357" max="4357" width="13.26953125" customWidth="1"/>
    <col min="4358" max="4358" width="15.1796875" customWidth="1"/>
    <col min="4359" max="4359" width="15.26953125" customWidth="1"/>
    <col min="4360" max="4360" width="13.453125" customWidth="1"/>
    <col min="4361" max="4361" width="12.1796875" customWidth="1"/>
    <col min="4362" max="4362" width="17" customWidth="1"/>
    <col min="4363" max="4364" width="12.7265625" customWidth="1"/>
    <col min="4365" max="4365" width="15.453125" customWidth="1"/>
    <col min="4366" max="4366" width="12.7265625" customWidth="1"/>
    <col min="4367" max="4368" width="12.26953125" customWidth="1"/>
    <col min="4369" max="4369" width="14.7265625" customWidth="1"/>
    <col min="4370" max="4370" width="11.26953125" customWidth="1"/>
    <col min="4371" max="4371" width="10.81640625" customWidth="1"/>
    <col min="4610" max="4610" width="36.81640625" customWidth="1"/>
    <col min="4611" max="4611" width="16.81640625" customWidth="1"/>
    <col min="4612" max="4612" width="12.81640625" customWidth="1"/>
    <col min="4613" max="4613" width="13.26953125" customWidth="1"/>
    <col min="4614" max="4614" width="15.1796875" customWidth="1"/>
    <col min="4615" max="4615" width="15.26953125" customWidth="1"/>
    <col min="4616" max="4616" width="13.453125" customWidth="1"/>
    <col min="4617" max="4617" width="12.1796875" customWidth="1"/>
    <col min="4618" max="4618" width="17" customWidth="1"/>
    <col min="4619" max="4620" width="12.7265625" customWidth="1"/>
    <col min="4621" max="4621" width="15.453125" customWidth="1"/>
    <col min="4622" max="4622" width="12.7265625" customWidth="1"/>
    <col min="4623" max="4624" width="12.26953125" customWidth="1"/>
    <col min="4625" max="4625" width="14.7265625" customWidth="1"/>
    <col min="4626" max="4626" width="11.26953125" customWidth="1"/>
    <col min="4627" max="4627" width="10.81640625" customWidth="1"/>
    <col min="4866" max="4866" width="36.81640625" customWidth="1"/>
    <col min="4867" max="4867" width="16.81640625" customWidth="1"/>
    <col min="4868" max="4868" width="12.81640625" customWidth="1"/>
    <col min="4869" max="4869" width="13.26953125" customWidth="1"/>
    <col min="4870" max="4870" width="15.1796875" customWidth="1"/>
    <col min="4871" max="4871" width="15.26953125" customWidth="1"/>
    <col min="4872" max="4872" width="13.453125" customWidth="1"/>
    <col min="4873" max="4873" width="12.1796875" customWidth="1"/>
    <col min="4874" max="4874" width="17" customWidth="1"/>
    <col min="4875" max="4876" width="12.7265625" customWidth="1"/>
    <col min="4877" max="4877" width="15.453125" customWidth="1"/>
    <col min="4878" max="4878" width="12.7265625" customWidth="1"/>
    <col min="4879" max="4880" width="12.26953125" customWidth="1"/>
    <col min="4881" max="4881" width="14.7265625" customWidth="1"/>
    <col min="4882" max="4882" width="11.26953125" customWidth="1"/>
    <col min="4883" max="4883" width="10.81640625" customWidth="1"/>
    <col min="5122" max="5122" width="36.81640625" customWidth="1"/>
    <col min="5123" max="5123" width="16.81640625" customWidth="1"/>
    <col min="5124" max="5124" width="12.81640625" customWidth="1"/>
    <col min="5125" max="5125" width="13.26953125" customWidth="1"/>
    <col min="5126" max="5126" width="15.1796875" customWidth="1"/>
    <col min="5127" max="5127" width="15.26953125" customWidth="1"/>
    <col min="5128" max="5128" width="13.453125" customWidth="1"/>
    <col min="5129" max="5129" width="12.1796875" customWidth="1"/>
    <col min="5130" max="5130" width="17" customWidth="1"/>
    <col min="5131" max="5132" width="12.7265625" customWidth="1"/>
    <col min="5133" max="5133" width="15.453125" customWidth="1"/>
    <col min="5134" max="5134" width="12.7265625" customWidth="1"/>
    <col min="5135" max="5136" width="12.26953125" customWidth="1"/>
    <col min="5137" max="5137" width="14.7265625" customWidth="1"/>
    <col min="5138" max="5138" width="11.26953125" customWidth="1"/>
    <col min="5139" max="5139" width="10.81640625" customWidth="1"/>
    <col min="5378" max="5378" width="36.81640625" customWidth="1"/>
    <col min="5379" max="5379" width="16.81640625" customWidth="1"/>
    <col min="5380" max="5380" width="12.81640625" customWidth="1"/>
    <col min="5381" max="5381" width="13.26953125" customWidth="1"/>
    <col min="5382" max="5382" width="15.1796875" customWidth="1"/>
    <col min="5383" max="5383" width="15.26953125" customWidth="1"/>
    <col min="5384" max="5384" width="13.453125" customWidth="1"/>
    <col min="5385" max="5385" width="12.1796875" customWidth="1"/>
    <col min="5386" max="5386" width="17" customWidth="1"/>
    <col min="5387" max="5388" width="12.7265625" customWidth="1"/>
    <col min="5389" max="5389" width="15.453125" customWidth="1"/>
    <col min="5390" max="5390" width="12.7265625" customWidth="1"/>
    <col min="5391" max="5392" width="12.26953125" customWidth="1"/>
    <col min="5393" max="5393" width="14.7265625" customWidth="1"/>
    <col min="5394" max="5394" width="11.26953125" customWidth="1"/>
    <col min="5395" max="5395" width="10.81640625" customWidth="1"/>
    <col min="5634" max="5634" width="36.81640625" customWidth="1"/>
    <col min="5635" max="5635" width="16.81640625" customWidth="1"/>
    <col min="5636" max="5636" width="12.81640625" customWidth="1"/>
    <col min="5637" max="5637" width="13.26953125" customWidth="1"/>
    <col min="5638" max="5638" width="15.1796875" customWidth="1"/>
    <col min="5639" max="5639" width="15.26953125" customWidth="1"/>
    <col min="5640" max="5640" width="13.453125" customWidth="1"/>
    <col min="5641" max="5641" width="12.1796875" customWidth="1"/>
    <col min="5642" max="5642" width="17" customWidth="1"/>
    <col min="5643" max="5644" width="12.7265625" customWidth="1"/>
    <col min="5645" max="5645" width="15.453125" customWidth="1"/>
    <col min="5646" max="5646" width="12.7265625" customWidth="1"/>
    <col min="5647" max="5648" width="12.26953125" customWidth="1"/>
    <col min="5649" max="5649" width="14.7265625" customWidth="1"/>
    <col min="5650" max="5650" width="11.26953125" customWidth="1"/>
    <col min="5651" max="5651" width="10.81640625" customWidth="1"/>
    <col min="5890" max="5890" width="36.81640625" customWidth="1"/>
    <col min="5891" max="5891" width="16.81640625" customWidth="1"/>
    <col min="5892" max="5892" width="12.81640625" customWidth="1"/>
    <col min="5893" max="5893" width="13.26953125" customWidth="1"/>
    <col min="5894" max="5894" width="15.1796875" customWidth="1"/>
    <col min="5895" max="5895" width="15.26953125" customWidth="1"/>
    <col min="5896" max="5896" width="13.453125" customWidth="1"/>
    <col min="5897" max="5897" width="12.1796875" customWidth="1"/>
    <col min="5898" max="5898" width="17" customWidth="1"/>
    <col min="5899" max="5900" width="12.7265625" customWidth="1"/>
    <col min="5901" max="5901" width="15.453125" customWidth="1"/>
    <col min="5902" max="5902" width="12.7265625" customWidth="1"/>
    <col min="5903" max="5904" width="12.26953125" customWidth="1"/>
    <col min="5905" max="5905" width="14.7265625" customWidth="1"/>
    <col min="5906" max="5906" width="11.26953125" customWidth="1"/>
    <col min="5907" max="5907" width="10.81640625" customWidth="1"/>
    <col min="6146" max="6146" width="36.81640625" customWidth="1"/>
    <col min="6147" max="6147" width="16.81640625" customWidth="1"/>
    <col min="6148" max="6148" width="12.81640625" customWidth="1"/>
    <col min="6149" max="6149" width="13.26953125" customWidth="1"/>
    <col min="6150" max="6150" width="15.1796875" customWidth="1"/>
    <col min="6151" max="6151" width="15.26953125" customWidth="1"/>
    <col min="6152" max="6152" width="13.453125" customWidth="1"/>
    <col min="6153" max="6153" width="12.1796875" customWidth="1"/>
    <col min="6154" max="6154" width="17" customWidth="1"/>
    <col min="6155" max="6156" width="12.7265625" customWidth="1"/>
    <col min="6157" max="6157" width="15.453125" customWidth="1"/>
    <col min="6158" max="6158" width="12.7265625" customWidth="1"/>
    <col min="6159" max="6160" width="12.26953125" customWidth="1"/>
    <col min="6161" max="6161" width="14.7265625" customWidth="1"/>
    <col min="6162" max="6162" width="11.26953125" customWidth="1"/>
    <col min="6163" max="6163" width="10.81640625" customWidth="1"/>
    <col min="6402" max="6402" width="36.81640625" customWidth="1"/>
    <col min="6403" max="6403" width="16.81640625" customWidth="1"/>
    <col min="6404" max="6404" width="12.81640625" customWidth="1"/>
    <col min="6405" max="6405" width="13.26953125" customWidth="1"/>
    <col min="6406" max="6406" width="15.1796875" customWidth="1"/>
    <col min="6407" max="6407" width="15.26953125" customWidth="1"/>
    <col min="6408" max="6408" width="13.453125" customWidth="1"/>
    <col min="6409" max="6409" width="12.1796875" customWidth="1"/>
    <col min="6410" max="6410" width="17" customWidth="1"/>
    <col min="6411" max="6412" width="12.7265625" customWidth="1"/>
    <col min="6413" max="6413" width="15.453125" customWidth="1"/>
    <col min="6414" max="6414" width="12.7265625" customWidth="1"/>
    <col min="6415" max="6416" width="12.26953125" customWidth="1"/>
    <col min="6417" max="6417" width="14.7265625" customWidth="1"/>
    <col min="6418" max="6418" width="11.26953125" customWidth="1"/>
    <col min="6419" max="6419" width="10.81640625" customWidth="1"/>
    <col min="6658" max="6658" width="36.81640625" customWidth="1"/>
    <col min="6659" max="6659" width="16.81640625" customWidth="1"/>
    <col min="6660" max="6660" width="12.81640625" customWidth="1"/>
    <col min="6661" max="6661" width="13.26953125" customWidth="1"/>
    <col min="6662" max="6662" width="15.1796875" customWidth="1"/>
    <col min="6663" max="6663" width="15.26953125" customWidth="1"/>
    <col min="6664" max="6664" width="13.453125" customWidth="1"/>
    <col min="6665" max="6665" width="12.1796875" customWidth="1"/>
    <col min="6666" max="6666" width="17" customWidth="1"/>
    <col min="6667" max="6668" width="12.7265625" customWidth="1"/>
    <col min="6669" max="6669" width="15.453125" customWidth="1"/>
    <col min="6670" max="6670" width="12.7265625" customWidth="1"/>
    <col min="6671" max="6672" width="12.26953125" customWidth="1"/>
    <col min="6673" max="6673" width="14.7265625" customWidth="1"/>
    <col min="6674" max="6674" width="11.26953125" customWidth="1"/>
    <col min="6675" max="6675" width="10.81640625" customWidth="1"/>
    <col min="6914" max="6914" width="36.81640625" customWidth="1"/>
    <col min="6915" max="6915" width="16.81640625" customWidth="1"/>
    <col min="6916" max="6916" width="12.81640625" customWidth="1"/>
    <col min="6917" max="6917" width="13.26953125" customWidth="1"/>
    <col min="6918" max="6918" width="15.1796875" customWidth="1"/>
    <col min="6919" max="6919" width="15.26953125" customWidth="1"/>
    <col min="6920" max="6920" width="13.453125" customWidth="1"/>
    <col min="6921" max="6921" width="12.1796875" customWidth="1"/>
    <col min="6922" max="6922" width="17" customWidth="1"/>
    <col min="6923" max="6924" width="12.7265625" customWidth="1"/>
    <col min="6925" max="6925" width="15.453125" customWidth="1"/>
    <col min="6926" max="6926" width="12.7265625" customWidth="1"/>
    <col min="6927" max="6928" width="12.26953125" customWidth="1"/>
    <col min="6929" max="6929" width="14.7265625" customWidth="1"/>
    <col min="6930" max="6930" width="11.26953125" customWidth="1"/>
    <col min="6931" max="6931" width="10.81640625" customWidth="1"/>
    <col min="7170" max="7170" width="36.81640625" customWidth="1"/>
    <col min="7171" max="7171" width="16.81640625" customWidth="1"/>
    <col min="7172" max="7172" width="12.81640625" customWidth="1"/>
    <col min="7173" max="7173" width="13.26953125" customWidth="1"/>
    <col min="7174" max="7174" width="15.1796875" customWidth="1"/>
    <col min="7175" max="7175" width="15.26953125" customWidth="1"/>
    <col min="7176" max="7176" width="13.453125" customWidth="1"/>
    <col min="7177" max="7177" width="12.1796875" customWidth="1"/>
    <col min="7178" max="7178" width="17" customWidth="1"/>
    <col min="7179" max="7180" width="12.7265625" customWidth="1"/>
    <col min="7181" max="7181" width="15.453125" customWidth="1"/>
    <col min="7182" max="7182" width="12.7265625" customWidth="1"/>
    <col min="7183" max="7184" width="12.26953125" customWidth="1"/>
    <col min="7185" max="7185" width="14.7265625" customWidth="1"/>
    <col min="7186" max="7186" width="11.26953125" customWidth="1"/>
    <col min="7187" max="7187" width="10.81640625" customWidth="1"/>
    <col min="7426" max="7426" width="36.81640625" customWidth="1"/>
    <col min="7427" max="7427" width="16.81640625" customWidth="1"/>
    <col min="7428" max="7428" width="12.81640625" customWidth="1"/>
    <col min="7429" max="7429" width="13.26953125" customWidth="1"/>
    <col min="7430" max="7430" width="15.1796875" customWidth="1"/>
    <col min="7431" max="7431" width="15.26953125" customWidth="1"/>
    <col min="7432" max="7432" width="13.453125" customWidth="1"/>
    <col min="7433" max="7433" width="12.1796875" customWidth="1"/>
    <col min="7434" max="7434" width="17" customWidth="1"/>
    <col min="7435" max="7436" width="12.7265625" customWidth="1"/>
    <col min="7437" max="7437" width="15.453125" customWidth="1"/>
    <col min="7438" max="7438" width="12.7265625" customWidth="1"/>
    <col min="7439" max="7440" width="12.26953125" customWidth="1"/>
    <col min="7441" max="7441" width="14.7265625" customWidth="1"/>
    <col min="7442" max="7442" width="11.26953125" customWidth="1"/>
    <col min="7443" max="7443" width="10.81640625" customWidth="1"/>
    <col min="7682" max="7682" width="36.81640625" customWidth="1"/>
    <col min="7683" max="7683" width="16.81640625" customWidth="1"/>
    <col min="7684" max="7684" width="12.81640625" customWidth="1"/>
    <col min="7685" max="7685" width="13.26953125" customWidth="1"/>
    <col min="7686" max="7686" width="15.1796875" customWidth="1"/>
    <col min="7687" max="7687" width="15.26953125" customWidth="1"/>
    <col min="7688" max="7688" width="13.453125" customWidth="1"/>
    <col min="7689" max="7689" width="12.1796875" customWidth="1"/>
    <col min="7690" max="7690" width="17" customWidth="1"/>
    <col min="7691" max="7692" width="12.7265625" customWidth="1"/>
    <col min="7693" max="7693" width="15.453125" customWidth="1"/>
    <col min="7694" max="7694" width="12.7265625" customWidth="1"/>
    <col min="7695" max="7696" width="12.26953125" customWidth="1"/>
    <col min="7697" max="7697" width="14.7265625" customWidth="1"/>
    <col min="7698" max="7698" width="11.26953125" customWidth="1"/>
    <col min="7699" max="7699" width="10.81640625" customWidth="1"/>
    <col min="7938" max="7938" width="36.81640625" customWidth="1"/>
    <col min="7939" max="7939" width="16.81640625" customWidth="1"/>
    <col min="7940" max="7940" width="12.81640625" customWidth="1"/>
    <col min="7941" max="7941" width="13.26953125" customWidth="1"/>
    <col min="7942" max="7942" width="15.1796875" customWidth="1"/>
    <col min="7943" max="7943" width="15.26953125" customWidth="1"/>
    <col min="7944" max="7944" width="13.453125" customWidth="1"/>
    <col min="7945" max="7945" width="12.1796875" customWidth="1"/>
    <col min="7946" max="7946" width="17" customWidth="1"/>
    <col min="7947" max="7948" width="12.7265625" customWidth="1"/>
    <col min="7949" max="7949" width="15.453125" customWidth="1"/>
    <col min="7950" max="7950" width="12.7265625" customWidth="1"/>
    <col min="7951" max="7952" width="12.26953125" customWidth="1"/>
    <col min="7953" max="7953" width="14.7265625" customWidth="1"/>
    <col min="7954" max="7954" width="11.26953125" customWidth="1"/>
    <col min="7955" max="7955" width="10.81640625" customWidth="1"/>
    <col min="8194" max="8194" width="36.81640625" customWidth="1"/>
    <col min="8195" max="8195" width="16.81640625" customWidth="1"/>
    <col min="8196" max="8196" width="12.81640625" customWidth="1"/>
    <col min="8197" max="8197" width="13.26953125" customWidth="1"/>
    <col min="8198" max="8198" width="15.1796875" customWidth="1"/>
    <col min="8199" max="8199" width="15.26953125" customWidth="1"/>
    <col min="8200" max="8200" width="13.453125" customWidth="1"/>
    <col min="8201" max="8201" width="12.1796875" customWidth="1"/>
    <col min="8202" max="8202" width="17" customWidth="1"/>
    <col min="8203" max="8204" width="12.7265625" customWidth="1"/>
    <col min="8205" max="8205" width="15.453125" customWidth="1"/>
    <col min="8206" max="8206" width="12.7265625" customWidth="1"/>
    <col min="8207" max="8208" width="12.26953125" customWidth="1"/>
    <col min="8209" max="8209" width="14.7265625" customWidth="1"/>
    <col min="8210" max="8210" width="11.26953125" customWidth="1"/>
    <col min="8211" max="8211" width="10.81640625" customWidth="1"/>
    <col min="8450" max="8450" width="36.81640625" customWidth="1"/>
    <col min="8451" max="8451" width="16.81640625" customWidth="1"/>
    <col min="8452" max="8452" width="12.81640625" customWidth="1"/>
    <col min="8453" max="8453" width="13.26953125" customWidth="1"/>
    <col min="8454" max="8454" width="15.1796875" customWidth="1"/>
    <col min="8455" max="8455" width="15.26953125" customWidth="1"/>
    <col min="8456" max="8456" width="13.453125" customWidth="1"/>
    <col min="8457" max="8457" width="12.1796875" customWidth="1"/>
    <col min="8458" max="8458" width="17" customWidth="1"/>
    <col min="8459" max="8460" width="12.7265625" customWidth="1"/>
    <col min="8461" max="8461" width="15.453125" customWidth="1"/>
    <col min="8462" max="8462" width="12.7265625" customWidth="1"/>
    <col min="8463" max="8464" width="12.26953125" customWidth="1"/>
    <col min="8465" max="8465" width="14.7265625" customWidth="1"/>
    <col min="8466" max="8466" width="11.26953125" customWidth="1"/>
    <col min="8467" max="8467" width="10.81640625" customWidth="1"/>
    <col min="8706" max="8706" width="36.81640625" customWidth="1"/>
    <col min="8707" max="8707" width="16.81640625" customWidth="1"/>
    <col min="8708" max="8708" width="12.81640625" customWidth="1"/>
    <col min="8709" max="8709" width="13.26953125" customWidth="1"/>
    <col min="8710" max="8710" width="15.1796875" customWidth="1"/>
    <col min="8711" max="8711" width="15.26953125" customWidth="1"/>
    <col min="8712" max="8712" width="13.453125" customWidth="1"/>
    <col min="8713" max="8713" width="12.1796875" customWidth="1"/>
    <col min="8714" max="8714" width="17" customWidth="1"/>
    <col min="8715" max="8716" width="12.7265625" customWidth="1"/>
    <col min="8717" max="8717" width="15.453125" customWidth="1"/>
    <col min="8718" max="8718" width="12.7265625" customWidth="1"/>
    <col min="8719" max="8720" width="12.26953125" customWidth="1"/>
    <col min="8721" max="8721" width="14.7265625" customWidth="1"/>
    <col min="8722" max="8722" width="11.26953125" customWidth="1"/>
    <col min="8723" max="8723" width="10.81640625" customWidth="1"/>
    <col min="8962" max="8962" width="36.81640625" customWidth="1"/>
    <col min="8963" max="8963" width="16.81640625" customWidth="1"/>
    <col min="8964" max="8964" width="12.81640625" customWidth="1"/>
    <col min="8965" max="8965" width="13.26953125" customWidth="1"/>
    <col min="8966" max="8966" width="15.1796875" customWidth="1"/>
    <col min="8967" max="8967" width="15.26953125" customWidth="1"/>
    <col min="8968" max="8968" width="13.453125" customWidth="1"/>
    <col min="8969" max="8969" width="12.1796875" customWidth="1"/>
    <col min="8970" max="8970" width="17" customWidth="1"/>
    <col min="8971" max="8972" width="12.7265625" customWidth="1"/>
    <col min="8973" max="8973" width="15.453125" customWidth="1"/>
    <col min="8974" max="8974" width="12.7265625" customWidth="1"/>
    <col min="8975" max="8976" width="12.26953125" customWidth="1"/>
    <col min="8977" max="8977" width="14.7265625" customWidth="1"/>
    <col min="8978" max="8978" width="11.26953125" customWidth="1"/>
    <col min="8979" max="8979" width="10.81640625" customWidth="1"/>
    <col min="9218" max="9218" width="36.81640625" customWidth="1"/>
    <col min="9219" max="9219" width="16.81640625" customWidth="1"/>
    <col min="9220" max="9220" width="12.81640625" customWidth="1"/>
    <col min="9221" max="9221" width="13.26953125" customWidth="1"/>
    <col min="9222" max="9222" width="15.1796875" customWidth="1"/>
    <col min="9223" max="9223" width="15.26953125" customWidth="1"/>
    <col min="9224" max="9224" width="13.453125" customWidth="1"/>
    <col min="9225" max="9225" width="12.1796875" customWidth="1"/>
    <col min="9226" max="9226" width="17" customWidth="1"/>
    <col min="9227" max="9228" width="12.7265625" customWidth="1"/>
    <col min="9229" max="9229" width="15.453125" customWidth="1"/>
    <col min="9230" max="9230" width="12.7265625" customWidth="1"/>
    <col min="9231" max="9232" width="12.26953125" customWidth="1"/>
    <col min="9233" max="9233" width="14.7265625" customWidth="1"/>
    <col min="9234" max="9234" width="11.26953125" customWidth="1"/>
    <col min="9235" max="9235" width="10.81640625" customWidth="1"/>
    <col min="9474" max="9474" width="36.81640625" customWidth="1"/>
    <col min="9475" max="9475" width="16.81640625" customWidth="1"/>
    <col min="9476" max="9476" width="12.81640625" customWidth="1"/>
    <col min="9477" max="9477" width="13.26953125" customWidth="1"/>
    <col min="9478" max="9478" width="15.1796875" customWidth="1"/>
    <col min="9479" max="9479" width="15.26953125" customWidth="1"/>
    <col min="9480" max="9480" width="13.453125" customWidth="1"/>
    <col min="9481" max="9481" width="12.1796875" customWidth="1"/>
    <col min="9482" max="9482" width="17" customWidth="1"/>
    <col min="9483" max="9484" width="12.7265625" customWidth="1"/>
    <col min="9485" max="9485" width="15.453125" customWidth="1"/>
    <col min="9486" max="9486" width="12.7265625" customWidth="1"/>
    <col min="9487" max="9488" width="12.26953125" customWidth="1"/>
    <col min="9489" max="9489" width="14.7265625" customWidth="1"/>
    <col min="9490" max="9490" width="11.26953125" customWidth="1"/>
    <col min="9491" max="9491" width="10.81640625" customWidth="1"/>
    <col min="9730" max="9730" width="36.81640625" customWidth="1"/>
    <col min="9731" max="9731" width="16.81640625" customWidth="1"/>
    <col min="9732" max="9732" width="12.81640625" customWidth="1"/>
    <col min="9733" max="9733" width="13.26953125" customWidth="1"/>
    <col min="9734" max="9734" width="15.1796875" customWidth="1"/>
    <col min="9735" max="9735" width="15.26953125" customWidth="1"/>
    <col min="9736" max="9736" width="13.453125" customWidth="1"/>
    <col min="9737" max="9737" width="12.1796875" customWidth="1"/>
    <col min="9738" max="9738" width="17" customWidth="1"/>
    <col min="9739" max="9740" width="12.7265625" customWidth="1"/>
    <col min="9741" max="9741" width="15.453125" customWidth="1"/>
    <col min="9742" max="9742" width="12.7265625" customWidth="1"/>
    <col min="9743" max="9744" width="12.26953125" customWidth="1"/>
    <col min="9745" max="9745" width="14.7265625" customWidth="1"/>
    <col min="9746" max="9746" width="11.26953125" customWidth="1"/>
    <col min="9747" max="9747" width="10.81640625" customWidth="1"/>
    <col min="9986" max="9986" width="36.81640625" customWidth="1"/>
    <col min="9987" max="9987" width="16.81640625" customWidth="1"/>
    <col min="9988" max="9988" width="12.81640625" customWidth="1"/>
    <col min="9989" max="9989" width="13.26953125" customWidth="1"/>
    <col min="9990" max="9990" width="15.1796875" customWidth="1"/>
    <col min="9991" max="9991" width="15.26953125" customWidth="1"/>
    <col min="9992" max="9992" width="13.453125" customWidth="1"/>
    <col min="9993" max="9993" width="12.1796875" customWidth="1"/>
    <col min="9994" max="9994" width="17" customWidth="1"/>
    <col min="9995" max="9996" width="12.7265625" customWidth="1"/>
    <col min="9997" max="9997" width="15.453125" customWidth="1"/>
    <col min="9998" max="9998" width="12.7265625" customWidth="1"/>
    <col min="9999" max="10000" width="12.26953125" customWidth="1"/>
    <col min="10001" max="10001" width="14.7265625" customWidth="1"/>
    <col min="10002" max="10002" width="11.26953125" customWidth="1"/>
    <col min="10003" max="10003" width="10.81640625" customWidth="1"/>
    <col min="10242" max="10242" width="36.81640625" customWidth="1"/>
    <col min="10243" max="10243" width="16.81640625" customWidth="1"/>
    <col min="10244" max="10244" width="12.81640625" customWidth="1"/>
    <col min="10245" max="10245" width="13.26953125" customWidth="1"/>
    <col min="10246" max="10246" width="15.1796875" customWidth="1"/>
    <col min="10247" max="10247" width="15.26953125" customWidth="1"/>
    <col min="10248" max="10248" width="13.453125" customWidth="1"/>
    <col min="10249" max="10249" width="12.1796875" customWidth="1"/>
    <col min="10250" max="10250" width="17" customWidth="1"/>
    <col min="10251" max="10252" width="12.7265625" customWidth="1"/>
    <col min="10253" max="10253" width="15.453125" customWidth="1"/>
    <col min="10254" max="10254" width="12.7265625" customWidth="1"/>
    <col min="10255" max="10256" width="12.26953125" customWidth="1"/>
    <col min="10257" max="10257" width="14.7265625" customWidth="1"/>
    <col min="10258" max="10258" width="11.26953125" customWidth="1"/>
    <col min="10259" max="10259" width="10.81640625" customWidth="1"/>
    <col min="10498" max="10498" width="36.81640625" customWidth="1"/>
    <col min="10499" max="10499" width="16.81640625" customWidth="1"/>
    <col min="10500" max="10500" width="12.81640625" customWidth="1"/>
    <col min="10501" max="10501" width="13.26953125" customWidth="1"/>
    <col min="10502" max="10502" width="15.1796875" customWidth="1"/>
    <col min="10503" max="10503" width="15.26953125" customWidth="1"/>
    <col min="10504" max="10504" width="13.453125" customWidth="1"/>
    <col min="10505" max="10505" width="12.1796875" customWidth="1"/>
    <col min="10506" max="10506" width="17" customWidth="1"/>
    <col min="10507" max="10508" width="12.7265625" customWidth="1"/>
    <col min="10509" max="10509" width="15.453125" customWidth="1"/>
    <col min="10510" max="10510" width="12.7265625" customWidth="1"/>
    <col min="10511" max="10512" width="12.26953125" customWidth="1"/>
    <col min="10513" max="10513" width="14.7265625" customWidth="1"/>
    <col min="10514" max="10514" width="11.26953125" customWidth="1"/>
    <col min="10515" max="10515" width="10.81640625" customWidth="1"/>
    <col min="10754" max="10754" width="36.81640625" customWidth="1"/>
    <col min="10755" max="10755" width="16.81640625" customWidth="1"/>
    <col min="10756" max="10756" width="12.81640625" customWidth="1"/>
    <col min="10757" max="10757" width="13.26953125" customWidth="1"/>
    <col min="10758" max="10758" width="15.1796875" customWidth="1"/>
    <col min="10759" max="10759" width="15.26953125" customWidth="1"/>
    <col min="10760" max="10760" width="13.453125" customWidth="1"/>
    <col min="10761" max="10761" width="12.1796875" customWidth="1"/>
    <col min="10762" max="10762" width="17" customWidth="1"/>
    <col min="10763" max="10764" width="12.7265625" customWidth="1"/>
    <col min="10765" max="10765" width="15.453125" customWidth="1"/>
    <col min="10766" max="10766" width="12.7265625" customWidth="1"/>
    <col min="10767" max="10768" width="12.26953125" customWidth="1"/>
    <col min="10769" max="10769" width="14.7265625" customWidth="1"/>
    <col min="10770" max="10770" width="11.26953125" customWidth="1"/>
    <col min="10771" max="10771" width="10.81640625" customWidth="1"/>
    <col min="11010" max="11010" width="36.81640625" customWidth="1"/>
    <col min="11011" max="11011" width="16.81640625" customWidth="1"/>
    <col min="11012" max="11012" width="12.81640625" customWidth="1"/>
    <col min="11013" max="11013" width="13.26953125" customWidth="1"/>
    <col min="11014" max="11014" width="15.1796875" customWidth="1"/>
    <col min="11015" max="11015" width="15.26953125" customWidth="1"/>
    <col min="11016" max="11016" width="13.453125" customWidth="1"/>
    <col min="11017" max="11017" width="12.1796875" customWidth="1"/>
    <col min="11018" max="11018" width="17" customWidth="1"/>
    <col min="11019" max="11020" width="12.7265625" customWidth="1"/>
    <col min="11021" max="11021" width="15.453125" customWidth="1"/>
    <col min="11022" max="11022" width="12.7265625" customWidth="1"/>
    <col min="11023" max="11024" width="12.26953125" customWidth="1"/>
    <col min="11025" max="11025" width="14.7265625" customWidth="1"/>
    <col min="11026" max="11026" width="11.26953125" customWidth="1"/>
    <col min="11027" max="11027" width="10.81640625" customWidth="1"/>
    <col min="11266" max="11266" width="36.81640625" customWidth="1"/>
    <col min="11267" max="11267" width="16.81640625" customWidth="1"/>
    <col min="11268" max="11268" width="12.81640625" customWidth="1"/>
    <col min="11269" max="11269" width="13.26953125" customWidth="1"/>
    <col min="11270" max="11270" width="15.1796875" customWidth="1"/>
    <col min="11271" max="11271" width="15.26953125" customWidth="1"/>
    <col min="11272" max="11272" width="13.453125" customWidth="1"/>
    <col min="11273" max="11273" width="12.1796875" customWidth="1"/>
    <col min="11274" max="11274" width="17" customWidth="1"/>
    <col min="11275" max="11276" width="12.7265625" customWidth="1"/>
    <col min="11277" max="11277" width="15.453125" customWidth="1"/>
    <col min="11278" max="11278" width="12.7265625" customWidth="1"/>
    <col min="11279" max="11280" width="12.26953125" customWidth="1"/>
    <col min="11281" max="11281" width="14.7265625" customWidth="1"/>
    <col min="11282" max="11282" width="11.26953125" customWidth="1"/>
    <col min="11283" max="11283" width="10.81640625" customWidth="1"/>
    <col min="11522" max="11522" width="36.81640625" customWidth="1"/>
    <col min="11523" max="11523" width="16.81640625" customWidth="1"/>
    <col min="11524" max="11524" width="12.81640625" customWidth="1"/>
    <col min="11525" max="11525" width="13.26953125" customWidth="1"/>
    <col min="11526" max="11526" width="15.1796875" customWidth="1"/>
    <col min="11527" max="11527" width="15.26953125" customWidth="1"/>
    <col min="11528" max="11528" width="13.453125" customWidth="1"/>
    <col min="11529" max="11529" width="12.1796875" customWidth="1"/>
    <col min="11530" max="11530" width="17" customWidth="1"/>
    <col min="11531" max="11532" width="12.7265625" customWidth="1"/>
    <col min="11533" max="11533" width="15.453125" customWidth="1"/>
    <col min="11534" max="11534" width="12.7265625" customWidth="1"/>
    <col min="11535" max="11536" width="12.26953125" customWidth="1"/>
    <col min="11537" max="11537" width="14.7265625" customWidth="1"/>
    <col min="11538" max="11538" width="11.26953125" customWidth="1"/>
    <col min="11539" max="11539" width="10.81640625" customWidth="1"/>
    <col min="11778" max="11778" width="36.81640625" customWidth="1"/>
    <col min="11779" max="11779" width="16.81640625" customWidth="1"/>
    <col min="11780" max="11780" width="12.81640625" customWidth="1"/>
    <col min="11781" max="11781" width="13.26953125" customWidth="1"/>
    <col min="11782" max="11782" width="15.1796875" customWidth="1"/>
    <col min="11783" max="11783" width="15.26953125" customWidth="1"/>
    <col min="11784" max="11784" width="13.453125" customWidth="1"/>
    <col min="11785" max="11785" width="12.1796875" customWidth="1"/>
    <col min="11786" max="11786" width="17" customWidth="1"/>
    <col min="11787" max="11788" width="12.7265625" customWidth="1"/>
    <col min="11789" max="11789" width="15.453125" customWidth="1"/>
    <col min="11790" max="11790" width="12.7265625" customWidth="1"/>
    <col min="11791" max="11792" width="12.26953125" customWidth="1"/>
    <col min="11793" max="11793" width="14.7265625" customWidth="1"/>
    <col min="11794" max="11794" width="11.26953125" customWidth="1"/>
    <col min="11795" max="11795" width="10.81640625" customWidth="1"/>
    <col min="12034" max="12034" width="36.81640625" customWidth="1"/>
    <col min="12035" max="12035" width="16.81640625" customWidth="1"/>
    <col min="12036" max="12036" width="12.81640625" customWidth="1"/>
    <col min="12037" max="12037" width="13.26953125" customWidth="1"/>
    <col min="12038" max="12038" width="15.1796875" customWidth="1"/>
    <col min="12039" max="12039" width="15.26953125" customWidth="1"/>
    <col min="12040" max="12040" width="13.453125" customWidth="1"/>
    <col min="12041" max="12041" width="12.1796875" customWidth="1"/>
    <col min="12042" max="12042" width="17" customWidth="1"/>
    <col min="12043" max="12044" width="12.7265625" customWidth="1"/>
    <col min="12045" max="12045" width="15.453125" customWidth="1"/>
    <col min="12046" max="12046" width="12.7265625" customWidth="1"/>
    <col min="12047" max="12048" width="12.26953125" customWidth="1"/>
    <col min="12049" max="12049" width="14.7265625" customWidth="1"/>
    <col min="12050" max="12050" width="11.26953125" customWidth="1"/>
    <col min="12051" max="12051" width="10.81640625" customWidth="1"/>
    <col min="12290" max="12290" width="36.81640625" customWidth="1"/>
    <col min="12291" max="12291" width="16.81640625" customWidth="1"/>
    <col min="12292" max="12292" width="12.81640625" customWidth="1"/>
    <col min="12293" max="12293" width="13.26953125" customWidth="1"/>
    <col min="12294" max="12294" width="15.1796875" customWidth="1"/>
    <col min="12295" max="12295" width="15.26953125" customWidth="1"/>
    <col min="12296" max="12296" width="13.453125" customWidth="1"/>
    <col min="12297" max="12297" width="12.1796875" customWidth="1"/>
    <col min="12298" max="12298" width="17" customWidth="1"/>
    <col min="12299" max="12300" width="12.7265625" customWidth="1"/>
    <col min="12301" max="12301" width="15.453125" customWidth="1"/>
    <col min="12302" max="12302" width="12.7265625" customWidth="1"/>
    <col min="12303" max="12304" width="12.26953125" customWidth="1"/>
    <col min="12305" max="12305" width="14.7265625" customWidth="1"/>
    <col min="12306" max="12306" width="11.26953125" customWidth="1"/>
    <col min="12307" max="12307" width="10.81640625" customWidth="1"/>
    <col min="12546" max="12546" width="36.81640625" customWidth="1"/>
    <col min="12547" max="12547" width="16.81640625" customWidth="1"/>
    <col min="12548" max="12548" width="12.81640625" customWidth="1"/>
    <col min="12549" max="12549" width="13.26953125" customWidth="1"/>
    <col min="12550" max="12550" width="15.1796875" customWidth="1"/>
    <col min="12551" max="12551" width="15.26953125" customWidth="1"/>
    <col min="12552" max="12552" width="13.453125" customWidth="1"/>
    <col min="12553" max="12553" width="12.1796875" customWidth="1"/>
    <col min="12554" max="12554" width="17" customWidth="1"/>
    <col min="12555" max="12556" width="12.7265625" customWidth="1"/>
    <col min="12557" max="12557" width="15.453125" customWidth="1"/>
    <col min="12558" max="12558" width="12.7265625" customWidth="1"/>
    <col min="12559" max="12560" width="12.26953125" customWidth="1"/>
    <col min="12561" max="12561" width="14.7265625" customWidth="1"/>
    <col min="12562" max="12562" width="11.26953125" customWidth="1"/>
    <col min="12563" max="12563" width="10.81640625" customWidth="1"/>
    <col min="12802" max="12802" width="36.81640625" customWidth="1"/>
    <col min="12803" max="12803" width="16.81640625" customWidth="1"/>
    <col min="12804" max="12804" width="12.81640625" customWidth="1"/>
    <col min="12805" max="12805" width="13.26953125" customWidth="1"/>
    <col min="12806" max="12806" width="15.1796875" customWidth="1"/>
    <col min="12807" max="12807" width="15.26953125" customWidth="1"/>
    <col min="12808" max="12808" width="13.453125" customWidth="1"/>
    <col min="12809" max="12809" width="12.1796875" customWidth="1"/>
    <col min="12810" max="12810" width="17" customWidth="1"/>
    <col min="12811" max="12812" width="12.7265625" customWidth="1"/>
    <col min="12813" max="12813" width="15.453125" customWidth="1"/>
    <col min="12814" max="12814" width="12.7265625" customWidth="1"/>
    <col min="12815" max="12816" width="12.26953125" customWidth="1"/>
    <col min="12817" max="12817" width="14.7265625" customWidth="1"/>
    <col min="12818" max="12818" width="11.26953125" customWidth="1"/>
    <col min="12819" max="12819" width="10.81640625" customWidth="1"/>
    <col min="13058" max="13058" width="36.81640625" customWidth="1"/>
    <col min="13059" max="13059" width="16.81640625" customWidth="1"/>
    <col min="13060" max="13060" width="12.81640625" customWidth="1"/>
    <col min="13061" max="13061" width="13.26953125" customWidth="1"/>
    <col min="13062" max="13062" width="15.1796875" customWidth="1"/>
    <col min="13063" max="13063" width="15.26953125" customWidth="1"/>
    <col min="13064" max="13064" width="13.453125" customWidth="1"/>
    <col min="13065" max="13065" width="12.1796875" customWidth="1"/>
    <col min="13066" max="13066" width="17" customWidth="1"/>
    <col min="13067" max="13068" width="12.7265625" customWidth="1"/>
    <col min="13069" max="13069" width="15.453125" customWidth="1"/>
    <col min="13070" max="13070" width="12.7265625" customWidth="1"/>
    <col min="13071" max="13072" width="12.26953125" customWidth="1"/>
    <col min="13073" max="13073" width="14.7265625" customWidth="1"/>
    <col min="13074" max="13074" width="11.26953125" customWidth="1"/>
    <col min="13075" max="13075" width="10.81640625" customWidth="1"/>
    <col min="13314" max="13314" width="36.81640625" customWidth="1"/>
    <col min="13315" max="13315" width="16.81640625" customWidth="1"/>
    <col min="13316" max="13316" width="12.81640625" customWidth="1"/>
    <col min="13317" max="13317" width="13.26953125" customWidth="1"/>
    <col min="13318" max="13318" width="15.1796875" customWidth="1"/>
    <col min="13319" max="13319" width="15.26953125" customWidth="1"/>
    <col min="13320" max="13320" width="13.453125" customWidth="1"/>
    <col min="13321" max="13321" width="12.1796875" customWidth="1"/>
    <col min="13322" max="13322" width="17" customWidth="1"/>
    <col min="13323" max="13324" width="12.7265625" customWidth="1"/>
    <col min="13325" max="13325" width="15.453125" customWidth="1"/>
    <col min="13326" max="13326" width="12.7265625" customWidth="1"/>
    <col min="13327" max="13328" width="12.26953125" customWidth="1"/>
    <col min="13329" max="13329" width="14.7265625" customWidth="1"/>
    <col min="13330" max="13330" width="11.26953125" customWidth="1"/>
    <col min="13331" max="13331" width="10.81640625" customWidth="1"/>
    <col min="13570" max="13570" width="36.81640625" customWidth="1"/>
    <col min="13571" max="13571" width="16.81640625" customWidth="1"/>
    <col min="13572" max="13572" width="12.81640625" customWidth="1"/>
    <col min="13573" max="13573" width="13.26953125" customWidth="1"/>
    <col min="13574" max="13574" width="15.1796875" customWidth="1"/>
    <col min="13575" max="13575" width="15.26953125" customWidth="1"/>
    <col min="13576" max="13576" width="13.453125" customWidth="1"/>
    <col min="13577" max="13577" width="12.1796875" customWidth="1"/>
    <col min="13578" max="13578" width="17" customWidth="1"/>
    <col min="13579" max="13580" width="12.7265625" customWidth="1"/>
    <col min="13581" max="13581" width="15.453125" customWidth="1"/>
    <col min="13582" max="13582" width="12.7265625" customWidth="1"/>
    <col min="13583" max="13584" width="12.26953125" customWidth="1"/>
    <col min="13585" max="13585" width="14.7265625" customWidth="1"/>
    <col min="13586" max="13586" width="11.26953125" customWidth="1"/>
    <col min="13587" max="13587" width="10.81640625" customWidth="1"/>
    <col min="13826" max="13826" width="36.81640625" customWidth="1"/>
    <col min="13827" max="13827" width="16.81640625" customWidth="1"/>
    <col min="13828" max="13828" width="12.81640625" customWidth="1"/>
    <col min="13829" max="13829" width="13.26953125" customWidth="1"/>
    <col min="13830" max="13830" width="15.1796875" customWidth="1"/>
    <col min="13831" max="13831" width="15.26953125" customWidth="1"/>
    <col min="13832" max="13832" width="13.453125" customWidth="1"/>
    <col min="13833" max="13833" width="12.1796875" customWidth="1"/>
    <col min="13834" max="13834" width="17" customWidth="1"/>
    <col min="13835" max="13836" width="12.7265625" customWidth="1"/>
    <col min="13837" max="13837" width="15.453125" customWidth="1"/>
    <col min="13838" max="13838" width="12.7265625" customWidth="1"/>
    <col min="13839" max="13840" width="12.26953125" customWidth="1"/>
    <col min="13841" max="13841" width="14.7265625" customWidth="1"/>
    <col min="13842" max="13842" width="11.26953125" customWidth="1"/>
    <col min="13843" max="13843" width="10.81640625" customWidth="1"/>
    <col min="14082" max="14082" width="36.81640625" customWidth="1"/>
    <col min="14083" max="14083" width="16.81640625" customWidth="1"/>
    <col min="14084" max="14084" width="12.81640625" customWidth="1"/>
    <col min="14085" max="14085" width="13.26953125" customWidth="1"/>
    <col min="14086" max="14086" width="15.1796875" customWidth="1"/>
    <col min="14087" max="14087" width="15.26953125" customWidth="1"/>
    <col min="14088" max="14088" width="13.453125" customWidth="1"/>
    <col min="14089" max="14089" width="12.1796875" customWidth="1"/>
    <col min="14090" max="14090" width="17" customWidth="1"/>
    <col min="14091" max="14092" width="12.7265625" customWidth="1"/>
    <col min="14093" max="14093" width="15.453125" customWidth="1"/>
    <col min="14094" max="14094" width="12.7265625" customWidth="1"/>
    <col min="14095" max="14096" width="12.26953125" customWidth="1"/>
    <col min="14097" max="14097" width="14.7265625" customWidth="1"/>
    <col min="14098" max="14098" width="11.26953125" customWidth="1"/>
    <col min="14099" max="14099" width="10.81640625" customWidth="1"/>
    <col min="14338" max="14338" width="36.81640625" customWidth="1"/>
    <col min="14339" max="14339" width="16.81640625" customWidth="1"/>
    <col min="14340" max="14340" width="12.81640625" customWidth="1"/>
    <col min="14341" max="14341" width="13.26953125" customWidth="1"/>
    <col min="14342" max="14342" width="15.1796875" customWidth="1"/>
    <col min="14343" max="14343" width="15.26953125" customWidth="1"/>
    <col min="14344" max="14344" width="13.453125" customWidth="1"/>
    <col min="14345" max="14345" width="12.1796875" customWidth="1"/>
    <col min="14346" max="14346" width="17" customWidth="1"/>
    <col min="14347" max="14348" width="12.7265625" customWidth="1"/>
    <col min="14349" max="14349" width="15.453125" customWidth="1"/>
    <col min="14350" max="14350" width="12.7265625" customWidth="1"/>
    <col min="14351" max="14352" width="12.26953125" customWidth="1"/>
    <col min="14353" max="14353" width="14.7265625" customWidth="1"/>
    <col min="14354" max="14354" width="11.26953125" customWidth="1"/>
    <col min="14355" max="14355" width="10.81640625" customWidth="1"/>
    <col min="14594" max="14594" width="36.81640625" customWidth="1"/>
    <col min="14595" max="14595" width="16.81640625" customWidth="1"/>
    <col min="14596" max="14596" width="12.81640625" customWidth="1"/>
    <col min="14597" max="14597" width="13.26953125" customWidth="1"/>
    <col min="14598" max="14598" width="15.1796875" customWidth="1"/>
    <col min="14599" max="14599" width="15.26953125" customWidth="1"/>
    <col min="14600" max="14600" width="13.453125" customWidth="1"/>
    <col min="14601" max="14601" width="12.1796875" customWidth="1"/>
    <col min="14602" max="14602" width="17" customWidth="1"/>
    <col min="14603" max="14604" width="12.7265625" customWidth="1"/>
    <col min="14605" max="14605" width="15.453125" customWidth="1"/>
    <col min="14606" max="14606" width="12.7265625" customWidth="1"/>
    <col min="14607" max="14608" width="12.26953125" customWidth="1"/>
    <col min="14609" max="14609" width="14.7265625" customWidth="1"/>
    <col min="14610" max="14610" width="11.26953125" customWidth="1"/>
    <col min="14611" max="14611" width="10.81640625" customWidth="1"/>
    <col min="14850" max="14850" width="36.81640625" customWidth="1"/>
    <col min="14851" max="14851" width="16.81640625" customWidth="1"/>
    <col min="14852" max="14852" width="12.81640625" customWidth="1"/>
    <col min="14853" max="14853" width="13.26953125" customWidth="1"/>
    <col min="14854" max="14854" width="15.1796875" customWidth="1"/>
    <col min="14855" max="14855" width="15.26953125" customWidth="1"/>
    <col min="14856" max="14856" width="13.453125" customWidth="1"/>
    <col min="14857" max="14857" width="12.1796875" customWidth="1"/>
    <col min="14858" max="14858" width="17" customWidth="1"/>
    <col min="14859" max="14860" width="12.7265625" customWidth="1"/>
    <col min="14861" max="14861" width="15.453125" customWidth="1"/>
    <col min="14862" max="14862" width="12.7265625" customWidth="1"/>
    <col min="14863" max="14864" width="12.26953125" customWidth="1"/>
    <col min="14865" max="14865" width="14.7265625" customWidth="1"/>
    <col min="14866" max="14866" width="11.26953125" customWidth="1"/>
    <col min="14867" max="14867" width="10.81640625" customWidth="1"/>
    <col min="15106" max="15106" width="36.81640625" customWidth="1"/>
    <col min="15107" max="15107" width="16.81640625" customWidth="1"/>
    <col min="15108" max="15108" width="12.81640625" customWidth="1"/>
    <col min="15109" max="15109" width="13.26953125" customWidth="1"/>
    <col min="15110" max="15110" width="15.1796875" customWidth="1"/>
    <col min="15111" max="15111" width="15.26953125" customWidth="1"/>
    <col min="15112" max="15112" width="13.453125" customWidth="1"/>
    <col min="15113" max="15113" width="12.1796875" customWidth="1"/>
    <col min="15114" max="15114" width="17" customWidth="1"/>
    <col min="15115" max="15116" width="12.7265625" customWidth="1"/>
    <col min="15117" max="15117" width="15.453125" customWidth="1"/>
    <col min="15118" max="15118" width="12.7265625" customWidth="1"/>
    <col min="15119" max="15120" width="12.26953125" customWidth="1"/>
    <col min="15121" max="15121" width="14.7265625" customWidth="1"/>
    <col min="15122" max="15122" width="11.26953125" customWidth="1"/>
    <col min="15123" max="15123" width="10.81640625" customWidth="1"/>
    <col min="15362" max="15362" width="36.81640625" customWidth="1"/>
    <col min="15363" max="15363" width="16.81640625" customWidth="1"/>
    <col min="15364" max="15364" width="12.81640625" customWidth="1"/>
    <col min="15365" max="15365" width="13.26953125" customWidth="1"/>
    <col min="15366" max="15366" width="15.1796875" customWidth="1"/>
    <col min="15367" max="15367" width="15.26953125" customWidth="1"/>
    <col min="15368" max="15368" width="13.453125" customWidth="1"/>
    <col min="15369" max="15369" width="12.1796875" customWidth="1"/>
    <col min="15370" max="15370" width="17" customWidth="1"/>
    <col min="15371" max="15372" width="12.7265625" customWidth="1"/>
    <col min="15373" max="15373" width="15.453125" customWidth="1"/>
    <col min="15374" max="15374" width="12.7265625" customWidth="1"/>
    <col min="15375" max="15376" width="12.26953125" customWidth="1"/>
    <col min="15377" max="15377" width="14.7265625" customWidth="1"/>
    <col min="15378" max="15378" width="11.26953125" customWidth="1"/>
    <col min="15379" max="15379" width="10.81640625" customWidth="1"/>
    <col min="15618" max="15618" width="36.81640625" customWidth="1"/>
    <col min="15619" max="15619" width="16.81640625" customWidth="1"/>
    <col min="15620" max="15620" width="12.81640625" customWidth="1"/>
    <col min="15621" max="15621" width="13.26953125" customWidth="1"/>
    <col min="15622" max="15622" width="15.1796875" customWidth="1"/>
    <col min="15623" max="15623" width="15.26953125" customWidth="1"/>
    <col min="15624" max="15624" width="13.453125" customWidth="1"/>
    <col min="15625" max="15625" width="12.1796875" customWidth="1"/>
    <col min="15626" max="15626" width="17" customWidth="1"/>
    <col min="15627" max="15628" width="12.7265625" customWidth="1"/>
    <col min="15629" max="15629" width="15.453125" customWidth="1"/>
    <col min="15630" max="15630" width="12.7265625" customWidth="1"/>
    <col min="15631" max="15632" width="12.26953125" customWidth="1"/>
    <col min="15633" max="15633" width="14.7265625" customWidth="1"/>
    <col min="15634" max="15634" width="11.26953125" customWidth="1"/>
    <col min="15635" max="15635" width="10.81640625" customWidth="1"/>
    <col min="15874" max="15874" width="36.81640625" customWidth="1"/>
    <col min="15875" max="15875" width="16.81640625" customWidth="1"/>
    <col min="15876" max="15876" width="12.81640625" customWidth="1"/>
    <col min="15877" max="15877" width="13.26953125" customWidth="1"/>
    <col min="15878" max="15878" width="15.1796875" customWidth="1"/>
    <col min="15879" max="15879" width="15.26953125" customWidth="1"/>
    <col min="15880" max="15880" width="13.453125" customWidth="1"/>
    <col min="15881" max="15881" width="12.1796875" customWidth="1"/>
    <col min="15882" max="15882" width="17" customWidth="1"/>
    <col min="15883" max="15884" width="12.7265625" customWidth="1"/>
    <col min="15885" max="15885" width="15.453125" customWidth="1"/>
    <col min="15886" max="15886" width="12.7265625" customWidth="1"/>
    <col min="15887" max="15888" width="12.26953125" customWidth="1"/>
    <col min="15889" max="15889" width="14.7265625" customWidth="1"/>
    <col min="15890" max="15890" width="11.26953125" customWidth="1"/>
    <col min="15891" max="15891" width="10.81640625" customWidth="1"/>
    <col min="16130" max="16130" width="36.81640625" customWidth="1"/>
    <col min="16131" max="16131" width="16.81640625" customWidth="1"/>
    <col min="16132" max="16132" width="12.81640625" customWidth="1"/>
    <col min="16133" max="16133" width="13.26953125" customWidth="1"/>
    <col min="16134" max="16134" width="15.1796875" customWidth="1"/>
    <col min="16135" max="16135" width="15.26953125" customWidth="1"/>
    <col min="16136" max="16136" width="13.453125" customWidth="1"/>
    <col min="16137" max="16137" width="12.1796875" customWidth="1"/>
    <col min="16138" max="16138" width="17" customWidth="1"/>
    <col min="16139" max="16140" width="12.7265625" customWidth="1"/>
    <col min="16141" max="16141" width="15.453125" customWidth="1"/>
    <col min="16142" max="16142" width="12.7265625" customWidth="1"/>
    <col min="16143" max="16144" width="12.26953125" customWidth="1"/>
    <col min="16145" max="16145" width="14.7265625" customWidth="1"/>
    <col min="16146" max="16146" width="11.26953125" customWidth="1"/>
    <col min="16147" max="16147" width="10.81640625" customWidth="1"/>
  </cols>
  <sheetData>
    <row r="1" spans="1:20" ht="15.5" x14ac:dyDescent="0.35">
      <c r="A1" s="1"/>
      <c r="B1" s="8" t="s">
        <v>32</v>
      </c>
      <c r="C1" s="8"/>
      <c r="D1" s="8"/>
      <c r="E1" s="8"/>
      <c r="F1" s="1"/>
      <c r="G1" s="1"/>
      <c r="H1" s="1"/>
      <c r="I1" s="1"/>
      <c r="J1" s="1"/>
      <c r="K1" s="1"/>
      <c r="L1" s="1"/>
      <c r="M1" s="1"/>
      <c r="N1" s="1"/>
      <c r="O1" s="1"/>
      <c r="P1" s="1"/>
      <c r="Q1" s="1"/>
      <c r="R1" s="1"/>
      <c r="S1" s="1"/>
      <c r="T1" s="1"/>
    </row>
    <row r="2" spans="1:20" ht="13" x14ac:dyDescent="0.3">
      <c r="A2" s="2237" t="s">
        <v>23</v>
      </c>
      <c r="B2" s="2351" t="s">
        <v>1131</v>
      </c>
      <c r="C2" s="41"/>
      <c r="D2" s="41"/>
      <c r="E2" s="41"/>
      <c r="F2" s="1"/>
      <c r="G2" s="1"/>
      <c r="H2" s="1"/>
      <c r="I2" s="1"/>
      <c r="J2" s="1"/>
      <c r="K2" s="1"/>
      <c r="L2" s="1"/>
      <c r="M2" s="1"/>
      <c r="N2" s="1"/>
      <c r="O2" s="1"/>
      <c r="P2" s="1"/>
      <c r="Q2" s="1"/>
      <c r="R2" s="1"/>
      <c r="S2" s="1"/>
      <c r="T2" s="1"/>
    </row>
    <row r="3" spans="1:20" ht="13" x14ac:dyDescent="0.3">
      <c r="A3" s="2237" t="s">
        <v>24</v>
      </c>
      <c r="B3" s="2457" t="s">
        <v>501</v>
      </c>
      <c r="C3" s="2237"/>
      <c r="D3" s="2237"/>
      <c r="E3" s="2237"/>
      <c r="F3" s="2458"/>
      <c r="G3" s="2458"/>
      <c r="H3" s="2458"/>
      <c r="I3" s="2458"/>
      <c r="J3" s="2458"/>
      <c r="K3" s="2458"/>
      <c r="L3" s="2458"/>
      <c r="M3" s="2458"/>
      <c r="N3" s="2458"/>
      <c r="O3" s="1"/>
      <c r="P3" s="1"/>
      <c r="Q3" s="1"/>
      <c r="R3" s="1"/>
      <c r="S3" s="1"/>
      <c r="T3" s="1"/>
    </row>
    <row r="4" spans="1:20" ht="13" x14ac:dyDescent="0.3">
      <c r="A4" s="2237" t="s">
        <v>21</v>
      </c>
      <c r="B4" s="2459" t="s">
        <v>1500</v>
      </c>
      <c r="C4" s="2460"/>
      <c r="D4" s="2460"/>
      <c r="E4" s="2460"/>
      <c r="F4" s="2458"/>
      <c r="G4" s="2458"/>
      <c r="H4" s="2458"/>
      <c r="I4" s="2458"/>
      <c r="J4" s="2458"/>
      <c r="K4" s="2458"/>
      <c r="L4" s="2458"/>
      <c r="M4" s="2458"/>
      <c r="N4" s="2458"/>
      <c r="O4" s="1"/>
      <c r="P4" s="1"/>
      <c r="Q4" s="1"/>
      <c r="R4" s="1"/>
      <c r="S4" s="1"/>
      <c r="T4" s="1"/>
    </row>
    <row r="5" spans="1:20" ht="13" x14ac:dyDescent="0.3">
      <c r="A5" s="2237" t="s">
        <v>22</v>
      </c>
      <c r="B5" s="605">
        <f>P17</f>
        <v>6234904.7599999998</v>
      </c>
      <c r="D5" s="1"/>
      <c r="G5" s="606"/>
      <c r="H5" s="606"/>
      <c r="I5" s="606"/>
      <c r="J5" s="606"/>
      <c r="K5" s="606"/>
      <c r="L5" s="606"/>
      <c r="M5" s="606"/>
      <c r="N5" s="606"/>
      <c r="O5" s="1"/>
      <c r="P5" s="1"/>
      <c r="Q5" s="1"/>
      <c r="R5" s="1"/>
      <c r="S5" s="1"/>
      <c r="T5" s="1"/>
    </row>
    <row r="6" spans="1:20" ht="13" x14ac:dyDescent="0.3">
      <c r="A6" s="41" t="s">
        <v>1138</v>
      </c>
      <c r="B6" s="607">
        <f>B5*0.07</f>
        <v>436443.33320000005</v>
      </c>
      <c r="D6" s="2461"/>
      <c r="G6" s="609"/>
      <c r="H6" s="609"/>
      <c r="I6" s="609"/>
      <c r="J6" s="609"/>
      <c r="K6" s="609"/>
      <c r="L6" s="609"/>
      <c r="M6" s="609"/>
      <c r="N6" s="609"/>
      <c r="O6" s="1"/>
      <c r="P6" s="1"/>
      <c r="Q6" s="1"/>
      <c r="R6" s="1"/>
      <c r="S6" s="1"/>
      <c r="T6" s="1"/>
    </row>
    <row r="7" spans="1:20" ht="13" x14ac:dyDescent="0.3">
      <c r="A7" s="41" t="s">
        <v>38</v>
      </c>
      <c r="B7" s="605">
        <f>SUM(B5:B6)</f>
        <v>6671348.0932</v>
      </c>
      <c r="D7" s="2461"/>
      <c r="G7" s="606"/>
      <c r="H7" s="606"/>
      <c r="I7" s="606"/>
      <c r="J7" s="606"/>
      <c r="K7" s="606"/>
      <c r="L7" s="606"/>
      <c r="M7" s="606"/>
      <c r="N7" s="606"/>
      <c r="O7" s="1"/>
      <c r="P7" s="1"/>
      <c r="Q7" s="1"/>
      <c r="R7" s="1"/>
      <c r="S7" s="1"/>
      <c r="T7" s="1"/>
    </row>
    <row r="8" spans="1:20" ht="13" x14ac:dyDescent="0.3">
      <c r="A8" s="1"/>
      <c r="B8" s="1"/>
      <c r="C8" s="1"/>
      <c r="D8" s="1"/>
      <c r="E8" s="1"/>
      <c r="F8" s="1"/>
      <c r="G8" s="1"/>
      <c r="H8" s="1"/>
      <c r="I8" s="1"/>
      <c r="J8" s="1"/>
      <c r="K8" s="1"/>
      <c r="L8" s="1"/>
      <c r="M8" s="1"/>
      <c r="N8" s="1"/>
      <c r="O8" s="1"/>
      <c r="P8" s="1"/>
      <c r="Q8" s="1"/>
      <c r="R8" s="1"/>
      <c r="S8" s="1"/>
      <c r="T8" s="1"/>
    </row>
    <row r="9" spans="1:20" ht="26" x14ac:dyDescent="0.25">
      <c r="A9" s="610" t="s">
        <v>1</v>
      </c>
      <c r="B9" s="612" t="s">
        <v>97</v>
      </c>
      <c r="C9" s="613" t="s">
        <v>1139</v>
      </c>
      <c r="D9" s="613" t="s">
        <v>1140</v>
      </c>
      <c r="E9" s="612" t="s">
        <v>1141</v>
      </c>
      <c r="F9" s="613" t="s">
        <v>1139</v>
      </c>
      <c r="G9" s="613" t="s">
        <v>1140</v>
      </c>
      <c r="H9" s="611" t="s">
        <v>500</v>
      </c>
      <c r="I9" s="611" t="s">
        <v>927</v>
      </c>
      <c r="J9" s="611" t="s">
        <v>398</v>
      </c>
      <c r="K9" s="611" t="s">
        <v>194</v>
      </c>
      <c r="L9" s="611" t="s">
        <v>955</v>
      </c>
      <c r="M9" s="613" t="s">
        <v>1142</v>
      </c>
      <c r="N9" s="613" t="s">
        <v>1143</v>
      </c>
      <c r="O9" s="614" t="s">
        <v>1144</v>
      </c>
      <c r="P9" s="615" t="s">
        <v>1145</v>
      </c>
      <c r="Q9" s="616" t="s">
        <v>39</v>
      </c>
    </row>
    <row r="10" spans="1:20" ht="25" customHeight="1" x14ac:dyDescent="0.25">
      <c r="A10" s="1371" t="s">
        <v>1146</v>
      </c>
      <c r="B10" s="618">
        <f>'[5]OS 1&amp;2 UNH'!Q58+'[5]OS 1&amp;2 UNH'!Q76</f>
        <v>391525.66</v>
      </c>
      <c r="C10" s="619">
        <f>B10/2</f>
        <v>195762.83</v>
      </c>
      <c r="D10" s="619">
        <f>B10-C10</f>
        <v>195762.83</v>
      </c>
      <c r="E10" s="620">
        <v>120000</v>
      </c>
      <c r="F10" s="619">
        <f>E10/2</f>
        <v>60000</v>
      </c>
      <c r="G10" s="619">
        <f>E10-F10</f>
        <v>60000</v>
      </c>
      <c r="H10" s="617">
        <v>159600</v>
      </c>
      <c r="I10" s="621">
        <v>113061</v>
      </c>
      <c r="J10" s="2494">
        <v>175952.1</v>
      </c>
      <c r="K10" s="621">
        <v>450970.49</v>
      </c>
      <c r="L10" s="621">
        <v>89672</v>
      </c>
      <c r="M10" s="619">
        <f>C10+F10</f>
        <v>255762.83</v>
      </c>
      <c r="N10" s="619">
        <f>D10+G10</f>
        <v>255762.83</v>
      </c>
      <c r="O10" s="619">
        <f>H10+I10+J10+K10+L10</f>
        <v>989255.59</v>
      </c>
      <c r="P10" s="622">
        <f>SUM(M10:O10)</f>
        <v>1500781.25</v>
      </c>
      <c r="Q10" s="623">
        <f>P10/P19</f>
        <v>0.22495921799219601</v>
      </c>
    </row>
    <row r="11" spans="1:20" ht="25" customHeight="1" x14ac:dyDescent="0.25">
      <c r="A11" s="265" t="s">
        <v>1147</v>
      </c>
      <c r="B11" s="618">
        <v>414592.5</v>
      </c>
      <c r="C11" s="619">
        <f t="shared" ref="C11:C16" si="0">B11/2</f>
        <v>207296.25</v>
      </c>
      <c r="D11" s="619">
        <f t="shared" ref="D11:D16" si="1">B11-C11</f>
        <v>207296.25</v>
      </c>
      <c r="E11" s="620">
        <v>307688.5</v>
      </c>
      <c r="F11" s="619">
        <f t="shared" ref="F11:F16" si="2">E11/2</f>
        <v>153844.25</v>
      </c>
      <c r="G11" s="619">
        <f t="shared" ref="G11:G16" si="3">E11-F11</f>
        <v>153844.25</v>
      </c>
      <c r="H11" s="617">
        <v>205935</v>
      </c>
      <c r="I11" s="621">
        <v>126921.60000000001</v>
      </c>
      <c r="J11" s="621">
        <v>68400</v>
      </c>
      <c r="K11" s="621">
        <v>314979.20000000001</v>
      </c>
      <c r="L11" s="621">
        <v>95782</v>
      </c>
      <c r="M11" s="619">
        <f>C11+F11</f>
        <v>361140.5</v>
      </c>
      <c r="N11" s="619">
        <f t="shared" ref="M11:N16" si="4">D11+G11</f>
        <v>361140.5</v>
      </c>
      <c r="O11" s="619">
        <f t="shared" ref="O11:O19" si="5">H11+I11+J11+K11+L11</f>
        <v>812017.8</v>
      </c>
      <c r="P11" s="622">
        <f t="shared" ref="P11:P16" si="6">SUM(M11:O11)</f>
        <v>1534298.8</v>
      </c>
      <c r="Q11" s="624">
        <f>P11/P19</f>
        <v>0.22998332249577663</v>
      </c>
    </row>
    <row r="12" spans="1:20" ht="25" customHeight="1" x14ac:dyDescent="0.25">
      <c r="A12" s="265" t="s">
        <v>1148</v>
      </c>
      <c r="B12" s="618">
        <v>5000</v>
      </c>
      <c r="C12" s="619">
        <f t="shared" si="0"/>
        <v>2500</v>
      </c>
      <c r="D12" s="619">
        <f t="shared" si="1"/>
        <v>2500</v>
      </c>
      <c r="E12" s="620">
        <v>4800</v>
      </c>
      <c r="F12" s="619">
        <f t="shared" si="2"/>
        <v>2400</v>
      </c>
      <c r="G12" s="619">
        <f t="shared" si="3"/>
        <v>2400</v>
      </c>
      <c r="H12" s="617">
        <v>4000</v>
      </c>
      <c r="I12" s="621">
        <v>30800</v>
      </c>
      <c r="J12" s="621">
        <v>10200</v>
      </c>
      <c r="K12" s="621">
        <v>50000</v>
      </c>
      <c r="L12" s="621">
        <v>1000</v>
      </c>
      <c r="M12" s="619">
        <f t="shared" si="4"/>
        <v>4900</v>
      </c>
      <c r="N12" s="619">
        <f t="shared" si="4"/>
        <v>4900</v>
      </c>
      <c r="O12" s="619">
        <f t="shared" si="5"/>
        <v>96000</v>
      </c>
      <c r="P12" s="622">
        <f t="shared" si="6"/>
        <v>105800</v>
      </c>
      <c r="Q12" s="624">
        <f>P12/P19</f>
        <v>1.585886368421403E-2</v>
      </c>
    </row>
    <row r="13" spans="1:20" ht="25" customHeight="1" x14ac:dyDescent="0.25">
      <c r="A13" s="625" t="s">
        <v>1149</v>
      </c>
      <c r="B13" s="618">
        <v>120000</v>
      </c>
      <c r="C13" s="619">
        <f t="shared" si="0"/>
        <v>60000</v>
      </c>
      <c r="D13" s="619">
        <f t="shared" si="1"/>
        <v>60000</v>
      </c>
      <c r="E13" s="620">
        <v>167000</v>
      </c>
      <c r="F13" s="619">
        <f>E13/2</f>
        <v>83500</v>
      </c>
      <c r="G13" s="619">
        <f t="shared" si="3"/>
        <v>83500</v>
      </c>
      <c r="H13" s="617">
        <v>381544</v>
      </c>
      <c r="I13" s="621">
        <v>68313</v>
      </c>
      <c r="J13" s="621">
        <v>68209</v>
      </c>
      <c r="K13" s="621">
        <v>129968</v>
      </c>
      <c r="L13" s="621">
        <v>83740</v>
      </c>
      <c r="M13" s="619">
        <f t="shared" si="4"/>
        <v>143500</v>
      </c>
      <c r="N13" s="619">
        <f t="shared" si="4"/>
        <v>143500</v>
      </c>
      <c r="O13" s="619">
        <f t="shared" si="5"/>
        <v>731774</v>
      </c>
      <c r="P13" s="622">
        <f t="shared" si="6"/>
        <v>1018774</v>
      </c>
      <c r="Q13" s="624">
        <f>P13/P19</f>
        <v>0.15270886569963577</v>
      </c>
    </row>
    <row r="14" spans="1:20" ht="25" customHeight="1" x14ac:dyDescent="0.25">
      <c r="A14" s="427" t="s">
        <v>1150</v>
      </c>
      <c r="B14" s="618">
        <f>57792+50000</f>
        <v>107792</v>
      </c>
      <c r="C14" s="619">
        <f t="shared" si="0"/>
        <v>53896</v>
      </c>
      <c r="D14" s="619">
        <f t="shared" si="1"/>
        <v>53896</v>
      </c>
      <c r="E14" s="620">
        <v>62680</v>
      </c>
      <c r="F14" s="619">
        <f t="shared" si="2"/>
        <v>31340</v>
      </c>
      <c r="G14" s="619">
        <f t="shared" si="3"/>
        <v>31340</v>
      </c>
      <c r="H14" s="617">
        <v>83011</v>
      </c>
      <c r="I14" s="621">
        <v>47539</v>
      </c>
      <c r="J14" s="621">
        <v>36230</v>
      </c>
      <c r="K14" s="621">
        <v>41504</v>
      </c>
      <c r="L14" s="621">
        <v>76685.960000000006</v>
      </c>
      <c r="M14" s="619">
        <f t="shared" si="4"/>
        <v>85236</v>
      </c>
      <c r="N14" s="619">
        <f t="shared" si="4"/>
        <v>85236</v>
      </c>
      <c r="O14" s="619">
        <f t="shared" si="5"/>
        <v>284969.96000000002</v>
      </c>
      <c r="P14" s="622">
        <f t="shared" si="6"/>
        <v>455441.96</v>
      </c>
      <c r="Q14" s="624">
        <f>P14/P19</f>
        <v>6.8268355006722681E-2</v>
      </c>
    </row>
    <row r="15" spans="1:20" ht="25" customHeight="1" x14ac:dyDescent="0.25">
      <c r="A15" s="427" t="s">
        <v>1151</v>
      </c>
      <c r="B15" s="618">
        <f>240300+53000</f>
        <v>293300</v>
      </c>
      <c r="C15" s="619">
        <f t="shared" si="0"/>
        <v>146650</v>
      </c>
      <c r="D15" s="619">
        <f t="shared" si="1"/>
        <v>146650</v>
      </c>
      <c r="E15" s="620">
        <v>0</v>
      </c>
      <c r="F15" s="619">
        <f t="shared" si="2"/>
        <v>0</v>
      </c>
      <c r="G15" s="619">
        <f t="shared" si="3"/>
        <v>0</v>
      </c>
      <c r="H15" s="617">
        <v>162600</v>
      </c>
      <c r="I15" s="621">
        <v>273750</v>
      </c>
      <c r="J15" s="621">
        <v>258355</v>
      </c>
      <c r="K15" s="621">
        <v>0</v>
      </c>
      <c r="L15" s="621">
        <v>136575</v>
      </c>
      <c r="M15" s="619">
        <f t="shared" si="4"/>
        <v>146650</v>
      </c>
      <c r="N15" s="619">
        <f t="shared" si="4"/>
        <v>146650</v>
      </c>
      <c r="O15" s="619">
        <f t="shared" si="5"/>
        <v>831280</v>
      </c>
      <c r="P15" s="622">
        <f t="shared" si="6"/>
        <v>1124580</v>
      </c>
      <c r="Q15" s="624">
        <f>P15/P19</f>
        <v>0.16856862875230069</v>
      </c>
    </row>
    <row r="16" spans="1:20" ht="25" customHeight="1" x14ac:dyDescent="0.25">
      <c r="A16" s="427" t="s">
        <v>1152</v>
      </c>
      <c r="B16" s="618">
        <v>65920.800000000003</v>
      </c>
      <c r="C16" s="619">
        <f t="shared" si="0"/>
        <v>32960.400000000001</v>
      </c>
      <c r="D16" s="619">
        <f t="shared" si="1"/>
        <v>32960.400000000001</v>
      </c>
      <c r="E16" s="620">
        <v>64000</v>
      </c>
      <c r="F16" s="619">
        <f t="shared" si="2"/>
        <v>32000</v>
      </c>
      <c r="G16" s="619">
        <f t="shared" si="3"/>
        <v>32000</v>
      </c>
      <c r="H16" s="617">
        <v>45366.1</v>
      </c>
      <c r="I16" s="621">
        <v>54568.85</v>
      </c>
      <c r="J16" s="621">
        <v>75876</v>
      </c>
      <c r="K16" s="621">
        <v>131737</v>
      </c>
      <c r="L16" s="621">
        <v>57760</v>
      </c>
      <c r="M16" s="619">
        <f t="shared" si="4"/>
        <v>64960.4</v>
      </c>
      <c r="N16" s="619">
        <f t="shared" si="4"/>
        <v>64960.4</v>
      </c>
      <c r="O16" s="619">
        <f t="shared" si="5"/>
        <v>365307.95</v>
      </c>
      <c r="P16" s="622">
        <f t="shared" si="6"/>
        <v>495228.75</v>
      </c>
      <c r="Q16" s="623">
        <f>P16/P19</f>
        <v>7.4232185621490629E-2</v>
      </c>
    </row>
    <row r="17" spans="1:20" ht="26" x14ac:dyDescent="0.25">
      <c r="A17" s="626" t="s">
        <v>1153</v>
      </c>
      <c r="B17" s="628">
        <f>SUM(B10:B16)</f>
        <v>1398130.96</v>
      </c>
      <c r="C17" s="628">
        <f t="shared" ref="C17:G17" si="7">SUM(C10:C16)</f>
        <v>699065.48</v>
      </c>
      <c r="D17" s="628">
        <f t="shared" si="7"/>
        <v>699065.48</v>
      </c>
      <c r="E17" s="629">
        <f t="shared" si="7"/>
        <v>726168.5</v>
      </c>
      <c r="F17" s="628">
        <f t="shared" si="7"/>
        <v>363084.25</v>
      </c>
      <c r="G17" s="628">
        <f t="shared" si="7"/>
        <v>363084.25</v>
      </c>
      <c r="H17" s="627">
        <f>+H10+H11+H12+H13+H14+H15+H16</f>
        <v>1042056.1</v>
      </c>
      <c r="I17" s="628">
        <f t="shared" ref="I17:L17" si="8">SUM(I10:I16)</f>
        <v>714953.45</v>
      </c>
      <c r="J17" s="628">
        <f>SUM(J10:J16)</f>
        <v>693222.1</v>
      </c>
      <c r="K17" s="628">
        <f>SUM(K10:K16)</f>
        <v>1119158.69</v>
      </c>
      <c r="L17" s="628">
        <f t="shared" si="8"/>
        <v>541214.96</v>
      </c>
      <c r="M17" s="629">
        <f>SUM(M10:M16)</f>
        <v>1062149.73</v>
      </c>
      <c r="N17" s="629">
        <f t="shared" ref="N17:O17" si="9">SUM(N10:N16)</f>
        <v>1062149.73</v>
      </c>
      <c r="O17" s="629">
        <f t="shared" si="9"/>
        <v>4110605.3000000003</v>
      </c>
      <c r="P17" s="630">
        <f>SUM(P10:P16)</f>
        <v>6234904.7599999998</v>
      </c>
      <c r="Q17" s="631">
        <f>P17/P19</f>
        <v>0.93457943925233644</v>
      </c>
    </row>
    <row r="18" spans="1:20" ht="15" customHeight="1" x14ac:dyDescent="0.25">
      <c r="A18" s="632" t="s">
        <v>1154</v>
      </c>
      <c r="B18" s="634">
        <f>B17*0.07</f>
        <v>97869.167200000011</v>
      </c>
      <c r="C18" s="634">
        <f>B18/2</f>
        <v>48934.583600000005</v>
      </c>
      <c r="D18" s="634">
        <f>B18-C18</f>
        <v>48934.583600000005</v>
      </c>
      <c r="E18" s="14">
        <f>E17*0.07</f>
        <v>50831.795000000006</v>
      </c>
      <c r="F18" s="634">
        <f>E18/2</f>
        <v>25415.897500000003</v>
      </c>
      <c r="G18" s="634">
        <f>E18-F18</f>
        <v>25415.897500000003</v>
      </c>
      <c r="H18" s="633">
        <f>H17*0.07</f>
        <v>72943.927000000011</v>
      </c>
      <c r="I18" s="634">
        <f t="shared" ref="I18:N18" si="10">I17*0.07</f>
        <v>50046.741500000004</v>
      </c>
      <c r="J18" s="634">
        <f>SFCG!P135</f>
        <v>48525.547000000006</v>
      </c>
      <c r="K18" s="634">
        <f t="shared" si="10"/>
        <v>78341.108300000007</v>
      </c>
      <c r="L18" s="634">
        <f t="shared" si="10"/>
        <v>37885.047200000001</v>
      </c>
      <c r="M18" s="14">
        <f t="shared" si="10"/>
        <v>74350.481100000005</v>
      </c>
      <c r="N18" s="14">
        <f t="shared" si="10"/>
        <v>74350.481100000005</v>
      </c>
      <c r="O18" s="14">
        <f>H18+I18+J18+K18+L18</f>
        <v>287742.37100000004</v>
      </c>
      <c r="P18" s="551">
        <f>SUM(M18:O18)</f>
        <v>436443.33320000005</v>
      </c>
      <c r="Q18" s="635">
        <f>P18/P19</f>
        <v>6.5420560747663559E-2</v>
      </c>
    </row>
    <row r="19" spans="1:20" ht="16.5" customHeight="1" x14ac:dyDescent="0.25">
      <c r="A19" s="469" t="s">
        <v>2</v>
      </c>
      <c r="B19" s="17">
        <f t="shared" ref="B19:N19" si="11">B17+B18</f>
        <v>1496000.1272</v>
      </c>
      <c r="C19" s="637">
        <f t="shared" si="11"/>
        <v>748000.06359999999</v>
      </c>
      <c r="D19" s="637">
        <f t="shared" si="11"/>
        <v>748000.06359999999</v>
      </c>
      <c r="E19" s="16">
        <f t="shared" si="11"/>
        <v>777000.29500000004</v>
      </c>
      <c r="F19" s="638">
        <f t="shared" si="11"/>
        <v>388500.14750000002</v>
      </c>
      <c r="G19" s="638">
        <f t="shared" si="11"/>
        <v>388500.14750000002</v>
      </c>
      <c r="H19" s="636">
        <f t="shared" si="11"/>
        <v>1115000.027</v>
      </c>
      <c r="I19" s="17">
        <f t="shared" si="11"/>
        <v>765000.19149999996</v>
      </c>
      <c r="J19" s="17">
        <f t="shared" si="11"/>
        <v>741747.647</v>
      </c>
      <c r="K19" s="17">
        <f t="shared" si="11"/>
        <v>1197499.7982999999</v>
      </c>
      <c r="L19" s="639">
        <f t="shared" si="11"/>
        <v>579100.00719999999</v>
      </c>
      <c r="M19" s="17">
        <f>M17+M18</f>
        <v>1136500.2111</v>
      </c>
      <c r="N19" s="17">
        <f t="shared" si="11"/>
        <v>1136500.2111</v>
      </c>
      <c r="O19" s="17">
        <f t="shared" si="5"/>
        <v>4398347.6710000001</v>
      </c>
      <c r="P19" s="640">
        <f>SUM(M19:O19)</f>
        <v>6671348.0932</v>
      </c>
      <c r="Q19" s="641">
        <f>P19/6671360.5</f>
        <v>0.99999814028937573</v>
      </c>
    </row>
    <row r="20" spans="1:20" ht="13" x14ac:dyDescent="0.3">
      <c r="A20" s="1"/>
      <c r="B20" s="447"/>
      <c r="C20" s="447"/>
      <c r="D20" s="642"/>
      <c r="E20" s="1"/>
      <c r="F20" s="643"/>
      <c r="G20" s="301"/>
      <c r="H20" s="447"/>
      <c r="I20" s="447"/>
      <c r="J20" s="1"/>
      <c r="K20" s="1"/>
      <c r="L20" s="1"/>
      <c r="M20" s="447"/>
      <c r="N20" s="1"/>
      <c r="O20" s="1"/>
      <c r="P20" s="301"/>
      <c r="Q20" s="1"/>
      <c r="R20" s="1"/>
      <c r="S20" s="1"/>
      <c r="T20" s="1"/>
    </row>
    <row r="21" spans="1:20" ht="13" x14ac:dyDescent="0.3">
      <c r="A21" s="1"/>
      <c r="B21" s="447"/>
      <c r="C21" s="447"/>
      <c r="D21" s="1"/>
      <c r="E21" s="1"/>
      <c r="F21" s="643"/>
      <c r="G21" s="301"/>
      <c r="H21" s="447"/>
      <c r="I21" s="447"/>
      <c r="J21" s="1"/>
      <c r="K21" s="1"/>
      <c r="L21" s="1"/>
      <c r="M21" s="447"/>
      <c r="N21" s="1"/>
      <c r="O21" s="1"/>
      <c r="P21" s="642"/>
      <c r="Q21" s="1"/>
      <c r="R21" s="1"/>
      <c r="S21" s="1"/>
      <c r="T21" s="1"/>
    </row>
    <row r="22" spans="1:20" ht="13" x14ac:dyDescent="0.3">
      <c r="A22" s="1"/>
      <c r="B22" s="1"/>
      <c r="C22" s="447"/>
      <c r="D22" s="1"/>
      <c r="E22" s="642"/>
      <c r="F22" s="301"/>
      <c r="G22" s="301"/>
      <c r="H22" s="447"/>
      <c r="I22" s="447"/>
      <c r="J22" s="1"/>
      <c r="K22" s="447"/>
      <c r="L22" s="552"/>
      <c r="M22" s="1"/>
      <c r="N22" s="644"/>
      <c r="O22" s="1"/>
      <c r="P22" s="301"/>
      <c r="Q22" s="1"/>
      <c r="R22" s="642"/>
      <c r="S22" s="1"/>
      <c r="T22" s="1"/>
    </row>
    <row r="23" spans="1:20" ht="13" x14ac:dyDescent="0.25">
      <c r="A23" s="3153" t="s">
        <v>65</v>
      </c>
      <c r="B23" s="3153"/>
      <c r="C23" s="3153"/>
      <c r="D23" s="3153"/>
      <c r="E23" s="3153"/>
      <c r="F23" s="3153"/>
      <c r="G23" s="3153"/>
      <c r="H23" s="3153"/>
      <c r="I23" s="3153"/>
      <c r="J23" s="3153"/>
      <c r="K23" s="3153"/>
      <c r="L23" s="3153"/>
      <c r="M23" s="3153"/>
      <c r="N23" s="3153"/>
      <c r="O23" s="3153"/>
      <c r="P23" s="3153"/>
      <c r="Q23" s="3153"/>
      <c r="R23" s="3153"/>
      <c r="S23" s="3153"/>
      <c r="T23" s="3153"/>
    </row>
    <row r="24" spans="1:20" ht="13" x14ac:dyDescent="0.3">
      <c r="A24" s="3356" t="s">
        <v>1155</v>
      </c>
      <c r="B24" s="3066"/>
      <c r="C24" s="3066"/>
      <c r="D24" s="3066"/>
      <c r="E24" s="3066"/>
      <c r="F24" s="3066"/>
      <c r="G24" s="3066"/>
      <c r="H24" s="3066"/>
      <c r="I24" s="3066"/>
      <c r="J24" s="3066"/>
      <c r="K24" s="3066"/>
      <c r="L24" s="3066"/>
      <c r="M24" s="3066"/>
      <c r="N24" s="3066"/>
      <c r="O24" s="3066"/>
      <c r="P24" s="2401"/>
      <c r="Q24" s="2401"/>
      <c r="R24" s="2401"/>
      <c r="S24" s="2401"/>
      <c r="T24" s="1"/>
    </row>
    <row r="25" spans="1:20" x14ac:dyDescent="0.25">
      <c r="A25" s="303"/>
      <c r="B25" s="2462"/>
      <c r="C25" s="2462"/>
      <c r="D25" s="2462"/>
      <c r="E25" s="2462"/>
      <c r="F25" s="647"/>
      <c r="G25" s="303"/>
      <c r="H25" s="2463"/>
      <c r="I25" s="2463"/>
      <c r="J25" s="303"/>
      <c r="K25" s="303"/>
      <c r="L25" s="303"/>
      <c r="M25" s="303"/>
      <c r="N25" s="303"/>
      <c r="O25" s="2464"/>
      <c r="P25" s="2464"/>
      <c r="Q25" s="2464"/>
      <c r="R25" s="2464"/>
      <c r="S25" s="2464"/>
      <c r="T25" s="2464"/>
    </row>
    <row r="26" spans="1:20" x14ac:dyDescent="0.25">
      <c r="A26" s="303"/>
      <c r="B26" s="2465"/>
      <c r="C26" s="2465"/>
      <c r="D26" s="2465"/>
      <c r="E26" s="2465"/>
      <c r="F26" s="303"/>
      <c r="G26" s="2463"/>
      <c r="H26" s="303"/>
      <c r="I26" s="303"/>
      <c r="J26" s="303"/>
      <c r="K26" s="303"/>
      <c r="L26" s="303"/>
      <c r="M26" s="303"/>
      <c r="N26" s="303"/>
      <c r="O26" s="2466"/>
      <c r="P26" s="2466"/>
      <c r="Q26" s="2466"/>
      <c r="R26" s="2464"/>
      <c r="S26" s="2464"/>
      <c r="T26" s="2464"/>
    </row>
    <row r="27" spans="1:20" ht="13" x14ac:dyDescent="0.3">
      <c r="A27" s="2467"/>
      <c r="B27" s="2468"/>
      <c r="C27" s="2468"/>
      <c r="D27" s="2468"/>
      <c r="E27" s="2468"/>
      <c r="F27" s="303"/>
      <c r="G27" s="303"/>
      <c r="H27" s="2463"/>
      <c r="I27" s="2463"/>
      <c r="J27" s="303"/>
      <c r="K27" s="303"/>
      <c r="L27" s="303"/>
      <c r="M27" s="303"/>
      <c r="N27" s="303"/>
      <c r="O27" s="2464"/>
      <c r="P27" s="2464"/>
      <c r="Q27" s="2464"/>
      <c r="R27" s="2464"/>
      <c r="S27" s="2464"/>
      <c r="T27" s="2464"/>
    </row>
    <row r="28" spans="1:20" ht="13" x14ac:dyDescent="0.3">
      <c r="A28" s="9" t="s">
        <v>1132</v>
      </c>
      <c r="B28" s="10" t="s">
        <v>500</v>
      </c>
      <c r="C28" s="10" t="s">
        <v>927</v>
      </c>
      <c r="D28" s="10" t="s">
        <v>398</v>
      </c>
      <c r="E28" s="10" t="s">
        <v>1156</v>
      </c>
      <c r="F28" s="10" t="s">
        <v>955</v>
      </c>
      <c r="G28" s="10" t="s">
        <v>66</v>
      </c>
      <c r="H28" s="303"/>
      <c r="I28" s="303"/>
      <c r="J28" s="303"/>
      <c r="K28" s="303"/>
      <c r="L28" s="303"/>
      <c r="M28" s="303"/>
      <c r="N28" s="303"/>
      <c r="O28" s="2464"/>
      <c r="P28" s="2464"/>
      <c r="Q28" s="2464"/>
      <c r="R28" s="2464"/>
      <c r="S28" s="2464"/>
      <c r="T28" s="2464"/>
    </row>
    <row r="29" spans="1:20" ht="18.75" customHeight="1" x14ac:dyDescent="0.25">
      <c r="A29" s="11" t="s">
        <v>67</v>
      </c>
      <c r="B29" s="12">
        <f>H17</f>
        <v>1042056.1</v>
      </c>
      <c r="C29" s="12">
        <f>I17</f>
        <v>714953.45</v>
      </c>
      <c r="D29" s="12">
        <f>J17</f>
        <v>693222.1</v>
      </c>
      <c r="E29" s="12">
        <f>K17</f>
        <v>1119158.69</v>
      </c>
      <c r="F29" s="12">
        <f>L17</f>
        <v>541214.96</v>
      </c>
      <c r="G29" s="654">
        <f>SUM(B29:F29)</f>
        <v>4110605.3</v>
      </c>
      <c r="H29" s="303"/>
      <c r="I29" s="303"/>
      <c r="J29" s="2463"/>
      <c r="K29" s="2463"/>
      <c r="L29" s="2463"/>
      <c r="M29" s="2463"/>
      <c r="N29" s="2463"/>
      <c r="O29" s="2464"/>
      <c r="P29" s="2464"/>
      <c r="Q29" s="2464"/>
      <c r="R29" s="2464"/>
      <c r="S29" s="2464"/>
      <c r="T29" s="2464"/>
    </row>
    <row r="30" spans="1:20" ht="18.75" customHeight="1" x14ac:dyDescent="0.25">
      <c r="A30" s="13" t="s">
        <v>68</v>
      </c>
      <c r="B30" s="14">
        <f>B29*0.07</f>
        <v>72943.927000000011</v>
      </c>
      <c r="C30" s="14">
        <f>C29*0.07</f>
        <v>50046.741500000004</v>
      </c>
      <c r="D30" s="14">
        <f>D29*0.07</f>
        <v>48525.547000000006</v>
      </c>
      <c r="E30" s="14">
        <f>E29*0.07</f>
        <v>78341.108300000007</v>
      </c>
      <c r="F30" s="14">
        <f>F29*0.07</f>
        <v>37885.047200000001</v>
      </c>
      <c r="G30" s="655">
        <f>SUM(B30:F30)</f>
        <v>287742.37100000004</v>
      </c>
      <c r="H30" s="303"/>
      <c r="I30" s="303"/>
      <c r="J30" s="303"/>
      <c r="K30" s="303"/>
      <c r="L30" s="303"/>
      <c r="M30" s="303"/>
      <c r="N30" s="303"/>
      <c r="O30" s="2464"/>
      <c r="P30" s="2464"/>
      <c r="Q30" s="2464"/>
      <c r="R30" s="2464"/>
      <c r="S30" s="2464"/>
      <c r="T30" s="2464"/>
    </row>
    <row r="31" spans="1:20" ht="21.75" customHeight="1" x14ac:dyDescent="0.25">
      <c r="A31" s="15" t="s">
        <v>0</v>
      </c>
      <c r="B31" s="16">
        <f>B29+B30</f>
        <v>1115000.027</v>
      </c>
      <c r="C31" s="16">
        <f>SUM(C29:C30)</f>
        <v>765000.19149999996</v>
      </c>
      <c r="D31" s="16">
        <f>SUM(D29:D30)</f>
        <v>741747.647</v>
      </c>
      <c r="E31" s="16">
        <f>SUM(E29:E30)</f>
        <v>1197499.7982999999</v>
      </c>
      <c r="F31" s="16">
        <f>SUM(F29:F30)</f>
        <v>579100.00719999999</v>
      </c>
      <c r="G31" s="656">
        <f>SUM(G29:G30)</f>
        <v>4398347.6710000001</v>
      </c>
      <c r="H31" s="303"/>
      <c r="I31" s="303"/>
      <c r="J31" s="303"/>
      <c r="K31" s="303"/>
      <c r="L31" s="303"/>
      <c r="M31" s="303"/>
      <c r="N31" s="303"/>
      <c r="O31" s="2464"/>
      <c r="P31" s="2464"/>
      <c r="Q31" s="2464"/>
      <c r="R31" s="2464"/>
      <c r="S31" s="2464"/>
      <c r="T31" s="2464"/>
    </row>
    <row r="32" spans="1:20" x14ac:dyDescent="0.25">
      <c r="G32" s="657"/>
      <c r="H32" s="303"/>
      <c r="I32" s="303"/>
    </row>
    <row r="33" spans="1:21" ht="13" x14ac:dyDescent="0.3">
      <c r="G33" s="658"/>
    </row>
    <row r="34" spans="1:21" ht="29" x14ac:dyDescent="0.35">
      <c r="A34" s="19" t="s">
        <v>74</v>
      </c>
      <c r="B34" s="20" t="s">
        <v>500</v>
      </c>
      <c r="C34" s="20" t="s">
        <v>75</v>
      </c>
      <c r="D34" s="20" t="s">
        <v>97</v>
      </c>
      <c r="E34" s="20" t="s">
        <v>75</v>
      </c>
      <c r="F34" s="20" t="s">
        <v>1157</v>
      </c>
      <c r="G34" s="20" t="s">
        <v>75</v>
      </c>
      <c r="H34" s="20" t="s">
        <v>1158</v>
      </c>
      <c r="I34" s="20"/>
      <c r="J34" s="20" t="s">
        <v>75</v>
      </c>
      <c r="K34" s="20" t="s">
        <v>398</v>
      </c>
      <c r="L34" s="20" t="s">
        <v>75</v>
      </c>
      <c r="M34" s="20" t="s">
        <v>194</v>
      </c>
      <c r="N34" s="20" t="s">
        <v>75</v>
      </c>
      <c r="O34" s="20" t="s">
        <v>972</v>
      </c>
      <c r="P34" s="659" t="s">
        <v>75</v>
      </c>
    </row>
    <row r="35" spans="1:21" ht="41.5" x14ac:dyDescent="0.35">
      <c r="A35" s="2469" t="s">
        <v>554</v>
      </c>
      <c r="B35" s="22">
        <f>'[5]ACIAR_OS 1 &amp; 6'!Q249</f>
        <v>800424</v>
      </c>
      <c r="C35" s="23">
        <f>B35/B38</f>
        <v>0.7178690409125883</v>
      </c>
      <c r="D35" s="22">
        <f>'[5]OS 1&amp;2 UNH'!Q68</f>
        <v>1013392.04</v>
      </c>
      <c r="E35" s="23">
        <f>D35/D38</f>
        <v>0.67740104834957826</v>
      </c>
      <c r="F35" s="22">
        <f>'[5]OIM_OS 3&amp;4'!Q136</f>
        <v>506168.5</v>
      </c>
      <c r="G35" s="23">
        <f>F35/F38</f>
        <v>0.65143926361057558</v>
      </c>
      <c r="H35" s="22">
        <f>'[5]Caritas_OS 4'!Q83</f>
        <v>476484.6</v>
      </c>
      <c r="I35" s="22"/>
      <c r="J35" s="23">
        <f>H35/H38</f>
        <v>0.62285549550974817</v>
      </c>
      <c r="K35" s="22">
        <f>+[6]SFCG!P86</f>
        <v>477763.1</v>
      </c>
      <c r="L35" s="23">
        <f>K35/K38</f>
        <v>0.64410463846068655</v>
      </c>
      <c r="M35" s="22">
        <f>'[5]MERCY CORPS_OS 6'!Q70</f>
        <v>745034.79999999993</v>
      </c>
      <c r="N35" s="660">
        <f>M35/M38</f>
        <v>0.62215849047803806</v>
      </c>
      <c r="O35" s="22">
        <f>[5]COOPI_OS7!Q64</f>
        <v>348187</v>
      </c>
      <c r="P35" s="23">
        <f>O35/O38</f>
        <v>0.60125538882915075</v>
      </c>
      <c r="U35" s="657"/>
    </row>
    <row r="36" spans="1:21" ht="41.5" x14ac:dyDescent="0.35">
      <c r="A36" s="2469" t="s">
        <v>555</v>
      </c>
      <c r="B36" s="2470">
        <f>'[5]ACIAR_OS 1 &amp; 6'!Q285</f>
        <v>241632.1</v>
      </c>
      <c r="C36" s="23">
        <f>B36/B38</f>
        <v>0.2167103983397482</v>
      </c>
      <c r="D36" s="22">
        <f>'[5]OS 1&amp;2 UNH'!Q97</f>
        <v>384738.89999999997</v>
      </c>
      <c r="E36" s="23">
        <f>D36/D38</f>
        <v>0.25717839090275818</v>
      </c>
      <c r="F36" s="22">
        <f>'[5]OIM_OS 3&amp;4'!Q187</f>
        <v>220000</v>
      </c>
      <c r="G36" s="23">
        <f>F36/F38</f>
        <v>0.28314017564176086</v>
      </c>
      <c r="H36" s="22">
        <f>'[5]Caritas_OS 4'!Q126</f>
        <v>238468.89</v>
      </c>
      <c r="I36" s="22"/>
      <c r="J36" s="23">
        <f>H36/H38</f>
        <v>0.31172394374258822</v>
      </c>
      <c r="K36" s="22">
        <f>+[6]SFCG!P132</f>
        <v>215459</v>
      </c>
      <c r="L36" s="23">
        <f>K36/K38</f>
        <v>0.29047480079164983</v>
      </c>
      <c r="M36" s="22">
        <f>'[5]MERCY CORPS_OS 6'!Q172</f>
        <v>374124.09</v>
      </c>
      <c r="N36" s="660">
        <f>M36/M38</f>
        <v>0.31242094877429849</v>
      </c>
      <c r="O36" s="22">
        <f>[5]COOPI_OS7!Q106</f>
        <v>193027.96000000002</v>
      </c>
      <c r="P36" s="23">
        <f>O36/O38</f>
        <v>0.33332405042318575</v>
      </c>
      <c r="U36" s="657"/>
    </row>
    <row r="37" spans="1:21" ht="14.5" x14ac:dyDescent="0.35">
      <c r="A37" s="2469" t="s">
        <v>556</v>
      </c>
      <c r="B37" s="2470">
        <f>'[5]ACIAR_OS 1 &amp; 6'!Q289</f>
        <v>72943.927000000011</v>
      </c>
      <c r="C37" s="23">
        <f>B37/B38</f>
        <v>6.5420560747663559E-2</v>
      </c>
      <c r="D37" s="22">
        <f>'[5]OS 1&amp;2 UNH'!Q101</f>
        <v>97869.165800000002</v>
      </c>
      <c r="E37" s="23">
        <f>D37/D38</f>
        <v>6.5420560747663559E-2</v>
      </c>
      <c r="F37" s="22">
        <f>'[5]OIM_OS 3&amp;4'!Q191</f>
        <v>50831.795000000006</v>
      </c>
      <c r="G37" s="23">
        <f>F37/F38</f>
        <v>6.5420560747663559E-2</v>
      </c>
      <c r="H37" s="22">
        <f>'[5]Caritas_OS 4'!Q129</f>
        <v>50046.744300000006</v>
      </c>
      <c r="I37" s="22"/>
      <c r="J37" s="23">
        <f>H37/H38</f>
        <v>6.5420560747663559E-2</v>
      </c>
      <c r="K37" s="22">
        <f>+[6]SFCG!P135</f>
        <v>48525.547000000006</v>
      </c>
      <c r="L37" s="23">
        <f>K37/K38</f>
        <v>6.5420560747663559E-2</v>
      </c>
      <c r="M37" s="22">
        <f>'[5]MERCY CORPS_OS 6'!Q176</f>
        <v>78341.122300000003</v>
      </c>
      <c r="N37" s="23">
        <f>M37/M38</f>
        <v>6.5420560747663559E-2</v>
      </c>
      <c r="O37" s="22">
        <f>[5]COOPI_OS7!Q110</f>
        <v>37885.047200000001</v>
      </c>
      <c r="P37" s="23">
        <f>O37/O38</f>
        <v>6.5420560747663559E-2</v>
      </c>
      <c r="U37" s="661"/>
    </row>
    <row r="38" spans="1:21" ht="14.5" x14ac:dyDescent="0.35">
      <c r="A38" s="25" t="s">
        <v>31</v>
      </c>
      <c r="B38" s="26">
        <f>SUM(B35:B37)</f>
        <v>1115000.027</v>
      </c>
      <c r="C38" s="27">
        <f>C35+C36+C37</f>
        <v>1</v>
      </c>
      <c r="D38" s="26">
        <f>SUM(D35:D37)</f>
        <v>1496000.1058</v>
      </c>
      <c r="E38" s="662">
        <f>E35+E36+E37</f>
        <v>1</v>
      </c>
      <c r="F38" s="663">
        <f t="shared" ref="F38:P38" si="12">SUM(F35:F37)</f>
        <v>777000.29500000004</v>
      </c>
      <c r="G38" s="662">
        <f t="shared" si="12"/>
        <v>1</v>
      </c>
      <c r="H38" s="664">
        <f t="shared" si="12"/>
        <v>765000.23430000001</v>
      </c>
      <c r="I38" s="664"/>
      <c r="J38" s="662">
        <f t="shared" si="12"/>
        <v>0.99999999999999989</v>
      </c>
      <c r="K38" s="664">
        <f t="shared" si="12"/>
        <v>741747.647</v>
      </c>
      <c r="L38" s="665">
        <f t="shared" si="12"/>
        <v>0.99999999999999989</v>
      </c>
      <c r="M38" s="26">
        <f t="shared" si="12"/>
        <v>1197500.0122999998</v>
      </c>
      <c r="N38" s="662">
        <f t="shared" si="12"/>
        <v>1</v>
      </c>
      <c r="O38" s="664">
        <f t="shared" si="12"/>
        <v>579100.00719999999</v>
      </c>
      <c r="P38" s="27">
        <f t="shared" si="12"/>
        <v>1</v>
      </c>
      <c r="Q38" s="657"/>
    </row>
    <row r="39" spans="1:21" x14ac:dyDescent="0.25">
      <c r="Q39" s="657"/>
    </row>
    <row r="40" spans="1:21" x14ac:dyDescent="0.25">
      <c r="Q40" s="657"/>
    </row>
    <row r="43" spans="1:21" x14ac:dyDescent="0.25">
      <c r="M43" s="666"/>
    </row>
  </sheetData>
  <mergeCells count="2">
    <mergeCell ref="A23:T23"/>
    <mergeCell ref="A24:O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0FA4F095C4904DBDA36630536BEF14" ma:contentTypeVersion="13" ma:contentTypeDescription="Create a new document." ma:contentTypeScope="" ma:versionID="b4a5ee4d78487c5b8ae7045073a816aa">
  <xsd:schema xmlns:xsd="http://www.w3.org/2001/XMLSchema" xmlns:xs="http://www.w3.org/2001/XMLSchema" xmlns:p="http://schemas.microsoft.com/office/2006/metadata/properties" xmlns:ns3="d11d474f-78e8-4fe7-9834-5da235aca905" xmlns:ns4="9462e398-d48f-47e5-a146-1daa06e90143" targetNamespace="http://schemas.microsoft.com/office/2006/metadata/properties" ma:root="true" ma:fieldsID="01bd3a0a6fda46bfe82287b96b7d4d61" ns3:_="" ns4:_="">
    <xsd:import namespace="d11d474f-78e8-4fe7-9834-5da235aca905"/>
    <xsd:import namespace="9462e398-d48f-47e5-a146-1daa06e901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d474f-78e8-4fe7-9834-5da235aca9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62e398-d48f-47e5-a146-1daa06e901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1532F-0AE1-443A-9085-065C760E65E1}">
  <ds:schemaRefs>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http://purl.org/dc/elements/1.1/"/>
    <ds:schemaRef ds:uri="d11d474f-78e8-4fe7-9834-5da235aca905"/>
    <ds:schemaRef ds:uri="http://schemas.openxmlformats.org/package/2006/metadata/core-properties"/>
    <ds:schemaRef ds:uri="9462e398-d48f-47e5-a146-1daa06e90143"/>
    <ds:schemaRef ds:uri="http://purl.org/dc/dcmitype/"/>
  </ds:schemaRefs>
</ds:datastoreItem>
</file>

<file path=customXml/itemProps2.xml><?xml version="1.0" encoding="utf-8"?>
<ds:datastoreItem xmlns:ds="http://schemas.openxmlformats.org/officeDocument/2006/customXml" ds:itemID="{B652AEF2-B6BD-4E88-BE24-DAF260163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d474f-78e8-4fe7-9834-5da235aca905"/>
    <ds:schemaRef ds:uri="9462e398-d48f-47e5-a146-1daa06e90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70022D-E60E-49A8-848E-BBE8D9A3AD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Budget Global</vt:lpstr>
      <vt:lpstr>Budget Recapitulatif PMOs</vt:lpstr>
      <vt:lpstr>UNHABITAT</vt:lpstr>
      <vt:lpstr>SFCG</vt:lpstr>
      <vt:lpstr>MERCY COPRS</vt:lpstr>
      <vt:lpstr>ACIAR</vt:lpstr>
      <vt:lpstr>OIM</vt:lpstr>
      <vt:lpstr>CARITAS</vt:lpstr>
      <vt:lpstr>COOPI</vt:lpstr>
      <vt:lpstr>Expense per agency</vt:lpstr>
      <vt:lpstr>Budget tous PMO</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Caitlin hannahan</cp:lastModifiedBy>
  <cp:lastPrinted>2012-04-12T11:38:43Z</cp:lastPrinted>
  <dcterms:created xsi:type="dcterms:W3CDTF">2010-10-28T04:03:10Z</dcterms:created>
  <dcterms:modified xsi:type="dcterms:W3CDTF">2020-06-19T08:37:00Z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0x010100370FA4F095C4904DBDA36630536BEF14</vt:lpwstr>
  </property>
  <property fmtid="{D5CDD505-2E9C-101B-9397-08002B2CF9AE}" pid="3" name="_dlc_DocIdItemGuid">
    <vt:lpwstr>f285cbe4-56b2-468f-9283-e39ba9e90881</vt:lpwstr>
  </property>
</Properties>
</file>