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fah.brahim.jiddou\Desktop\Projet PBF\Rapport annuel 2019 PBF Nov 2019\"/>
    </mc:Choice>
  </mc:AlternateContent>
  <xr:revisionPtr revIDLastSave="0" documentId="8_{318C9978-6500-4CB6-BC13-86D33DBBB325}" xr6:coauthVersionLast="44" xr6:coauthVersionMax="44" xr10:uidLastSave="{00000000-0000-0000-0000-000000000000}"/>
  <bookViews>
    <workbookView xWindow="-110" yWindow="-110" windowWidth="19420" windowHeight="10420" xr2:uid="{00000000-000D-0000-FFFF-FFFF00000000}"/>
  </bookViews>
  <sheets>
    <sheet name="Project Budget" sheetId="1" r:id="rId1"/>
    <sheet name="budget by UN cost category" sheetId="3" r:id="rId2"/>
  </sheets>
  <definedNames>
    <definedName name="_xlnm.Print_Area" localSheetId="0">'Project Budget'!$A$3:$AB$93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78" i="1" l="1"/>
  <c r="W79" i="1"/>
  <c r="W80" i="1"/>
  <c r="W81" i="1"/>
  <c r="W82" i="1"/>
  <c r="W83" i="1"/>
  <c r="W84" i="1"/>
  <c r="W85" i="1"/>
  <c r="W86" i="1"/>
  <c r="W87" i="1"/>
  <c r="W88" i="1"/>
  <c r="W77" i="1"/>
  <c r="W54" i="1"/>
  <c r="W55" i="1"/>
  <c r="W56" i="1"/>
  <c r="W57" i="1"/>
  <c r="W58" i="1"/>
  <c r="W59" i="1"/>
  <c r="W60" i="1"/>
  <c r="W61" i="1"/>
  <c r="W62" i="1"/>
  <c r="W63" i="1"/>
  <c r="W64" i="1"/>
  <c r="W65" i="1"/>
  <c r="W66" i="1"/>
  <c r="W67" i="1"/>
  <c r="W68" i="1"/>
  <c r="W69" i="1"/>
  <c r="W70" i="1"/>
  <c r="W71" i="1"/>
  <c r="W72" i="1"/>
  <c r="W73" i="1"/>
  <c r="W74" i="1"/>
  <c r="W75" i="1"/>
  <c r="W53" i="1"/>
  <c r="W49" i="1"/>
  <c r="W30" i="1"/>
  <c r="W31" i="1"/>
  <c r="W32" i="1"/>
  <c r="W33" i="1"/>
  <c r="W34" i="1"/>
  <c r="W35" i="1"/>
  <c r="W36" i="1"/>
  <c r="W37" i="1"/>
  <c r="W38" i="1"/>
  <c r="W39" i="1"/>
  <c r="W40" i="1"/>
  <c r="W41" i="1"/>
  <c r="W42" i="1"/>
  <c r="W43" i="1"/>
  <c r="W44" i="1"/>
  <c r="W45" i="1"/>
  <c r="W46" i="1"/>
  <c r="W47" i="1"/>
  <c r="W29" i="1"/>
  <c r="W6" i="1"/>
  <c r="W7" i="1"/>
  <c r="W8" i="1"/>
  <c r="W9" i="1"/>
  <c r="W10" i="1"/>
  <c r="W11" i="1"/>
  <c r="W12" i="1"/>
  <c r="W13" i="1"/>
  <c r="W14" i="1"/>
  <c r="W15" i="1"/>
  <c r="W16" i="1"/>
  <c r="W17" i="1"/>
  <c r="W18" i="1"/>
  <c r="W19" i="1"/>
  <c r="W20" i="1"/>
  <c r="W21" i="1"/>
  <c r="W22" i="1"/>
  <c r="W23" i="1"/>
  <c r="W24" i="1"/>
  <c r="W25" i="1"/>
  <c r="W26" i="1"/>
  <c r="W27" i="1"/>
  <c r="W5" i="1"/>
  <c r="V30" i="1"/>
  <c r="V31" i="1"/>
  <c r="V32" i="1"/>
  <c r="V33" i="1"/>
  <c r="V34" i="1"/>
  <c r="V35" i="1"/>
  <c r="V36" i="1"/>
  <c r="V37" i="1"/>
  <c r="V38" i="1"/>
  <c r="V39" i="1"/>
  <c r="V40" i="1"/>
  <c r="V41" i="1"/>
  <c r="V42" i="1"/>
  <c r="V43" i="1"/>
  <c r="V44" i="1"/>
  <c r="V45" i="1"/>
  <c r="V46" i="1"/>
  <c r="V47" i="1"/>
  <c r="V29" i="1"/>
  <c r="V6" i="1"/>
  <c r="V7" i="1"/>
  <c r="V8" i="1"/>
  <c r="V9" i="1"/>
  <c r="V10" i="1"/>
  <c r="V11" i="1"/>
  <c r="V12" i="1"/>
  <c r="V13" i="1"/>
  <c r="V14" i="1"/>
  <c r="V15" i="1"/>
  <c r="V16" i="1"/>
  <c r="V17" i="1"/>
  <c r="V18" i="1"/>
  <c r="V19" i="1"/>
  <c r="V20" i="1"/>
  <c r="V21" i="1"/>
  <c r="V22" i="1"/>
  <c r="V23" i="1"/>
  <c r="V24" i="1"/>
  <c r="V25" i="1"/>
  <c r="V26" i="1"/>
  <c r="V27" i="1"/>
  <c r="V5" i="1"/>
  <c r="V50" i="1"/>
  <c r="V51" i="1"/>
  <c r="V52" i="1"/>
  <c r="V53" i="1"/>
  <c r="V54" i="1"/>
  <c r="V55" i="1"/>
  <c r="V56" i="1"/>
  <c r="V57" i="1"/>
  <c r="V58" i="1"/>
  <c r="V59" i="1"/>
  <c r="V60" i="1"/>
  <c r="V61" i="1"/>
  <c r="V62" i="1"/>
  <c r="V63" i="1"/>
  <c r="V64" i="1"/>
  <c r="V65" i="1"/>
  <c r="V66" i="1"/>
  <c r="V67" i="1"/>
  <c r="V68" i="1"/>
  <c r="V69" i="1"/>
  <c r="V70" i="1"/>
  <c r="V71" i="1"/>
  <c r="V72" i="1"/>
  <c r="V73" i="1"/>
  <c r="V74" i="1"/>
  <c r="V75" i="1"/>
  <c r="V49" i="1"/>
  <c r="V78" i="1"/>
  <c r="V79" i="1"/>
  <c r="V80" i="1"/>
  <c r="V81" i="1"/>
  <c r="V82" i="1"/>
  <c r="V83" i="1"/>
  <c r="V84" i="1"/>
  <c r="V85" i="1"/>
  <c r="V86" i="1"/>
  <c r="V87" i="1"/>
  <c r="V88" i="1"/>
  <c r="V77" i="1"/>
  <c r="W89" i="1"/>
  <c r="V89" i="1"/>
  <c r="R27" i="1"/>
  <c r="R87" i="1" s="1"/>
  <c r="R14" i="1"/>
  <c r="U9" i="3"/>
  <c r="U8" i="3"/>
  <c r="U10" i="3"/>
  <c r="U11" i="3"/>
  <c r="U12" i="3"/>
  <c r="U13" i="3"/>
  <c r="U14" i="3"/>
  <c r="U15" i="3"/>
  <c r="Z9" i="3"/>
  <c r="Z10" i="3"/>
  <c r="Z11" i="3"/>
  <c r="Z12" i="3"/>
  <c r="Z13" i="3"/>
  <c r="Z14" i="3"/>
  <c r="Z15" i="3"/>
  <c r="Z16" i="3"/>
  <c r="Z17" i="3"/>
  <c r="Z8" i="3"/>
  <c r="V8" i="3"/>
  <c r="X8" i="3" s="1"/>
  <c r="X15" i="3" s="1"/>
  <c r="X17" i="3" s="1"/>
  <c r="X9" i="3"/>
  <c r="X10" i="3"/>
  <c r="V11" i="3"/>
  <c r="X11" i="3"/>
  <c r="X12" i="3"/>
  <c r="V14" i="3"/>
  <c r="X14" i="3" s="1"/>
  <c r="W15" i="3"/>
  <c r="V16" i="3"/>
  <c r="X16" i="3"/>
  <c r="W17" i="3"/>
  <c r="R89" i="1" l="1"/>
  <c r="R88" i="1"/>
  <c r="V15" i="3"/>
  <c r="V17" i="3" s="1"/>
  <c r="U16" i="3" l="1"/>
  <c r="U17" i="3"/>
  <c r="F8" i="3" l="1"/>
  <c r="K9" i="3"/>
  <c r="K10" i="3"/>
  <c r="K11" i="3"/>
  <c r="K12" i="3"/>
  <c r="K13" i="3"/>
  <c r="K14" i="3"/>
  <c r="K15" i="3"/>
  <c r="K16" i="3"/>
  <c r="K17" i="3"/>
  <c r="K8" i="3"/>
  <c r="P9" i="3"/>
  <c r="P10" i="3"/>
  <c r="P11" i="3"/>
  <c r="P12" i="3"/>
  <c r="P13" i="3"/>
  <c r="P14" i="3"/>
  <c r="P15" i="3"/>
  <c r="P16" i="3"/>
  <c r="P17" i="3"/>
  <c r="P8" i="3"/>
  <c r="N47" i="1"/>
  <c r="N5" i="1"/>
  <c r="N27" i="1" s="1"/>
  <c r="J16" i="3"/>
  <c r="J88" i="1"/>
  <c r="J13" i="3"/>
  <c r="J15" i="3" s="1"/>
  <c r="J17" i="3" s="1"/>
  <c r="O10" i="3"/>
  <c r="J27" i="1"/>
  <c r="J5" i="1"/>
  <c r="L17" i="3"/>
  <c r="O11" i="3"/>
  <c r="O9" i="3"/>
  <c r="O8" i="3"/>
  <c r="J14" i="3"/>
  <c r="J11" i="3"/>
  <c r="J8" i="3"/>
  <c r="J29" i="1"/>
  <c r="G87" i="1"/>
  <c r="N87" i="1" l="1"/>
  <c r="O15" i="3"/>
  <c r="O17" i="3" s="1"/>
  <c r="N89" i="1" l="1"/>
  <c r="N88" i="1"/>
  <c r="J83" i="1" l="1"/>
  <c r="J47" i="1"/>
  <c r="J87" i="1" s="1"/>
  <c r="J89" i="1" l="1"/>
  <c r="F65" i="1" l="1"/>
  <c r="F63" i="1"/>
  <c r="E14" i="3"/>
  <c r="F61" i="1"/>
  <c r="E49" i="1" l="1"/>
  <c r="D49" i="1"/>
  <c r="G62" i="1"/>
  <c r="F54" i="1" l="1"/>
  <c r="F58" i="1"/>
  <c r="F62" i="1"/>
  <c r="F73" i="1"/>
  <c r="F84" i="1"/>
  <c r="F9" i="3"/>
  <c r="F10" i="3"/>
  <c r="F11" i="3"/>
  <c r="F12" i="3"/>
  <c r="F13" i="3"/>
  <c r="E15" i="3"/>
  <c r="E17" i="3" l="1"/>
  <c r="F75" i="1"/>
  <c r="F87" i="1" s="1"/>
  <c r="F89" i="1" s="1"/>
  <c r="N14" i="3"/>
  <c r="L11" i="3"/>
  <c r="L12" i="3"/>
  <c r="N12" i="3" s="1"/>
  <c r="M11" i="3"/>
  <c r="L10" i="3"/>
  <c r="N10" i="3" s="1"/>
  <c r="M9" i="3"/>
  <c r="L9" i="3"/>
  <c r="L8" i="3"/>
  <c r="N8" i="3" s="1"/>
  <c r="I10" i="3"/>
  <c r="I9" i="3"/>
  <c r="G16" i="3"/>
  <c r="I16" i="3" s="1"/>
  <c r="G14" i="3"/>
  <c r="I14" i="3" s="1"/>
  <c r="G8" i="3"/>
  <c r="I8" i="3" s="1"/>
  <c r="D11" i="3"/>
  <c r="D12" i="3"/>
  <c r="D13" i="3"/>
  <c r="B14" i="3"/>
  <c r="D14" i="3" s="1"/>
  <c r="F14" i="3" s="1"/>
  <c r="B8" i="3"/>
  <c r="D8" i="3" s="1"/>
  <c r="C15" i="3"/>
  <c r="D62" i="1"/>
  <c r="T80" i="1"/>
  <c r="U80" i="1" s="1"/>
  <c r="T81" i="1"/>
  <c r="T82" i="1"/>
  <c r="T84" i="1"/>
  <c r="T85" i="1"/>
  <c r="T86" i="1"/>
  <c r="T78" i="1"/>
  <c r="T79" i="1"/>
  <c r="T77" i="1"/>
  <c r="T74" i="1"/>
  <c r="T71" i="1"/>
  <c r="T72" i="1"/>
  <c r="T69" i="1"/>
  <c r="T70" i="1"/>
  <c r="U70" i="1" s="1"/>
  <c r="T67" i="1"/>
  <c r="T68" i="1"/>
  <c r="T65" i="1"/>
  <c r="T66" i="1"/>
  <c r="T63" i="1"/>
  <c r="T64" i="1"/>
  <c r="T61" i="1"/>
  <c r="T60" i="1"/>
  <c r="U60" i="1" s="1"/>
  <c r="T59" i="1"/>
  <c r="T57" i="1"/>
  <c r="T55" i="1"/>
  <c r="U55" i="1" s="1"/>
  <c r="T56" i="1"/>
  <c r="T53" i="1"/>
  <c r="T52" i="1"/>
  <c r="T51" i="1"/>
  <c r="T50" i="1"/>
  <c r="T49" i="1"/>
  <c r="T41" i="1"/>
  <c r="T42" i="1"/>
  <c r="T43" i="1"/>
  <c r="T44" i="1"/>
  <c r="T45" i="1"/>
  <c r="T46" i="1"/>
  <c r="T38" i="1"/>
  <c r="T39" i="1"/>
  <c r="T40" i="1"/>
  <c r="T36" i="1"/>
  <c r="T37" i="1"/>
  <c r="T33" i="1"/>
  <c r="T34" i="1"/>
  <c r="T35" i="1"/>
  <c r="T31" i="1"/>
  <c r="T32" i="1"/>
  <c r="T30" i="1"/>
  <c r="U30" i="1" s="1"/>
  <c r="T25" i="1"/>
  <c r="T26" i="1"/>
  <c r="T19" i="1"/>
  <c r="T20" i="1"/>
  <c r="T21" i="1"/>
  <c r="T22" i="1"/>
  <c r="T23" i="1"/>
  <c r="T24" i="1"/>
  <c r="T17" i="1"/>
  <c r="T18" i="1"/>
  <c r="T16" i="1"/>
  <c r="T15" i="1"/>
  <c r="T13" i="1"/>
  <c r="T10" i="1"/>
  <c r="T11" i="1"/>
  <c r="T12" i="1"/>
  <c r="U12" i="1" s="1"/>
  <c r="T6" i="1"/>
  <c r="U6" i="1" s="1"/>
  <c r="T7" i="1"/>
  <c r="T8" i="1"/>
  <c r="T9" i="1"/>
  <c r="S85" i="1"/>
  <c r="U85" i="1"/>
  <c r="S86" i="1"/>
  <c r="S84" i="1"/>
  <c r="U84" i="1" s="1"/>
  <c r="I88" i="1"/>
  <c r="S82" i="1"/>
  <c r="U82" i="1" s="1"/>
  <c r="S78" i="1"/>
  <c r="S79" i="1"/>
  <c r="S80" i="1"/>
  <c r="S81" i="1"/>
  <c r="U81" i="1" s="1"/>
  <c r="S77" i="1"/>
  <c r="S74" i="1"/>
  <c r="S72" i="1"/>
  <c r="S69" i="1"/>
  <c r="S70" i="1"/>
  <c r="S71" i="1"/>
  <c r="U71" i="1" s="1"/>
  <c r="S67" i="1"/>
  <c r="U67" i="1" s="1"/>
  <c r="S68" i="1"/>
  <c r="S65" i="1"/>
  <c r="S66" i="1"/>
  <c r="U66" i="1" s="1"/>
  <c r="S63" i="1"/>
  <c r="U63" i="1" s="1"/>
  <c r="S64" i="1"/>
  <c r="U64" i="1" s="1"/>
  <c r="S61" i="1"/>
  <c r="U61" i="1" s="1"/>
  <c r="S60" i="1"/>
  <c r="S59" i="1"/>
  <c r="U59" i="1" s="1"/>
  <c r="S57" i="1"/>
  <c r="S56" i="1"/>
  <c r="U56" i="1" s="1"/>
  <c r="S55" i="1"/>
  <c r="S53" i="1"/>
  <c r="U53" i="1" s="1"/>
  <c r="S52" i="1"/>
  <c r="U52" i="1" s="1"/>
  <c r="S51" i="1"/>
  <c r="S50" i="1"/>
  <c r="S41" i="1"/>
  <c r="U41" i="1"/>
  <c r="S42" i="1"/>
  <c r="S43" i="1"/>
  <c r="U43" i="1" s="1"/>
  <c r="S44" i="1"/>
  <c r="S45" i="1"/>
  <c r="S46" i="1"/>
  <c r="S40" i="1"/>
  <c r="S39" i="1"/>
  <c r="U39" i="1"/>
  <c r="S38" i="1"/>
  <c r="U38" i="1" s="1"/>
  <c r="S36" i="1"/>
  <c r="S37" i="1"/>
  <c r="S34" i="1"/>
  <c r="S33" i="1"/>
  <c r="S31" i="1"/>
  <c r="U31" i="1" s="1"/>
  <c r="S32" i="1"/>
  <c r="U32" i="1" s="1"/>
  <c r="S30" i="1"/>
  <c r="S23" i="1"/>
  <c r="S24" i="1"/>
  <c r="S25" i="1"/>
  <c r="S26" i="1"/>
  <c r="U26" i="1" s="1"/>
  <c r="S22" i="1"/>
  <c r="U22" i="1" s="1"/>
  <c r="S21" i="1"/>
  <c r="U21" i="1" s="1"/>
  <c r="S20" i="1"/>
  <c r="U20" i="1" s="1"/>
  <c r="S19" i="1"/>
  <c r="U19" i="1"/>
  <c r="S18" i="1"/>
  <c r="U18" i="1" s="1"/>
  <c r="S17" i="1"/>
  <c r="S16" i="1"/>
  <c r="S15" i="1"/>
  <c r="U15" i="1" s="1"/>
  <c r="S13" i="1"/>
  <c r="U13" i="1"/>
  <c r="S12" i="1"/>
  <c r="S11" i="1"/>
  <c r="U11" i="1" s="1"/>
  <c r="S10" i="1"/>
  <c r="S9" i="1"/>
  <c r="U9" i="1"/>
  <c r="S8" i="1"/>
  <c r="S7" i="1"/>
  <c r="U7" i="1"/>
  <c r="S6" i="1"/>
  <c r="Q17" i="1"/>
  <c r="Q18" i="1"/>
  <c r="Q16" i="1"/>
  <c r="P14" i="1"/>
  <c r="P27" i="1" s="1"/>
  <c r="O14" i="1"/>
  <c r="Q86" i="1"/>
  <c r="Q85" i="1"/>
  <c r="Q84" i="1"/>
  <c r="Q19" i="1"/>
  <c r="Q15" i="1"/>
  <c r="O5" i="1"/>
  <c r="L47" i="1"/>
  <c r="M37" i="1"/>
  <c r="L29" i="1"/>
  <c r="K29" i="1"/>
  <c r="M10" i="1"/>
  <c r="L5" i="1"/>
  <c r="L27" i="1" s="1"/>
  <c r="K5" i="1"/>
  <c r="M9" i="1"/>
  <c r="M8" i="1"/>
  <c r="M7" i="1"/>
  <c r="M6" i="1"/>
  <c r="K47" i="1"/>
  <c r="M88" i="1"/>
  <c r="M86" i="1"/>
  <c r="M85" i="1"/>
  <c r="M84" i="1"/>
  <c r="H5" i="1"/>
  <c r="T5" i="1" s="1"/>
  <c r="I9" i="1"/>
  <c r="I8" i="1"/>
  <c r="I7" i="1"/>
  <c r="H29" i="1"/>
  <c r="H47" i="1" s="1"/>
  <c r="G29" i="1"/>
  <c r="G47" i="1" s="1"/>
  <c r="H75" i="1"/>
  <c r="H83" i="1"/>
  <c r="T83" i="1" s="1"/>
  <c r="E55" i="1"/>
  <c r="C62" i="1"/>
  <c r="C58" i="1"/>
  <c r="E85" i="1"/>
  <c r="E86" i="1"/>
  <c r="E84" i="1"/>
  <c r="E60" i="1"/>
  <c r="E59" i="1"/>
  <c r="D58" i="1"/>
  <c r="T58" i="1" s="1"/>
  <c r="E57" i="1"/>
  <c r="D54" i="1"/>
  <c r="T54" i="1" s="1"/>
  <c r="C54" i="1"/>
  <c r="I79" i="1"/>
  <c r="I52" i="1"/>
  <c r="I51" i="1"/>
  <c r="G49" i="1"/>
  <c r="I35" i="1"/>
  <c r="I34" i="1"/>
  <c r="I33" i="1"/>
  <c r="I32" i="1"/>
  <c r="I31" i="1"/>
  <c r="I30" i="1"/>
  <c r="I53" i="1"/>
  <c r="I50" i="1"/>
  <c r="I77" i="1"/>
  <c r="I78" i="1"/>
  <c r="I86" i="1"/>
  <c r="I85" i="1"/>
  <c r="I84" i="1"/>
  <c r="I82" i="1"/>
  <c r="I81" i="1"/>
  <c r="E56" i="1"/>
  <c r="E61" i="1"/>
  <c r="E65" i="1"/>
  <c r="E66" i="1"/>
  <c r="E67" i="1"/>
  <c r="E68" i="1"/>
  <c r="D73" i="1"/>
  <c r="T73" i="1"/>
  <c r="E74" i="1"/>
  <c r="E73" i="1" s="1"/>
  <c r="C73" i="1"/>
  <c r="C75" i="1" s="1"/>
  <c r="E64" i="1"/>
  <c r="I80" i="1"/>
  <c r="M46" i="1"/>
  <c r="M45" i="1"/>
  <c r="M44" i="1"/>
  <c r="M43" i="1"/>
  <c r="M42" i="1"/>
  <c r="M41" i="1"/>
  <c r="M40" i="1"/>
  <c r="M39" i="1"/>
  <c r="M38" i="1"/>
  <c r="I36" i="1"/>
  <c r="M13" i="1"/>
  <c r="M12" i="1"/>
  <c r="M11" i="1"/>
  <c r="U8" i="1"/>
  <c r="U10" i="1"/>
  <c r="T62" i="1"/>
  <c r="C16" i="3"/>
  <c r="C17" i="3"/>
  <c r="H15" i="3"/>
  <c r="H17" i="3" s="1"/>
  <c r="O73" i="1"/>
  <c r="O62" i="1"/>
  <c r="O58" i="1"/>
  <c r="O54" i="1"/>
  <c r="O49" i="1"/>
  <c r="O35" i="1"/>
  <c r="O29" i="1" s="1"/>
  <c r="O88" i="1"/>
  <c r="Q88" i="1" s="1"/>
  <c r="G83" i="1"/>
  <c r="S83" i="1" s="1"/>
  <c r="Z35" i="1"/>
  <c r="K14" i="1"/>
  <c r="K27" i="1" s="1"/>
  <c r="G14" i="1"/>
  <c r="C14" i="1"/>
  <c r="S14" i="1" s="1"/>
  <c r="C35" i="1"/>
  <c r="C29" i="1" s="1"/>
  <c r="K58" i="1"/>
  <c r="G58" i="1"/>
  <c r="K62" i="1"/>
  <c r="K73" i="1"/>
  <c r="G73" i="1"/>
  <c r="C49" i="1"/>
  <c r="K54" i="1"/>
  <c r="G54" i="1"/>
  <c r="K49" i="1"/>
  <c r="C5" i="1"/>
  <c r="G5" i="1"/>
  <c r="G13" i="3" s="1"/>
  <c r="I13" i="3" s="1"/>
  <c r="I49" i="1" l="1"/>
  <c r="I75" i="1" s="1"/>
  <c r="T14" i="1"/>
  <c r="U68" i="1"/>
  <c r="I29" i="1"/>
  <c r="U40" i="1"/>
  <c r="U50" i="1"/>
  <c r="U77" i="1"/>
  <c r="U78" i="1"/>
  <c r="U86" i="1"/>
  <c r="U46" i="1"/>
  <c r="Q14" i="1"/>
  <c r="Q27" i="1" s="1"/>
  <c r="Q87" i="1" s="1"/>
  <c r="U34" i="1"/>
  <c r="U45" i="1"/>
  <c r="S54" i="1"/>
  <c r="U54" i="1" s="1"/>
  <c r="U14" i="1"/>
  <c r="G75" i="1"/>
  <c r="E62" i="1"/>
  <c r="U23" i="1"/>
  <c r="U16" i="1"/>
  <c r="S73" i="1"/>
  <c r="U73" i="1" s="1"/>
  <c r="I83" i="1"/>
  <c r="I47" i="1"/>
  <c r="U47" i="1" s="1"/>
  <c r="H27" i="1"/>
  <c r="U37" i="1"/>
  <c r="M15" i="3"/>
  <c r="M17" i="3" s="1"/>
  <c r="N9" i="3"/>
  <c r="U51" i="1"/>
  <c r="N11" i="3"/>
  <c r="Q89" i="1"/>
  <c r="C27" i="1"/>
  <c r="S49" i="1"/>
  <c r="U49" i="1" s="1"/>
  <c r="S35" i="1"/>
  <c r="U35" i="1" s="1"/>
  <c r="U83" i="1"/>
  <c r="L87" i="1"/>
  <c r="L89" i="1" s="1"/>
  <c r="S62" i="1"/>
  <c r="U62" i="1" s="1"/>
  <c r="U33" i="1"/>
  <c r="U42" i="1"/>
  <c r="M47" i="1"/>
  <c r="M87" i="1" s="1"/>
  <c r="M89" i="1" s="1"/>
  <c r="D75" i="1"/>
  <c r="D87" i="1" s="1"/>
  <c r="U24" i="1"/>
  <c r="G27" i="1"/>
  <c r="E58" i="1"/>
  <c r="M5" i="1"/>
  <c r="M27" i="1" s="1"/>
  <c r="O27" i="1"/>
  <c r="L15" i="3"/>
  <c r="S5" i="1"/>
  <c r="U5" i="1" s="1"/>
  <c r="U65" i="1"/>
  <c r="U69" i="1"/>
  <c r="U79" i="1"/>
  <c r="M29" i="1"/>
  <c r="E54" i="1"/>
  <c r="T47" i="1"/>
  <c r="U44" i="1"/>
  <c r="U25" i="1"/>
  <c r="O47" i="1"/>
  <c r="I5" i="1"/>
  <c r="I27" i="1" s="1"/>
  <c r="U17" i="1"/>
  <c r="U74" i="1"/>
  <c r="T27" i="1"/>
  <c r="P87" i="1"/>
  <c r="P89" i="1" s="1"/>
  <c r="S29" i="1"/>
  <c r="C47" i="1"/>
  <c r="G11" i="3"/>
  <c r="T29" i="1"/>
  <c r="H89" i="1"/>
  <c r="U36" i="1"/>
  <c r="K75" i="1"/>
  <c r="K87" i="1" s="1"/>
  <c r="K89" i="1" s="1"/>
  <c r="U57" i="1"/>
  <c r="S58" i="1"/>
  <c r="U58" i="1" s="1"/>
  <c r="O75" i="1"/>
  <c r="U72" i="1"/>
  <c r="E75" i="1" l="1"/>
  <c r="E87" i="1" s="1"/>
  <c r="S27" i="1"/>
  <c r="N15" i="3"/>
  <c r="T75" i="1"/>
  <c r="C87" i="1"/>
  <c r="S47" i="1"/>
  <c r="U29" i="1"/>
  <c r="I11" i="3"/>
  <c r="G15" i="3"/>
  <c r="G17" i="3" s="1"/>
  <c r="D88" i="1"/>
  <c r="T88" i="1" s="1"/>
  <c r="T87" i="1"/>
  <c r="E88" i="1"/>
  <c r="E89" i="1" s="1"/>
  <c r="F94" i="1" s="1"/>
  <c r="U27" i="1"/>
  <c r="O87" i="1"/>
  <c r="S75" i="1"/>
  <c r="N17" i="3" l="1"/>
  <c r="I15" i="3"/>
  <c r="D89" i="1"/>
  <c r="T89" i="1" s="1"/>
  <c r="C88" i="1"/>
  <c r="C89" i="1" s="1"/>
  <c r="B15" i="3"/>
  <c r="U75" i="1"/>
  <c r="O89" i="1"/>
  <c r="D15" i="3" l="1"/>
  <c r="F15" i="3" s="1"/>
  <c r="I17" i="3"/>
  <c r="B16" i="3"/>
  <c r="B17" i="3" s="1"/>
  <c r="S88" i="1"/>
  <c r="U88" i="1" s="1"/>
  <c r="D16" i="3" l="1"/>
  <c r="F16" i="3" s="1"/>
  <c r="D17" i="3" l="1"/>
  <c r="F17" i="3" s="1"/>
  <c r="S87" i="1" l="1"/>
  <c r="U87" i="1" s="1"/>
  <c r="I87" i="1"/>
  <c r="I89" i="1"/>
  <c r="G89" i="1"/>
  <c r="S89" i="1"/>
  <c r="U89" i="1"/>
</calcChain>
</file>

<file path=xl/sharedStrings.xml><?xml version="1.0" encoding="utf-8"?>
<sst xmlns="http://schemas.openxmlformats.org/spreadsheetml/2006/main" count="228" uniqueCount="205">
  <si>
    <t>Outcome/ Output number</t>
  </si>
  <si>
    <t>Outcome/ output/ activity formulation:</t>
  </si>
  <si>
    <t>Budget by recipient organization 
UNICEF (initial)</t>
  </si>
  <si>
    <t>Changement</t>
  </si>
  <si>
    <t xml:space="preserve">nouveau budget 
UNICEF </t>
  </si>
  <si>
    <t>Budget by recipient organization 
UNDP (initial)</t>
  </si>
  <si>
    <t>Changements</t>
  </si>
  <si>
    <t>nouveau Budget UNDP</t>
  </si>
  <si>
    <t>Budget by recipient organization 
FAO (intial)</t>
  </si>
  <si>
    <t xml:space="preserve">Changement </t>
  </si>
  <si>
    <t>Nouveau budget FAO</t>
  </si>
  <si>
    <t>Budget by recipient organization 
OHCHR (initial)</t>
  </si>
  <si>
    <t>Nouveau budget OHCHR</t>
  </si>
  <si>
    <t>Total budget initial</t>
  </si>
  <si>
    <t>Total Changement</t>
  </si>
  <si>
    <t>Total nouveau budget</t>
  </si>
  <si>
    <t>Note explicative</t>
  </si>
  <si>
    <t xml:space="preserve">OUTCOME 1: Les capacités du système local à gérer les ressources naturelles de manière pacifique sont améliorées </t>
  </si>
  <si>
    <t>Output 1.1:</t>
  </si>
  <si>
    <t>Un Plan départemental pour la gestion intégrée des ressources est établi et mis en œuvre</t>
  </si>
  <si>
    <t>Activity 1.1.1:</t>
  </si>
  <si>
    <t>Etablir une cartographie détaillée des ressources naturelles, impliquant les autorités locales et les communautés, y compris les réfugiés</t>
  </si>
  <si>
    <t>Activity 1.1.2:</t>
  </si>
  <si>
    <t>S’accorder sur un plan départemental pour la gestion intégrée des ressources dans les trois saisons</t>
  </si>
  <si>
    <t>Activity 1.1.3:</t>
  </si>
  <si>
    <t>Renforcer les capacités des autorités locales (déconcentrées et élues) à mener la mise en œuvre du plan</t>
  </si>
  <si>
    <t>Activity 1.1.4:</t>
  </si>
  <si>
    <t>Etablir un mécanisme de matching pour le financement du plan</t>
  </si>
  <si>
    <t>Activity 1.1.5:</t>
  </si>
  <si>
    <t>Co-financer les activités de mise en œuvre du plan</t>
  </si>
  <si>
    <t>Activity 1.1.5.1.</t>
  </si>
  <si>
    <t>Réaliser les travaux de forage des puits et équipement</t>
  </si>
  <si>
    <t>Activity 1.1.5.2</t>
  </si>
  <si>
    <t>Formation des comités de gestion</t>
  </si>
  <si>
    <t>Activity 1.1.5.3.</t>
  </si>
  <si>
    <t>Reboisement</t>
  </si>
  <si>
    <t>Output 1.2:</t>
  </si>
  <si>
    <t xml:space="preserve">Les comités de village, y compris le comité des réfugiés, participent à la gestion intégrée des ressources et à la gestion des conflits autour de celles-ci. </t>
  </si>
  <si>
    <t>Activity 1.2.1:</t>
  </si>
  <si>
    <t>Activity 1.2.2:</t>
  </si>
  <si>
    <t>Activity 1.2.3:</t>
  </si>
  <si>
    <t>Activity 1.2.4:</t>
  </si>
  <si>
    <t>Activity 1.2.5:</t>
  </si>
  <si>
    <t>Surveiller et documenter les violations des droits de l’homme,  les besoins de protection, y compris les VBG, découlant des conflits inter et intracommunautaires</t>
  </si>
  <si>
    <t>Activity 1.2.6</t>
  </si>
  <si>
    <t xml:space="preserve">Formations du Réseau des femmes sur les droits économiques sociaux et culturels (DESC): 64 femmes touchées </t>
  </si>
  <si>
    <t>Activity 1.2.7</t>
  </si>
  <si>
    <t xml:space="preserve">Processus de reconnaissance légale du Réseau des femmes de la Moughataa. </t>
  </si>
  <si>
    <t>Activity 1.2.8</t>
  </si>
  <si>
    <t>Elaboration d’un répertoire de contacts du Réseau des femmes et actualisation des contacts de celui des comités villageois.</t>
  </si>
  <si>
    <t>Activity 1.2.9</t>
  </si>
  <si>
    <t>Elaboration d'un répertoire simplifié des textes favorables aux femmes et sa vulgarisation.</t>
  </si>
  <si>
    <t>Activity 1.2.10</t>
  </si>
  <si>
    <t>Finalisation d’une boîte à image qui sera vulgarisée et distribuée aux femmes du Réseau.</t>
  </si>
  <si>
    <t>Activity 1.2.11</t>
  </si>
  <si>
    <t xml:space="preserve">Quatre ateliers d’échange avec les conseils municipaux de Dhar, Bassikounou, Fassala, Meghve avec les présidents et points focaux genre des comités. </t>
  </si>
  <si>
    <t>Activity 1.2.12</t>
  </si>
  <si>
    <t>TOTAL $ FOR OUTCOME 1:</t>
  </si>
  <si>
    <t>OUTCOME 2: Le développement économique local contribue davantage à matérialiser les dividendes de la paix pour les populations vulnérables</t>
  </si>
  <si>
    <t>Output 2.1:</t>
  </si>
  <si>
    <t xml:space="preserve">Les capacités des autorités locales pour soutenir le développement économique local (DEL) et développer des moyens d’existence soutenables qui contribuent à la diversification des sources de revenus et à la cohésion sociale sont renforcées </t>
  </si>
  <si>
    <t>Activity 2.1.1:</t>
  </si>
  <si>
    <t xml:space="preserve">Effectuer une analyse des gaps et un plan correspondant de renforcement des capacités des autorités de la Moughataa et des communes pour la coordination multi niveau et planification participative pour le DEL </t>
  </si>
  <si>
    <t>Activity 2.1.2:</t>
  </si>
  <si>
    <t>Renforcer les capacités des fonctionnaires et des autorités locales sur la coordination multi niveau et planification participative pour le DEL</t>
  </si>
  <si>
    <t>Activity 2.1.3:</t>
  </si>
  <si>
    <t>Appuyer l’application et l’intégration des méthodologies de planification participatives dans les cycles de planification de DEL de la Moughataa et des communes</t>
  </si>
  <si>
    <t>Activity 2.1.4</t>
  </si>
  <si>
    <t xml:space="preserve">Développement d’un plan départemental de mobilisation de ressources pour le DEL </t>
  </si>
  <si>
    <t>Activity 2.1.5:</t>
  </si>
  <si>
    <t xml:space="preserve">Appuyer la Moughataa dans l’élaboration de demandes pour des fonds régionaux et/ou nationaux pour le DEL </t>
  </si>
  <si>
    <t>Activity 2.1.6:</t>
  </si>
  <si>
    <t>Activity 2.1.6.1.</t>
  </si>
  <si>
    <t xml:space="preserve">Appui aux activités liées à la chaîne de valeurs pour la paix  et la cohésions sociale </t>
  </si>
  <si>
    <t>Activity 2.1.7</t>
  </si>
  <si>
    <t xml:space="preserve">Financer des projets innovateurs et 
activités génératrices de revenus aux coopératives liées aux chaines de valeurs, priorisant les activités  sur l’utilisation efficace des ressources naturelles entre refugiées et communautés hôtes 
</t>
  </si>
  <si>
    <t>Activity 2.1.7.1.</t>
  </si>
  <si>
    <t>Sensibiliser les populations (hôte et réfugiée) et des organisations de base sur l’importance des ressources naturelles et l’importance vitale et l'intérêt général de gérer ces ressources de manière transparente et durable</t>
  </si>
  <si>
    <t>Activity 2.1.7.2.</t>
  </si>
  <si>
    <t>Organiser des formations adaptées localement aux populations (hôte et réfugiée) sur les législations relatives à la gestion des ressources naturelles (code de l’Eau, forestier, pastoral et foncier) et les vulgariser .</t>
  </si>
  <si>
    <t>Activity 2.1.7.3.</t>
  </si>
  <si>
    <t>Appui au développement des cultures maraichères:  Réalisation des études hydrogéologiques et essais de pompage</t>
  </si>
  <si>
    <t>Activity 2.1.7.4.</t>
  </si>
  <si>
    <t>Activity2.1.7.5.</t>
  </si>
  <si>
    <t>Acquisition et installation des équipements  d'exhaures des points d'eau ( maraichage et cultures fourragères)</t>
  </si>
  <si>
    <t>Activity 2.1.7.6.</t>
  </si>
  <si>
    <t>Acquisition  des matériels et équipements deux systèmes californien et goutte à goutte (maraichage et cultures fourragères)</t>
  </si>
  <si>
    <t>Activity 2.1.7.7.</t>
  </si>
  <si>
    <t>formations sur techniques production et de protection des cultures maraichères</t>
  </si>
  <si>
    <t>Activity 2.1.7.8.</t>
  </si>
  <si>
    <t>Acquisition des coqs géniteurs Bleu d’Hollande et Brahma (300 coqs) et 400 poules pondeuses</t>
  </si>
  <si>
    <t>Activity 2.1.7.9</t>
  </si>
  <si>
    <t>Conception et mise en marche d’un dispositif de couvaison traditionnel (42 couvoirs)</t>
  </si>
  <si>
    <t>TOTAL $ FOR OUTCOME 2:</t>
  </si>
  <si>
    <t>OUTCOME 3: Les enfants et les adolescents (filles et garçons) agissent en tant qu’acteurs locaux de la paix</t>
  </si>
  <si>
    <t>Ouput 3.1 :</t>
  </si>
  <si>
    <t>Une analyse des conflits menée par des jeunes identifie les priorités des adolescents et des jeunes adultes (de moins de 25 ans) pour un développement pacifique et inclusif</t>
  </si>
  <si>
    <t>Activity 3.1.1:</t>
  </si>
  <si>
    <r>
      <t xml:space="preserve">Des critères inclusifs pour la participation aux processus sont établis, y compris l'âge, le sexe, l'origine ethnique, l'emplacement, le milieu socio-économique et le handicap.                                          </t>
    </r>
    <r>
      <rPr>
        <b/>
        <sz val="12"/>
        <rFont val="Times New Roman"/>
        <family val="1"/>
      </rPr>
      <t>Etude d'identification des critères inclusifs pour la participation au processus de paix</t>
    </r>
  </si>
  <si>
    <t>Activity 3.1.2:</t>
  </si>
  <si>
    <t>Une méthodologie pour l'analyse est développée qui garantit le consentement éclairé et la confidentialité, est adaptée aux étapes spécifiques du développement de l'adolescent, et socialement et culturellement appropriée pour les jeunes hommes et femmes</t>
  </si>
  <si>
    <t>Activity 3.1.3</t>
  </si>
  <si>
    <t>Activity 3.1.4:</t>
  </si>
  <si>
    <t xml:space="preserve">Les priorités de l'analyse des conflits sont utilisées pour informer les processus de planification locaux, </t>
  </si>
  <si>
    <t>Output 3.2:</t>
  </si>
  <si>
    <t>Les jeunes ont la capacité d’agir en tant qu’acteurs de la paix au sein de leurs communautés</t>
  </si>
  <si>
    <t>Activity 3.2.1:</t>
  </si>
  <si>
    <t>Les clubs de la paix offrent aux jeunes la possibilité d'acquérir des compétences pratiques, de contribuer positivement à leur communauté et de s'engager dans un dialogue intercommunautaire.</t>
  </si>
  <si>
    <t>Activity 3.2.2:</t>
  </si>
  <si>
    <t>Les méthodologies participatives (telles que le théâtre ou la vidéo) offrent aux jeunes l'opportunité d'apprendre comment résoudre de manière constructive les conflits au niveau individuel et collectif</t>
  </si>
  <si>
    <t>Activity 3.2.3:</t>
  </si>
  <si>
    <t>Des plateformes mobiles sont créées pour permettre aux jeunes de s'exprimer sur les questions sociales et sont utilisées dans le processus d'élaboration des politiques locales</t>
  </si>
  <si>
    <t>Output 3.3:</t>
  </si>
  <si>
    <t>La communauté locale soutient activement les besoins des jeunes pour la paix et la non-violence</t>
  </si>
  <si>
    <t>Activity 3.3.1:</t>
  </si>
  <si>
    <t>Engager les acteurs locaux essentiels, y compris les acteurs de l'éducation formelle et informelle, les parents, les leaders communautaires et religieux, pour une éducation pacifique et non-violente.</t>
  </si>
  <si>
    <t>Activity 3.3.2:</t>
  </si>
  <si>
    <t>Activity 3.3.3:</t>
  </si>
  <si>
    <t>Output 3.4:</t>
  </si>
  <si>
    <t>Les jeunes à risque d'exclusion sociale sont dotés de compétences pertinentes qui renforcent leur résilience</t>
  </si>
  <si>
    <t>Activity 3.4.1:</t>
  </si>
  <si>
    <t>Les enfants non scolarisés vivant en tant que pasteurs nomades augmentent leur niveau d'éducation, y compris les compétences de vie pertinentes pour améliorer les opportunités socio-culturelles et économiques</t>
  </si>
  <si>
    <t>Activity 3.4.2:</t>
  </si>
  <si>
    <t>Les écoles coraniques sont des agents pour améliorer la résilience des jeunes qui sont en dehors du système éducatif formel</t>
  </si>
  <si>
    <t>Activity 3.4.3:</t>
  </si>
  <si>
    <t>Les enfants non scolarisés à risque de violence et d'exclusion reçoivent une formation professionnelle</t>
  </si>
  <si>
    <t>Activity 3.4.4</t>
  </si>
  <si>
    <t xml:space="preserve"> </t>
  </si>
  <si>
    <t>Activity 3.4.5</t>
  </si>
  <si>
    <t>Activity 3.4.6</t>
  </si>
  <si>
    <t>Activity 3.4.7</t>
  </si>
  <si>
    <t>Soutenir la fourniture de matériel d'enseignement et d'apprentissage aux familles de réfugiés/communités hôtes sur la cohésion sociale afin de leur permettre de soutenir l'étude à domicile</t>
  </si>
  <si>
    <t>Activity 3.4.8</t>
  </si>
  <si>
    <t>Soutenir l'enseignement à distance sur la paix et la cohésion sociale  en vue d'éviter une année blanche ; adopter et adapter un programme par le biais d'un programme radio/télé pour le camp de M'Berra et les communautés hôtes</t>
  </si>
  <si>
    <t>Activity 3.4.9</t>
  </si>
  <si>
    <t xml:space="preserve">Assurer que les enfants vulnérables (réfugiés ou issus des communautés hôtes) touchés par COVID-19 ont accès à des arrangements de prise en charge alternatifs adéquats (y compris la prise en charge communautaire notamment par des familles d’accueil) et des services de protection adaptés à la crise pandémique et contribuant à la cohésion sociale </t>
  </si>
  <si>
    <t>Activity 3.4.10</t>
  </si>
  <si>
    <t>Output 3.5:</t>
  </si>
  <si>
    <t>Les parents d'enfants plus jeunes ont les capacités d'agir en tant qu'agents de paix dans leur communauté</t>
  </si>
  <si>
    <t>Activity 3.5.1:</t>
  </si>
  <si>
    <t>TOTAL $ FOR OUTCOME 3:</t>
  </si>
  <si>
    <t>Outcome 4 : la coordination du programme est assurée</t>
  </si>
  <si>
    <t>Personnel</t>
  </si>
  <si>
    <t>Fonctionnement</t>
  </si>
  <si>
    <t>Communication</t>
  </si>
  <si>
    <t>Revue annuelle</t>
  </si>
  <si>
    <t>Suivi-évaluation</t>
  </si>
  <si>
    <t>Evaluation finale</t>
  </si>
  <si>
    <t xml:space="preserve">TOTAL $ FOR OUTCOME 4 : </t>
  </si>
  <si>
    <t>Project personnel:</t>
  </si>
  <si>
    <t>Project general operating costs:</t>
  </si>
  <si>
    <t>Communication and visibility plan</t>
  </si>
  <si>
    <t>SUB-TOTAL PROJECT BUDGET:</t>
  </si>
  <si>
    <t>Indirect support costs (7%): 70,000 USD</t>
  </si>
  <si>
    <t xml:space="preserve">TOTAL PROJECT BUDGET:                                     </t>
  </si>
  <si>
    <t>Table 2 - Project budget by UN cost category</t>
  </si>
  <si>
    <t>Note: If this is a budget revision, insert extra columns to show budget changes.</t>
  </si>
  <si>
    <t>CATEGORIES</t>
  </si>
  <si>
    <t>Amount Recipient  Agency : 
UNICEF</t>
  </si>
  <si>
    <t>Amount Recipient  Agency :  PNUD</t>
  </si>
  <si>
    <t>Amount Recipient  Agency : Coordination PNUD</t>
  </si>
  <si>
    <t xml:space="preserve">Amount Recipient Agency
FAO  </t>
  </si>
  <si>
    <t>Amount Recipient  Agency OHCHR</t>
  </si>
  <si>
    <t>Budget initial</t>
  </si>
  <si>
    <t>Variation</t>
  </si>
  <si>
    <t>Nouveau Budget</t>
  </si>
  <si>
    <t xml:space="preserve">Budget Initial </t>
  </si>
  <si>
    <t>Nouveau budget</t>
  </si>
  <si>
    <t>Budget intial</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</si>
  <si>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</si>
  <si>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</si>
  <si>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</si>
  <si>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</si>
  <si>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</si>
  <si>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</si>
  <si>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</si>
  <si>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</si>
  <si>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</si>
  <si>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t>
  </si>
  <si>
    <t xml:space="preserve">Niveau de depense/ engagement actuel en USD (a remplir au moment des rapports de projet)          </t>
  </si>
  <si>
    <t>Taux réalisation par ligne budgétaire</t>
  </si>
  <si>
    <t>Total dépenses pour la période du rapport</t>
  </si>
  <si>
    <r>
      <t xml:space="preserve">Créer et mettre en œuvre des cadres de concertation villageois dans chacune des quatre communes (Fassala, Megve, Dhar, Bassikounou) de la Moughataa de Bassikounou, chargés de la coordination en matière de prévention et de gestion des conflits. </t>
    </r>
    <r>
      <rPr>
        <b/>
        <sz val="12"/>
        <rFont val="Times New Roman"/>
        <family val="1"/>
      </rPr>
      <t>(8 formations sur 18 mois soit 2000 USD/Formation)</t>
    </r>
  </si>
  <si>
    <r>
      <t xml:space="preserve">Sensibiliser et former des membres de comités villageois en vue de la connaissance de leurs droits et de leur participation effective dans l’identification, la formulation et la mise en œuvre de projets les concernant, </t>
    </r>
    <r>
      <rPr>
        <b/>
        <sz val="12"/>
        <rFont val="Times New Roman"/>
        <family val="1"/>
      </rPr>
      <t xml:space="preserve"> (8 formations des comites (2 par commune) pour un total de 497 personnes)</t>
    </r>
  </si>
  <si>
    <r>
      <t xml:space="preserve">Organiser des rencontres régulières d’information et de formation entre les femmes membres des comités de village, sur leurs droits et les mécanismes formels et informels de médiation et de résolution des conflits existants. </t>
    </r>
    <r>
      <rPr>
        <b/>
        <sz val="12"/>
        <rFont val="Times New Roman"/>
        <family val="1"/>
      </rPr>
      <t>(250 femmes dont 35 du camp de Mberra : 2 activités par communes et dans le camps de Mbera )</t>
    </r>
  </si>
  <si>
    <r>
      <t>Mettre en place des  moyens de communication et  appui au transport des membres des comités villageois et du cadre de concertation pour garantir un échange régulier d’informations entre les différents villages, ainsi que le suivi de la situation dans la prévention des conflits et la coordination avec les autorités locales.</t>
    </r>
    <r>
      <rPr>
        <b/>
        <sz val="12"/>
        <rFont val="Times New Roman"/>
        <family val="1"/>
      </rPr>
      <t xml:space="preserve"> (Moyen de communiction pour 18 mois 22600 USD etappui aux deplacements 7000 USD pour 18 mois)</t>
    </r>
  </si>
  <si>
    <r>
      <t>Visite d’échanges des membres du Réseau et des comités villageois avec les autorités de la wilaya à Néma</t>
    </r>
    <r>
      <rPr>
        <b/>
        <sz val="11"/>
        <rFont val="Calibri"/>
        <family val="2"/>
      </rPr>
      <t>.</t>
    </r>
  </si>
  <si>
    <r>
      <rPr>
        <sz val="12"/>
        <rFont val="Times New Roman"/>
        <family val="1"/>
      </rPr>
      <t>Effectuer des formations ciblées aux  coopératives liées aux chaines de valeur et appuyer le développement de demandes de fonds 
PNUD</t>
    </r>
    <r>
      <rPr>
        <b/>
        <sz val="12"/>
        <rFont val="Times New Roman"/>
        <family val="1"/>
      </rPr>
      <t xml:space="preserve">
</t>
    </r>
  </si>
  <si>
    <t>Décaissement</t>
  </si>
  <si>
    <t>Ecart</t>
  </si>
  <si>
    <t>Décalssement</t>
  </si>
  <si>
    <t>il est planifie de realiser deux nouvels espaces securises dans le camp de Mbera et iune enquete CAP avec ADICOR</t>
  </si>
  <si>
    <t>Enqquete CAP a realiser avec ADICOR au camp de Mbera et ESD FLM en communautes hotes.</t>
  </si>
  <si>
    <t>Actvites en cours avec deux paratenmaires ESD et la FLM en communautres hotes et ADICOR au camp de Mbera</t>
  </si>
  <si>
    <t>Actvites non programmee en 2020 car solde restant realiuee au lignes COVID 3.4.9 et 3.4.10</t>
  </si>
  <si>
    <t>Actvites non programmee en 2020 car solde restant realiuee au lignes COVID 3.4.9 et 3.4.11</t>
  </si>
  <si>
    <t>Signature d'une LAO  pour des études  et installation  du système goutte à goutte et le californien</t>
  </si>
  <si>
    <r>
      <t xml:space="preserve">Les besoins des participants en matière de développement inclusif et pacifique sont identifiés et présentés de manière désagrégée / </t>
    </r>
    <r>
      <rPr>
        <b/>
        <sz val="12"/>
        <rFont val="Times New Roman"/>
        <family val="1"/>
      </rPr>
      <t>Etude sur les besoin en matière de développement pacifique</t>
    </r>
  </si>
  <si>
    <t>Education et sensibilisation des parents sur la cohésion sociale et la gestion des conflits à travers 20 centres de DPE (12 dans le district de Bassikounou et 8 dans le camp de M'Berra)</t>
  </si>
  <si>
    <t xml:space="preserve">Fournir un soutien psychosocial aux enfants et aux familles vivant dans le camp ou dans les des communautés hôtes affectés ou impactés par le COVID-19 en développant les capacités des agents de première ligne et des capacités parentales positives pour un climat social favorable  à l’enfant et à la cohésion communautaire. </t>
  </si>
  <si>
    <t xml:space="preserve">Former et appuyer 250 enfants et adolescents seront formés comme pairs éducateurs pour la cartographie e mapping et l'identification d’autres adolescents à risque dans le camp de M'Berra et la Moughataa de Bassiknou
</t>
  </si>
  <si>
    <t>2 500 adolescents dans les sports sont engagés dans des activités socio-culturelles pour le développement et la promotion de la paix au niveau communautaire</t>
  </si>
  <si>
    <t>Appuyer des discussions participatives conduites par les adolescents  pour identifier les filles et les garcons vulnérables et à risque d'abus et exploitation 
120 adolescents non scolarises seront formes comme pairs educateurs et appuyes pour le mapping et l'identification des autres adolescent a risque dans le camp de Mberra et la Moughatas de Bassikounou</t>
  </si>
  <si>
    <t>Formation d’enseignants au camp de M'Berra et dans les communautés aux méthodologies d'éducation amie des enfants et d'éducation à la paix</t>
  </si>
  <si>
    <t>Établir des espaces securisés pour les adolescent et adolescentes (adolescent safe spaces) dans les communautés comme  point central pour que les garçons et filles se socialisent, partagent leurs expériences et acquièrent des compétences de vie courantes qui renforcent leurs capacités de protection contre la violence, y compris la violence basées sur le genre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</si>
</sst>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Red]\(&quot;$&quot;#,##0\)"/>
    <numFmt numFmtId="165" formatCode="_(&quot;$&quot;* #,##0.00_);_(&quot;$&quot;* \(#,##0.00\);_(&quot;$&quot;* &quot;-&quot;??_);_(@_)"/>
    <numFmt numFmtId="166" formatCode="_-* #,##0.00\ _€_-;\-* #,##0.00\ _€_-;_-* &quot;-&quot;??\ _€_-;_-@_-"/>
    <numFmt numFmtId="167" formatCode="_(&quot;$&quot;* #,##0_);_(&quot;$&quot;* \(#,##0\);_(&quot;$&quot;* &quot;-&quot;??_);_(@_)"/>
    <numFmt numFmtId="168" formatCode="[$$-409]#,##0.00"/>
    <numFmt numFmtId="169" formatCode="[$$-409]#,##0"/>
    <numFmt numFmtId="170" formatCode="[$$-409]#,##0.0"/>
    <numFmt numFmtId="171" formatCode="_-* #,##0\ _€_-;\-* #,##0\ _€_-;_-* &quot;-&quot;??\ _€_-;_-@_-"/>
  </numFmts>
  <fonts count="32" x14ac:knownFonts="1">
    <font>
      <sz val="11"/>
      <color theme="1"/>
      <name val="Calibri"/>
      <family val="2"/>
      <scheme val="minor"/>
    </font>
    <font>
      <sz val="8"/>
      <name val="Calibri"/>
      <family val="2"/>
    </font>
    <font>
      <sz val="12"/>
      <name val="Times New Roman"/>
      <family val="1"/>
    </font>
    <font>
      <b/>
      <sz val="12"/>
      <name val="Times New Roman"/>
      <family val="1"/>
    </font>
    <font>
      <sz val="10"/>
      <name val="Calibri"/>
      <family val="2"/>
    </font>
    <font>
      <b/>
      <sz val="10"/>
      <name val="Calibri"/>
      <family val="2"/>
    </font>
    <font>
      <b/>
      <sz val="11"/>
      <name val="Times New Roman"/>
      <family val="1"/>
    </font>
    <font>
      <sz val="11"/>
      <name val="Times New Roman"/>
      <family val="1"/>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0"/>
      <color theme="1"/>
      <name val="Calibri"/>
      <family val="2"/>
    </font>
    <font>
      <b/>
      <sz val="10"/>
      <color theme="1"/>
      <name val="Calibri"/>
      <family val="2"/>
    </font>
    <font>
      <sz val="12"/>
      <color theme="1"/>
      <name val="Times New Roman"/>
      <family val="1"/>
    </font>
    <font>
      <b/>
      <sz val="12"/>
      <color theme="1"/>
      <name val="Times New Roman"/>
      <family val="1"/>
    </font>
    <font>
      <b/>
      <sz val="11"/>
      <color rgb="FFFF0000"/>
      <name val="Calibri"/>
      <family val="2"/>
      <scheme val="minor"/>
    </font>
    <font>
      <sz val="11"/>
      <name val="Calibri"/>
      <family val="2"/>
      <scheme val="minor"/>
    </font>
    <font>
      <b/>
      <sz val="10"/>
      <color rgb="FFFF0000"/>
      <name val="Calibri"/>
      <family val="2"/>
    </font>
    <font>
      <sz val="11"/>
      <color theme="8" tint="0.79998168889431442"/>
      <name val="Calibri"/>
      <family val="2"/>
      <scheme val="minor"/>
    </font>
    <font>
      <b/>
      <sz val="9"/>
      <name val="Times New Roman"/>
      <family val="1"/>
    </font>
    <font>
      <b/>
      <sz val="16"/>
      <name val="Times New Roman"/>
      <family val="1"/>
    </font>
    <font>
      <sz val="12"/>
      <name val="Calibri"/>
      <family val="2"/>
      <scheme val="minor"/>
    </font>
    <font>
      <b/>
      <sz val="10"/>
      <name val="Arial"/>
      <family val="2"/>
    </font>
    <font>
      <b/>
      <sz val="11"/>
      <name val="Calibri"/>
      <family val="2"/>
      <scheme val="minor"/>
    </font>
    <font>
      <b/>
      <sz val="12"/>
      <name val="Calibri"/>
      <family val="2"/>
      <scheme val="minor"/>
    </font>
    <font>
      <b/>
      <sz val="11"/>
      <name val="Calibri"/>
      <family val="2"/>
    </font>
    <font>
      <sz val="16"/>
      <name val="Calibri"/>
      <family val="2"/>
      <scheme val="minor"/>
    </font>
    <font>
      <b/>
      <sz val="12"/>
      <color rgb="FFFF0000"/>
      <name val="Times New Roman"/>
      <family val="1"/>
    </font>
    <font>
      <b/>
      <sz val="11"/>
      <color rgb="FFFF0000"/>
      <name val="Times New Roman"/>
      <family val="1"/>
    </font>
    <font>
      <sz val="12"/>
      <color rgb="FFFF0000"/>
      <name val="Times New Roman"/>
      <family val="1"/>
    </font>
    <font>
      <sz val="11"/>
      <color rgb="FFFF0000"/>
      <name val="Times New Roman"/>
      <family val="1"/>
    </font>
  </fonts>
  <fills count="21">
    <fill>
      <patternFill patternType="none"/>
    </fill>
    <fill>
      <patternFill patternType="gray125"/>
    </fill>
    <fill>
      <patternFill patternType="solid">
        <fgColor rgb="FFD9D9D9"/>
        <bgColor indexed="64"/>
      </patternFill>
    </fill>
    <fill>
      <patternFill patternType="solid">
        <fgColor theme="8" tint="0.7999816888943144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B3B3B3"/>
        <bgColor indexed="64"/>
      </patternFill>
    </fill>
    <fill>
      <patternFill patternType="solid">
        <fgColor rgb="FFFFC000"/>
        <bgColor indexed="64"/>
      </patternFill>
    </fill>
    <fill>
      <patternFill patternType="solid">
        <fgColor theme="8"/>
        <bgColor indexed="64"/>
      </patternFill>
    </fill>
    <fill>
      <patternFill patternType="solid">
        <fgColor theme="9" tint="0.59999389629810485"/>
        <bgColor indexed="64"/>
      </patternFill>
    </fill>
    <fill>
      <patternFill patternType="solid">
        <fgColor rgb="FF0070C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tint="-9.9978637043366805E-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bottom style="thin">
        <color indexed="64"/>
      </bottom>
      <diagonal/>
    </border>
  </borders>
  <cellStyleXfs count="11">
    <xf numFmtId="0" fontId="0"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cellStyleXfs>
  <cellXfs count="237">
    <xf numFmtId="0" fontId="0" fillId="0" borderId="0" xfId="0"/>
    <xf numFmtId="0" fontId="0" fillId="0" borderId="0" xfId="0" applyFill="1"/>
    <xf numFmtId="164" fontId="0" fillId="0" borderId="0" xfId="0" applyNumberFormat="1"/>
    <xf numFmtId="167" fontId="0" fillId="0" borderId="0" xfId="0" applyNumberFormat="1"/>
    <xf numFmtId="0" fontId="0" fillId="0" borderId="0" xfId="0" applyAlignment="1"/>
    <xf numFmtId="0" fontId="0" fillId="0" borderId="0" xfId="0" applyFill="1" applyAlignment="1">
      <alignment vertical="center"/>
    </xf>
    <xf numFmtId="0" fontId="0" fillId="0" borderId="0" xfId="0"/>
    <xf numFmtId="0" fontId="0" fillId="0" borderId="0" xfId="0"/>
    <xf numFmtId="0" fontId="11" fillId="0" borderId="0" xfId="0" applyFont="1"/>
    <xf numFmtId="0" fontId="10" fillId="0" borderId="0" xfId="0" applyFont="1"/>
    <xf numFmtId="169" fontId="0" fillId="0" borderId="0" xfId="0" applyNumberFormat="1"/>
    <xf numFmtId="168" fontId="0" fillId="0" borderId="0" xfId="0" applyNumberFormat="1" applyFill="1"/>
    <xf numFmtId="168" fontId="0" fillId="0" borderId="0" xfId="0" applyNumberFormat="1" applyFill="1" applyAlignment="1"/>
    <xf numFmtId="10" fontId="0" fillId="0" borderId="0" xfId="0" applyNumberFormat="1"/>
    <xf numFmtId="169" fontId="0" fillId="0" borderId="0" xfId="0" applyNumberFormat="1" applyFill="1"/>
    <xf numFmtId="3" fontId="0" fillId="0" borderId="0" xfId="0" applyNumberFormat="1"/>
    <xf numFmtId="168" fontId="0" fillId="0" borderId="0" xfId="0" applyNumberFormat="1"/>
    <xf numFmtId="168" fontId="11" fillId="0" borderId="0" xfId="0" applyNumberFormat="1" applyFont="1"/>
    <xf numFmtId="0" fontId="0" fillId="0" borderId="0" xfId="0" applyBorder="1"/>
    <xf numFmtId="168" fontId="0" fillId="0" borderId="0" xfId="0" applyNumberFormat="1" applyBorder="1"/>
    <xf numFmtId="0" fontId="14" fillId="0" borderId="0" xfId="0" applyFont="1" applyBorder="1" applyAlignment="1">
      <alignment vertical="center" wrapText="1"/>
    </xf>
    <xf numFmtId="169" fontId="8" fillId="0" borderId="0" xfId="1" applyNumberFormat="1" applyFont="1"/>
    <xf numFmtId="168" fontId="14" fillId="0" borderId="0" xfId="0" applyNumberFormat="1" applyFont="1" applyFill="1" applyBorder="1" applyAlignment="1">
      <alignment vertical="center" wrapText="1"/>
    </xf>
    <xf numFmtId="0" fontId="2" fillId="9" borderId="1" xfId="0" applyFont="1" applyFill="1" applyBorder="1" applyAlignment="1">
      <alignment vertical="center" wrapText="1"/>
    </xf>
    <xf numFmtId="168" fontId="0" fillId="0" borderId="0" xfId="0" applyNumberFormat="1" applyFill="1" applyAlignment="1">
      <alignment vertical="center"/>
    </xf>
    <xf numFmtId="0" fontId="0" fillId="0" borderId="0" xfId="0" applyAlignment="1">
      <alignment vertical="center"/>
    </xf>
    <xf numFmtId="164" fontId="0" fillId="0" borderId="0" xfId="0" applyNumberFormat="1" applyAlignment="1">
      <alignment vertical="center"/>
    </xf>
    <xf numFmtId="0" fontId="9" fillId="0" borderId="0" xfId="0" applyFont="1" applyFill="1"/>
    <xf numFmtId="0" fontId="16" fillId="0" borderId="0" xfId="0" applyFont="1"/>
    <xf numFmtId="0" fontId="9" fillId="0" borderId="0" xfId="0" applyFont="1"/>
    <xf numFmtId="169" fontId="2" fillId="0" borderId="1" xfId="9" applyNumberFormat="1" applyFont="1" applyFill="1" applyBorder="1" applyAlignment="1">
      <alignment vertical="center" wrapText="1"/>
    </xf>
    <xf numFmtId="169" fontId="3" fillId="0" borderId="1" xfId="0" applyNumberFormat="1" applyFont="1" applyFill="1" applyBorder="1" applyAlignment="1">
      <alignment vertical="center" wrapText="1"/>
    </xf>
    <xf numFmtId="169" fontId="2" fillId="0" borderId="0" xfId="0" applyNumberFormat="1" applyFont="1" applyFill="1" applyBorder="1" applyAlignment="1">
      <alignment horizontal="right" vertical="center" wrapText="1"/>
    </xf>
    <xf numFmtId="169" fontId="2" fillId="0" borderId="1" xfId="0" applyNumberFormat="1" applyFont="1" applyFill="1" applyBorder="1" applyAlignment="1">
      <alignment horizontal="right" vertical="center" wrapText="1"/>
    </xf>
    <xf numFmtId="0" fontId="3" fillId="13"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17" fillId="0" borderId="0" xfId="0" applyFont="1" applyFill="1" applyAlignment="1">
      <alignment horizontal="center"/>
    </xf>
    <xf numFmtId="0" fontId="17" fillId="0" borderId="0" xfId="0" applyFont="1" applyAlignment="1">
      <alignment horizontal="center"/>
    </xf>
    <xf numFmtId="0" fontId="3" fillId="0"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168" fontId="2" fillId="0" borderId="1" xfId="0" applyNumberFormat="1" applyFont="1" applyFill="1" applyBorder="1" applyAlignment="1">
      <alignment vertical="center" wrapText="1"/>
    </xf>
    <xf numFmtId="168"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166" fontId="8" fillId="0" borderId="0" xfId="1" applyFont="1"/>
    <xf numFmtId="169" fontId="9" fillId="0" borderId="0" xfId="0" applyNumberFormat="1" applyFont="1"/>
    <xf numFmtId="169" fontId="17" fillId="0" borderId="0" xfId="0" applyNumberFormat="1" applyFont="1"/>
    <xf numFmtId="0" fontId="17" fillId="0" borderId="0" xfId="0" applyFont="1" applyFill="1"/>
    <xf numFmtId="168" fontId="3" fillId="3" borderId="1" xfId="0" applyNumberFormat="1" applyFont="1" applyFill="1" applyBorder="1" applyAlignment="1">
      <alignment vertical="center" wrapText="1"/>
    </xf>
    <xf numFmtId="168" fontId="3" fillId="7" borderId="1" xfId="0" applyNumberFormat="1" applyFont="1" applyFill="1" applyBorder="1" applyAlignment="1">
      <alignment vertical="center" wrapText="1"/>
    </xf>
    <xf numFmtId="168" fontId="2" fillId="0" borderId="3" xfId="0" applyNumberFormat="1" applyFont="1" applyFill="1" applyBorder="1" applyAlignment="1">
      <alignment vertical="center" wrapText="1"/>
    </xf>
    <xf numFmtId="168" fontId="2" fillId="0" borderId="6" xfId="0" applyNumberFormat="1" applyFont="1" applyFill="1" applyBorder="1" applyAlignment="1">
      <alignment vertical="center" wrapText="1"/>
    </xf>
    <xf numFmtId="168" fontId="2" fillId="0" borderId="1" xfId="9" applyNumberFormat="1" applyFont="1" applyFill="1" applyBorder="1" applyAlignment="1">
      <alignment vertical="center" wrapText="1"/>
    </xf>
    <xf numFmtId="168" fontId="6" fillId="3" borderId="1" xfId="0" applyNumberFormat="1" applyFont="1" applyFill="1" applyBorder="1" applyAlignment="1">
      <alignment vertical="center"/>
    </xf>
    <xf numFmtId="168" fontId="7" fillId="0" borderId="1" xfId="0" applyNumberFormat="1" applyFont="1" applyFill="1" applyBorder="1" applyAlignment="1">
      <alignment vertical="center"/>
    </xf>
    <xf numFmtId="168" fontId="7" fillId="0" borderId="1" xfId="0" applyNumberFormat="1" applyFont="1" applyFill="1" applyBorder="1"/>
    <xf numFmtId="168" fontId="3" fillId="3" borderId="1" xfId="9" applyNumberFormat="1" applyFont="1" applyFill="1" applyBorder="1" applyAlignment="1">
      <alignment vertical="center" wrapText="1"/>
    </xf>
    <xf numFmtId="0" fontId="17" fillId="0" borderId="0" xfId="0" applyFont="1"/>
    <xf numFmtId="0" fontId="0" fillId="0" borderId="0" xfId="0" applyFill="1" applyBorder="1"/>
    <xf numFmtId="168" fontId="3" fillId="9" borderId="1" xfId="0" applyNumberFormat="1" applyFont="1" applyFill="1" applyBorder="1" applyAlignment="1">
      <alignment vertical="center" wrapText="1"/>
    </xf>
    <xf numFmtId="9" fontId="3" fillId="0" borderId="1" xfId="10" applyFont="1" applyFill="1" applyBorder="1" applyAlignment="1">
      <alignment vertical="center" wrapText="1"/>
    </xf>
    <xf numFmtId="0" fontId="16" fillId="0" borderId="0" xfId="0" applyFont="1" applyFill="1"/>
    <xf numFmtId="0" fontId="15" fillId="0" borderId="0" xfId="0" applyFont="1" applyBorder="1" applyAlignment="1">
      <alignment vertical="center" wrapText="1"/>
    </xf>
    <xf numFmtId="0" fontId="15" fillId="0" borderId="0" xfId="0" applyFont="1" applyBorder="1" applyAlignment="1">
      <alignment vertical="center" wrapText="1"/>
    </xf>
    <xf numFmtId="0" fontId="2" fillId="12"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4" xfId="0" applyFill="1" applyBorder="1"/>
    <xf numFmtId="0" fontId="19" fillId="0" borderId="0" xfId="0" applyFont="1"/>
    <xf numFmtId="0" fontId="2" fillId="0" borderId="1" xfId="0" applyFont="1" applyFill="1" applyBorder="1" applyAlignment="1">
      <alignment horizontal="center" vertical="center" wrapText="1"/>
    </xf>
    <xf numFmtId="0" fontId="20" fillId="19" borderId="10" xfId="0" applyFont="1" applyFill="1" applyBorder="1" applyAlignment="1">
      <alignment vertical="center" wrapText="1"/>
    </xf>
    <xf numFmtId="0" fontId="3" fillId="3" borderId="1" xfId="0" applyFont="1" applyFill="1" applyBorder="1" applyAlignment="1">
      <alignment vertical="center" wrapText="1"/>
    </xf>
    <xf numFmtId="9" fontId="3" fillId="3" borderId="1" xfId="10" applyFont="1" applyFill="1" applyBorder="1" applyAlignment="1">
      <alignment vertical="center" wrapText="1"/>
    </xf>
    <xf numFmtId="0" fontId="2" fillId="0" borderId="1" xfId="0" applyFont="1" applyFill="1" applyBorder="1" applyAlignment="1">
      <alignment vertical="center" wrapText="1"/>
    </xf>
    <xf numFmtId="168" fontId="2" fillId="0" borderId="1" xfId="0" applyNumberFormat="1" applyFont="1" applyBorder="1" applyAlignment="1">
      <alignment vertical="center" wrapText="1"/>
    </xf>
    <xf numFmtId="0" fontId="2" fillId="4" borderId="1" xfId="0" applyFont="1" applyFill="1" applyBorder="1" applyAlignment="1">
      <alignment vertical="center" wrapText="1"/>
    </xf>
    <xf numFmtId="168" fontId="2" fillId="4" borderId="1" xfId="0" applyNumberFormat="1" applyFont="1" applyFill="1" applyBorder="1" applyAlignment="1">
      <alignment vertical="center" wrapText="1"/>
    </xf>
    <xf numFmtId="0" fontId="22" fillId="0" borderId="4" xfId="0" applyFont="1" applyBorder="1" applyAlignment="1">
      <alignment vertical="top" wrapText="1"/>
    </xf>
    <xf numFmtId="0" fontId="22" fillId="0" borderId="4" xfId="0" applyFont="1" applyBorder="1" applyAlignment="1">
      <alignment vertical="center" wrapText="1"/>
    </xf>
    <xf numFmtId="0" fontId="22" fillId="0" borderId="4" xfId="0" applyFont="1" applyBorder="1" applyAlignment="1">
      <alignment vertical="center"/>
    </xf>
    <xf numFmtId="0" fontId="2" fillId="0" borderId="3" xfId="0" applyFont="1" applyFill="1" applyBorder="1" applyAlignment="1">
      <alignment vertical="center" wrapText="1"/>
    </xf>
    <xf numFmtId="0" fontId="2" fillId="0" borderId="0" xfId="0" applyFont="1" applyAlignment="1">
      <alignment horizontal="justify" vertical="center"/>
    </xf>
    <xf numFmtId="0" fontId="2" fillId="0" borderId="13" xfId="0" applyFont="1" applyFill="1" applyBorder="1" applyAlignment="1">
      <alignment vertical="center" wrapText="1"/>
    </xf>
    <xf numFmtId="0" fontId="2" fillId="0" borderId="0" xfId="0" applyFont="1" applyAlignment="1">
      <alignment vertical="center" wrapText="1"/>
    </xf>
    <xf numFmtId="9" fontId="2" fillId="0" borderId="1" xfId="0" applyNumberFormat="1" applyFont="1" applyFill="1" applyBorder="1" applyAlignment="1">
      <alignment vertical="center" wrapText="1"/>
    </xf>
    <xf numFmtId="0" fontId="2" fillId="0" borderId="6" xfId="0" applyFont="1" applyFill="1" applyBorder="1" applyAlignment="1">
      <alignment vertical="center" wrapText="1"/>
    </xf>
    <xf numFmtId="0" fontId="23" fillId="0" borderId="0" xfId="0" applyFont="1" applyFill="1" applyAlignment="1">
      <alignment horizontal="justify" vertical="center" wrapText="1"/>
    </xf>
    <xf numFmtId="0" fontId="24" fillId="0" borderId="1" xfId="0" applyFont="1" applyFill="1" applyBorder="1" applyAlignment="1">
      <alignment vertical="center" wrapText="1"/>
    </xf>
    <xf numFmtId="0" fontId="25" fillId="0" borderId="0" xfId="0" applyFont="1" applyFill="1" applyAlignment="1">
      <alignment wrapText="1"/>
    </xf>
    <xf numFmtId="0" fontId="24" fillId="0" borderId="8" xfId="0" applyFont="1" applyFill="1" applyBorder="1" applyAlignment="1">
      <alignment vertical="center" wrapText="1"/>
    </xf>
    <xf numFmtId="168" fontId="2" fillId="0" borderId="1" xfId="1" applyNumberFormat="1" applyFont="1" applyBorder="1" applyAlignment="1">
      <alignment vertical="center" wrapText="1"/>
    </xf>
    <xf numFmtId="168" fontId="2" fillId="0" borderId="2" xfId="0" applyNumberFormat="1" applyFont="1" applyFill="1" applyBorder="1" applyAlignment="1">
      <alignment vertical="center" wrapText="1"/>
    </xf>
    <xf numFmtId="0" fontId="2" fillId="0" borderId="1" xfId="0" applyFont="1" applyBorder="1" applyAlignment="1">
      <alignment vertical="center" wrapText="1"/>
    </xf>
    <xf numFmtId="168" fontId="2" fillId="7" borderId="1" xfId="0" applyNumberFormat="1" applyFont="1" applyFill="1" applyBorder="1" applyAlignment="1">
      <alignment vertical="center" wrapText="1"/>
    </xf>
    <xf numFmtId="168" fontId="2" fillId="0" borderId="13" xfId="0" applyNumberFormat="1" applyFont="1" applyFill="1" applyBorder="1" applyAlignment="1">
      <alignment vertical="center" wrapText="1"/>
    </xf>
    <xf numFmtId="168" fontId="2" fillId="0" borderId="1" xfId="1" applyNumberFormat="1" applyFont="1" applyBorder="1" applyAlignment="1">
      <alignment horizontal="right" vertical="center" wrapText="1"/>
    </xf>
    <xf numFmtId="168" fontId="2" fillId="10" borderId="1" xfId="0" applyNumberFormat="1" applyFont="1" applyFill="1" applyBorder="1" applyAlignment="1">
      <alignment vertical="center" wrapText="1"/>
    </xf>
    <xf numFmtId="168" fontId="2" fillId="11" borderId="11" xfId="0" applyNumberFormat="1" applyFont="1" applyFill="1" applyBorder="1" applyAlignment="1">
      <alignment vertical="center" wrapText="1"/>
    </xf>
    <xf numFmtId="168" fontId="2" fillId="0" borderId="10" xfId="0" applyNumberFormat="1" applyFont="1" applyFill="1" applyBorder="1" applyAlignment="1">
      <alignment vertical="center" wrapText="1"/>
    </xf>
    <xf numFmtId="0" fontId="2" fillId="0" borderId="8" xfId="0" applyFont="1" applyFill="1" applyBorder="1" applyAlignment="1">
      <alignment vertical="center" wrapText="1"/>
    </xf>
    <xf numFmtId="168" fontId="2" fillId="0" borderId="11" xfId="0" applyNumberFormat="1" applyFont="1" applyFill="1" applyBorder="1" applyAlignment="1">
      <alignment vertical="center" wrapText="1"/>
    </xf>
    <xf numFmtId="168" fontId="2" fillId="0" borderId="7" xfId="0" applyNumberFormat="1" applyFont="1" applyFill="1" applyBorder="1" applyAlignment="1">
      <alignment vertical="center" wrapText="1"/>
    </xf>
    <xf numFmtId="0" fontId="22" fillId="7" borderId="12" xfId="0" applyFont="1" applyFill="1" applyBorder="1" applyAlignment="1">
      <alignment vertical="top" wrapText="1"/>
    </xf>
    <xf numFmtId="0" fontId="22" fillId="7" borderId="1" xfId="0" applyFont="1" applyFill="1" applyBorder="1" applyAlignment="1">
      <alignment vertical="top" wrapText="1"/>
    </xf>
    <xf numFmtId="168" fontId="2" fillId="0" borderId="14" xfId="0" applyNumberFormat="1" applyFont="1" applyFill="1" applyBorder="1" applyAlignment="1">
      <alignment vertical="center" wrapText="1"/>
    </xf>
    <xf numFmtId="0" fontId="22" fillId="7" borderId="5" xfId="0" applyFont="1" applyFill="1" applyBorder="1" applyAlignment="1">
      <alignment vertical="top" wrapText="1"/>
    </xf>
    <xf numFmtId="0" fontId="22" fillId="7" borderId="4" xfId="0" applyFont="1" applyFill="1" applyBorder="1" applyAlignment="1">
      <alignment vertical="top" wrapText="1"/>
    </xf>
    <xf numFmtId="168" fontId="2" fillId="0" borderId="8" xfId="0" applyNumberFormat="1" applyFont="1" applyFill="1" applyBorder="1" applyAlignment="1">
      <alignment vertical="center" wrapText="1"/>
    </xf>
    <xf numFmtId="168" fontId="2" fillId="0" borderId="0" xfId="0" applyNumberFormat="1" applyFont="1" applyFill="1" applyBorder="1" applyAlignment="1">
      <alignment vertical="center" wrapText="1"/>
    </xf>
    <xf numFmtId="168" fontId="3" fillId="16" borderId="1" xfId="0" applyNumberFormat="1" applyFont="1" applyFill="1" applyBorder="1" applyAlignment="1">
      <alignment vertical="center" wrapText="1"/>
    </xf>
    <xf numFmtId="168" fontId="3" fillId="0" borderId="7" xfId="0" applyNumberFormat="1" applyFont="1" applyFill="1" applyBorder="1" applyAlignment="1">
      <alignment vertical="center" wrapText="1"/>
    </xf>
    <xf numFmtId="0" fontId="2" fillId="7" borderId="1" xfId="0" applyFont="1" applyFill="1" applyBorder="1" applyAlignment="1">
      <alignment vertical="center" wrapText="1"/>
    </xf>
    <xf numFmtId="171" fontId="2" fillId="0" borderId="1" xfId="1" applyNumberFormat="1" applyFont="1" applyFill="1" applyBorder="1" applyAlignment="1">
      <alignment vertical="center" wrapText="1"/>
    </xf>
    <xf numFmtId="168" fontId="2" fillId="0" borderId="1" xfId="9" applyNumberFormat="1" applyFont="1" applyBorder="1" applyAlignment="1">
      <alignment vertical="center" wrapText="1"/>
    </xf>
    <xf numFmtId="168" fontId="2" fillId="10" borderId="1" xfId="9" applyNumberFormat="1" applyFont="1" applyFill="1" applyBorder="1" applyAlignment="1">
      <alignment vertical="center" wrapText="1"/>
    </xf>
    <xf numFmtId="168" fontId="2" fillId="11" borderId="1" xfId="9" applyNumberFormat="1" applyFont="1" applyFill="1" applyBorder="1" applyAlignment="1">
      <alignment vertical="center" wrapText="1"/>
    </xf>
    <xf numFmtId="0" fontId="6" fillId="3" borderId="1" xfId="0" applyFont="1" applyFill="1" applyBorder="1" applyAlignment="1">
      <alignment vertical="center"/>
    </xf>
    <xf numFmtId="168" fontId="7" fillId="0" borderId="1" xfId="0" applyNumberFormat="1" applyFont="1" applyBorder="1" applyAlignment="1">
      <alignment vertical="center"/>
    </xf>
    <xf numFmtId="168" fontId="7" fillId="10" borderId="1" xfId="0" applyNumberFormat="1" applyFont="1" applyFill="1" applyBorder="1" applyAlignment="1">
      <alignment vertical="center"/>
    </xf>
    <xf numFmtId="168" fontId="7" fillId="11" borderId="1" xfId="0" applyNumberFormat="1" applyFont="1" applyFill="1" applyBorder="1" applyAlignment="1">
      <alignment vertical="center"/>
    </xf>
    <xf numFmtId="0" fontId="17" fillId="0" borderId="1" xfId="0" applyFont="1" applyFill="1" applyBorder="1" applyAlignment="1">
      <alignment vertical="center"/>
    </xf>
    <xf numFmtId="9" fontId="2" fillId="0" borderId="1" xfId="10" applyFont="1" applyFill="1" applyBorder="1" applyAlignment="1">
      <alignment vertical="center" wrapText="1"/>
    </xf>
    <xf numFmtId="0" fontId="17" fillId="0" borderId="1" xfId="0" applyFont="1" applyFill="1" applyBorder="1" applyAlignment="1">
      <alignment vertical="top" wrapText="1"/>
    </xf>
    <xf numFmtId="168" fontId="3" fillId="0" borderId="1" xfId="0" applyNumberFormat="1" applyFont="1" applyBorder="1" applyAlignment="1">
      <alignment vertical="center" wrapText="1"/>
    </xf>
    <xf numFmtId="168" fontId="3" fillId="10" borderId="1" xfId="0" applyNumberFormat="1" applyFont="1" applyFill="1" applyBorder="1" applyAlignment="1">
      <alignment vertical="center" wrapText="1"/>
    </xf>
    <xf numFmtId="168" fontId="3" fillId="11" borderId="1" xfId="0" applyNumberFormat="1" applyFont="1" applyFill="1" applyBorder="1" applyAlignment="1">
      <alignment vertical="center" wrapText="1"/>
    </xf>
    <xf numFmtId="169" fontId="2" fillId="0" borderId="1" xfId="0" applyNumberFormat="1" applyFont="1" applyFill="1" applyBorder="1" applyAlignment="1">
      <alignment vertical="center" wrapText="1"/>
    </xf>
    <xf numFmtId="169" fontId="2" fillId="0" borderId="1" xfId="9" applyNumberFormat="1" applyFont="1" applyFill="1" applyBorder="1" applyAlignment="1">
      <alignment horizontal="right" vertical="center" wrapText="1"/>
    </xf>
    <xf numFmtId="169" fontId="2" fillId="0" borderId="1" xfId="1" applyNumberFormat="1" applyFont="1" applyBorder="1" applyAlignment="1">
      <alignment vertical="center" wrapText="1"/>
    </xf>
    <xf numFmtId="169" fontId="2" fillId="0" borderId="9" xfId="9" applyNumberFormat="1" applyFont="1" applyFill="1" applyBorder="1" applyAlignment="1">
      <alignment vertical="center" wrapText="1"/>
    </xf>
    <xf numFmtId="169" fontId="3" fillId="0" borderId="9" xfId="0" applyNumberFormat="1" applyFont="1" applyFill="1" applyBorder="1" applyAlignment="1">
      <alignment vertical="center" wrapText="1"/>
    </xf>
    <xf numFmtId="169" fontId="2" fillId="0" borderId="1" xfId="1" applyNumberFormat="1" applyFont="1" applyBorder="1" applyAlignment="1">
      <alignment horizontal="right" vertical="center" wrapText="1"/>
    </xf>
    <xf numFmtId="169" fontId="3" fillId="3" borderId="1" xfId="0" applyNumberFormat="1" applyFont="1" applyFill="1" applyBorder="1" applyAlignment="1">
      <alignment vertical="center" wrapText="1"/>
    </xf>
    <xf numFmtId="0" fontId="3" fillId="5" borderId="1" xfId="0" applyFont="1" applyFill="1" applyBorder="1" applyAlignment="1">
      <alignment vertical="center" wrapText="1"/>
    </xf>
    <xf numFmtId="169" fontId="3" fillId="5" borderId="1" xfId="0" applyNumberFormat="1" applyFont="1" applyFill="1" applyBorder="1" applyAlignment="1">
      <alignment vertical="center" wrapText="1"/>
    </xf>
    <xf numFmtId="169" fontId="3" fillId="0" borderId="13" xfId="0" applyNumberFormat="1" applyFont="1" applyFill="1" applyBorder="1" applyAlignment="1">
      <alignment vertical="center" wrapText="1"/>
    </xf>
    <xf numFmtId="169" fontId="3" fillId="4" borderId="6" xfId="0" applyNumberFormat="1" applyFont="1" applyFill="1" applyBorder="1" applyAlignment="1">
      <alignment horizontal="right" vertical="center" wrapText="1"/>
    </xf>
    <xf numFmtId="168" fontId="12" fillId="0" borderId="4" xfId="0" applyNumberFormat="1" applyFont="1" applyFill="1" applyBorder="1" applyAlignment="1">
      <alignment horizontal="right" vertical="center" wrapText="1"/>
    </xf>
    <xf numFmtId="169" fontId="12" fillId="6" borderId="4" xfId="0" applyNumberFormat="1" applyFont="1" applyFill="1" applyBorder="1" applyAlignment="1">
      <alignment horizontal="right" vertical="center" wrapText="1"/>
    </xf>
    <xf numFmtId="170" fontId="12" fillId="0" borderId="4" xfId="0" applyNumberFormat="1" applyFont="1" applyFill="1" applyBorder="1" applyAlignment="1">
      <alignment horizontal="right" vertical="center" wrapText="1"/>
    </xf>
    <xf numFmtId="169" fontId="13" fillId="6" borderId="4" xfId="0" applyNumberFormat="1" applyFont="1" applyFill="1" applyBorder="1" applyAlignment="1">
      <alignment horizontal="right" vertical="center" wrapText="1"/>
    </xf>
    <xf numFmtId="0" fontId="18" fillId="0" borderId="4" xfId="0" applyFont="1" applyFill="1" applyBorder="1" applyAlignment="1">
      <alignment horizontal="center" vertical="center" wrapText="1"/>
    </xf>
    <xf numFmtId="168" fontId="12" fillId="6" borderId="4" xfId="0" applyNumberFormat="1" applyFont="1" applyFill="1" applyBorder="1" applyAlignment="1">
      <alignment horizontal="right" vertical="center" wrapText="1"/>
    </xf>
    <xf numFmtId="168" fontId="12" fillId="7" borderId="4" xfId="0" applyNumberFormat="1" applyFont="1" applyFill="1" applyBorder="1" applyAlignment="1">
      <alignment horizontal="right" vertical="center" wrapText="1"/>
    </xf>
    <xf numFmtId="168" fontId="4" fillId="0" borderId="4" xfId="0" applyNumberFormat="1" applyFont="1" applyFill="1" applyBorder="1" applyAlignment="1">
      <alignment horizontal="right" vertical="center" wrapText="1"/>
    </xf>
    <xf numFmtId="168" fontId="4" fillId="7" borderId="4" xfId="0" applyNumberFormat="1" applyFont="1" applyFill="1" applyBorder="1" applyAlignment="1">
      <alignment horizontal="right" vertical="center" wrapText="1"/>
    </xf>
    <xf numFmtId="168" fontId="4" fillId="6" borderId="4" xfId="0" applyNumberFormat="1" applyFont="1" applyFill="1" applyBorder="1" applyAlignment="1">
      <alignment horizontal="right" vertical="center" wrapText="1"/>
    </xf>
    <xf numFmtId="169" fontId="13" fillId="7" borderId="4" xfId="0" applyNumberFormat="1" applyFont="1" applyFill="1" applyBorder="1" applyAlignment="1">
      <alignment horizontal="right" vertical="center" wrapText="1"/>
    </xf>
    <xf numFmtId="169" fontId="5" fillId="6" borderId="4" xfId="0" applyNumberFormat="1" applyFont="1" applyFill="1" applyBorder="1" applyAlignment="1">
      <alignment horizontal="right" vertical="center" wrapText="1"/>
    </xf>
    <xf numFmtId="0" fontId="5" fillId="18" borderId="4" xfId="0" applyFont="1" applyFill="1" applyBorder="1" applyAlignment="1">
      <alignment horizontal="center" vertical="center" wrapText="1"/>
    </xf>
    <xf numFmtId="168" fontId="4" fillId="0" borderId="16" xfId="0" applyNumberFormat="1" applyFont="1" applyFill="1" applyBorder="1" applyAlignment="1">
      <alignment horizontal="right" vertical="center" wrapText="1"/>
    </xf>
    <xf numFmtId="168" fontId="12" fillId="0" borderId="16" xfId="0" applyNumberFormat="1" applyFont="1" applyFill="1" applyBorder="1" applyAlignment="1">
      <alignment horizontal="right" vertical="center" wrapText="1"/>
    </xf>
    <xf numFmtId="168" fontId="12" fillId="6" borderId="16" xfId="0" applyNumberFormat="1" applyFont="1" applyFill="1" applyBorder="1" applyAlignment="1">
      <alignment horizontal="right" vertical="center" wrapText="1"/>
    </xf>
    <xf numFmtId="169" fontId="13" fillId="6" borderId="16" xfId="0" applyNumberFormat="1" applyFont="1" applyFill="1" applyBorder="1" applyAlignment="1">
      <alignment horizontal="right" vertical="center" wrapText="1"/>
    </xf>
    <xf numFmtId="0" fontId="5" fillId="0" borderId="4" xfId="0" applyFont="1" applyFill="1" applyBorder="1" applyAlignment="1">
      <alignment horizontal="center" vertical="center" wrapText="1"/>
    </xf>
    <xf numFmtId="0" fontId="13" fillId="15" borderId="4" xfId="0" applyFont="1" applyFill="1" applyBorder="1" applyAlignment="1">
      <alignment horizontal="center" vertical="center" wrapText="1"/>
    </xf>
    <xf numFmtId="0" fontId="13" fillId="17" borderId="4" xfId="0" applyFont="1" applyFill="1" applyBorder="1" applyAlignment="1">
      <alignment horizontal="center" vertical="center" wrapText="1"/>
    </xf>
    <xf numFmtId="0" fontId="12" fillId="0" borderId="4" xfId="0" applyFont="1" applyBorder="1" applyAlignment="1">
      <alignment vertical="center" wrapText="1"/>
    </xf>
    <xf numFmtId="168" fontId="12" fillId="11" borderId="4" xfId="0" applyNumberFormat="1" applyFont="1" applyFill="1" applyBorder="1" applyAlignment="1">
      <alignment horizontal="right" vertical="center" wrapText="1"/>
    </xf>
    <xf numFmtId="0" fontId="12" fillId="0" borderId="4" xfId="0" applyFont="1" applyFill="1" applyBorder="1" applyAlignment="1">
      <alignment vertical="center" wrapText="1"/>
    </xf>
    <xf numFmtId="169" fontId="12" fillId="0" borderId="4" xfId="0" applyNumberFormat="1" applyFont="1" applyFill="1" applyBorder="1" applyAlignment="1">
      <alignment horizontal="right" vertical="center" wrapText="1"/>
    </xf>
    <xf numFmtId="0" fontId="13" fillId="2" borderId="4" xfId="0" applyFont="1" applyFill="1" applyBorder="1" applyAlignment="1">
      <alignment vertical="center" wrapText="1"/>
    </xf>
    <xf numFmtId="169" fontId="12" fillId="11" borderId="4" xfId="0" applyNumberFormat="1" applyFont="1" applyFill="1" applyBorder="1" applyAlignment="1">
      <alignment horizontal="right" vertical="center" wrapText="1"/>
    </xf>
    <xf numFmtId="170" fontId="12" fillId="11" borderId="4" xfId="0" applyNumberFormat="1" applyFont="1" applyFill="1" applyBorder="1" applyAlignment="1">
      <alignment horizontal="right" vertical="center" wrapText="1"/>
    </xf>
    <xf numFmtId="169" fontId="13" fillId="11" borderId="4" xfId="0" applyNumberFormat="1" applyFont="1" applyFill="1" applyBorder="1" applyAlignment="1">
      <alignment horizontal="right" vertical="center" wrapText="1"/>
    </xf>
    <xf numFmtId="0" fontId="13" fillId="16" borderId="4" xfId="0" applyFont="1" applyFill="1" applyBorder="1" applyAlignment="1">
      <alignment horizontal="center" vertical="center" wrapText="1"/>
    </xf>
    <xf numFmtId="168" fontId="12" fillId="0" borderId="4" xfId="10" applyNumberFormat="1" applyFont="1" applyFill="1" applyBorder="1" applyAlignment="1">
      <alignment horizontal="right" vertical="center" wrapText="1"/>
    </xf>
    <xf numFmtId="169" fontId="13" fillId="20" borderId="4" xfId="10" applyNumberFormat="1" applyFont="1" applyFill="1" applyBorder="1" applyAlignment="1">
      <alignment horizontal="right" vertical="center" wrapText="1"/>
    </xf>
    <xf numFmtId="168" fontId="2" fillId="7" borderId="1" xfId="9" applyNumberFormat="1" applyFont="1" applyFill="1" applyBorder="1" applyAlignment="1">
      <alignment vertical="center" wrapText="1"/>
    </xf>
    <xf numFmtId="0" fontId="17" fillId="7" borderId="1" xfId="0" applyFont="1" applyFill="1" applyBorder="1" applyAlignment="1">
      <alignment vertical="center" wrapText="1"/>
    </xf>
    <xf numFmtId="168" fontId="7" fillId="7" borderId="1" xfId="0" applyNumberFormat="1" applyFont="1" applyFill="1" applyBorder="1" applyAlignment="1">
      <alignment vertical="center"/>
    </xf>
    <xf numFmtId="0" fontId="17" fillId="7" borderId="1" xfId="0" applyFont="1" applyFill="1" applyBorder="1" applyAlignment="1">
      <alignment vertical="top" wrapText="1"/>
    </xf>
    <xf numFmtId="0" fontId="17" fillId="0" borderId="13" xfId="0" applyFont="1" applyBorder="1" applyAlignment="1">
      <alignment vertical="center"/>
    </xf>
    <xf numFmtId="168" fontId="7" fillId="0" borderId="9" xfId="0" applyNumberFormat="1" applyFont="1" applyBorder="1" applyAlignment="1">
      <alignment vertical="center"/>
    </xf>
    <xf numFmtId="0" fontId="3" fillId="3" borderId="6" xfId="0" applyFont="1" applyFill="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wrapText="1"/>
    </xf>
    <xf numFmtId="168" fontId="2" fillId="9" borderId="1" xfId="9" applyNumberFormat="1" applyFont="1" applyFill="1" applyBorder="1" applyAlignment="1">
      <alignment vertical="center" wrapText="1"/>
    </xf>
    <xf numFmtId="168" fontId="28" fillId="3" borderId="1" xfId="0" applyNumberFormat="1" applyFont="1" applyFill="1" applyBorder="1" applyAlignment="1">
      <alignment vertical="center" wrapText="1"/>
    </xf>
    <xf numFmtId="168" fontId="28" fillId="7" borderId="1" xfId="0" applyNumberFormat="1" applyFont="1" applyFill="1" applyBorder="1" applyAlignment="1">
      <alignment vertical="center" wrapText="1"/>
    </xf>
    <xf numFmtId="168" fontId="29" fillId="3" borderId="1" xfId="0" applyNumberFormat="1" applyFont="1" applyFill="1" applyBorder="1" applyAlignment="1">
      <alignment vertical="center"/>
    </xf>
    <xf numFmtId="168" fontId="12" fillId="4" borderId="4" xfId="0" applyNumberFormat="1" applyFont="1" applyFill="1" applyBorder="1" applyAlignment="1">
      <alignment horizontal="right" vertical="center" wrapText="1"/>
    </xf>
    <xf numFmtId="0" fontId="22" fillId="7" borderId="4" xfId="0" applyFont="1" applyFill="1" applyBorder="1" applyAlignment="1">
      <alignment vertical="center" wrapText="1"/>
    </xf>
    <xf numFmtId="169" fontId="2" fillId="4" borderId="1" xfId="9" applyNumberFormat="1" applyFont="1" applyFill="1" applyBorder="1" applyAlignment="1">
      <alignment horizontal="right" vertical="center" wrapText="1"/>
    </xf>
    <xf numFmtId="0" fontId="2" fillId="0" borderId="3" xfId="0" applyFont="1" applyFill="1" applyBorder="1" applyAlignment="1">
      <alignment vertical="top" wrapText="1"/>
    </xf>
    <xf numFmtId="0" fontId="21" fillId="5" borderId="1" xfId="0" applyFont="1" applyFill="1" applyBorder="1" applyAlignment="1">
      <alignment vertical="center" wrapText="1"/>
    </xf>
    <xf numFmtId="0" fontId="27" fillId="0" borderId="1" xfId="0" applyFont="1" applyBorder="1" applyAlignment="1">
      <alignment vertical="center" wrapText="1"/>
    </xf>
    <xf numFmtId="0" fontId="3" fillId="5" borderId="1" xfId="0" applyFont="1" applyFill="1" applyBorder="1" applyAlignment="1">
      <alignment horizontal="center" vertical="center" wrapText="1"/>
    </xf>
    <xf numFmtId="9" fontId="0" fillId="0" borderId="0" xfId="10" applyFont="1"/>
    <xf numFmtId="9" fontId="10" fillId="0" borderId="0" xfId="10" applyFont="1"/>
    <xf numFmtId="169" fontId="10" fillId="0" borderId="0" xfId="0" applyNumberFormat="1" applyFont="1"/>
    <xf numFmtId="168" fontId="30" fillId="0" borderId="1" xfId="0" applyNumberFormat="1" applyFont="1" applyFill="1" applyBorder="1" applyAlignment="1">
      <alignment vertical="center" wrapText="1"/>
    </xf>
    <xf numFmtId="166" fontId="10" fillId="0" borderId="17" xfId="1" applyFont="1" applyBorder="1"/>
    <xf numFmtId="166" fontId="10" fillId="0" borderId="0" xfId="1" applyFont="1"/>
    <xf numFmtId="9" fontId="17" fillId="0" borderId="0" xfId="10" applyFont="1"/>
    <xf numFmtId="169" fontId="2" fillId="0" borderId="13" xfId="9" applyNumberFormat="1" applyFont="1" applyFill="1" applyBorder="1" applyAlignment="1">
      <alignment vertical="center" wrapText="1"/>
    </xf>
    <xf numFmtId="169" fontId="2" fillId="0" borderId="16" xfId="0" applyNumberFormat="1" applyFont="1" applyFill="1" applyBorder="1" applyAlignment="1">
      <alignment horizontal="right" vertical="center" wrapText="1"/>
    </xf>
    <xf numFmtId="168" fontId="30" fillId="0" borderId="1" xfId="0" applyNumberFormat="1" applyFont="1" applyBorder="1" applyAlignment="1">
      <alignment vertical="center" wrapText="1"/>
    </xf>
    <xf numFmtId="168" fontId="30" fillId="4" borderId="1" xfId="0" applyNumberFormat="1" applyFont="1" applyFill="1" applyBorder="1" applyAlignment="1">
      <alignment vertical="center" wrapText="1"/>
    </xf>
    <xf numFmtId="168" fontId="28" fillId="0" borderId="1" xfId="0" applyNumberFormat="1" applyFont="1" applyBorder="1" applyAlignment="1">
      <alignment vertical="center" wrapText="1"/>
    </xf>
    <xf numFmtId="168" fontId="30" fillId="7" borderId="1" xfId="0" applyNumberFormat="1" applyFont="1" applyFill="1" applyBorder="1" applyAlignment="1">
      <alignment vertical="center" wrapText="1"/>
    </xf>
    <xf numFmtId="168" fontId="30" fillId="11" borderId="11" xfId="0" applyNumberFormat="1" applyFont="1" applyFill="1" applyBorder="1" applyAlignment="1">
      <alignment vertical="center" wrapText="1"/>
    </xf>
    <xf numFmtId="169" fontId="30" fillId="0" borderId="11" xfId="0" applyNumberFormat="1" applyFont="1" applyBorder="1" applyAlignment="1">
      <alignment vertical="center" wrapText="1"/>
    </xf>
    <xf numFmtId="168" fontId="30" fillId="0" borderId="11" xfId="0" applyNumberFormat="1" applyFont="1" applyBorder="1" applyAlignment="1">
      <alignment vertical="center" wrapText="1"/>
    </xf>
    <xf numFmtId="168" fontId="30" fillId="0" borderId="15" xfId="0" applyNumberFormat="1" applyFont="1" applyBorder="1" applyAlignment="1">
      <alignment vertical="center" wrapText="1"/>
    </xf>
    <xf numFmtId="168" fontId="30" fillId="0" borderId="1" xfId="9" applyNumberFormat="1" applyFont="1" applyBorder="1" applyAlignment="1">
      <alignment vertical="center" wrapText="1"/>
    </xf>
    <xf numFmtId="168" fontId="31" fillId="0" borderId="1" xfId="0" applyNumberFormat="1" applyFont="1" applyBorder="1" applyAlignment="1">
      <alignment vertical="center"/>
    </xf>
    <xf numFmtId="168" fontId="31" fillId="0" borderId="1" xfId="0" applyNumberFormat="1" applyFont="1" applyBorder="1"/>
    <xf numFmtId="168" fontId="28" fillId="3" borderId="1" xfId="9" applyNumberFormat="1" applyFont="1" applyFill="1" applyBorder="1" applyAlignment="1">
      <alignment vertical="center" wrapText="1"/>
    </xf>
    <xf numFmtId="169" fontId="30" fillId="0" borderId="1" xfId="9" applyNumberFormat="1" applyFont="1" applyBorder="1" applyAlignment="1">
      <alignment vertical="center" wrapText="1"/>
    </xf>
    <xf numFmtId="169" fontId="3" fillId="0" borderId="1" xfId="0" applyNumberFormat="1" applyFont="1" applyBorder="1" applyAlignment="1">
      <alignment vertical="center" wrapText="1"/>
    </xf>
    <xf numFmtId="168" fontId="4" fillId="0" borderId="4" xfId="0" applyNumberFormat="1" applyFont="1" applyBorder="1" applyAlignment="1">
      <alignment horizontal="right" vertical="center" wrapText="1"/>
    </xf>
    <xf numFmtId="168" fontId="12" fillId="0" borderId="4" xfId="0" applyNumberFormat="1" applyFont="1" applyBorder="1" applyAlignment="1">
      <alignment horizontal="right" vertical="center" wrapText="1"/>
    </xf>
    <xf numFmtId="168" fontId="5" fillId="0" borderId="4" xfId="0" applyNumberFormat="1" applyFont="1" applyBorder="1" applyAlignment="1">
      <alignment horizontal="right" vertical="center" wrapText="1"/>
    </xf>
    <xf numFmtId="168" fontId="13" fillId="0" borderId="4" xfId="10" applyNumberFormat="1" applyFont="1" applyFill="1" applyBorder="1" applyAlignment="1">
      <alignment horizontal="right" vertical="center" wrapText="1"/>
    </xf>
    <xf numFmtId="168" fontId="2" fillId="0" borderId="2" xfId="0" applyNumberFormat="1" applyFont="1" applyBorder="1" applyAlignment="1">
      <alignment vertical="center" wrapText="1"/>
    </xf>
    <xf numFmtId="168" fontId="2" fillId="0" borderId="10" xfId="0" applyNumberFormat="1" applyFont="1" applyBorder="1" applyAlignment="1">
      <alignment vertical="center" wrapText="1"/>
    </xf>
    <xf numFmtId="168" fontId="2" fillId="0" borderId="7" xfId="0" applyNumberFormat="1" applyFont="1" applyBorder="1" applyAlignment="1">
      <alignment vertical="center" wrapText="1"/>
    </xf>
    <xf numFmtId="168" fontId="2" fillId="0" borderId="14" xfId="0" applyNumberFormat="1" applyFont="1" applyBorder="1" applyAlignment="1">
      <alignment vertical="center" wrapText="1"/>
    </xf>
    <xf numFmtId="168" fontId="2" fillId="0" borderId="0" xfId="0" applyNumberFormat="1" applyFont="1" applyAlignment="1">
      <alignment vertical="center" wrapText="1"/>
    </xf>
    <xf numFmtId="168" fontId="3" fillId="0" borderId="7" xfId="0" applyNumberFormat="1" applyFont="1" applyBorder="1" applyAlignment="1">
      <alignment vertical="center" wrapText="1"/>
    </xf>
    <xf numFmtId="168" fontId="7" fillId="0" borderId="1" xfId="0" applyNumberFormat="1" applyFont="1" applyBorder="1"/>
    <xf numFmtId="169" fontId="2" fillId="0" borderId="1" xfId="9" applyNumberFormat="1" applyFont="1" applyBorder="1" applyAlignment="1">
      <alignment vertical="center" wrapText="1"/>
    </xf>
    <xf numFmtId="169" fontId="3" fillId="0" borderId="11" xfId="0" applyNumberFormat="1" applyFont="1" applyBorder="1" applyAlignment="1">
      <alignment vertical="center" wrapText="1"/>
    </xf>
    <xf numFmtId="169" fontId="2" fillId="0" borderId="1" xfId="0" applyNumberFormat="1" applyFont="1" applyBorder="1" applyAlignment="1">
      <alignment horizontal="right" vertical="center" wrapText="1"/>
    </xf>
    <xf numFmtId="169" fontId="3" fillId="3" borderId="9" xfId="10" applyNumberFormat="1" applyFont="1" applyFill="1" applyBorder="1" applyAlignment="1">
      <alignment vertical="center" wrapText="1"/>
    </xf>
    <xf numFmtId="168" fontId="3" fillId="0" borderId="1" xfId="10" applyNumberFormat="1" applyFont="1" applyFill="1" applyBorder="1" applyAlignment="1">
      <alignment vertical="center" wrapText="1"/>
    </xf>
    <xf numFmtId="168" fontId="3" fillId="3" borderId="1" xfId="10" applyNumberFormat="1" applyFont="1" applyFill="1" applyBorder="1" applyAlignment="1">
      <alignment vertical="center" wrapText="1"/>
    </xf>
    <xf numFmtId="9" fontId="3" fillId="0" borderId="1" xfId="10" applyNumberFormat="1" applyFont="1" applyFill="1" applyBorder="1" applyAlignment="1">
      <alignment vertical="center" wrapText="1"/>
    </xf>
    <xf numFmtId="171" fontId="10" fillId="0" borderId="0" xfId="1" applyNumberFormat="1" applyFont="1"/>
    <xf numFmtId="166" fontId="0" fillId="0" borderId="0" xfId="0" applyNumberFormat="1"/>
    <xf numFmtId="0" fontId="13" fillId="5" borderId="4" xfId="0" applyFont="1" applyFill="1" applyBorder="1" applyAlignment="1">
      <alignment horizontal="center" vertical="center" wrapText="1"/>
    </xf>
    <xf numFmtId="0" fontId="13" fillId="15" borderId="4" xfId="0" applyFont="1" applyFill="1" applyBorder="1" applyAlignment="1">
      <alignment horizontal="center" vertical="center" wrapText="1"/>
    </xf>
    <xf numFmtId="0" fontId="15" fillId="0" borderId="0" xfId="0" applyFont="1" applyBorder="1" applyAlignment="1">
      <alignment vertical="center" wrapText="1"/>
    </xf>
    <xf numFmtId="0" fontId="13" fillId="8" borderId="4" xfId="0" applyFont="1" applyFill="1" applyBorder="1" applyAlignment="1">
      <alignment horizontal="center" vertical="center" wrapText="1"/>
    </xf>
    <xf numFmtId="0" fontId="13" fillId="16" borderId="4" xfId="0" applyFont="1" applyFill="1" applyBorder="1" applyAlignment="1">
      <alignment horizontal="center" vertical="center" wrapText="1"/>
    </xf>
    <xf numFmtId="0" fontId="5" fillId="18" borderId="4" xfId="0" applyFont="1" applyFill="1" applyBorder="1" applyAlignment="1">
      <alignment horizontal="center" vertical="center" wrapText="1"/>
    </xf>
    <xf numFmtId="0" fontId="18" fillId="17" borderId="4" xfId="0" applyFont="1" applyFill="1" applyBorder="1" applyAlignment="1">
      <alignment horizontal="center" vertical="center" wrapText="1"/>
    </xf>
  </cellXfs>
  <cellStyles count="11">
    <cellStyle name="Milliers" xfId="1" builtinId="3"/>
    <cellStyle name="Milliers 2" xfId="2" xr:uid="{00000000-0005-0000-0000-000002000000}"/>
    <cellStyle name="Milliers 2 2" xfId="3" xr:uid="{00000000-0005-0000-0000-000003000000}"/>
    <cellStyle name="Milliers 3" xfId="4" xr:uid="{00000000-0005-0000-0000-000004000000}"/>
    <cellStyle name="Milliers 3 2" xfId="5" xr:uid="{00000000-0005-0000-0000-000005000000}"/>
    <cellStyle name="Milliers 4" xfId="6" xr:uid="{00000000-0005-0000-0000-000006000000}"/>
    <cellStyle name="Milliers 4 2" xfId="7" xr:uid="{00000000-0005-0000-0000-000007000000}"/>
    <cellStyle name="Milliers 5" xfId="8" xr:uid="{00000000-0005-0000-0000-000008000000}"/>
    <cellStyle name="Monétaire" xfId="9" builtinId="4"/>
    <cellStyle name="Normal" xfId="0" builtinId="0"/>
    <cellStyle name="Pourcentage" xfId="10"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I94"/>
  <sheetViews>
    <sheetView tabSelected="1" zoomScale="72" zoomScaleNormal="72" zoomScaleSheetLayoutView="50" workbookViewId="0">
      <pane xSplit="2" ySplit="4" topLeftCell="R85" activePane="bottomRight" state="frozen"/>
      <selection pane="topRight" activeCell="C1" sqref="C1"/>
      <selection pane="bottomLeft" activeCell="A5" sqref="A5"/>
      <selection pane="bottomRight" activeCell="S92" sqref="S92"/>
    </sheetView>
  </sheetViews>
  <sheetFormatPr baseColWidth="10" defaultColWidth="8.7265625" defaultRowHeight="14.5" x14ac:dyDescent="0.35"/>
  <cols>
    <col min="1" max="1" width="24" customWidth="1"/>
    <col min="2" max="2" width="42.453125" customWidth="1"/>
    <col min="3" max="3" width="20.26953125" bestFit="1" customWidth="1"/>
    <col min="4" max="4" width="15.54296875" style="7" bestFit="1" customWidth="1"/>
    <col min="5" max="5" width="16.54296875" style="7" bestFit="1" customWidth="1"/>
    <col min="6" max="6" width="16.54296875" style="7" customWidth="1"/>
    <col min="7" max="7" width="30.7265625" customWidth="1"/>
    <col min="8" max="8" width="15.54296875" style="7" bestFit="1" customWidth="1"/>
    <col min="9" max="9" width="23.453125" style="7" bestFit="1" customWidth="1"/>
    <col min="10" max="10" width="23.453125" style="57" customWidth="1"/>
    <col min="11" max="11" width="20.26953125" style="29" bestFit="1" customWidth="1"/>
    <col min="12" max="12" width="16.26953125" style="29" bestFit="1" customWidth="1"/>
    <col min="13" max="13" width="22.26953125" style="29" bestFit="1" customWidth="1"/>
    <col min="14" max="14" width="22.26953125" style="29" customWidth="1"/>
    <col min="15" max="15" width="20.26953125" style="57" bestFit="1" customWidth="1"/>
    <col min="16" max="16" width="15.54296875" style="29" bestFit="1" customWidth="1"/>
    <col min="17" max="17" width="25.7265625" style="29" bestFit="1" customWidth="1"/>
    <col min="18" max="18" width="25.7265625" style="29" customWidth="1"/>
    <col min="19" max="22" width="30.7265625" style="7" customWidth="1"/>
    <col min="23" max="23" width="26.7265625" customWidth="1"/>
    <col min="24" max="24" width="30.7265625" customWidth="1"/>
    <col min="25" max="25" width="22.7265625" customWidth="1"/>
    <col min="26" max="28" width="28.7265625" customWidth="1"/>
    <col min="29" max="29" width="34.26953125" customWidth="1"/>
  </cols>
  <sheetData>
    <row r="1" spans="1:25" s="7" customFormat="1" x14ac:dyDescent="0.35">
      <c r="A1" s="66"/>
      <c r="B1" s="66"/>
      <c r="H1" s="67"/>
      <c r="I1" s="67"/>
      <c r="J1" s="57"/>
      <c r="K1" s="29"/>
      <c r="L1" s="29"/>
      <c r="M1" s="29"/>
      <c r="N1" s="29"/>
      <c r="O1" s="57"/>
      <c r="P1" s="29"/>
      <c r="Q1" s="29"/>
      <c r="R1" s="29"/>
    </row>
    <row r="2" spans="1:25" s="1" customFormat="1" ht="15" thickBot="1" x14ac:dyDescent="0.4">
      <c r="A2" s="66"/>
      <c r="B2" s="66"/>
      <c r="J2" s="47"/>
      <c r="K2" s="27"/>
      <c r="L2" s="27"/>
      <c r="M2" s="27"/>
      <c r="N2" s="27"/>
      <c r="O2" s="47"/>
      <c r="P2" s="27"/>
      <c r="Q2" s="27"/>
      <c r="R2" s="27"/>
    </row>
    <row r="3" spans="1:25" s="38" customFormat="1" ht="103.15" customHeight="1" thickBot="1" x14ac:dyDescent="0.4">
      <c r="A3" s="64" t="s">
        <v>0</v>
      </c>
      <c r="B3" s="65" t="s">
        <v>1</v>
      </c>
      <c r="C3" s="34" t="s">
        <v>2</v>
      </c>
      <c r="D3" s="34" t="s">
        <v>3</v>
      </c>
      <c r="E3" s="34" t="s">
        <v>4</v>
      </c>
      <c r="F3" s="69" t="s">
        <v>179</v>
      </c>
      <c r="G3" s="186" t="s">
        <v>5</v>
      </c>
      <c r="H3" s="186" t="s">
        <v>6</v>
      </c>
      <c r="I3" s="186" t="s">
        <v>7</v>
      </c>
      <c r="J3" s="69" t="s">
        <v>179</v>
      </c>
      <c r="K3" s="35" t="s">
        <v>8</v>
      </c>
      <c r="L3" s="35" t="s">
        <v>9</v>
      </c>
      <c r="M3" s="35" t="s">
        <v>10</v>
      </c>
      <c r="N3" s="69" t="s">
        <v>179</v>
      </c>
      <c r="O3" s="36" t="s">
        <v>11</v>
      </c>
      <c r="P3" s="36" t="s">
        <v>6</v>
      </c>
      <c r="Q3" s="36" t="s">
        <v>12</v>
      </c>
      <c r="R3" s="69" t="s">
        <v>179</v>
      </c>
      <c r="S3" s="40" t="s">
        <v>13</v>
      </c>
      <c r="T3" s="40" t="s">
        <v>14</v>
      </c>
      <c r="U3" s="40" t="s">
        <v>15</v>
      </c>
      <c r="V3" s="39" t="s">
        <v>181</v>
      </c>
      <c r="W3" s="39" t="s">
        <v>180</v>
      </c>
      <c r="X3" s="68" t="s">
        <v>16</v>
      </c>
      <c r="Y3" s="37"/>
    </row>
    <row r="4" spans="1:25" ht="35.25" customHeight="1" thickBot="1" x14ac:dyDescent="0.4">
      <c r="A4" s="184" t="s">
        <v>17</v>
      </c>
      <c r="B4" s="184"/>
      <c r="C4" s="184"/>
      <c r="D4" s="184"/>
      <c r="E4" s="184"/>
      <c r="F4" s="184"/>
      <c r="G4" s="184"/>
      <c r="H4" s="184"/>
      <c r="I4" s="184"/>
      <c r="J4" s="184"/>
      <c r="K4" s="184"/>
      <c r="L4" s="184"/>
      <c r="M4" s="184"/>
      <c r="N4" s="184"/>
      <c r="O4" s="184"/>
      <c r="P4" s="184"/>
      <c r="Q4" s="184"/>
      <c r="R4" s="184"/>
      <c r="S4" s="184"/>
      <c r="T4" s="184"/>
      <c r="U4" s="184"/>
      <c r="V4" s="184"/>
      <c r="W4" s="184"/>
      <c r="X4" s="184"/>
      <c r="Y4" s="1"/>
    </row>
    <row r="5" spans="1:25" ht="45.5" thickBot="1" x14ac:dyDescent="0.4">
      <c r="A5" s="70" t="s">
        <v>18</v>
      </c>
      <c r="B5" s="70" t="s">
        <v>19</v>
      </c>
      <c r="C5" s="48">
        <f>SUM(C6:C10)</f>
        <v>0</v>
      </c>
      <c r="D5" s="48"/>
      <c r="E5" s="48"/>
      <c r="F5" s="48"/>
      <c r="G5" s="48">
        <f>SUM(G6:G10)</f>
        <v>58000</v>
      </c>
      <c r="H5" s="48">
        <f>SUM(H6:H10)</f>
        <v>0</v>
      </c>
      <c r="I5" s="48">
        <f>SUM(I6:I10)</f>
        <v>58000</v>
      </c>
      <c r="J5" s="48">
        <f>(J7+J8+J9)</f>
        <v>58000</v>
      </c>
      <c r="K5" s="48">
        <f>SUM(K6:K13)</f>
        <v>403862</v>
      </c>
      <c r="L5" s="48">
        <f>SUM(L6:L13)</f>
        <v>0</v>
      </c>
      <c r="M5" s="48">
        <f>SUM(M6:M13)</f>
        <v>403862</v>
      </c>
      <c r="N5" s="48">
        <f>SUM(N6:N13)</f>
        <v>206744</v>
      </c>
      <c r="O5" s="48">
        <f>SUM(O6:O10)</f>
        <v>0</v>
      </c>
      <c r="P5" s="48"/>
      <c r="Q5" s="48"/>
      <c r="R5" s="48"/>
      <c r="S5" s="48">
        <f>SUM(C5+G5+K5+O5)</f>
        <v>461862</v>
      </c>
      <c r="T5" s="59">
        <f>SUM(D5+H5+L5+P5)</f>
        <v>0</v>
      </c>
      <c r="U5" s="48">
        <f>+S5+T5</f>
        <v>461862</v>
      </c>
      <c r="V5" s="226">
        <f>+F5+J5+N5+R5</f>
        <v>264744</v>
      </c>
      <c r="W5" s="71">
        <f>+V5/U5</f>
        <v>0.57321017966405552</v>
      </c>
      <c r="X5" s="70"/>
      <c r="Y5" s="1"/>
    </row>
    <row r="6" spans="1:25" ht="62.5" thickBot="1" x14ac:dyDescent="0.4">
      <c r="A6" s="72" t="s">
        <v>20</v>
      </c>
      <c r="B6" s="72" t="s">
        <v>21</v>
      </c>
      <c r="C6" s="41">
        <v>0</v>
      </c>
      <c r="D6" s="41"/>
      <c r="E6" s="41"/>
      <c r="F6" s="41"/>
      <c r="G6" s="41">
        <v>0</v>
      </c>
      <c r="H6" s="41"/>
      <c r="I6" s="41"/>
      <c r="J6" s="41"/>
      <c r="K6" s="73">
        <v>8000</v>
      </c>
      <c r="L6" s="73"/>
      <c r="M6" s="73">
        <f>+K6</f>
        <v>8000</v>
      </c>
      <c r="N6" s="196">
        <v>8000</v>
      </c>
      <c r="O6" s="41">
        <v>0</v>
      </c>
      <c r="P6" s="41"/>
      <c r="Q6" s="41"/>
      <c r="R6" s="73"/>
      <c r="S6" s="48">
        <f t="shared" ref="S6:S27" si="0">SUM(C6+G6+K6+O6)</f>
        <v>8000</v>
      </c>
      <c r="T6" s="59">
        <f t="shared" ref="T6:T27" si="1">SUM(D6+H6+L6+P6)</f>
        <v>0</v>
      </c>
      <c r="U6" s="48">
        <f t="shared" ref="U6:U27" si="2">+S6+T6</f>
        <v>8000</v>
      </c>
      <c r="V6" s="226">
        <f t="shared" ref="V6:V27" si="3">+F6+J6+N6+R6</f>
        <v>8000</v>
      </c>
      <c r="W6" s="71">
        <f t="shared" ref="W6:W27" si="4">+V6/U6</f>
        <v>1</v>
      </c>
      <c r="X6" s="72"/>
      <c r="Y6" s="1"/>
    </row>
    <row r="7" spans="1:25" ht="47" thickBot="1" x14ac:dyDescent="0.4">
      <c r="A7" s="72" t="s">
        <v>22</v>
      </c>
      <c r="B7" s="72" t="s">
        <v>23</v>
      </c>
      <c r="C7" s="41">
        <v>0</v>
      </c>
      <c r="D7" s="41"/>
      <c r="E7" s="41"/>
      <c r="F7" s="41"/>
      <c r="G7" s="41">
        <v>19000</v>
      </c>
      <c r="H7" s="41"/>
      <c r="I7" s="41">
        <f>+G7</f>
        <v>19000</v>
      </c>
      <c r="J7" s="41">
        <v>19000</v>
      </c>
      <c r="K7" s="41">
        <v>0</v>
      </c>
      <c r="L7" s="41"/>
      <c r="M7" s="41">
        <f>+K7</f>
        <v>0</v>
      </c>
      <c r="N7" s="196"/>
      <c r="O7" s="41">
        <v>0</v>
      </c>
      <c r="P7" s="41"/>
      <c r="Q7" s="41"/>
      <c r="R7" s="73"/>
      <c r="S7" s="48">
        <f t="shared" si="0"/>
        <v>19000</v>
      </c>
      <c r="T7" s="59">
        <f t="shared" si="1"/>
        <v>0</v>
      </c>
      <c r="U7" s="48">
        <f t="shared" si="2"/>
        <v>19000</v>
      </c>
      <c r="V7" s="226">
        <f t="shared" si="3"/>
        <v>19000</v>
      </c>
      <c r="W7" s="71">
        <f t="shared" si="4"/>
        <v>1</v>
      </c>
      <c r="X7" s="72"/>
      <c r="Y7" s="11"/>
    </row>
    <row r="8" spans="1:25" ht="47" thickBot="1" x14ac:dyDescent="0.4">
      <c r="A8" s="72" t="s">
        <v>24</v>
      </c>
      <c r="B8" s="72" t="s">
        <v>25</v>
      </c>
      <c r="C8" s="41">
        <v>0</v>
      </c>
      <c r="D8" s="41"/>
      <c r="E8" s="41"/>
      <c r="F8" s="41"/>
      <c r="G8" s="41">
        <v>20000</v>
      </c>
      <c r="H8" s="41"/>
      <c r="I8" s="41">
        <f>+G8</f>
        <v>20000</v>
      </c>
      <c r="J8" s="41">
        <v>20000</v>
      </c>
      <c r="K8" s="41">
        <v>0</v>
      </c>
      <c r="L8" s="41"/>
      <c r="M8" s="41">
        <f>+K8</f>
        <v>0</v>
      </c>
      <c r="N8" s="196"/>
      <c r="O8" s="41">
        <v>0</v>
      </c>
      <c r="P8" s="41"/>
      <c r="Q8" s="41"/>
      <c r="R8" s="73"/>
      <c r="S8" s="48">
        <f t="shared" si="0"/>
        <v>20000</v>
      </c>
      <c r="T8" s="59">
        <f t="shared" si="1"/>
        <v>0</v>
      </c>
      <c r="U8" s="48">
        <f t="shared" si="2"/>
        <v>20000</v>
      </c>
      <c r="V8" s="226">
        <f t="shared" si="3"/>
        <v>20000</v>
      </c>
      <c r="W8" s="71">
        <f t="shared" si="4"/>
        <v>1</v>
      </c>
      <c r="X8" s="72"/>
      <c r="Y8" s="11"/>
    </row>
    <row r="9" spans="1:25" ht="31.5" thickBot="1" x14ac:dyDescent="0.4">
      <c r="A9" s="74" t="s">
        <v>26</v>
      </c>
      <c r="B9" s="74" t="s">
        <v>27</v>
      </c>
      <c r="C9" s="75">
        <v>0</v>
      </c>
      <c r="D9" s="75"/>
      <c r="E9" s="75"/>
      <c r="F9" s="75"/>
      <c r="G9" s="75">
        <v>19000</v>
      </c>
      <c r="H9" s="75"/>
      <c r="I9" s="75">
        <f>+G9</f>
        <v>19000</v>
      </c>
      <c r="J9" s="75">
        <v>19000</v>
      </c>
      <c r="K9" s="75">
        <v>0</v>
      </c>
      <c r="L9" s="75"/>
      <c r="M9" s="75">
        <f>+K9</f>
        <v>0</v>
      </c>
      <c r="N9" s="197"/>
      <c r="O9" s="41">
        <v>0</v>
      </c>
      <c r="P9" s="41"/>
      <c r="Q9" s="41"/>
      <c r="R9" s="73"/>
      <c r="S9" s="48">
        <f t="shared" si="0"/>
        <v>19000</v>
      </c>
      <c r="T9" s="59">
        <f t="shared" si="1"/>
        <v>0</v>
      </c>
      <c r="U9" s="48">
        <f t="shared" si="2"/>
        <v>19000</v>
      </c>
      <c r="V9" s="226">
        <f t="shared" si="3"/>
        <v>19000</v>
      </c>
      <c r="W9" s="71">
        <f t="shared" si="4"/>
        <v>1</v>
      </c>
      <c r="X9" s="72"/>
      <c r="Y9" s="11"/>
    </row>
    <row r="10" spans="1:25" ht="60.75" customHeight="1" thickBot="1" x14ac:dyDescent="0.4">
      <c r="A10" s="74" t="s">
        <v>28</v>
      </c>
      <c r="B10" s="74" t="s">
        <v>29</v>
      </c>
      <c r="C10" s="41">
        <v>0</v>
      </c>
      <c r="D10" s="41"/>
      <c r="E10" s="41"/>
      <c r="F10" s="41"/>
      <c r="G10" s="41">
        <v>0</v>
      </c>
      <c r="H10" s="41"/>
      <c r="I10" s="41"/>
      <c r="J10" s="41"/>
      <c r="K10" s="42">
        <v>395862</v>
      </c>
      <c r="L10" s="42">
        <v>-191170</v>
      </c>
      <c r="M10" s="42">
        <f>K10+L10</f>
        <v>204692</v>
      </c>
      <c r="N10" s="198">
        <v>198744</v>
      </c>
      <c r="O10" s="41">
        <v>0</v>
      </c>
      <c r="P10" s="41"/>
      <c r="Q10" s="41"/>
      <c r="R10" s="73"/>
      <c r="S10" s="48">
        <f t="shared" si="0"/>
        <v>395862</v>
      </c>
      <c r="T10" s="59">
        <f t="shared" si="1"/>
        <v>-191170</v>
      </c>
      <c r="U10" s="48">
        <f t="shared" si="2"/>
        <v>204692</v>
      </c>
      <c r="V10" s="226">
        <f t="shared" si="3"/>
        <v>198744</v>
      </c>
      <c r="W10" s="71">
        <f t="shared" si="4"/>
        <v>0.97094170754108611</v>
      </c>
      <c r="X10" s="72"/>
      <c r="Y10" s="1"/>
    </row>
    <row r="11" spans="1:25" s="7" customFormat="1" ht="60.75" customHeight="1" thickBot="1" x14ac:dyDescent="0.4">
      <c r="A11" s="74" t="s">
        <v>30</v>
      </c>
      <c r="B11" s="76" t="s">
        <v>31</v>
      </c>
      <c r="C11" s="41"/>
      <c r="D11" s="41"/>
      <c r="E11" s="41"/>
      <c r="F11" s="41"/>
      <c r="G11" s="41"/>
      <c r="H11" s="41"/>
      <c r="I11" s="41"/>
      <c r="J11" s="41"/>
      <c r="K11" s="41">
        <v>0</v>
      </c>
      <c r="L11" s="41">
        <v>154000</v>
      </c>
      <c r="M11" s="41">
        <f>+L11</f>
        <v>154000</v>
      </c>
      <c r="N11" s="196">
        <v>0</v>
      </c>
      <c r="O11" s="41"/>
      <c r="P11" s="41"/>
      <c r="Q11" s="41"/>
      <c r="R11" s="73"/>
      <c r="S11" s="48">
        <f t="shared" si="0"/>
        <v>0</v>
      </c>
      <c r="T11" s="59">
        <f t="shared" si="1"/>
        <v>154000</v>
      </c>
      <c r="U11" s="48">
        <f t="shared" si="2"/>
        <v>154000</v>
      </c>
      <c r="V11" s="226">
        <f t="shared" si="3"/>
        <v>0</v>
      </c>
      <c r="W11" s="71">
        <f t="shared" si="4"/>
        <v>0</v>
      </c>
      <c r="X11" s="72"/>
      <c r="Y11" s="1"/>
    </row>
    <row r="12" spans="1:25" s="7" customFormat="1" ht="60.75" customHeight="1" thickBot="1" x14ac:dyDescent="0.4">
      <c r="A12" s="74" t="s">
        <v>32</v>
      </c>
      <c r="B12" s="77" t="s">
        <v>33</v>
      </c>
      <c r="C12" s="41"/>
      <c r="D12" s="41"/>
      <c r="E12" s="41"/>
      <c r="F12" s="41"/>
      <c r="G12" s="41"/>
      <c r="H12" s="41"/>
      <c r="I12" s="41"/>
      <c r="J12" s="41"/>
      <c r="K12" s="41">
        <v>0</v>
      </c>
      <c r="L12" s="41">
        <v>5000</v>
      </c>
      <c r="M12" s="41">
        <f>+L12</f>
        <v>5000</v>
      </c>
      <c r="N12" s="196">
        <v>0</v>
      </c>
      <c r="O12" s="41"/>
      <c r="P12" s="41"/>
      <c r="Q12" s="41"/>
      <c r="R12" s="73"/>
      <c r="S12" s="48">
        <f t="shared" si="0"/>
        <v>0</v>
      </c>
      <c r="T12" s="59">
        <f t="shared" si="1"/>
        <v>5000</v>
      </c>
      <c r="U12" s="48">
        <f t="shared" si="2"/>
        <v>5000</v>
      </c>
      <c r="V12" s="226">
        <f t="shared" si="3"/>
        <v>0</v>
      </c>
      <c r="W12" s="71">
        <f t="shared" si="4"/>
        <v>0</v>
      </c>
      <c r="X12" s="72"/>
      <c r="Y12" s="1"/>
    </row>
    <row r="13" spans="1:25" s="7" customFormat="1" ht="60.75" customHeight="1" thickBot="1" x14ac:dyDescent="0.4">
      <c r="A13" s="74" t="s">
        <v>34</v>
      </c>
      <c r="B13" s="78" t="s">
        <v>35</v>
      </c>
      <c r="C13" s="41"/>
      <c r="D13" s="41"/>
      <c r="E13" s="41"/>
      <c r="F13" s="41"/>
      <c r="G13" s="41"/>
      <c r="H13" s="41"/>
      <c r="I13" s="41"/>
      <c r="J13" s="41"/>
      <c r="K13" s="41">
        <v>0</v>
      </c>
      <c r="L13" s="41">
        <v>32170</v>
      </c>
      <c r="M13" s="41">
        <f>+L13</f>
        <v>32170</v>
      </c>
      <c r="N13" s="196">
        <v>0</v>
      </c>
      <c r="O13" s="41"/>
      <c r="P13" s="41"/>
      <c r="Q13" s="41"/>
      <c r="R13" s="73"/>
      <c r="S13" s="48">
        <f t="shared" si="0"/>
        <v>0</v>
      </c>
      <c r="T13" s="59">
        <f t="shared" si="1"/>
        <v>32170</v>
      </c>
      <c r="U13" s="48">
        <f t="shared" si="2"/>
        <v>32170</v>
      </c>
      <c r="V13" s="226">
        <f t="shared" si="3"/>
        <v>0</v>
      </c>
      <c r="W13" s="71">
        <f t="shared" si="4"/>
        <v>0</v>
      </c>
      <c r="X13" s="79"/>
      <c r="Y13" s="1"/>
    </row>
    <row r="14" spans="1:25" ht="122.25" customHeight="1" thickBot="1" x14ac:dyDescent="0.4">
      <c r="A14" s="70" t="s">
        <v>36</v>
      </c>
      <c r="B14" s="70" t="s">
        <v>37</v>
      </c>
      <c r="C14" s="48">
        <f>SUM(C15:C19)</f>
        <v>0</v>
      </c>
      <c r="D14" s="48"/>
      <c r="E14" s="48"/>
      <c r="F14" s="48"/>
      <c r="G14" s="48">
        <f>SUM(G15:G19)</f>
        <v>0</v>
      </c>
      <c r="H14" s="48"/>
      <c r="I14" s="48"/>
      <c r="J14" s="48"/>
      <c r="K14" s="48">
        <f>SUM(K15:K19)</f>
        <v>0</v>
      </c>
      <c r="L14" s="48"/>
      <c r="M14" s="48"/>
      <c r="N14" s="177"/>
      <c r="O14" s="48">
        <f>SUM(O15:O26)</f>
        <v>109782</v>
      </c>
      <c r="P14" s="48">
        <f>SUM(P15:P26)</f>
        <v>0</v>
      </c>
      <c r="Q14" s="48">
        <f>SUM(Q15:Q26)</f>
        <v>109782</v>
      </c>
      <c r="R14" s="48">
        <f>SUM(R15:R26)</f>
        <v>99370</v>
      </c>
      <c r="S14" s="48">
        <f t="shared" si="0"/>
        <v>109782</v>
      </c>
      <c r="T14" s="59">
        <f t="shared" si="1"/>
        <v>0</v>
      </c>
      <c r="U14" s="48">
        <f t="shared" si="2"/>
        <v>109782</v>
      </c>
      <c r="V14" s="226">
        <f t="shared" si="3"/>
        <v>99370</v>
      </c>
      <c r="W14" s="71">
        <f t="shared" si="4"/>
        <v>0.90515749394254064</v>
      </c>
      <c r="X14" s="70"/>
      <c r="Y14" s="58"/>
    </row>
    <row r="15" spans="1:25" ht="214.5" customHeight="1" thickBot="1" x14ac:dyDescent="0.4">
      <c r="A15" s="72" t="s">
        <v>38</v>
      </c>
      <c r="B15" s="80" t="s">
        <v>182</v>
      </c>
      <c r="C15" s="41">
        <v>0</v>
      </c>
      <c r="D15" s="41"/>
      <c r="E15" s="41"/>
      <c r="F15" s="41"/>
      <c r="G15" s="41">
        <v>0</v>
      </c>
      <c r="H15" s="41"/>
      <c r="I15" s="41"/>
      <c r="J15" s="41"/>
      <c r="K15" s="41">
        <v>0</v>
      </c>
      <c r="L15" s="41"/>
      <c r="M15" s="41"/>
      <c r="N15" s="196"/>
      <c r="O15" s="41">
        <v>14000</v>
      </c>
      <c r="P15" s="41"/>
      <c r="Q15" s="41">
        <f>O15</f>
        <v>14000</v>
      </c>
      <c r="R15" s="73">
        <v>14000</v>
      </c>
      <c r="S15" s="48">
        <f t="shared" si="0"/>
        <v>14000</v>
      </c>
      <c r="T15" s="59">
        <f t="shared" si="1"/>
        <v>0</v>
      </c>
      <c r="U15" s="48">
        <f t="shared" si="2"/>
        <v>14000</v>
      </c>
      <c r="V15" s="226">
        <f t="shared" si="3"/>
        <v>14000</v>
      </c>
      <c r="W15" s="71">
        <f t="shared" si="4"/>
        <v>1</v>
      </c>
      <c r="X15" s="72"/>
      <c r="Y15" s="22"/>
    </row>
    <row r="16" spans="1:25" ht="108" thickBot="1" x14ac:dyDescent="0.4">
      <c r="A16" s="72" t="s">
        <v>39</v>
      </c>
      <c r="B16" s="80" t="s">
        <v>183</v>
      </c>
      <c r="C16" s="41">
        <v>0</v>
      </c>
      <c r="D16" s="41"/>
      <c r="E16" s="41"/>
      <c r="F16" s="41"/>
      <c r="G16" s="41">
        <v>0</v>
      </c>
      <c r="H16" s="41"/>
      <c r="I16" s="41"/>
      <c r="J16" s="41"/>
      <c r="K16" s="41">
        <v>0</v>
      </c>
      <c r="L16" s="41"/>
      <c r="M16" s="41"/>
      <c r="N16" s="196"/>
      <c r="O16" s="49">
        <v>34286</v>
      </c>
      <c r="P16" s="49">
        <v>-14000</v>
      </c>
      <c r="Q16" s="49">
        <f>+O16+P16</f>
        <v>20286</v>
      </c>
      <c r="R16" s="49">
        <v>20000</v>
      </c>
      <c r="S16" s="48">
        <f t="shared" si="0"/>
        <v>34286</v>
      </c>
      <c r="T16" s="59">
        <f t="shared" si="1"/>
        <v>-14000</v>
      </c>
      <c r="U16" s="48">
        <f t="shared" si="2"/>
        <v>20286</v>
      </c>
      <c r="V16" s="226">
        <f t="shared" si="3"/>
        <v>20000</v>
      </c>
      <c r="W16" s="71">
        <f t="shared" si="4"/>
        <v>0.98590160701961949</v>
      </c>
      <c r="X16" s="72"/>
      <c r="Y16" s="11"/>
    </row>
    <row r="17" spans="1:25" ht="123.5" thickBot="1" x14ac:dyDescent="0.4">
      <c r="A17" s="72" t="s">
        <v>40</v>
      </c>
      <c r="B17" s="82" t="s">
        <v>184</v>
      </c>
      <c r="C17" s="41">
        <v>0</v>
      </c>
      <c r="D17" s="41"/>
      <c r="E17" s="41"/>
      <c r="F17" s="41"/>
      <c r="G17" s="41">
        <v>0</v>
      </c>
      <c r="H17" s="41"/>
      <c r="I17" s="41"/>
      <c r="J17" s="41"/>
      <c r="K17" s="41">
        <v>0</v>
      </c>
      <c r="L17" s="41"/>
      <c r="M17" s="41"/>
      <c r="N17" s="196"/>
      <c r="O17" s="49">
        <v>23896</v>
      </c>
      <c r="P17" s="49">
        <v>-500</v>
      </c>
      <c r="Q17" s="49">
        <f>+O17+P17</f>
        <v>23396</v>
      </c>
      <c r="R17" s="49">
        <v>23000</v>
      </c>
      <c r="S17" s="48">
        <f t="shared" si="0"/>
        <v>23896</v>
      </c>
      <c r="T17" s="59">
        <f t="shared" si="1"/>
        <v>-500</v>
      </c>
      <c r="U17" s="48">
        <f t="shared" si="2"/>
        <v>23396</v>
      </c>
      <c r="V17" s="226">
        <f t="shared" si="3"/>
        <v>23000</v>
      </c>
      <c r="W17" s="71">
        <f t="shared" si="4"/>
        <v>0.98307402974867497</v>
      </c>
      <c r="X17" s="72"/>
      <c r="Y17" s="11"/>
    </row>
    <row r="18" spans="1:25" ht="257.14999999999998" customHeight="1" thickBot="1" x14ac:dyDescent="0.4">
      <c r="A18" s="72" t="s">
        <v>41</v>
      </c>
      <c r="B18" s="80" t="s">
        <v>185</v>
      </c>
      <c r="C18" s="41">
        <v>0</v>
      </c>
      <c r="D18" s="41"/>
      <c r="E18" s="41"/>
      <c r="F18" s="41"/>
      <c r="G18" s="41">
        <v>0</v>
      </c>
      <c r="H18" s="41"/>
      <c r="I18" s="41"/>
      <c r="J18" s="41"/>
      <c r="K18" s="41">
        <v>0</v>
      </c>
      <c r="L18" s="41"/>
      <c r="M18" s="41"/>
      <c r="N18" s="196"/>
      <c r="O18" s="49">
        <v>29600</v>
      </c>
      <c r="P18" s="49">
        <v>-9600</v>
      </c>
      <c r="Q18" s="49">
        <f>+O18+P18</f>
        <v>20000</v>
      </c>
      <c r="R18" s="49">
        <v>20000</v>
      </c>
      <c r="S18" s="48">
        <f t="shared" si="0"/>
        <v>29600</v>
      </c>
      <c r="T18" s="59">
        <f t="shared" si="1"/>
        <v>-9600</v>
      </c>
      <c r="U18" s="48">
        <f t="shared" si="2"/>
        <v>20000</v>
      </c>
      <c r="V18" s="226">
        <f t="shared" si="3"/>
        <v>20000</v>
      </c>
      <c r="W18" s="71">
        <f t="shared" si="4"/>
        <v>1</v>
      </c>
      <c r="X18" s="84"/>
      <c r="Y18" s="11"/>
    </row>
    <row r="19" spans="1:25" s="6" customFormat="1" ht="62.5" thickBot="1" x14ac:dyDescent="0.4">
      <c r="A19" s="72" t="s">
        <v>42</v>
      </c>
      <c r="B19" s="82" t="s">
        <v>43</v>
      </c>
      <c r="C19" s="41">
        <v>0</v>
      </c>
      <c r="D19" s="41"/>
      <c r="E19" s="41"/>
      <c r="F19" s="41"/>
      <c r="G19" s="41">
        <v>0</v>
      </c>
      <c r="H19" s="41"/>
      <c r="I19" s="41"/>
      <c r="J19" s="41"/>
      <c r="K19" s="41">
        <v>0</v>
      </c>
      <c r="L19" s="41"/>
      <c r="M19" s="41"/>
      <c r="N19" s="196"/>
      <c r="O19" s="41">
        <v>8000</v>
      </c>
      <c r="P19" s="41"/>
      <c r="Q19" s="41">
        <f>O19</f>
        <v>8000</v>
      </c>
      <c r="R19" s="73">
        <v>8000</v>
      </c>
      <c r="S19" s="48">
        <f t="shared" si="0"/>
        <v>8000</v>
      </c>
      <c r="T19" s="59">
        <f t="shared" si="1"/>
        <v>0</v>
      </c>
      <c r="U19" s="48">
        <f t="shared" si="2"/>
        <v>8000</v>
      </c>
      <c r="V19" s="226">
        <f t="shared" si="3"/>
        <v>8000</v>
      </c>
      <c r="W19" s="71">
        <f t="shared" si="4"/>
        <v>1</v>
      </c>
      <c r="X19" s="72"/>
      <c r="Y19" s="11"/>
    </row>
    <row r="20" spans="1:25" s="1" customFormat="1" ht="39.5" thickBot="1" x14ac:dyDescent="0.4">
      <c r="A20" s="72" t="s">
        <v>44</v>
      </c>
      <c r="B20" s="85" t="s">
        <v>45</v>
      </c>
      <c r="C20" s="41"/>
      <c r="D20" s="41"/>
      <c r="E20" s="41"/>
      <c r="F20" s="41"/>
      <c r="G20" s="41"/>
      <c r="H20" s="41"/>
      <c r="I20" s="41"/>
      <c r="J20" s="41"/>
      <c r="K20" s="41"/>
      <c r="L20" s="41"/>
      <c r="M20" s="41"/>
      <c r="N20" s="196"/>
      <c r="O20" s="41">
        <v>0</v>
      </c>
      <c r="P20" s="41">
        <v>5000</v>
      </c>
      <c r="Q20" s="41">
        <v>5000</v>
      </c>
      <c r="R20" s="73">
        <v>5000</v>
      </c>
      <c r="S20" s="48">
        <f t="shared" si="0"/>
        <v>0</v>
      </c>
      <c r="T20" s="59">
        <f t="shared" si="1"/>
        <v>5000</v>
      </c>
      <c r="U20" s="48">
        <f t="shared" si="2"/>
        <v>5000</v>
      </c>
      <c r="V20" s="226">
        <f t="shared" si="3"/>
        <v>5000</v>
      </c>
      <c r="W20" s="71">
        <f t="shared" si="4"/>
        <v>1</v>
      </c>
      <c r="X20" s="72"/>
      <c r="Y20" s="11"/>
    </row>
    <row r="21" spans="1:25" s="1" customFormat="1" ht="29.5" thickBot="1" x14ac:dyDescent="0.4">
      <c r="A21" s="72" t="s">
        <v>46</v>
      </c>
      <c r="B21" s="86" t="s">
        <v>47</v>
      </c>
      <c r="C21" s="41"/>
      <c r="D21" s="41"/>
      <c r="E21" s="41"/>
      <c r="F21" s="41"/>
      <c r="G21" s="41"/>
      <c r="H21" s="41"/>
      <c r="I21" s="41"/>
      <c r="J21" s="41"/>
      <c r="K21" s="41"/>
      <c r="L21" s="41"/>
      <c r="M21" s="41"/>
      <c r="N21" s="196"/>
      <c r="O21" s="41">
        <v>0</v>
      </c>
      <c r="P21" s="41">
        <v>100</v>
      </c>
      <c r="Q21" s="41">
        <v>100</v>
      </c>
      <c r="R21" s="73">
        <v>0</v>
      </c>
      <c r="S21" s="48">
        <f t="shared" si="0"/>
        <v>0</v>
      </c>
      <c r="T21" s="59">
        <f t="shared" si="1"/>
        <v>100</v>
      </c>
      <c r="U21" s="48">
        <f t="shared" si="2"/>
        <v>100</v>
      </c>
      <c r="V21" s="226">
        <f t="shared" si="3"/>
        <v>0</v>
      </c>
      <c r="W21" s="71">
        <f t="shared" si="4"/>
        <v>0</v>
      </c>
      <c r="X21" s="72"/>
      <c r="Y21" s="11"/>
    </row>
    <row r="22" spans="1:25" s="1" customFormat="1" ht="47" thickBot="1" x14ac:dyDescent="0.4">
      <c r="A22" s="72" t="s">
        <v>48</v>
      </c>
      <c r="B22" s="87" t="s">
        <v>49</v>
      </c>
      <c r="C22" s="41"/>
      <c r="D22" s="41"/>
      <c r="E22" s="41"/>
      <c r="F22" s="41"/>
      <c r="G22" s="41"/>
      <c r="H22" s="41"/>
      <c r="I22" s="41"/>
      <c r="J22" s="41"/>
      <c r="K22" s="41"/>
      <c r="L22" s="41"/>
      <c r="M22" s="41"/>
      <c r="N22" s="196"/>
      <c r="O22" s="41">
        <v>0</v>
      </c>
      <c r="P22" s="41">
        <v>500</v>
      </c>
      <c r="Q22" s="41">
        <v>500</v>
      </c>
      <c r="R22" s="73">
        <v>0</v>
      </c>
      <c r="S22" s="48">
        <f t="shared" si="0"/>
        <v>0</v>
      </c>
      <c r="T22" s="59">
        <f t="shared" si="1"/>
        <v>500</v>
      </c>
      <c r="U22" s="48">
        <f t="shared" si="2"/>
        <v>500</v>
      </c>
      <c r="V22" s="226">
        <f t="shared" si="3"/>
        <v>0</v>
      </c>
      <c r="W22" s="71">
        <f t="shared" si="4"/>
        <v>0</v>
      </c>
      <c r="X22" s="72"/>
      <c r="Y22" s="11"/>
    </row>
    <row r="23" spans="1:25" s="1" customFormat="1" ht="29.5" thickBot="1" x14ac:dyDescent="0.4">
      <c r="A23" s="72" t="s">
        <v>50</v>
      </c>
      <c r="B23" s="86" t="s">
        <v>51</v>
      </c>
      <c r="C23" s="41"/>
      <c r="D23" s="41"/>
      <c r="E23" s="41"/>
      <c r="F23" s="41"/>
      <c r="G23" s="41"/>
      <c r="H23" s="41"/>
      <c r="I23" s="41"/>
      <c r="J23" s="41"/>
      <c r="K23" s="41"/>
      <c r="L23" s="41"/>
      <c r="M23" s="41"/>
      <c r="N23" s="196"/>
      <c r="O23" s="41">
        <v>0</v>
      </c>
      <c r="P23" s="41">
        <v>1000</v>
      </c>
      <c r="Q23" s="41">
        <v>1000</v>
      </c>
      <c r="R23" s="92">
        <v>500</v>
      </c>
      <c r="S23" s="48">
        <f t="shared" si="0"/>
        <v>0</v>
      </c>
      <c r="T23" s="59">
        <f t="shared" si="1"/>
        <v>1000</v>
      </c>
      <c r="U23" s="48">
        <f t="shared" si="2"/>
        <v>1000</v>
      </c>
      <c r="V23" s="226">
        <f t="shared" si="3"/>
        <v>500</v>
      </c>
      <c r="W23" s="71">
        <f t="shared" si="4"/>
        <v>0.5</v>
      </c>
      <c r="X23" s="72"/>
      <c r="Y23" s="11"/>
    </row>
    <row r="24" spans="1:25" s="1" customFormat="1" ht="29.5" thickBot="1" x14ac:dyDescent="0.4">
      <c r="A24" s="72" t="s">
        <v>52</v>
      </c>
      <c r="B24" s="88" t="s">
        <v>53</v>
      </c>
      <c r="C24" s="41"/>
      <c r="D24" s="41"/>
      <c r="E24" s="41"/>
      <c r="F24" s="41"/>
      <c r="G24" s="41"/>
      <c r="H24" s="41"/>
      <c r="I24" s="41"/>
      <c r="J24" s="41"/>
      <c r="K24" s="41"/>
      <c r="L24" s="41"/>
      <c r="M24" s="41"/>
      <c r="N24" s="196"/>
      <c r="O24" s="41">
        <v>0</v>
      </c>
      <c r="P24" s="41">
        <v>1500</v>
      </c>
      <c r="Q24" s="41">
        <v>1500</v>
      </c>
      <c r="R24" s="92">
        <v>670</v>
      </c>
      <c r="S24" s="48">
        <f t="shared" si="0"/>
        <v>0</v>
      </c>
      <c r="T24" s="59">
        <f t="shared" si="1"/>
        <v>1500</v>
      </c>
      <c r="U24" s="48">
        <f t="shared" si="2"/>
        <v>1500</v>
      </c>
      <c r="V24" s="226">
        <f t="shared" si="3"/>
        <v>670</v>
      </c>
      <c r="W24" s="71">
        <f t="shared" si="4"/>
        <v>0.44666666666666666</v>
      </c>
      <c r="X24" s="72"/>
      <c r="Y24" s="11"/>
    </row>
    <row r="25" spans="1:25" s="1" customFormat="1" ht="58.5" thickBot="1" x14ac:dyDescent="0.4">
      <c r="A25" s="81" t="s">
        <v>54</v>
      </c>
      <c r="B25" s="86" t="s">
        <v>55</v>
      </c>
      <c r="C25" s="41"/>
      <c r="D25" s="41"/>
      <c r="E25" s="41"/>
      <c r="F25" s="41"/>
      <c r="G25" s="41"/>
      <c r="H25" s="41"/>
      <c r="I25" s="41"/>
      <c r="J25" s="41"/>
      <c r="K25" s="41"/>
      <c r="L25" s="41"/>
      <c r="M25" s="41"/>
      <c r="N25" s="196"/>
      <c r="O25" s="41">
        <v>0</v>
      </c>
      <c r="P25" s="41">
        <v>8000</v>
      </c>
      <c r="Q25" s="41">
        <v>8000</v>
      </c>
      <c r="R25" s="92">
        <v>5000</v>
      </c>
      <c r="S25" s="48">
        <f t="shared" si="0"/>
        <v>0</v>
      </c>
      <c r="T25" s="59">
        <f t="shared" si="1"/>
        <v>8000</v>
      </c>
      <c r="U25" s="48">
        <f t="shared" si="2"/>
        <v>8000</v>
      </c>
      <c r="V25" s="226">
        <f t="shared" si="3"/>
        <v>5000</v>
      </c>
      <c r="W25" s="71">
        <f t="shared" si="4"/>
        <v>0.625</v>
      </c>
      <c r="X25" s="72"/>
      <c r="Y25" s="11"/>
    </row>
    <row r="26" spans="1:25" s="1" customFormat="1" ht="44" thickBot="1" x14ac:dyDescent="0.4">
      <c r="A26" s="81" t="s">
        <v>56</v>
      </c>
      <c r="B26" s="86" t="s">
        <v>186</v>
      </c>
      <c r="C26" s="41"/>
      <c r="D26" s="41"/>
      <c r="E26" s="41"/>
      <c r="F26" s="41"/>
      <c r="G26" s="41"/>
      <c r="H26" s="41"/>
      <c r="I26" s="41"/>
      <c r="J26" s="41"/>
      <c r="K26" s="41"/>
      <c r="L26" s="41"/>
      <c r="M26" s="41"/>
      <c r="N26" s="196"/>
      <c r="O26" s="41">
        <v>0</v>
      </c>
      <c r="P26" s="41">
        <v>8000</v>
      </c>
      <c r="Q26" s="41">
        <v>8000</v>
      </c>
      <c r="R26" s="92">
        <v>3200</v>
      </c>
      <c r="S26" s="48">
        <f t="shared" si="0"/>
        <v>0</v>
      </c>
      <c r="T26" s="59">
        <f t="shared" si="1"/>
        <v>8000</v>
      </c>
      <c r="U26" s="48">
        <f t="shared" si="2"/>
        <v>8000</v>
      </c>
      <c r="V26" s="226">
        <f t="shared" si="3"/>
        <v>3200</v>
      </c>
      <c r="W26" s="71">
        <f t="shared" si="4"/>
        <v>0.4</v>
      </c>
      <c r="X26" s="72"/>
      <c r="Y26" s="11"/>
    </row>
    <row r="27" spans="1:25" s="57" customFormat="1" ht="34.9" customHeight="1" thickBot="1" x14ac:dyDescent="0.4">
      <c r="A27" s="43" t="s">
        <v>57</v>
      </c>
      <c r="B27" s="42"/>
      <c r="C27" s="42">
        <f>SUM(C14+C5)</f>
        <v>0</v>
      </c>
      <c r="D27" s="42"/>
      <c r="E27" s="42"/>
      <c r="F27" s="42"/>
      <c r="G27" s="42">
        <f t="shared" ref="G27:Q27" si="5">SUM(G14+G5)</f>
        <v>58000</v>
      </c>
      <c r="H27" s="42">
        <f t="shared" si="5"/>
        <v>0</v>
      </c>
      <c r="I27" s="42">
        <f t="shared" si="5"/>
        <v>58000</v>
      </c>
      <c r="J27" s="42">
        <f t="shared" si="5"/>
        <v>58000</v>
      </c>
      <c r="K27" s="42">
        <f t="shared" si="5"/>
        <v>403862</v>
      </c>
      <c r="L27" s="42">
        <f t="shared" si="5"/>
        <v>0</v>
      </c>
      <c r="M27" s="42">
        <f t="shared" si="5"/>
        <v>403862</v>
      </c>
      <c r="N27" s="122">
        <f>SUM(N14+N5)</f>
        <v>206744</v>
      </c>
      <c r="O27" s="42">
        <f t="shared" si="5"/>
        <v>109782</v>
      </c>
      <c r="P27" s="42">
        <f t="shared" si="5"/>
        <v>0</v>
      </c>
      <c r="Q27" s="42">
        <f t="shared" si="5"/>
        <v>109782</v>
      </c>
      <c r="R27" s="122">
        <f>SUM(R14+R5)</f>
        <v>99370</v>
      </c>
      <c r="S27" s="48">
        <f t="shared" si="0"/>
        <v>571644</v>
      </c>
      <c r="T27" s="59">
        <f t="shared" si="1"/>
        <v>0</v>
      </c>
      <c r="U27" s="48">
        <f t="shared" si="2"/>
        <v>571644</v>
      </c>
      <c r="V27" s="226">
        <f t="shared" si="3"/>
        <v>364114</v>
      </c>
      <c r="W27" s="71">
        <f t="shared" si="4"/>
        <v>0.63695936631889782</v>
      </c>
      <c r="X27" s="43"/>
      <c r="Y27" s="47"/>
    </row>
    <row r="28" spans="1:25" ht="27.65" customHeight="1" thickBot="1" x14ac:dyDescent="0.4">
      <c r="A28" s="184" t="s">
        <v>58</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
    </row>
    <row r="29" spans="1:25" ht="90.5" thickBot="1" x14ac:dyDescent="0.4">
      <c r="A29" s="70" t="s">
        <v>59</v>
      </c>
      <c r="B29" s="70" t="s">
        <v>60</v>
      </c>
      <c r="C29" s="48">
        <f>SUM(C30:C37)</f>
        <v>0</v>
      </c>
      <c r="D29" s="48"/>
      <c r="E29" s="48"/>
      <c r="F29" s="48"/>
      <c r="G29" s="48">
        <f>SUM(G30:G36)</f>
        <v>112682</v>
      </c>
      <c r="H29" s="48">
        <f>SUM(H30:H36)</f>
        <v>29000</v>
      </c>
      <c r="I29" s="48">
        <f>SUM(I30:I36)</f>
        <v>141682</v>
      </c>
      <c r="J29" s="48">
        <f>SUM(J30:J36)</f>
        <v>112682</v>
      </c>
      <c r="K29" s="48">
        <f>SUM(K37:K46)</f>
        <v>246466</v>
      </c>
      <c r="L29" s="48">
        <f>SUM(L37:L46)</f>
        <v>0</v>
      </c>
      <c r="M29" s="48">
        <f>SUM(M37:M46)</f>
        <v>246466</v>
      </c>
      <c r="N29" s="177"/>
      <c r="O29" s="48">
        <f>SUM(O30:O37)</f>
        <v>0</v>
      </c>
      <c r="P29" s="48"/>
      <c r="Q29" s="48"/>
      <c r="R29" s="48"/>
      <c r="S29" s="48">
        <f>SUM(C29+G29+K29+O29)</f>
        <v>359148</v>
      </c>
      <c r="T29" s="59">
        <f>SUM(D29+H29+L29+P29)</f>
        <v>29000</v>
      </c>
      <c r="U29" s="48">
        <f>+S29+T29</f>
        <v>388148</v>
      </c>
      <c r="V29" s="226">
        <f>+F29+J29+N29+R29</f>
        <v>112682</v>
      </c>
      <c r="W29" s="71">
        <f>+V29/U29</f>
        <v>0.29030679019343136</v>
      </c>
      <c r="X29" s="70"/>
      <c r="Y29" s="1"/>
    </row>
    <row r="30" spans="1:25" ht="169.5" customHeight="1" thickBot="1" x14ac:dyDescent="0.4">
      <c r="A30" s="72" t="s">
        <v>61</v>
      </c>
      <c r="B30" s="72" t="s">
        <v>62</v>
      </c>
      <c r="C30" s="41">
        <v>0</v>
      </c>
      <c r="D30" s="41"/>
      <c r="E30" s="41"/>
      <c r="F30" s="41"/>
      <c r="G30" s="89">
        <v>20000</v>
      </c>
      <c r="H30" s="89"/>
      <c r="I30" s="89">
        <f t="shared" ref="I30:I35" si="6">+G30</f>
        <v>20000</v>
      </c>
      <c r="J30" s="89">
        <v>20000</v>
      </c>
      <c r="K30" s="41">
        <v>0</v>
      </c>
      <c r="L30" s="41"/>
      <c r="M30" s="41"/>
      <c r="N30" s="196"/>
      <c r="O30" s="41">
        <v>0</v>
      </c>
      <c r="P30" s="90"/>
      <c r="Q30" s="90"/>
      <c r="R30" s="214"/>
      <c r="S30" s="48">
        <f>SUM(C30+G30+K30+O30)</f>
        <v>20000</v>
      </c>
      <c r="T30" s="59">
        <f>SUM(D30+H30+L30+P30)</f>
        <v>0</v>
      </c>
      <c r="U30" s="48">
        <f>+S30+T30</f>
        <v>20000</v>
      </c>
      <c r="V30" s="226">
        <f t="shared" ref="V30:V47" si="7">+F30+J30+N30+R30</f>
        <v>20000</v>
      </c>
      <c r="W30" s="71">
        <f t="shared" ref="W30:W47" si="8">+V30/U30</f>
        <v>1</v>
      </c>
      <c r="X30" s="72"/>
      <c r="Y30" s="11"/>
    </row>
    <row r="31" spans="1:25" ht="113.25" customHeight="1" thickBot="1" x14ac:dyDescent="0.4">
      <c r="A31" s="72" t="s">
        <v>63</v>
      </c>
      <c r="B31" s="72" t="s">
        <v>64</v>
      </c>
      <c r="C31" s="41">
        <v>0</v>
      </c>
      <c r="D31" s="41"/>
      <c r="E31" s="41"/>
      <c r="F31" s="41"/>
      <c r="G31" s="89">
        <v>21000</v>
      </c>
      <c r="H31" s="89"/>
      <c r="I31" s="89">
        <f t="shared" si="6"/>
        <v>21000</v>
      </c>
      <c r="J31" s="89">
        <v>21000</v>
      </c>
      <c r="K31" s="41">
        <v>0</v>
      </c>
      <c r="L31" s="41"/>
      <c r="M31" s="41"/>
      <c r="N31" s="196"/>
      <c r="O31" s="41">
        <v>0</v>
      </c>
      <c r="P31" s="90"/>
      <c r="Q31" s="90"/>
      <c r="R31" s="214"/>
      <c r="S31" s="48">
        <f t="shared" ref="S31:S37" si="9">SUM(C31+G31+K31+O31)</f>
        <v>21000</v>
      </c>
      <c r="T31" s="59">
        <f t="shared" ref="T31:T47" si="10">SUM(D31+H31+L31+P31)</f>
        <v>0</v>
      </c>
      <c r="U31" s="48">
        <f t="shared" ref="U31:U46" si="11">+S31+T31</f>
        <v>21000</v>
      </c>
      <c r="V31" s="226">
        <f t="shared" si="7"/>
        <v>21000</v>
      </c>
      <c r="W31" s="71">
        <f t="shared" si="8"/>
        <v>1</v>
      </c>
      <c r="X31" s="72"/>
      <c r="Y31" s="11"/>
    </row>
    <row r="32" spans="1:25" ht="140.25" customHeight="1" thickBot="1" x14ac:dyDescent="0.4">
      <c r="A32" s="72" t="s">
        <v>65</v>
      </c>
      <c r="B32" s="72" t="s">
        <v>66</v>
      </c>
      <c r="C32" s="41">
        <v>0</v>
      </c>
      <c r="D32" s="41"/>
      <c r="E32" s="41"/>
      <c r="F32" s="41"/>
      <c r="G32" s="89">
        <v>15182</v>
      </c>
      <c r="H32" s="89"/>
      <c r="I32" s="89">
        <f t="shared" si="6"/>
        <v>15182</v>
      </c>
      <c r="J32" s="89">
        <v>15182</v>
      </c>
      <c r="K32" s="41">
        <v>0</v>
      </c>
      <c r="L32" s="41"/>
      <c r="M32" s="41"/>
      <c r="N32" s="196"/>
      <c r="O32" s="41">
        <v>0</v>
      </c>
      <c r="P32" s="90"/>
      <c r="Q32" s="90"/>
      <c r="R32" s="214"/>
      <c r="S32" s="48">
        <f t="shared" si="9"/>
        <v>15182</v>
      </c>
      <c r="T32" s="59">
        <f t="shared" si="10"/>
        <v>0</v>
      </c>
      <c r="U32" s="48">
        <f t="shared" si="11"/>
        <v>15182</v>
      </c>
      <c r="V32" s="226">
        <f t="shared" si="7"/>
        <v>15182</v>
      </c>
      <c r="W32" s="71">
        <f t="shared" si="8"/>
        <v>1</v>
      </c>
      <c r="X32" s="72"/>
      <c r="Y32" s="11"/>
    </row>
    <row r="33" spans="1:26" ht="79.5" customHeight="1" thickBot="1" x14ac:dyDescent="0.4">
      <c r="A33" s="72" t="s">
        <v>67</v>
      </c>
      <c r="B33" s="72" t="s">
        <v>68</v>
      </c>
      <c r="C33" s="41">
        <v>0</v>
      </c>
      <c r="D33" s="41"/>
      <c r="E33" s="41"/>
      <c r="F33" s="41"/>
      <c r="G33" s="89">
        <v>17000</v>
      </c>
      <c r="H33" s="89"/>
      <c r="I33" s="89">
        <f t="shared" si="6"/>
        <v>17000</v>
      </c>
      <c r="J33" s="89">
        <v>17000</v>
      </c>
      <c r="K33" s="41">
        <v>0</v>
      </c>
      <c r="L33" s="41"/>
      <c r="M33" s="41"/>
      <c r="N33" s="196"/>
      <c r="O33" s="41">
        <v>0</v>
      </c>
      <c r="P33" s="90"/>
      <c r="Q33" s="90"/>
      <c r="R33" s="214"/>
      <c r="S33" s="48">
        <f t="shared" si="9"/>
        <v>17000</v>
      </c>
      <c r="T33" s="59">
        <f t="shared" si="10"/>
        <v>0</v>
      </c>
      <c r="U33" s="48">
        <f t="shared" si="11"/>
        <v>17000</v>
      </c>
      <c r="V33" s="226">
        <f t="shared" si="7"/>
        <v>17000</v>
      </c>
      <c r="W33" s="71">
        <f t="shared" si="8"/>
        <v>1</v>
      </c>
      <c r="X33" s="72"/>
      <c r="Y33" s="11"/>
    </row>
    <row r="34" spans="1:26" ht="101.25" customHeight="1" thickBot="1" x14ac:dyDescent="0.4">
      <c r="A34" s="72" t="s">
        <v>69</v>
      </c>
      <c r="B34" s="72" t="s">
        <v>70</v>
      </c>
      <c r="C34" s="41">
        <v>0</v>
      </c>
      <c r="D34" s="41"/>
      <c r="E34" s="41"/>
      <c r="F34" s="41"/>
      <c r="G34" s="89">
        <v>17000</v>
      </c>
      <c r="H34" s="89"/>
      <c r="I34" s="89">
        <f t="shared" si="6"/>
        <v>17000</v>
      </c>
      <c r="J34" s="89">
        <v>17000</v>
      </c>
      <c r="K34" s="41">
        <v>0</v>
      </c>
      <c r="L34" s="41"/>
      <c r="M34" s="41"/>
      <c r="N34" s="196"/>
      <c r="O34" s="41">
        <v>0</v>
      </c>
      <c r="P34" s="90"/>
      <c r="Q34" s="90"/>
      <c r="R34" s="214"/>
      <c r="S34" s="48">
        <f t="shared" si="9"/>
        <v>17000</v>
      </c>
      <c r="T34" s="59">
        <f t="shared" si="10"/>
        <v>0</v>
      </c>
      <c r="U34" s="48">
        <f t="shared" si="11"/>
        <v>17000</v>
      </c>
      <c r="V34" s="226">
        <f t="shared" si="7"/>
        <v>17000</v>
      </c>
      <c r="W34" s="71">
        <f t="shared" si="8"/>
        <v>1</v>
      </c>
      <c r="X34" s="72"/>
      <c r="Y34" s="11"/>
    </row>
    <row r="35" spans="1:26" ht="153.75" customHeight="1" thickBot="1" x14ac:dyDescent="0.4">
      <c r="A35" s="72" t="s">
        <v>71</v>
      </c>
      <c r="B35" s="43" t="s">
        <v>187</v>
      </c>
      <c r="C35" s="41">
        <f>SUM(C37:C37)</f>
        <v>0</v>
      </c>
      <c r="D35" s="41"/>
      <c r="E35" s="41"/>
      <c r="F35" s="41"/>
      <c r="G35" s="41">
        <v>22500</v>
      </c>
      <c r="H35" s="41"/>
      <c r="I35" s="41">
        <f t="shared" si="6"/>
        <v>22500</v>
      </c>
      <c r="J35" s="41">
        <v>22500</v>
      </c>
      <c r="K35" s="41">
        <v>0</v>
      </c>
      <c r="L35" s="41"/>
      <c r="M35" s="41"/>
      <c r="N35" s="196"/>
      <c r="O35" s="41">
        <f>SUM(O37:O37)</f>
        <v>0</v>
      </c>
      <c r="P35" s="41"/>
      <c r="Q35" s="41"/>
      <c r="R35" s="73"/>
      <c r="S35" s="48">
        <f t="shared" si="9"/>
        <v>22500</v>
      </c>
      <c r="T35" s="59">
        <f t="shared" si="10"/>
        <v>0</v>
      </c>
      <c r="U35" s="48">
        <f t="shared" si="11"/>
        <v>22500</v>
      </c>
      <c r="V35" s="226">
        <f t="shared" si="7"/>
        <v>22500</v>
      </c>
      <c r="W35" s="71">
        <f t="shared" si="8"/>
        <v>1</v>
      </c>
      <c r="X35" s="43"/>
      <c r="Y35" s="1"/>
      <c r="Z35" s="7">
        <f>218830+23000</f>
        <v>241830</v>
      </c>
    </row>
    <row r="36" spans="1:26" s="7" customFormat="1" ht="153.75" customHeight="1" thickBot="1" x14ac:dyDescent="0.4">
      <c r="A36" s="91" t="s">
        <v>72</v>
      </c>
      <c r="B36" s="23" t="s">
        <v>73</v>
      </c>
      <c r="C36" s="41"/>
      <c r="D36" s="41"/>
      <c r="E36" s="41"/>
      <c r="F36" s="41"/>
      <c r="G36" s="92">
        <v>0</v>
      </c>
      <c r="H36" s="92">
        <v>29000</v>
      </c>
      <c r="I36" s="92">
        <f>+H36</f>
        <v>29000</v>
      </c>
      <c r="J36" s="92">
        <v>0</v>
      </c>
      <c r="K36" s="41"/>
      <c r="L36" s="41"/>
      <c r="M36" s="41"/>
      <c r="N36" s="196"/>
      <c r="O36" s="41"/>
      <c r="P36" s="93"/>
      <c r="Q36" s="41"/>
      <c r="R36" s="73"/>
      <c r="S36" s="48">
        <f t="shared" si="9"/>
        <v>0</v>
      </c>
      <c r="T36" s="59">
        <f t="shared" si="10"/>
        <v>29000</v>
      </c>
      <c r="U36" s="48">
        <f t="shared" si="11"/>
        <v>29000</v>
      </c>
      <c r="V36" s="226">
        <f t="shared" si="7"/>
        <v>0</v>
      </c>
      <c r="W36" s="71">
        <f t="shared" si="8"/>
        <v>0</v>
      </c>
      <c r="X36" s="43"/>
      <c r="Y36" s="1"/>
    </row>
    <row r="37" spans="1:26" ht="109" thickBot="1" x14ac:dyDescent="0.4">
      <c r="A37" s="72" t="s">
        <v>74</v>
      </c>
      <c r="B37" s="72" t="s">
        <v>75</v>
      </c>
      <c r="C37" s="41">
        <v>0</v>
      </c>
      <c r="D37" s="41"/>
      <c r="E37" s="41"/>
      <c r="F37" s="41"/>
      <c r="G37" s="94">
        <v>0</v>
      </c>
      <c r="H37" s="94"/>
      <c r="I37" s="94"/>
      <c r="J37" s="94"/>
      <c r="K37" s="49">
        <v>246466</v>
      </c>
      <c r="L37" s="92">
        <v>-288995</v>
      </c>
      <c r="M37" s="92">
        <f>+K37+L37</f>
        <v>-42529</v>
      </c>
      <c r="N37" s="199">
        <v>180000</v>
      </c>
      <c r="O37" s="41">
        <v>0</v>
      </c>
      <c r="P37" s="93"/>
      <c r="Q37" s="41"/>
      <c r="R37" s="73"/>
      <c r="S37" s="48">
        <f t="shared" si="9"/>
        <v>246466</v>
      </c>
      <c r="T37" s="59">
        <f t="shared" si="10"/>
        <v>-288995</v>
      </c>
      <c r="U37" s="48">
        <f t="shared" si="11"/>
        <v>-42529</v>
      </c>
      <c r="V37" s="226">
        <f t="shared" si="7"/>
        <v>180000</v>
      </c>
      <c r="W37" s="71">
        <f t="shared" si="8"/>
        <v>-4.2324061228808576</v>
      </c>
      <c r="X37" s="84"/>
      <c r="Y37" s="11"/>
      <c r="Z37" s="7"/>
    </row>
    <row r="38" spans="1:26" s="7" customFormat="1" ht="173.65" customHeight="1" thickBot="1" x14ac:dyDescent="0.4">
      <c r="A38" s="91" t="s">
        <v>76</v>
      </c>
      <c r="B38" s="181" t="s">
        <v>77</v>
      </c>
      <c r="C38" s="41"/>
      <c r="D38" s="41"/>
      <c r="E38" s="41"/>
      <c r="F38" s="41"/>
      <c r="G38" s="94"/>
      <c r="H38" s="94"/>
      <c r="I38" s="94"/>
      <c r="J38" s="94"/>
      <c r="K38" s="73">
        <v>0</v>
      </c>
      <c r="L38" s="95">
        <v>3000</v>
      </c>
      <c r="M38" s="96">
        <f t="shared" ref="M38:M46" si="12">+L38</f>
        <v>3000</v>
      </c>
      <c r="N38" s="200">
        <v>3000</v>
      </c>
      <c r="O38" s="41"/>
      <c r="P38" s="93"/>
      <c r="Q38" s="41"/>
      <c r="R38" s="73"/>
      <c r="S38" s="48">
        <f>SUM(C38+G38+K38+O38)</f>
        <v>0</v>
      </c>
      <c r="T38" s="59">
        <f t="shared" si="10"/>
        <v>3000</v>
      </c>
      <c r="U38" s="48">
        <f t="shared" si="11"/>
        <v>3000</v>
      </c>
      <c r="V38" s="226">
        <f t="shared" si="7"/>
        <v>3000</v>
      </c>
      <c r="W38" s="71">
        <f t="shared" si="8"/>
        <v>1</v>
      </c>
      <c r="X38" s="72"/>
      <c r="Y38" s="11"/>
    </row>
    <row r="39" spans="1:26" s="7" customFormat="1" ht="78" thickBot="1" x14ac:dyDescent="0.4">
      <c r="A39" s="91" t="s">
        <v>78</v>
      </c>
      <c r="B39" s="101" t="s">
        <v>79</v>
      </c>
      <c r="C39" s="41"/>
      <c r="D39" s="41"/>
      <c r="E39" s="41"/>
      <c r="F39" s="41"/>
      <c r="G39" s="94"/>
      <c r="H39" s="94"/>
      <c r="I39" s="94"/>
      <c r="J39" s="94"/>
      <c r="K39" s="73">
        <v>0</v>
      </c>
      <c r="L39" s="95">
        <v>3000</v>
      </c>
      <c r="M39" s="96">
        <f t="shared" si="12"/>
        <v>3000</v>
      </c>
      <c r="N39" s="200">
        <v>5000</v>
      </c>
      <c r="O39" s="41"/>
      <c r="P39" s="50"/>
      <c r="Q39" s="97"/>
      <c r="R39" s="215"/>
      <c r="S39" s="48">
        <f>SUM(C39+G39+K39+O39)</f>
        <v>0</v>
      </c>
      <c r="T39" s="59">
        <f t="shared" si="10"/>
        <v>3000</v>
      </c>
      <c r="U39" s="48">
        <f t="shared" si="11"/>
        <v>3000</v>
      </c>
      <c r="V39" s="226">
        <f t="shared" si="7"/>
        <v>5000</v>
      </c>
      <c r="W39" s="71">
        <f t="shared" si="8"/>
        <v>1.6666666666666667</v>
      </c>
      <c r="X39" s="98"/>
      <c r="Y39" s="11"/>
    </row>
    <row r="40" spans="1:26" s="7" customFormat="1" ht="88.15" customHeight="1" thickBot="1" x14ac:dyDescent="0.4">
      <c r="A40" s="91" t="s">
        <v>80</v>
      </c>
      <c r="B40" s="181" t="s">
        <v>81</v>
      </c>
      <c r="C40" s="41"/>
      <c r="D40" s="41"/>
      <c r="E40" s="41"/>
      <c r="F40" s="41"/>
      <c r="G40" s="94"/>
      <c r="H40" s="94"/>
      <c r="I40" s="94"/>
      <c r="J40" s="94"/>
      <c r="K40" s="73">
        <v>0</v>
      </c>
      <c r="L40" s="41">
        <v>117962</v>
      </c>
      <c r="M40" s="99">
        <f t="shared" si="12"/>
        <v>117962</v>
      </c>
      <c r="N40" s="201">
        <v>93334.7</v>
      </c>
      <c r="O40" s="41"/>
      <c r="P40" s="41"/>
      <c r="Q40" s="100"/>
      <c r="R40" s="216"/>
      <c r="S40" s="48">
        <f>SUM(C40+G40+K40+O40)</f>
        <v>0</v>
      </c>
      <c r="T40" s="59">
        <f t="shared" si="10"/>
        <v>117962</v>
      </c>
      <c r="U40" s="48">
        <f t="shared" si="11"/>
        <v>117962</v>
      </c>
      <c r="V40" s="226">
        <f t="shared" si="7"/>
        <v>93334.7</v>
      </c>
      <c r="W40" s="71">
        <f t="shared" si="8"/>
        <v>0.79122683576066866</v>
      </c>
      <c r="X40" s="72"/>
      <c r="Y40" s="11"/>
    </row>
    <row r="41" spans="1:26" s="7" customFormat="1" ht="47" thickBot="1" x14ac:dyDescent="0.4">
      <c r="A41" s="91" t="s">
        <v>82</v>
      </c>
      <c r="B41" s="101" t="s">
        <v>196</v>
      </c>
      <c r="C41" s="41"/>
      <c r="D41" s="41"/>
      <c r="E41" s="41"/>
      <c r="F41" s="41"/>
      <c r="G41" s="94"/>
      <c r="H41" s="94"/>
      <c r="I41" s="94"/>
      <c r="J41" s="94"/>
      <c r="K41" s="73">
        <v>0</v>
      </c>
      <c r="L41" s="41">
        <v>10000</v>
      </c>
      <c r="M41" s="99">
        <f t="shared" si="12"/>
        <v>10000</v>
      </c>
      <c r="N41" s="202"/>
      <c r="O41" s="41"/>
      <c r="P41" s="41"/>
      <c r="Q41" s="100"/>
      <c r="R41" s="216"/>
      <c r="S41" s="48">
        <f t="shared" ref="S41:S46" si="13">SUM(C41+G41+K41+O41)</f>
        <v>0</v>
      </c>
      <c r="T41" s="59">
        <f t="shared" si="10"/>
        <v>10000</v>
      </c>
      <c r="U41" s="48">
        <f t="shared" si="11"/>
        <v>10000</v>
      </c>
      <c r="V41" s="226">
        <f t="shared" si="7"/>
        <v>0</v>
      </c>
      <c r="W41" s="71">
        <f t="shared" si="8"/>
        <v>0</v>
      </c>
      <c r="X41" s="84"/>
      <c r="Y41" s="11"/>
    </row>
    <row r="42" spans="1:26" s="7" customFormat="1" ht="47" thickBot="1" x14ac:dyDescent="0.4">
      <c r="A42" s="91" t="s">
        <v>83</v>
      </c>
      <c r="B42" s="102" t="s">
        <v>84</v>
      </c>
      <c r="C42" s="41"/>
      <c r="D42" s="41"/>
      <c r="E42" s="41"/>
      <c r="F42" s="41"/>
      <c r="G42" s="94"/>
      <c r="H42" s="94"/>
      <c r="I42" s="94"/>
      <c r="J42" s="94"/>
      <c r="K42" s="73">
        <v>0</v>
      </c>
      <c r="L42" s="41">
        <v>39637</v>
      </c>
      <c r="M42" s="99">
        <f t="shared" si="12"/>
        <v>39637</v>
      </c>
      <c r="N42" s="203"/>
      <c r="O42" s="50"/>
      <c r="P42" s="50"/>
      <c r="Q42" s="103"/>
      <c r="R42" s="217"/>
      <c r="S42" s="48">
        <f t="shared" si="13"/>
        <v>0</v>
      </c>
      <c r="T42" s="59">
        <f t="shared" si="10"/>
        <v>39637</v>
      </c>
      <c r="U42" s="48">
        <f t="shared" si="11"/>
        <v>39637</v>
      </c>
      <c r="V42" s="226">
        <f t="shared" si="7"/>
        <v>0</v>
      </c>
      <c r="W42" s="71">
        <f t="shared" si="8"/>
        <v>0</v>
      </c>
      <c r="X42" s="72"/>
      <c r="Y42" s="11"/>
    </row>
    <row r="43" spans="1:26" s="7" customFormat="1" ht="47" thickBot="1" x14ac:dyDescent="0.4">
      <c r="A43" s="91" t="s">
        <v>85</v>
      </c>
      <c r="B43" s="102" t="s">
        <v>86</v>
      </c>
      <c r="C43" s="41"/>
      <c r="D43" s="41"/>
      <c r="E43" s="41"/>
      <c r="F43" s="41"/>
      <c r="G43" s="94"/>
      <c r="H43" s="94"/>
      <c r="I43" s="94"/>
      <c r="J43" s="94"/>
      <c r="K43" s="73">
        <v>0</v>
      </c>
      <c r="L43" s="41">
        <v>55300</v>
      </c>
      <c r="M43" s="99">
        <f t="shared" si="12"/>
        <v>55300</v>
      </c>
      <c r="N43" s="202">
        <v>0</v>
      </c>
      <c r="O43" s="41"/>
      <c r="P43" s="41"/>
      <c r="Q43" s="100"/>
      <c r="R43" s="216"/>
      <c r="S43" s="48">
        <f t="shared" si="13"/>
        <v>0</v>
      </c>
      <c r="T43" s="59">
        <f t="shared" si="10"/>
        <v>55300</v>
      </c>
      <c r="U43" s="48">
        <f t="shared" si="11"/>
        <v>55300</v>
      </c>
      <c r="V43" s="226">
        <f t="shared" si="7"/>
        <v>0</v>
      </c>
      <c r="W43" s="71">
        <f t="shared" si="8"/>
        <v>0</v>
      </c>
      <c r="X43" s="72"/>
      <c r="Y43" s="11"/>
    </row>
    <row r="44" spans="1:26" s="7" customFormat="1" ht="31.5" thickBot="1" x14ac:dyDescent="0.4">
      <c r="A44" s="91" t="s">
        <v>87</v>
      </c>
      <c r="B44" s="104" t="s">
        <v>88</v>
      </c>
      <c r="C44" s="41"/>
      <c r="D44" s="41"/>
      <c r="E44" s="41"/>
      <c r="F44" s="41"/>
      <c r="G44" s="94"/>
      <c r="H44" s="94"/>
      <c r="I44" s="94"/>
      <c r="J44" s="94"/>
      <c r="K44" s="73">
        <v>0</v>
      </c>
      <c r="L44" s="41">
        <v>5000</v>
      </c>
      <c r="M44" s="99">
        <f t="shared" si="12"/>
        <v>5000</v>
      </c>
      <c r="N44" s="202"/>
      <c r="O44" s="51"/>
      <c r="P44" s="41"/>
      <c r="Q44" s="100"/>
      <c r="R44" s="216"/>
      <c r="S44" s="48">
        <f t="shared" si="13"/>
        <v>0</v>
      </c>
      <c r="T44" s="59">
        <f t="shared" si="10"/>
        <v>5000</v>
      </c>
      <c r="U44" s="48">
        <f t="shared" si="11"/>
        <v>5000</v>
      </c>
      <c r="V44" s="226">
        <f t="shared" si="7"/>
        <v>0</v>
      </c>
      <c r="W44" s="71">
        <f t="shared" si="8"/>
        <v>0</v>
      </c>
      <c r="X44" s="72"/>
      <c r="Y44" s="11"/>
    </row>
    <row r="45" spans="1:26" s="7" customFormat="1" ht="47" thickBot="1" x14ac:dyDescent="0.4">
      <c r="A45" s="91" t="s">
        <v>89</v>
      </c>
      <c r="B45" s="105" t="s">
        <v>90</v>
      </c>
      <c r="C45" s="41"/>
      <c r="D45" s="41"/>
      <c r="E45" s="41"/>
      <c r="F45" s="41"/>
      <c r="G45" s="94"/>
      <c r="H45" s="94"/>
      <c r="I45" s="94"/>
      <c r="J45" s="94"/>
      <c r="K45" s="73">
        <v>0</v>
      </c>
      <c r="L45" s="41">
        <v>24793</v>
      </c>
      <c r="M45" s="99">
        <f t="shared" si="12"/>
        <v>24793</v>
      </c>
      <c r="N45" s="202">
        <v>0</v>
      </c>
      <c r="O45" s="41"/>
      <c r="P45" s="41"/>
      <c r="Q45" s="100"/>
      <c r="R45" s="216"/>
      <c r="S45" s="48">
        <f t="shared" si="13"/>
        <v>0</v>
      </c>
      <c r="T45" s="59">
        <f t="shared" si="10"/>
        <v>24793</v>
      </c>
      <c r="U45" s="48">
        <f t="shared" si="11"/>
        <v>24793</v>
      </c>
      <c r="V45" s="226">
        <f t="shared" si="7"/>
        <v>0</v>
      </c>
      <c r="W45" s="71">
        <f t="shared" si="8"/>
        <v>0</v>
      </c>
      <c r="X45" s="84"/>
      <c r="Y45" s="11"/>
    </row>
    <row r="46" spans="1:26" s="7" customFormat="1" ht="31.5" thickBot="1" x14ac:dyDescent="0.4">
      <c r="A46" s="91" t="s">
        <v>91</v>
      </c>
      <c r="B46" s="105" t="s">
        <v>92</v>
      </c>
      <c r="C46" s="41"/>
      <c r="D46" s="41"/>
      <c r="E46" s="41"/>
      <c r="F46" s="41"/>
      <c r="G46" s="94"/>
      <c r="H46" s="94"/>
      <c r="I46" s="94"/>
      <c r="J46" s="94"/>
      <c r="K46" s="73">
        <v>0</v>
      </c>
      <c r="L46" s="41">
        <v>30303</v>
      </c>
      <c r="M46" s="99">
        <f t="shared" si="12"/>
        <v>30303</v>
      </c>
      <c r="N46" s="202">
        <v>0</v>
      </c>
      <c r="O46" s="41"/>
      <c r="P46" s="106"/>
      <c r="Q46" s="107"/>
      <c r="R46" s="218"/>
      <c r="S46" s="48">
        <f t="shared" si="13"/>
        <v>0</v>
      </c>
      <c r="T46" s="59">
        <f t="shared" si="10"/>
        <v>30303</v>
      </c>
      <c r="U46" s="48">
        <f t="shared" si="11"/>
        <v>30303</v>
      </c>
      <c r="V46" s="226">
        <f t="shared" si="7"/>
        <v>0</v>
      </c>
      <c r="W46" s="71">
        <f t="shared" si="8"/>
        <v>0</v>
      </c>
      <c r="X46" s="72"/>
      <c r="Y46" s="11"/>
    </row>
    <row r="47" spans="1:26" s="29" customFormat="1" ht="39.65" customHeight="1" thickBot="1" x14ac:dyDescent="0.4">
      <c r="A47" s="43" t="s">
        <v>93</v>
      </c>
      <c r="B47" s="108"/>
      <c r="C47" s="42">
        <f>SUM(C35+C29)</f>
        <v>0</v>
      </c>
      <c r="D47" s="42"/>
      <c r="E47" s="42"/>
      <c r="F47" s="42"/>
      <c r="G47" s="42">
        <f>SUM(G35+G29)</f>
        <v>135182</v>
      </c>
      <c r="H47" s="42">
        <f>SUM(H35+H29)</f>
        <v>29000</v>
      </c>
      <c r="I47" s="42">
        <f>SUM(I35+I29)</f>
        <v>164182</v>
      </c>
      <c r="J47" s="42">
        <f>+J29</f>
        <v>112682</v>
      </c>
      <c r="K47" s="42">
        <f>SUM(K37:K46)</f>
        <v>246466</v>
      </c>
      <c r="L47" s="42">
        <f>SUM(L37:L46)</f>
        <v>0</v>
      </c>
      <c r="M47" s="42">
        <f>SUM(M37:M46)</f>
        <v>246466</v>
      </c>
      <c r="N47" s="122">
        <f>SUM(N37:N46)</f>
        <v>281334.7</v>
      </c>
      <c r="O47" s="42">
        <f>SUM(O35+O29)</f>
        <v>0</v>
      </c>
      <c r="P47" s="42"/>
      <c r="Q47" s="109"/>
      <c r="R47" s="219"/>
      <c r="S47" s="48">
        <f>SUM(C47+G47+K47+O47)</f>
        <v>381648</v>
      </c>
      <c r="T47" s="59">
        <f t="shared" si="10"/>
        <v>29000</v>
      </c>
      <c r="U47" s="48">
        <f>SUM(E47+I47+M47+Q47)</f>
        <v>410648</v>
      </c>
      <c r="V47" s="226">
        <f t="shared" si="7"/>
        <v>394016.7</v>
      </c>
      <c r="W47" s="71">
        <f t="shared" si="8"/>
        <v>0.95949986363016504</v>
      </c>
      <c r="X47" s="43"/>
      <c r="Y47" s="27"/>
    </row>
    <row r="48" spans="1:26" ht="30.65" customHeight="1" thickBot="1" x14ac:dyDescent="0.4">
      <c r="A48" s="184" t="s">
        <v>94</v>
      </c>
      <c r="B48" s="184"/>
      <c r="C48" s="184"/>
      <c r="D48" s="184"/>
      <c r="E48" s="184"/>
      <c r="F48" s="184"/>
      <c r="G48" s="184"/>
      <c r="H48" s="184"/>
      <c r="I48" s="184"/>
      <c r="J48" s="184"/>
      <c r="K48" s="184"/>
      <c r="L48" s="184"/>
      <c r="M48" s="184"/>
      <c r="N48" s="184"/>
      <c r="O48" s="184"/>
      <c r="P48" s="184"/>
      <c r="Q48" s="184"/>
      <c r="R48" s="184"/>
      <c r="S48" s="184"/>
      <c r="T48" s="184"/>
      <c r="U48" s="184"/>
      <c r="V48" s="184"/>
      <c r="W48" s="184"/>
      <c r="X48" s="185"/>
      <c r="Y48" s="1"/>
      <c r="Z48" s="7"/>
    </row>
    <row r="49" spans="1:27" ht="60.5" thickBot="1" x14ac:dyDescent="0.4">
      <c r="A49" s="70" t="s">
        <v>95</v>
      </c>
      <c r="B49" s="70" t="s">
        <v>96</v>
      </c>
      <c r="C49" s="177">
        <f>SUM(C50:C53)</f>
        <v>0</v>
      </c>
      <c r="D49" s="177">
        <f t="shared" ref="D49:E49" si="14">SUM(D50:D53)</f>
        <v>0</v>
      </c>
      <c r="E49" s="177">
        <f t="shared" si="14"/>
        <v>0</v>
      </c>
      <c r="F49" s="177"/>
      <c r="G49" s="48">
        <f>SUM(G50:G53)</f>
        <v>58500</v>
      </c>
      <c r="H49" s="48"/>
      <c r="I49" s="48">
        <f>+G49</f>
        <v>58500</v>
      </c>
      <c r="J49" s="48"/>
      <c r="K49" s="48">
        <f>SUM(K50:K53)</f>
        <v>0</v>
      </c>
      <c r="L49" s="48"/>
      <c r="M49" s="48"/>
      <c r="N49" s="177"/>
      <c r="O49" s="48">
        <f>SUM(O50:O53)</f>
        <v>0</v>
      </c>
      <c r="P49" s="48"/>
      <c r="Q49" s="48"/>
      <c r="R49" s="48"/>
      <c r="S49" s="48">
        <f t="shared" ref="S49:T54" si="15">SUM(C49+G49+K49+O49)</f>
        <v>58500</v>
      </c>
      <c r="T49" s="59">
        <f t="shared" si="15"/>
        <v>0</v>
      </c>
      <c r="U49" s="48">
        <f>+S49+T49</f>
        <v>58500</v>
      </c>
      <c r="V49" s="226">
        <f>+F47+J47+N47+R47</f>
        <v>394016.7</v>
      </c>
      <c r="W49" s="227">
        <f>+V49/U49</f>
        <v>6.7353282051282051</v>
      </c>
      <c r="X49" s="70"/>
      <c r="Y49" s="1"/>
      <c r="Z49" s="7"/>
    </row>
    <row r="50" spans="1:27" ht="144" customHeight="1" thickBot="1" x14ac:dyDescent="0.4">
      <c r="A50" s="72" t="s">
        <v>97</v>
      </c>
      <c r="B50" s="110" t="s">
        <v>98</v>
      </c>
      <c r="C50" s="41">
        <v>0</v>
      </c>
      <c r="D50" s="41"/>
      <c r="E50" s="41"/>
      <c r="F50" s="41"/>
      <c r="G50" s="41">
        <v>12500</v>
      </c>
      <c r="H50" s="41"/>
      <c r="I50" s="41">
        <f>+G50</f>
        <v>12500</v>
      </c>
      <c r="J50" s="41">
        <v>0</v>
      </c>
      <c r="K50" s="41">
        <v>0</v>
      </c>
      <c r="L50" s="41"/>
      <c r="M50" s="41"/>
      <c r="N50" s="196"/>
      <c r="O50" s="41">
        <v>0</v>
      </c>
      <c r="P50" s="41"/>
      <c r="Q50" s="41"/>
      <c r="R50" s="73"/>
      <c r="S50" s="48">
        <f t="shared" si="15"/>
        <v>12500</v>
      </c>
      <c r="T50" s="59">
        <f t="shared" si="15"/>
        <v>0</v>
      </c>
      <c r="U50" s="48">
        <f t="shared" ref="U50:U75" si="16">+S50+T50</f>
        <v>12500</v>
      </c>
      <c r="V50" s="226">
        <f t="shared" ref="V50:V75" si="17">+F48+J48+N48+R48</f>
        <v>0</v>
      </c>
      <c r="W50" s="111"/>
      <c r="X50" s="72"/>
      <c r="Y50" s="11"/>
      <c r="Z50" s="7"/>
    </row>
    <row r="51" spans="1:27" ht="162" customHeight="1" thickBot="1" x14ac:dyDescent="0.4">
      <c r="A51" s="72" t="s">
        <v>99</v>
      </c>
      <c r="B51" s="23" t="s">
        <v>100</v>
      </c>
      <c r="C51" s="41">
        <v>0</v>
      </c>
      <c r="D51" s="41"/>
      <c r="E51" s="41"/>
      <c r="F51" s="41"/>
      <c r="G51" s="41">
        <v>14000</v>
      </c>
      <c r="H51" s="41">
        <v>-14000</v>
      </c>
      <c r="I51" s="41">
        <f>+G51+H51</f>
        <v>0</v>
      </c>
      <c r="J51" s="41"/>
      <c r="K51" s="41">
        <v>0</v>
      </c>
      <c r="L51" s="41"/>
      <c r="M51" s="41"/>
      <c r="N51" s="196"/>
      <c r="O51" s="41">
        <v>0</v>
      </c>
      <c r="P51" s="41"/>
      <c r="Q51" s="41"/>
      <c r="R51" s="73"/>
      <c r="S51" s="48">
        <f t="shared" si="15"/>
        <v>14000</v>
      </c>
      <c r="T51" s="59">
        <f t="shared" si="15"/>
        <v>-14000</v>
      </c>
      <c r="U51" s="48">
        <f t="shared" si="16"/>
        <v>0</v>
      </c>
      <c r="V51" s="226">
        <f t="shared" si="17"/>
        <v>0</v>
      </c>
      <c r="W51" s="83"/>
      <c r="X51" s="72"/>
      <c r="Y51" s="11"/>
      <c r="Z51" s="7"/>
      <c r="AA51" s="7"/>
    </row>
    <row r="52" spans="1:27" ht="131.65" customHeight="1" thickBot="1" x14ac:dyDescent="0.4">
      <c r="A52" s="72" t="s">
        <v>101</v>
      </c>
      <c r="B52" s="110" t="s">
        <v>197</v>
      </c>
      <c r="C52" s="41">
        <v>0</v>
      </c>
      <c r="D52" s="41"/>
      <c r="E52" s="41"/>
      <c r="F52" s="41"/>
      <c r="G52" s="41">
        <v>15000</v>
      </c>
      <c r="H52" s="41">
        <v>-15000</v>
      </c>
      <c r="I52" s="41">
        <f>+G52+H52</f>
        <v>0</v>
      </c>
      <c r="J52" s="41"/>
      <c r="K52" s="41">
        <v>0</v>
      </c>
      <c r="L52" s="41"/>
      <c r="M52" s="41"/>
      <c r="N52" s="196"/>
      <c r="O52" s="41">
        <v>0</v>
      </c>
      <c r="P52" s="41"/>
      <c r="Q52" s="41"/>
      <c r="R52" s="73"/>
      <c r="S52" s="48">
        <f t="shared" si="15"/>
        <v>15000</v>
      </c>
      <c r="T52" s="59">
        <f t="shared" si="15"/>
        <v>-15000</v>
      </c>
      <c r="U52" s="48">
        <f t="shared" si="16"/>
        <v>0</v>
      </c>
      <c r="V52" s="226">
        <f t="shared" si="17"/>
        <v>0</v>
      </c>
      <c r="W52" s="83"/>
      <c r="X52" s="72"/>
      <c r="Y52" s="11"/>
      <c r="Z52" s="7"/>
      <c r="AA52" s="7"/>
    </row>
    <row r="53" spans="1:27" s="4" customFormat="1" ht="90.65" customHeight="1" thickBot="1" x14ac:dyDescent="0.4">
      <c r="A53" s="72" t="s">
        <v>102</v>
      </c>
      <c r="B53" s="23" t="s">
        <v>103</v>
      </c>
      <c r="C53" s="41">
        <v>0</v>
      </c>
      <c r="D53" s="41"/>
      <c r="E53" s="41"/>
      <c r="F53" s="41"/>
      <c r="G53" s="41">
        <v>17000</v>
      </c>
      <c r="H53" s="41"/>
      <c r="I53" s="190">
        <f>+G53</f>
        <v>17000</v>
      </c>
      <c r="J53" s="41">
        <v>0</v>
      </c>
      <c r="K53" s="41">
        <v>0</v>
      </c>
      <c r="L53" s="41"/>
      <c r="M53" s="41"/>
      <c r="N53" s="196"/>
      <c r="O53" s="41">
        <v>0</v>
      </c>
      <c r="P53" s="41"/>
      <c r="Q53" s="41"/>
      <c r="R53" s="73"/>
      <c r="S53" s="48">
        <f t="shared" si="15"/>
        <v>17000</v>
      </c>
      <c r="T53" s="59">
        <f t="shared" si="15"/>
        <v>0</v>
      </c>
      <c r="U53" s="48">
        <f t="shared" si="16"/>
        <v>17000</v>
      </c>
      <c r="V53" s="226">
        <f t="shared" si="17"/>
        <v>0</v>
      </c>
      <c r="W53" s="120">
        <f>+V53/U53</f>
        <v>0</v>
      </c>
      <c r="X53" s="72"/>
      <c r="Y53" s="12"/>
    </row>
    <row r="54" spans="1:27" ht="45.5" thickBot="1" x14ac:dyDescent="0.4">
      <c r="A54" s="70" t="s">
        <v>104</v>
      </c>
      <c r="B54" s="70" t="s">
        <v>105</v>
      </c>
      <c r="C54" s="177">
        <f>SUM(C55:C57)</f>
        <v>155000</v>
      </c>
      <c r="D54" s="178">
        <f>SUM(D55:D57)</f>
        <v>-15000</v>
      </c>
      <c r="E54" s="177">
        <f>SUM(E55:E57)</f>
        <v>140000</v>
      </c>
      <c r="F54" s="177">
        <f>SUM(F55:F57)</f>
        <v>138500</v>
      </c>
      <c r="G54" s="48">
        <f>SUM(G55:G57)</f>
        <v>0</v>
      </c>
      <c r="H54" s="48"/>
      <c r="I54" s="48"/>
      <c r="J54" s="48"/>
      <c r="K54" s="48">
        <f>SUM(K55:K57)</f>
        <v>0</v>
      </c>
      <c r="L54" s="48"/>
      <c r="M54" s="48"/>
      <c r="N54" s="177"/>
      <c r="O54" s="48">
        <f>SUM(O55:O57)</f>
        <v>0</v>
      </c>
      <c r="P54" s="48"/>
      <c r="Q54" s="48"/>
      <c r="R54" s="48"/>
      <c r="S54" s="48">
        <f t="shared" si="15"/>
        <v>155000</v>
      </c>
      <c r="T54" s="59">
        <f t="shared" si="15"/>
        <v>-15000</v>
      </c>
      <c r="U54" s="48">
        <f t="shared" si="16"/>
        <v>140000</v>
      </c>
      <c r="V54" s="226">
        <f t="shared" si="17"/>
        <v>0</v>
      </c>
      <c r="W54" s="120">
        <f t="shared" ref="W54:W75" si="18">+V54/U54</f>
        <v>0</v>
      </c>
      <c r="X54" s="70"/>
      <c r="Y54" s="1"/>
      <c r="Z54" s="7"/>
      <c r="AA54" s="7"/>
    </row>
    <row r="55" spans="1:27" ht="142.9" customHeight="1" thickBot="1" x14ac:dyDescent="0.4">
      <c r="A55" s="72" t="s">
        <v>106</v>
      </c>
      <c r="B55" s="72" t="s">
        <v>107</v>
      </c>
      <c r="C55" s="52">
        <v>80000</v>
      </c>
      <c r="D55" s="52">
        <v>-10000</v>
      </c>
      <c r="E55" s="52">
        <f>+C55+D55</f>
        <v>70000</v>
      </c>
      <c r="F55" s="52">
        <v>70000</v>
      </c>
      <c r="G55" s="52">
        <v>0</v>
      </c>
      <c r="H55" s="52"/>
      <c r="I55" s="52"/>
      <c r="J55" s="52"/>
      <c r="K55" s="52">
        <v>0</v>
      </c>
      <c r="L55" s="52"/>
      <c r="M55" s="52"/>
      <c r="N55" s="204"/>
      <c r="O55" s="52">
        <v>0</v>
      </c>
      <c r="P55" s="52"/>
      <c r="Q55" s="52"/>
      <c r="R55" s="112"/>
      <c r="S55" s="48">
        <f t="shared" ref="S55:S62" si="19">SUM(C55+G55+K55+O55)</f>
        <v>80000</v>
      </c>
      <c r="T55" s="59">
        <f t="shared" ref="T55:T75" si="20">SUM(D55+H55+L55+P55)</f>
        <v>-10000</v>
      </c>
      <c r="U55" s="48">
        <f t="shared" si="16"/>
        <v>70000</v>
      </c>
      <c r="V55" s="226">
        <f t="shared" si="17"/>
        <v>0</v>
      </c>
      <c r="W55" s="120">
        <f t="shared" si="18"/>
        <v>0</v>
      </c>
      <c r="X55" s="72"/>
      <c r="Y55" s="11"/>
      <c r="Z55" s="7"/>
      <c r="AA55" s="7"/>
    </row>
    <row r="56" spans="1:27" ht="167.25" customHeight="1" thickBot="1" x14ac:dyDescent="0.4">
      <c r="A56" s="72" t="s">
        <v>108</v>
      </c>
      <c r="B56" s="72" t="s">
        <v>109</v>
      </c>
      <c r="C56" s="112">
        <v>25000</v>
      </c>
      <c r="D56" s="113">
        <v>-5000</v>
      </c>
      <c r="E56" s="114">
        <f>25000-5000</f>
        <v>20000</v>
      </c>
      <c r="F56" s="176">
        <v>18500</v>
      </c>
      <c r="G56" s="52">
        <v>0</v>
      </c>
      <c r="H56" s="52"/>
      <c r="I56" s="52"/>
      <c r="J56" s="52"/>
      <c r="K56" s="52">
        <v>0</v>
      </c>
      <c r="L56" s="52"/>
      <c r="M56" s="52"/>
      <c r="N56" s="204"/>
      <c r="O56" s="52">
        <v>0</v>
      </c>
      <c r="P56" s="52"/>
      <c r="Q56" s="52"/>
      <c r="R56" s="112"/>
      <c r="S56" s="48">
        <f t="shared" si="19"/>
        <v>25000</v>
      </c>
      <c r="T56" s="59">
        <f t="shared" si="20"/>
        <v>-5000</v>
      </c>
      <c r="U56" s="48">
        <f t="shared" si="16"/>
        <v>20000</v>
      </c>
      <c r="V56" s="226">
        <f t="shared" si="17"/>
        <v>138500</v>
      </c>
      <c r="W56" s="120">
        <f t="shared" si="18"/>
        <v>6.9249999999999998</v>
      </c>
      <c r="X56" s="72"/>
      <c r="Y56" s="11"/>
      <c r="Z56" s="7"/>
      <c r="AA56" s="7"/>
    </row>
    <row r="57" spans="1:27" ht="81.75" customHeight="1" thickBot="1" x14ac:dyDescent="0.4">
      <c r="A57" s="72" t="s">
        <v>110</v>
      </c>
      <c r="B57" s="72" t="s">
        <v>111</v>
      </c>
      <c r="C57" s="52">
        <v>50000</v>
      </c>
      <c r="D57" s="52"/>
      <c r="E57" s="52">
        <f>C57</f>
        <v>50000</v>
      </c>
      <c r="F57" s="52">
        <v>50000</v>
      </c>
      <c r="G57" s="52">
        <v>0</v>
      </c>
      <c r="H57" s="52"/>
      <c r="I57" s="52"/>
      <c r="J57" s="52"/>
      <c r="K57" s="52">
        <v>0</v>
      </c>
      <c r="L57" s="52"/>
      <c r="M57" s="52"/>
      <c r="N57" s="204"/>
      <c r="O57" s="52">
        <v>0</v>
      </c>
      <c r="P57" s="52"/>
      <c r="Q57" s="52"/>
      <c r="R57" s="112"/>
      <c r="S57" s="48">
        <f t="shared" si="19"/>
        <v>50000</v>
      </c>
      <c r="T57" s="59">
        <f t="shared" si="20"/>
        <v>0</v>
      </c>
      <c r="U57" s="48">
        <f t="shared" si="16"/>
        <v>50000</v>
      </c>
      <c r="V57" s="226">
        <f t="shared" si="17"/>
        <v>70000</v>
      </c>
      <c r="W57" s="120">
        <f t="shared" si="18"/>
        <v>1.4</v>
      </c>
      <c r="X57" s="72"/>
      <c r="Y57" s="11"/>
      <c r="Z57" s="7"/>
      <c r="AA57" s="7"/>
    </row>
    <row r="58" spans="1:27" ht="79.900000000000006" customHeight="1" thickBot="1" x14ac:dyDescent="0.4">
      <c r="A58" s="70" t="s">
        <v>112</v>
      </c>
      <c r="B58" s="70" t="s">
        <v>113</v>
      </c>
      <c r="C58" s="179">
        <f>SUM(C59:C61)</f>
        <v>179580</v>
      </c>
      <c r="D58" s="179">
        <f>SUM(D59:D61)</f>
        <v>-10000</v>
      </c>
      <c r="E58" s="179">
        <f>SUM(E59:E61)</f>
        <v>169580</v>
      </c>
      <c r="F58" s="179">
        <f>SUM(F59:F61)</f>
        <v>166580</v>
      </c>
      <c r="G58" s="53">
        <f>SUM(G59:G61)</f>
        <v>0</v>
      </c>
      <c r="H58" s="53"/>
      <c r="I58" s="53"/>
      <c r="J58" s="53"/>
      <c r="K58" s="53">
        <f>SUM(K59:K61)</f>
        <v>0</v>
      </c>
      <c r="L58" s="53"/>
      <c r="M58" s="53"/>
      <c r="N58" s="179"/>
      <c r="O58" s="53">
        <f>SUM(O59:O61)</f>
        <v>0</v>
      </c>
      <c r="P58" s="53"/>
      <c r="Q58" s="53"/>
      <c r="R58" s="53"/>
      <c r="S58" s="48">
        <f t="shared" si="19"/>
        <v>179580</v>
      </c>
      <c r="T58" s="59">
        <f t="shared" si="20"/>
        <v>-10000</v>
      </c>
      <c r="U58" s="48">
        <f t="shared" si="16"/>
        <v>169580</v>
      </c>
      <c r="V58" s="226">
        <f t="shared" si="17"/>
        <v>18500</v>
      </c>
      <c r="W58" s="120">
        <f t="shared" si="18"/>
        <v>0.10909305342611157</v>
      </c>
      <c r="X58" s="115"/>
      <c r="Y58" s="5"/>
      <c r="Z58" s="7"/>
      <c r="AA58" s="7"/>
    </row>
    <row r="59" spans="1:27" ht="302.25" customHeight="1" thickBot="1" x14ac:dyDescent="0.4">
      <c r="A59" s="72" t="s">
        <v>114</v>
      </c>
      <c r="B59" s="72" t="s">
        <v>115</v>
      </c>
      <c r="C59" s="52">
        <v>104580</v>
      </c>
      <c r="D59" s="52"/>
      <c r="E59" s="52">
        <f>C59</f>
        <v>104580</v>
      </c>
      <c r="F59" s="52">
        <v>104580</v>
      </c>
      <c r="G59" s="52">
        <v>0</v>
      </c>
      <c r="H59" s="52"/>
      <c r="I59" s="52"/>
      <c r="J59" s="52"/>
      <c r="K59" s="52">
        <v>0</v>
      </c>
      <c r="L59" s="52"/>
      <c r="M59" s="52"/>
      <c r="N59" s="204"/>
      <c r="O59" s="52">
        <v>0</v>
      </c>
      <c r="P59" s="52"/>
      <c r="Q59" s="52"/>
      <c r="R59" s="112"/>
      <c r="S59" s="48">
        <f t="shared" si="19"/>
        <v>104580</v>
      </c>
      <c r="T59" s="59">
        <f t="shared" si="20"/>
        <v>0</v>
      </c>
      <c r="U59" s="48">
        <f t="shared" si="16"/>
        <v>104580</v>
      </c>
      <c r="V59" s="226">
        <f t="shared" si="17"/>
        <v>50000</v>
      </c>
      <c r="W59" s="120">
        <f t="shared" si="18"/>
        <v>0.47810288774144194</v>
      </c>
      <c r="X59" s="72"/>
      <c r="Y59" s="1"/>
      <c r="Z59" s="7"/>
      <c r="AA59" s="7"/>
    </row>
    <row r="60" spans="1:27" ht="291.64999999999998" customHeight="1" thickBot="1" x14ac:dyDescent="0.4">
      <c r="A60" s="72" t="s">
        <v>116</v>
      </c>
      <c r="B60" s="72" t="s">
        <v>204</v>
      </c>
      <c r="C60" s="52">
        <v>35000</v>
      </c>
      <c r="D60" s="52"/>
      <c r="E60" s="52">
        <f>C60</f>
        <v>35000</v>
      </c>
      <c r="F60" s="176">
        <v>35000</v>
      </c>
      <c r="G60" s="52">
        <v>0</v>
      </c>
      <c r="H60" s="52"/>
      <c r="I60" s="52"/>
      <c r="J60" s="52"/>
      <c r="K60" s="52">
        <v>0</v>
      </c>
      <c r="L60" s="52"/>
      <c r="M60" s="52"/>
      <c r="N60" s="204"/>
      <c r="O60" s="52">
        <v>0</v>
      </c>
      <c r="P60" s="52"/>
      <c r="Q60" s="52"/>
      <c r="R60" s="112"/>
      <c r="S60" s="48">
        <f t="shared" si="19"/>
        <v>35000</v>
      </c>
      <c r="T60" s="59">
        <f t="shared" si="20"/>
        <v>0</v>
      </c>
      <c r="U60" s="48">
        <f t="shared" si="16"/>
        <v>35000</v>
      </c>
      <c r="V60" s="226">
        <f t="shared" si="17"/>
        <v>166580</v>
      </c>
      <c r="W60" s="120">
        <f t="shared" si="18"/>
        <v>4.7594285714285718</v>
      </c>
      <c r="X60" s="110" t="s">
        <v>191</v>
      </c>
      <c r="Y60" s="1"/>
      <c r="Z60" s="3"/>
      <c r="AA60" s="7"/>
    </row>
    <row r="61" spans="1:27" ht="123" customHeight="1" thickBot="1" x14ac:dyDescent="0.4">
      <c r="A61" s="72" t="s">
        <v>117</v>
      </c>
      <c r="B61" s="72" t="s">
        <v>203</v>
      </c>
      <c r="C61" s="112">
        <v>40000</v>
      </c>
      <c r="D61" s="113">
        <v>-10000</v>
      </c>
      <c r="E61" s="114">
        <f>+C61+D61</f>
        <v>30000</v>
      </c>
      <c r="F61" s="176">
        <f>20000+7000</f>
        <v>27000</v>
      </c>
      <c r="G61" s="52">
        <v>0</v>
      </c>
      <c r="H61" s="52"/>
      <c r="I61" s="52"/>
      <c r="J61" s="52"/>
      <c r="K61" s="52">
        <v>0</v>
      </c>
      <c r="L61" s="52"/>
      <c r="M61" s="52"/>
      <c r="N61" s="204"/>
      <c r="O61" s="52">
        <v>0</v>
      </c>
      <c r="P61" s="52"/>
      <c r="Q61" s="52"/>
      <c r="R61" s="112"/>
      <c r="S61" s="48">
        <f t="shared" si="19"/>
        <v>40000</v>
      </c>
      <c r="T61" s="59">
        <f t="shared" si="20"/>
        <v>-10000</v>
      </c>
      <c r="U61" s="48">
        <f t="shared" si="16"/>
        <v>30000</v>
      </c>
      <c r="V61" s="226">
        <f t="shared" si="17"/>
        <v>104580</v>
      </c>
      <c r="W61" s="120">
        <f t="shared" si="18"/>
        <v>3.4860000000000002</v>
      </c>
      <c r="X61" s="72"/>
      <c r="Y61" s="1"/>
      <c r="Z61" s="7"/>
      <c r="AA61" s="7"/>
    </row>
    <row r="62" spans="1:27" ht="111" customHeight="1" thickBot="1" x14ac:dyDescent="0.4">
      <c r="A62" s="70" t="s">
        <v>118</v>
      </c>
      <c r="B62" s="70" t="s">
        <v>119</v>
      </c>
      <c r="C62" s="177">
        <f>SUM(C63:C72)</f>
        <v>297196</v>
      </c>
      <c r="D62" s="177">
        <f>SUM(D63:D72)</f>
        <v>25000</v>
      </c>
      <c r="E62" s="177">
        <f>SUM(E63:E72)</f>
        <v>322196</v>
      </c>
      <c r="F62" s="177">
        <f>SUM(F63:F72)</f>
        <v>315979.64</v>
      </c>
      <c r="G62" s="48">
        <f>SUM(G63:G72)</f>
        <v>0</v>
      </c>
      <c r="H62" s="48"/>
      <c r="I62" s="48"/>
      <c r="J62" s="48"/>
      <c r="K62" s="48">
        <f>SUM(K63:K68)</f>
        <v>0</v>
      </c>
      <c r="L62" s="48"/>
      <c r="M62" s="48"/>
      <c r="N62" s="177"/>
      <c r="O62" s="48">
        <f>SUM(O63:O68)</f>
        <v>0</v>
      </c>
      <c r="P62" s="48"/>
      <c r="Q62" s="48"/>
      <c r="R62" s="48"/>
      <c r="S62" s="48">
        <f t="shared" si="19"/>
        <v>297196</v>
      </c>
      <c r="T62" s="59">
        <f t="shared" si="20"/>
        <v>25000</v>
      </c>
      <c r="U62" s="48">
        <f t="shared" si="16"/>
        <v>322196</v>
      </c>
      <c r="V62" s="226">
        <f t="shared" si="17"/>
        <v>35000</v>
      </c>
      <c r="W62" s="120">
        <f t="shared" si="18"/>
        <v>0.1086295298513948</v>
      </c>
      <c r="X62" s="70"/>
      <c r="Y62" s="1"/>
      <c r="Z62" s="7"/>
      <c r="AA62" s="7"/>
    </row>
    <row r="63" spans="1:27" ht="120" customHeight="1" thickBot="1" x14ac:dyDescent="0.4">
      <c r="A63" s="72" t="s">
        <v>120</v>
      </c>
      <c r="B63" s="72" t="s">
        <v>121</v>
      </c>
      <c r="C63" s="112">
        <v>120000</v>
      </c>
      <c r="D63" s="113">
        <v>-12808</v>
      </c>
      <c r="E63" s="114">
        <v>107192</v>
      </c>
      <c r="F63" s="176">
        <f>60000+42000</f>
        <v>102000</v>
      </c>
      <c r="G63" s="52">
        <v>0</v>
      </c>
      <c r="H63" s="52"/>
      <c r="I63" s="52"/>
      <c r="J63" s="52"/>
      <c r="K63" s="52">
        <v>0</v>
      </c>
      <c r="L63" s="52"/>
      <c r="M63" s="52"/>
      <c r="N63" s="204"/>
      <c r="O63" s="52">
        <v>0</v>
      </c>
      <c r="P63" s="52"/>
      <c r="Q63" s="52"/>
      <c r="R63" s="112"/>
      <c r="S63" s="48">
        <f t="shared" ref="S63:S75" si="21">SUM(C63+G63+K63+O63)</f>
        <v>120000</v>
      </c>
      <c r="T63" s="59">
        <f t="shared" si="20"/>
        <v>-12808</v>
      </c>
      <c r="U63" s="48">
        <f t="shared" si="16"/>
        <v>107192</v>
      </c>
      <c r="V63" s="226">
        <f t="shared" si="17"/>
        <v>27000</v>
      </c>
      <c r="W63" s="120">
        <f t="shared" si="18"/>
        <v>0.25188446899022315</v>
      </c>
      <c r="X63" s="72"/>
      <c r="Y63" s="11"/>
      <c r="Z63" s="7"/>
      <c r="AA63" s="7"/>
    </row>
    <row r="64" spans="1:27" ht="105.75" customHeight="1" thickBot="1" x14ac:dyDescent="0.4">
      <c r="A64" s="72" t="s">
        <v>122</v>
      </c>
      <c r="B64" s="72" t="s">
        <v>123</v>
      </c>
      <c r="C64" s="52">
        <v>15000</v>
      </c>
      <c r="D64" s="52">
        <v>0</v>
      </c>
      <c r="E64" s="52">
        <f>C64</f>
        <v>15000</v>
      </c>
      <c r="F64" s="52">
        <v>15000</v>
      </c>
      <c r="G64" s="52">
        <v>0</v>
      </c>
      <c r="H64" s="52"/>
      <c r="I64" s="52"/>
      <c r="J64" s="52"/>
      <c r="K64" s="52">
        <v>0</v>
      </c>
      <c r="L64" s="52"/>
      <c r="M64" s="52"/>
      <c r="N64" s="204"/>
      <c r="O64" s="52">
        <v>0</v>
      </c>
      <c r="P64" s="52"/>
      <c r="Q64" s="52"/>
      <c r="R64" s="112"/>
      <c r="S64" s="48">
        <f t="shared" si="21"/>
        <v>15000</v>
      </c>
      <c r="T64" s="59">
        <f t="shared" si="20"/>
        <v>0</v>
      </c>
      <c r="U64" s="48">
        <f t="shared" si="16"/>
        <v>15000</v>
      </c>
      <c r="V64" s="226">
        <f t="shared" si="17"/>
        <v>315979.64</v>
      </c>
      <c r="W64" s="120">
        <f t="shared" si="18"/>
        <v>21.065309333333335</v>
      </c>
      <c r="X64" s="72"/>
      <c r="Y64" s="11"/>
      <c r="Z64" s="7"/>
      <c r="AA64" s="7"/>
    </row>
    <row r="65" spans="1:35" ht="97.5" customHeight="1" thickBot="1" x14ac:dyDescent="0.4">
      <c r="A65" s="72" t="s">
        <v>124</v>
      </c>
      <c r="B65" s="72" t="s">
        <v>125</v>
      </c>
      <c r="C65" s="112">
        <v>57196</v>
      </c>
      <c r="D65" s="113">
        <v>-10000</v>
      </c>
      <c r="E65" s="114">
        <f>57196-10000</f>
        <v>47196</v>
      </c>
      <c r="F65" s="176">
        <f>8752+39090</f>
        <v>47842</v>
      </c>
      <c r="G65" s="52">
        <v>0</v>
      </c>
      <c r="H65" s="52"/>
      <c r="I65" s="52"/>
      <c r="J65" s="52"/>
      <c r="K65" s="52">
        <v>0</v>
      </c>
      <c r="L65" s="52"/>
      <c r="M65" s="52"/>
      <c r="N65" s="204"/>
      <c r="O65" s="52">
        <v>0</v>
      </c>
      <c r="P65" s="52"/>
      <c r="Q65" s="52"/>
      <c r="R65" s="112"/>
      <c r="S65" s="48">
        <f t="shared" si="21"/>
        <v>57196</v>
      </c>
      <c r="T65" s="59">
        <f t="shared" si="20"/>
        <v>-10000</v>
      </c>
      <c r="U65" s="48">
        <f t="shared" si="16"/>
        <v>47196</v>
      </c>
      <c r="V65" s="226">
        <f t="shared" si="17"/>
        <v>102000</v>
      </c>
      <c r="W65" s="120">
        <f t="shared" si="18"/>
        <v>2.161200101703534</v>
      </c>
      <c r="X65" s="72"/>
      <c r="Y65" s="11"/>
      <c r="Z65" s="7"/>
      <c r="AA65" s="7"/>
    </row>
    <row r="66" spans="1:35" s="25" customFormat="1" ht="188.25" customHeight="1" thickBot="1" x14ac:dyDescent="0.4">
      <c r="A66" s="72" t="s">
        <v>126</v>
      </c>
      <c r="B66" s="72" t="s">
        <v>202</v>
      </c>
      <c r="C66" s="116">
        <v>20000</v>
      </c>
      <c r="D66" s="117">
        <v>-5800</v>
      </c>
      <c r="E66" s="118">
        <f>20000-5800</f>
        <v>14200</v>
      </c>
      <c r="F66" s="169">
        <v>14200</v>
      </c>
      <c r="G66" s="54">
        <v>0</v>
      </c>
      <c r="H66" s="54"/>
      <c r="I66" s="54"/>
      <c r="J66" s="54"/>
      <c r="K66" s="54">
        <v>0</v>
      </c>
      <c r="L66" s="54"/>
      <c r="M66" s="54"/>
      <c r="N66" s="205"/>
      <c r="O66" s="54">
        <v>0</v>
      </c>
      <c r="P66" s="54"/>
      <c r="Q66" s="54"/>
      <c r="R66" s="116"/>
      <c r="S66" s="48">
        <f t="shared" si="21"/>
        <v>20000</v>
      </c>
      <c r="T66" s="59">
        <f t="shared" si="20"/>
        <v>-5800</v>
      </c>
      <c r="U66" s="48">
        <f t="shared" si="16"/>
        <v>14200</v>
      </c>
      <c r="V66" s="226">
        <f t="shared" si="17"/>
        <v>15000</v>
      </c>
      <c r="W66" s="120">
        <f t="shared" si="18"/>
        <v>1.056338028169014</v>
      </c>
      <c r="X66" s="168" t="s">
        <v>194</v>
      </c>
      <c r="Y66" s="24"/>
      <c r="AA66" s="25" t="s">
        <v>127</v>
      </c>
    </row>
    <row r="67" spans="1:35" s="25" customFormat="1" ht="131.25" customHeight="1" thickBot="1" x14ac:dyDescent="0.4">
      <c r="A67" s="119" t="s">
        <v>128</v>
      </c>
      <c r="B67" s="72" t="s">
        <v>201</v>
      </c>
      <c r="C67" s="116">
        <v>25000</v>
      </c>
      <c r="D67" s="117">
        <v>-7250</v>
      </c>
      <c r="E67" s="118">
        <f>25000-7250</f>
        <v>17750</v>
      </c>
      <c r="F67" s="169">
        <v>17500</v>
      </c>
      <c r="G67" s="54">
        <v>0</v>
      </c>
      <c r="H67" s="54"/>
      <c r="I67" s="54"/>
      <c r="J67" s="54"/>
      <c r="K67" s="54">
        <v>0</v>
      </c>
      <c r="L67" s="54"/>
      <c r="M67" s="54"/>
      <c r="N67" s="205"/>
      <c r="O67" s="54">
        <v>0</v>
      </c>
      <c r="P67" s="54"/>
      <c r="Q67" s="54"/>
      <c r="R67" s="116"/>
      <c r="S67" s="48">
        <f t="shared" si="21"/>
        <v>25000</v>
      </c>
      <c r="T67" s="59">
        <f t="shared" si="20"/>
        <v>-7250</v>
      </c>
      <c r="U67" s="48">
        <f t="shared" si="16"/>
        <v>17750</v>
      </c>
      <c r="V67" s="226">
        <f t="shared" si="17"/>
        <v>47842</v>
      </c>
      <c r="W67" s="120">
        <f t="shared" si="18"/>
        <v>2.6953239436619718</v>
      </c>
      <c r="X67" s="168" t="s">
        <v>195</v>
      </c>
      <c r="Y67" s="24"/>
    </row>
    <row r="68" spans="1:35" s="25" customFormat="1" ht="109" thickBot="1" x14ac:dyDescent="0.4">
      <c r="A68" s="119" t="s">
        <v>129</v>
      </c>
      <c r="B68" s="183" t="s">
        <v>200</v>
      </c>
      <c r="C68" s="116">
        <v>60000</v>
      </c>
      <c r="D68" s="117">
        <v>-17400</v>
      </c>
      <c r="E68" s="118">
        <f>60000-17400</f>
        <v>42600</v>
      </c>
      <c r="F68" s="169">
        <v>42600</v>
      </c>
      <c r="G68" s="54">
        <v>0</v>
      </c>
      <c r="H68" s="54"/>
      <c r="I68" s="54"/>
      <c r="J68" s="54"/>
      <c r="K68" s="54">
        <v>0</v>
      </c>
      <c r="L68" s="54"/>
      <c r="M68" s="54"/>
      <c r="N68" s="205"/>
      <c r="O68" s="54">
        <v>0</v>
      </c>
      <c r="P68" s="54"/>
      <c r="Q68" s="54"/>
      <c r="R68" s="116"/>
      <c r="S68" s="48">
        <f t="shared" si="21"/>
        <v>60000</v>
      </c>
      <c r="T68" s="59">
        <f t="shared" si="20"/>
        <v>-17400</v>
      </c>
      <c r="U68" s="48">
        <f t="shared" si="16"/>
        <v>42600</v>
      </c>
      <c r="V68" s="226">
        <f t="shared" si="17"/>
        <v>14200</v>
      </c>
      <c r="W68" s="120">
        <f t="shared" si="18"/>
        <v>0.33333333333333331</v>
      </c>
      <c r="X68" s="168" t="s">
        <v>194</v>
      </c>
      <c r="Y68" s="24"/>
      <c r="Z68" s="26"/>
    </row>
    <row r="69" spans="1:35" s="7" customFormat="1" ht="78" thickBot="1" x14ac:dyDescent="0.4">
      <c r="A69" s="171" t="s">
        <v>130</v>
      </c>
      <c r="B69" s="91" t="s">
        <v>131</v>
      </c>
      <c r="C69" s="172">
        <v>0</v>
      </c>
      <c r="D69" s="117">
        <v>20000</v>
      </c>
      <c r="E69" s="118">
        <v>20000</v>
      </c>
      <c r="F69" s="118">
        <v>18579.64</v>
      </c>
      <c r="G69" s="55"/>
      <c r="H69" s="55"/>
      <c r="I69" s="55"/>
      <c r="J69" s="55"/>
      <c r="K69" s="55"/>
      <c r="L69" s="55"/>
      <c r="M69" s="55"/>
      <c r="N69" s="206"/>
      <c r="O69" s="55"/>
      <c r="P69" s="55"/>
      <c r="Q69" s="55"/>
      <c r="R69" s="220"/>
      <c r="S69" s="48">
        <f t="shared" si="21"/>
        <v>0</v>
      </c>
      <c r="T69" s="59">
        <f t="shared" si="20"/>
        <v>20000</v>
      </c>
      <c r="U69" s="48">
        <f t="shared" si="16"/>
        <v>20000</v>
      </c>
      <c r="V69" s="226">
        <f t="shared" si="17"/>
        <v>17500</v>
      </c>
      <c r="W69" s="120">
        <f t="shared" si="18"/>
        <v>0.875</v>
      </c>
      <c r="X69" s="121"/>
      <c r="Y69" s="11"/>
      <c r="Z69" s="2"/>
    </row>
    <row r="70" spans="1:35" s="7" customFormat="1" ht="93.5" thickBot="1" x14ac:dyDescent="0.4">
      <c r="A70" s="171" t="s">
        <v>132</v>
      </c>
      <c r="B70" s="175" t="s">
        <v>133</v>
      </c>
      <c r="C70" s="172">
        <v>0</v>
      </c>
      <c r="D70" s="117">
        <v>15000</v>
      </c>
      <c r="E70" s="118">
        <v>15000</v>
      </c>
      <c r="F70" s="118">
        <v>15000</v>
      </c>
      <c r="G70" s="55"/>
      <c r="H70" s="55"/>
      <c r="I70" s="55"/>
      <c r="J70" s="55"/>
      <c r="K70" s="55"/>
      <c r="L70" s="55"/>
      <c r="M70" s="55"/>
      <c r="N70" s="206"/>
      <c r="O70" s="55"/>
      <c r="P70" s="55"/>
      <c r="Q70" s="55"/>
      <c r="R70" s="220"/>
      <c r="S70" s="48">
        <f t="shared" si="21"/>
        <v>0</v>
      </c>
      <c r="T70" s="59">
        <f t="shared" si="20"/>
        <v>15000</v>
      </c>
      <c r="U70" s="48">
        <f t="shared" si="16"/>
        <v>15000</v>
      </c>
      <c r="V70" s="226">
        <f t="shared" si="17"/>
        <v>42600</v>
      </c>
      <c r="W70" s="120">
        <f t="shared" si="18"/>
        <v>2.84</v>
      </c>
      <c r="X70" s="121"/>
      <c r="Y70" s="11"/>
      <c r="Z70" s="2"/>
    </row>
    <row r="71" spans="1:35" s="7" customFormat="1" ht="146.25" customHeight="1" thickBot="1" x14ac:dyDescent="0.4">
      <c r="A71" s="171" t="s">
        <v>134</v>
      </c>
      <c r="B71" s="174" t="s">
        <v>135</v>
      </c>
      <c r="C71" s="172">
        <v>0</v>
      </c>
      <c r="D71" s="117">
        <v>28000</v>
      </c>
      <c r="E71" s="118">
        <v>28000</v>
      </c>
      <c r="F71" s="169">
        <v>28000</v>
      </c>
      <c r="G71" s="55"/>
      <c r="H71" s="55"/>
      <c r="I71" s="55"/>
      <c r="J71" s="55"/>
      <c r="K71" s="55"/>
      <c r="L71" s="55"/>
      <c r="M71" s="55"/>
      <c r="N71" s="206"/>
      <c r="O71" s="55"/>
      <c r="P71" s="55"/>
      <c r="Q71" s="55"/>
      <c r="R71" s="220"/>
      <c r="S71" s="48">
        <f t="shared" si="21"/>
        <v>0</v>
      </c>
      <c r="T71" s="59">
        <f t="shared" si="20"/>
        <v>28000</v>
      </c>
      <c r="U71" s="48">
        <f t="shared" si="16"/>
        <v>28000</v>
      </c>
      <c r="V71" s="226">
        <f t="shared" si="17"/>
        <v>18579.64</v>
      </c>
      <c r="W71" s="120">
        <f t="shared" si="18"/>
        <v>0.66355857142857144</v>
      </c>
      <c r="X71" s="170" t="s">
        <v>193</v>
      </c>
      <c r="Y71" s="11"/>
      <c r="Z71" s="2"/>
    </row>
    <row r="72" spans="1:35" s="7" customFormat="1" ht="124.5" thickBot="1" x14ac:dyDescent="0.4">
      <c r="A72" s="171" t="s">
        <v>136</v>
      </c>
      <c r="B72" s="175" t="s">
        <v>199</v>
      </c>
      <c r="C72" s="172">
        <v>0</v>
      </c>
      <c r="D72" s="117">
        <v>15258</v>
      </c>
      <c r="E72" s="118">
        <v>15258</v>
      </c>
      <c r="F72" s="169">
        <v>15258</v>
      </c>
      <c r="G72" s="55"/>
      <c r="H72" s="55"/>
      <c r="I72" s="55"/>
      <c r="J72" s="55"/>
      <c r="K72" s="55"/>
      <c r="L72" s="55"/>
      <c r="M72" s="55"/>
      <c r="N72" s="206"/>
      <c r="O72" s="55"/>
      <c r="P72" s="55"/>
      <c r="Q72" s="55"/>
      <c r="R72" s="220"/>
      <c r="S72" s="48">
        <f t="shared" si="21"/>
        <v>0</v>
      </c>
      <c r="T72" s="59">
        <f t="shared" si="20"/>
        <v>15258</v>
      </c>
      <c r="U72" s="48">
        <f t="shared" si="16"/>
        <v>15258</v>
      </c>
      <c r="V72" s="226">
        <f t="shared" si="17"/>
        <v>15000</v>
      </c>
      <c r="W72" s="120">
        <f t="shared" si="18"/>
        <v>0.98309083759339366</v>
      </c>
      <c r="X72" s="170" t="s">
        <v>193</v>
      </c>
      <c r="Y72" s="11"/>
      <c r="Z72" s="2"/>
    </row>
    <row r="73" spans="1:35" ht="45.5" thickBot="1" x14ac:dyDescent="0.4">
      <c r="A73" s="70" t="s">
        <v>137</v>
      </c>
      <c r="B73" s="173" t="s">
        <v>138</v>
      </c>
      <c r="C73" s="56">
        <f>SUM(C74)</f>
        <v>10000</v>
      </c>
      <c r="D73" s="56">
        <f>SUM(D74)</f>
        <v>0</v>
      </c>
      <c r="E73" s="56">
        <f>SUM(E74)</f>
        <v>10000</v>
      </c>
      <c r="F73" s="56">
        <f>SUM(F74)</f>
        <v>10000</v>
      </c>
      <c r="G73" s="56">
        <f>SUM(G74)</f>
        <v>0</v>
      </c>
      <c r="H73" s="56"/>
      <c r="I73" s="56"/>
      <c r="J73" s="56"/>
      <c r="K73" s="56">
        <f>SUM(K74)</f>
        <v>0</v>
      </c>
      <c r="L73" s="56"/>
      <c r="M73" s="56"/>
      <c r="N73" s="207"/>
      <c r="O73" s="56">
        <f>SUM(O74)</f>
        <v>0</v>
      </c>
      <c r="P73" s="56"/>
      <c r="Q73" s="56"/>
      <c r="R73" s="56"/>
      <c r="S73" s="48">
        <f t="shared" si="21"/>
        <v>10000</v>
      </c>
      <c r="T73" s="59">
        <f t="shared" si="20"/>
        <v>0</v>
      </c>
      <c r="U73" s="48">
        <f t="shared" si="16"/>
        <v>10000</v>
      </c>
      <c r="V73" s="226">
        <f t="shared" si="17"/>
        <v>28000</v>
      </c>
      <c r="W73" s="120">
        <f t="shared" si="18"/>
        <v>2.8</v>
      </c>
      <c r="X73" s="70"/>
      <c r="Y73" s="1"/>
      <c r="Z73" s="7"/>
      <c r="AA73" s="7"/>
      <c r="AB73" s="7"/>
      <c r="AC73" s="7"/>
      <c r="AD73" s="7"/>
      <c r="AE73" s="7"/>
      <c r="AF73" s="7"/>
      <c r="AG73" s="7"/>
      <c r="AH73" s="7"/>
      <c r="AI73" s="7"/>
    </row>
    <row r="74" spans="1:35" ht="153.75" customHeight="1" thickBot="1" x14ac:dyDescent="0.4">
      <c r="A74" s="72" t="s">
        <v>139</v>
      </c>
      <c r="B74" s="72" t="s">
        <v>198</v>
      </c>
      <c r="C74" s="52">
        <v>10000</v>
      </c>
      <c r="D74" s="52"/>
      <c r="E74" s="52">
        <f>C74</f>
        <v>10000</v>
      </c>
      <c r="F74" s="167">
        <v>10000</v>
      </c>
      <c r="G74" s="52">
        <v>0</v>
      </c>
      <c r="H74" s="52"/>
      <c r="I74" s="52"/>
      <c r="J74" s="52"/>
      <c r="K74" s="52"/>
      <c r="L74" s="52"/>
      <c r="M74" s="52"/>
      <c r="N74" s="204"/>
      <c r="O74" s="52"/>
      <c r="P74" s="52"/>
      <c r="Q74" s="52"/>
      <c r="R74" s="112"/>
      <c r="S74" s="48">
        <f t="shared" si="21"/>
        <v>10000</v>
      </c>
      <c r="T74" s="59">
        <f t="shared" si="20"/>
        <v>0</v>
      </c>
      <c r="U74" s="48">
        <f t="shared" si="16"/>
        <v>10000</v>
      </c>
      <c r="V74" s="226">
        <f t="shared" si="17"/>
        <v>15258</v>
      </c>
      <c r="W74" s="120">
        <f t="shared" si="18"/>
        <v>1.5258</v>
      </c>
      <c r="X74" s="168" t="s">
        <v>192</v>
      </c>
      <c r="Y74" s="1"/>
      <c r="Z74" s="8"/>
      <c r="AA74" s="8"/>
      <c r="AB74" s="8"/>
      <c r="AC74" s="8"/>
      <c r="AD74" s="7"/>
      <c r="AE74" s="7"/>
      <c r="AF74" s="7"/>
      <c r="AG74" s="7"/>
      <c r="AH74" s="7"/>
      <c r="AI74" s="7"/>
    </row>
    <row r="75" spans="1:35" s="29" customFormat="1" ht="45" customHeight="1" thickBot="1" x14ac:dyDescent="0.4">
      <c r="A75" s="70" t="s">
        <v>140</v>
      </c>
      <c r="B75" s="48"/>
      <c r="C75" s="48">
        <f t="shared" ref="C75:K75" si="22">SUM(C73+C62+C58+C54+C49)</f>
        <v>641776</v>
      </c>
      <c r="D75" s="48">
        <f t="shared" si="22"/>
        <v>0</v>
      </c>
      <c r="E75" s="48">
        <f t="shared" si="22"/>
        <v>641776</v>
      </c>
      <c r="F75" s="48">
        <f t="shared" si="22"/>
        <v>631059.64</v>
      </c>
      <c r="G75" s="48">
        <f t="shared" si="22"/>
        <v>58500</v>
      </c>
      <c r="H75" s="48">
        <f t="shared" si="22"/>
        <v>0</v>
      </c>
      <c r="I75" s="48">
        <f t="shared" si="22"/>
        <v>58500</v>
      </c>
      <c r="J75" s="48">
        <v>28500</v>
      </c>
      <c r="K75" s="48">
        <f t="shared" si="22"/>
        <v>0</v>
      </c>
      <c r="L75" s="48"/>
      <c r="M75" s="48"/>
      <c r="N75" s="177"/>
      <c r="O75" s="48">
        <f>SUM(O73+O62+O58+O54+O49)</f>
        <v>0</v>
      </c>
      <c r="P75" s="48"/>
      <c r="Q75" s="48"/>
      <c r="R75" s="48"/>
      <c r="S75" s="48">
        <f t="shared" si="21"/>
        <v>700276</v>
      </c>
      <c r="T75" s="48">
        <f t="shared" si="20"/>
        <v>0</v>
      </c>
      <c r="U75" s="48">
        <f t="shared" si="16"/>
        <v>700276</v>
      </c>
      <c r="V75" s="226">
        <f t="shared" si="17"/>
        <v>10000</v>
      </c>
      <c r="W75" s="120">
        <f t="shared" si="18"/>
        <v>1.4280083852652383E-2</v>
      </c>
      <c r="X75" s="70"/>
      <c r="Y75" s="27"/>
      <c r="Z75" s="28"/>
      <c r="AA75" s="28"/>
      <c r="AB75" s="28"/>
      <c r="AC75" s="28"/>
    </row>
    <row r="76" spans="1:35" s="6" customFormat="1" ht="45" customHeight="1" thickBot="1" x14ac:dyDescent="0.4">
      <c r="A76" s="184" t="s">
        <v>141</v>
      </c>
      <c r="B76" s="184"/>
      <c r="C76" s="184"/>
      <c r="D76" s="184"/>
      <c r="E76" s="184"/>
      <c r="F76" s="184"/>
      <c r="G76" s="184"/>
      <c r="H76" s="184"/>
      <c r="I76" s="184"/>
      <c r="J76" s="184"/>
      <c r="K76" s="184"/>
      <c r="L76" s="184"/>
      <c r="M76" s="184"/>
      <c r="N76" s="184"/>
      <c r="O76" s="184"/>
      <c r="P76" s="184"/>
      <c r="Q76" s="184"/>
      <c r="R76" s="184"/>
      <c r="S76" s="184"/>
      <c r="T76" s="184"/>
      <c r="U76" s="184"/>
      <c r="V76" s="184"/>
      <c r="W76" s="184"/>
      <c r="X76" s="185"/>
      <c r="Y76" s="1"/>
      <c r="Z76" s="9"/>
      <c r="AA76" s="9"/>
      <c r="AB76" s="9"/>
      <c r="AC76" s="9"/>
      <c r="AD76" s="7"/>
      <c r="AE76" s="7"/>
      <c r="AF76" s="7"/>
      <c r="AG76" s="7"/>
      <c r="AH76" s="7"/>
      <c r="AI76" s="7"/>
    </row>
    <row r="77" spans="1:35" s="6" customFormat="1" ht="45" customHeight="1" thickBot="1" x14ac:dyDescent="0.4">
      <c r="A77" s="43" t="s">
        <v>142</v>
      </c>
      <c r="B77" s="43"/>
      <c r="C77" s="42"/>
      <c r="D77" s="42"/>
      <c r="E77" s="42"/>
      <c r="F77" s="42"/>
      <c r="G77" s="42">
        <v>247500</v>
      </c>
      <c r="H77" s="42"/>
      <c r="I77" s="42">
        <f>+G77</f>
        <v>247500</v>
      </c>
      <c r="J77" s="42">
        <v>198332</v>
      </c>
      <c r="K77" s="42"/>
      <c r="L77" s="42"/>
      <c r="M77" s="42"/>
      <c r="N77" s="198"/>
      <c r="O77" s="42"/>
      <c r="P77" s="42"/>
      <c r="Q77" s="42"/>
      <c r="R77" s="122"/>
      <c r="S77" s="42">
        <f>SUM(C77+G77+K78+O78)</f>
        <v>247500</v>
      </c>
      <c r="T77" s="42">
        <f>SUM(D77+H77+L77+P77)</f>
        <v>0</v>
      </c>
      <c r="U77" s="48">
        <f>+S77+T77</f>
        <v>247500</v>
      </c>
      <c r="V77" s="225">
        <f>+F77+J77+N77+R77</f>
        <v>198332</v>
      </c>
      <c r="W77" s="60">
        <f>+V77/U77</f>
        <v>0.80134141414141413</v>
      </c>
      <c r="X77" s="43"/>
      <c r="Y77" s="1"/>
      <c r="Z77" s="9"/>
      <c r="AA77" s="9"/>
      <c r="AB77" s="9"/>
      <c r="AC77" s="9"/>
      <c r="AD77" s="7"/>
      <c r="AE77" s="7"/>
      <c r="AF77" s="7"/>
      <c r="AG77" s="7"/>
      <c r="AH77" s="7"/>
      <c r="AI77" s="7"/>
    </row>
    <row r="78" spans="1:35" s="6" customFormat="1" ht="45" customHeight="1" thickBot="1" x14ac:dyDescent="0.4">
      <c r="A78" s="43" t="s">
        <v>143</v>
      </c>
      <c r="B78" s="43"/>
      <c r="C78" s="42"/>
      <c r="D78" s="42"/>
      <c r="E78" s="42"/>
      <c r="F78" s="42"/>
      <c r="G78" s="42">
        <v>98500</v>
      </c>
      <c r="H78" s="42">
        <v>-10000</v>
      </c>
      <c r="I78" s="49">
        <f>+G78+H78</f>
        <v>88500</v>
      </c>
      <c r="J78" s="49">
        <v>49000</v>
      </c>
      <c r="K78" s="42"/>
      <c r="L78" s="42"/>
      <c r="M78" s="42"/>
      <c r="N78" s="198"/>
      <c r="O78" s="42"/>
      <c r="P78" s="42"/>
      <c r="Q78" s="42"/>
      <c r="R78" s="122"/>
      <c r="S78" s="42">
        <f t="shared" ref="S78:S82" si="23">SUM(C78+G78+K79+O79)</f>
        <v>98500</v>
      </c>
      <c r="T78" s="42">
        <f t="shared" ref="T78:T88" si="24">SUM(D78+H78+L78+P78)</f>
        <v>-10000</v>
      </c>
      <c r="U78" s="48">
        <f t="shared" ref="U78:U86" si="25">+S78+T78</f>
        <v>88500</v>
      </c>
      <c r="V78" s="225">
        <f t="shared" ref="V78:V88" si="26">+F78+J78+N78+R78</f>
        <v>49000</v>
      </c>
      <c r="W78" s="60">
        <f t="shared" ref="W78:W88" si="27">+V78/U78</f>
        <v>0.5536723163841808</v>
      </c>
      <c r="X78" s="43"/>
      <c r="Y78" s="1"/>
      <c r="Z78" s="9"/>
      <c r="AA78" s="9"/>
      <c r="AB78" s="9"/>
      <c r="AC78" s="9"/>
      <c r="AD78" s="7"/>
      <c r="AE78" s="7"/>
      <c r="AF78" s="7"/>
      <c r="AG78" s="7"/>
      <c r="AH78" s="7"/>
      <c r="AI78" s="7"/>
    </row>
    <row r="79" spans="1:35" s="6" customFormat="1" ht="45" customHeight="1" thickBot="1" x14ac:dyDescent="0.4">
      <c r="A79" s="43" t="s">
        <v>144</v>
      </c>
      <c r="B79" s="43"/>
      <c r="C79" s="42"/>
      <c r="D79" s="42"/>
      <c r="E79" s="42"/>
      <c r="F79" s="42"/>
      <c r="G79" s="42">
        <v>30000</v>
      </c>
      <c r="H79" s="42"/>
      <c r="I79" s="42">
        <f>+G79</f>
        <v>30000</v>
      </c>
      <c r="J79" s="42">
        <v>25000</v>
      </c>
      <c r="K79" s="42"/>
      <c r="L79" s="42"/>
      <c r="M79" s="42"/>
      <c r="N79" s="198"/>
      <c r="O79" s="42"/>
      <c r="P79" s="42"/>
      <c r="Q79" s="42"/>
      <c r="R79" s="122"/>
      <c r="S79" s="42">
        <f t="shared" si="23"/>
        <v>30000</v>
      </c>
      <c r="T79" s="42">
        <f t="shared" si="24"/>
        <v>0</v>
      </c>
      <c r="U79" s="48">
        <f t="shared" si="25"/>
        <v>30000</v>
      </c>
      <c r="V79" s="225">
        <f t="shared" si="26"/>
        <v>25000</v>
      </c>
      <c r="W79" s="60">
        <f t="shared" si="27"/>
        <v>0.83333333333333337</v>
      </c>
      <c r="X79" s="43"/>
      <c r="Y79" s="1"/>
      <c r="Z79" s="9"/>
      <c r="AA79" s="9"/>
      <c r="AB79" s="9"/>
      <c r="AC79" s="9"/>
      <c r="AD79" s="7"/>
      <c r="AE79" s="7"/>
      <c r="AF79" s="7"/>
      <c r="AG79" s="7"/>
      <c r="AH79" s="7"/>
      <c r="AI79" s="7"/>
    </row>
    <row r="80" spans="1:35" s="7" customFormat="1" ht="45" customHeight="1" thickBot="1" x14ac:dyDescent="0.4">
      <c r="A80" s="43" t="s">
        <v>145</v>
      </c>
      <c r="B80" s="43"/>
      <c r="C80" s="42"/>
      <c r="D80" s="42"/>
      <c r="E80" s="42"/>
      <c r="F80" s="42"/>
      <c r="G80" s="122">
        <v>0</v>
      </c>
      <c r="H80" s="123">
        <v>10000</v>
      </c>
      <c r="I80" s="124">
        <f>+H80</f>
        <v>10000</v>
      </c>
      <c r="J80" s="124">
        <v>0</v>
      </c>
      <c r="K80" s="42"/>
      <c r="L80" s="42"/>
      <c r="M80" s="42"/>
      <c r="N80" s="198"/>
      <c r="O80" s="42"/>
      <c r="P80" s="42"/>
      <c r="Q80" s="42"/>
      <c r="R80" s="122"/>
      <c r="S80" s="42">
        <f t="shared" si="23"/>
        <v>0</v>
      </c>
      <c r="T80" s="42">
        <f t="shared" si="24"/>
        <v>10000</v>
      </c>
      <c r="U80" s="48">
        <f t="shared" si="25"/>
        <v>10000</v>
      </c>
      <c r="V80" s="225">
        <f t="shared" si="26"/>
        <v>0</v>
      </c>
      <c r="W80" s="60">
        <f t="shared" si="27"/>
        <v>0</v>
      </c>
      <c r="X80" s="43"/>
      <c r="Y80" s="1"/>
      <c r="Z80" s="9"/>
      <c r="AA80" s="9"/>
      <c r="AB80" s="9"/>
      <c r="AC80" s="9"/>
    </row>
    <row r="81" spans="1:35" s="6" customFormat="1" ht="45" customHeight="1" thickBot="1" x14ac:dyDescent="0.4">
      <c r="A81" s="43" t="s">
        <v>146</v>
      </c>
      <c r="B81" s="43"/>
      <c r="C81" s="42"/>
      <c r="D81" s="42"/>
      <c r="E81" s="42"/>
      <c r="F81" s="42"/>
      <c r="G81" s="42">
        <v>30000</v>
      </c>
      <c r="H81" s="42"/>
      <c r="I81" s="42">
        <f>+G81</f>
        <v>30000</v>
      </c>
      <c r="J81" s="42">
        <v>20000</v>
      </c>
      <c r="K81" s="42"/>
      <c r="L81" s="42"/>
      <c r="M81" s="42"/>
      <c r="N81" s="198"/>
      <c r="O81" s="42"/>
      <c r="P81" s="42"/>
      <c r="Q81" s="42"/>
      <c r="R81" s="122"/>
      <c r="S81" s="42">
        <f t="shared" si="23"/>
        <v>30000</v>
      </c>
      <c r="T81" s="42">
        <f t="shared" si="24"/>
        <v>0</v>
      </c>
      <c r="U81" s="48">
        <f t="shared" si="25"/>
        <v>30000</v>
      </c>
      <c r="V81" s="225">
        <f t="shared" si="26"/>
        <v>20000</v>
      </c>
      <c r="W81" s="60">
        <f t="shared" si="27"/>
        <v>0.66666666666666663</v>
      </c>
      <c r="X81" s="43"/>
      <c r="Y81" s="1"/>
      <c r="Z81" s="9"/>
      <c r="AA81" s="9"/>
      <c r="AB81" s="9"/>
      <c r="AC81" s="9"/>
      <c r="AD81" s="7"/>
      <c r="AE81" s="7"/>
      <c r="AF81" s="7"/>
      <c r="AG81" s="7"/>
      <c r="AH81" s="7"/>
      <c r="AI81" s="7"/>
    </row>
    <row r="82" spans="1:35" s="7" customFormat="1" ht="45" customHeight="1" thickBot="1" x14ac:dyDescent="0.4">
      <c r="A82" s="43" t="s">
        <v>147</v>
      </c>
      <c r="B82" s="43"/>
      <c r="C82" s="42"/>
      <c r="D82" s="42"/>
      <c r="E82" s="42"/>
      <c r="F82" s="42"/>
      <c r="G82" s="42">
        <v>40000</v>
      </c>
      <c r="H82" s="42"/>
      <c r="I82" s="42">
        <f>+G82</f>
        <v>40000</v>
      </c>
      <c r="J82" s="42">
        <v>0</v>
      </c>
      <c r="K82" s="42"/>
      <c r="L82" s="42"/>
      <c r="M82" s="42"/>
      <c r="N82" s="198"/>
      <c r="O82" s="42"/>
      <c r="P82" s="42"/>
      <c r="Q82" s="42"/>
      <c r="R82" s="122"/>
      <c r="S82" s="42">
        <f t="shared" si="23"/>
        <v>40000</v>
      </c>
      <c r="T82" s="42">
        <f t="shared" si="24"/>
        <v>0</v>
      </c>
      <c r="U82" s="48">
        <f t="shared" si="25"/>
        <v>40000</v>
      </c>
      <c r="V82" s="225">
        <f t="shared" si="26"/>
        <v>0</v>
      </c>
      <c r="W82" s="60">
        <f t="shared" si="27"/>
        <v>0</v>
      </c>
      <c r="X82" s="43"/>
      <c r="Y82" s="1"/>
      <c r="Z82" s="9"/>
      <c r="AA82" s="9"/>
      <c r="AB82" s="9"/>
      <c r="AC82" s="9"/>
    </row>
    <row r="83" spans="1:35" s="27" customFormat="1" ht="45" customHeight="1" thickBot="1" x14ac:dyDescent="0.4">
      <c r="A83" s="70" t="s">
        <v>148</v>
      </c>
      <c r="B83" s="48"/>
      <c r="C83" s="48"/>
      <c r="D83" s="48"/>
      <c r="E83" s="48"/>
      <c r="F83" s="48"/>
      <c r="G83" s="48">
        <f>SUM(G77:G82)</f>
        <v>446000</v>
      </c>
      <c r="H83" s="48">
        <f>SUM(H77:H82)</f>
        <v>0</v>
      </c>
      <c r="I83" s="48">
        <f>SUM(I77:I82)</f>
        <v>446000</v>
      </c>
      <c r="J83" s="48">
        <f>SUM(J77:J82)</f>
        <v>292332</v>
      </c>
      <c r="K83" s="48"/>
      <c r="L83" s="48"/>
      <c r="M83" s="48"/>
      <c r="N83" s="177"/>
      <c r="O83" s="48"/>
      <c r="P83" s="48"/>
      <c r="Q83" s="48"/>
      <c r="R83" s="48"/>
      <c r="S83" s="48">
        <f>SUM(C83+G83+K83+O83)</f>
        <v>446000</v>
      </c>
      <c r="T83" s="48">
        <f t="shared" si="24"/>
        <v>0</v>
      </c>
      <c r="U83" s="48">
        <f t="shared" si="25"/>
        <v>446000</v>
      </c>
      <c r="V83" s="225">
        <f t="shared" si="26"/>
        <v>292332</v>
      </c>
      <c r="W83" s="60">
        <f t="shared" si="27"/>
        <v>0.65545291479820633</v>
      </c>
      <c r="X83" s="70"/>
      <c r="Z83" s="61"/>
      <c r="AA83" s="61"/>
      <c r="AB83" s="61"/>
      <c r="AC83" s="61"/>
    </row>
    <row r="84" spans="1:35" ht="33" customHeight="1" thickBot="1" x14ac:dyDescent="0.4">
      <c r="A84" s="72" t="s">
        <v>149</v>
      </c>
      <c r="B84" s="125"/>
      <c r="C84" s="126">
        <v>190000</v>
      </c>
      <c r="D84" s="126"/>
      <c r="E84" s="126">
        <f>+C84</f>
        <v>190000</v>
      </c>
      <c r="F84" s="126">
        <f>'budget by UN cost category'!E8</f>
        <v>145162</v>
      </c>
      <c r="G84" s="127">
        <v>45000</v>
      </c>
      <c r="H84" s="127"/>
      <c r="I84" s="127">
        <f>+G84</f>
        <v>45000</v>
      </c>
      <c r="J84" s="127">
        <v>30000</v>
      </c>
      <c r="K84" s="30">
        <v>131984</v>
      </c>
      <c r="L84" s="30"/>
      <c r="M84" s="30">
        <f>+K84</f>
        <v>131984</v>
      </c>
      <c r="N84" s="208">
        <v>149997</v>
      </c>
      <c r="O84" s="30">
        <v>146500</v>
      </c>
      <c r="P84" s="30"/>
      <c r="Q84" s="30">
        <f>O84</f>
        <v>146500</v>
      </c>
      <c r="R84" s="221">
        <v>106350</v>
      </c>
      <c r="S84" s="42">
        <f>SUM(C84+G84+K84+O84)</f>
        <v>513484</v>
      </c>
      <c r="T84" s="42">
        <f t="shared" si="24"/>
        <v>0</v>
      </c>
      <c r="U84" s="48">
        <f t="shared" si="25"/>
        <v>513484</v>
      </c>
      <c r="V84" s="225">
        <f t="shared" si="26"/>
        <v>431509</v>
      </c>
      <c r="W84" s="60">
        <f t="shared" si="27"/>
        <v>0.84035529831503997</v>
      </c>
      <c r="X84" s="72"/>
      <c r="Y84" s="1"/>
      <c r="Z84" s="9"/>
      <c r="AA84" s="9"/>
      <c r="AB84" s="9"/>
      <c r="AC84" s="9"/>
      <c r="AD84" s="7"/>
      <c r="AE84" s="7"/>
      <c r="AF84" s="7"/>
      <c r="AG84" s="7"/>
      <c r="AH84" s="7"/>
      <c r="AI84" s="7"/>
    </row>
    <row r="85" spans="1:35" ht="36.75" customHeight="1" thickBot="1" x14ac:dyDescent="0.4">
      <c r="A85" s="72" t="s">
        <v>150</v>
      </c>
      <c r="B85" s="125" t="s">
        <v>127</v>
      </c>
      <c r="C85" s="30">
        <v>30000</v>
      </c>
      <c r="D85" s="30"/>
      <c r="E85" s="126">
        <f>+C85</f>
        <v>30000</v>
      </c>
      <c r="F85" s="126">
        <v>12046.64</v>
      </c>
      <c r="G85" s="127">
        <v>15000</v>
      </c>
      <c r="H85" s="127"/>
      <c r="I85" s="127">
        <f>+G85</f>
        <v>15000</v>
      </c>
      <c r="J85" s="127">
        <v>15000</v>
      </c>
      <c r="K85" s="30">
        <v>99464</v>
      </c>
      <c r="L85" s="30"/>
      <c r="M85" s="30">
        <f>+K85</f>
        <v>99464</v>
      </c>
      <c r="N85" s="208">
        <v>77494</v>
      </c>
      <c r="O85" s="30">
        <v>45400</v>
      </c>
      <c r="P85" s="30"/>
      <c r="Q85" s="30">
        <f>O85</f>
        <v>45400</v>
      </c>
      <c r="R85" s="221">
        <v>42600</v>
      </c>
      <c r="S85" s="42">
        <f>SUM(C85+G85+K85+O85)</f>
        <v>189864</v>
      </c>
      <c r="T85" s="42">
        <f t="shared" si="24"/>
        <v>0</v>
      </c>
      <c r="U85" s="48">
        <f t="shared" si="25"/>
        <v>189864</v>
      </c>
      <c r="V85" s="225">
        <f t="shared" si="26"/>
        <v>147140.64000000001</v>
      </c>
      <c r="W85" s="60">
        <f t="shared" si="27"/>
        <v>0.7749791429654912</v>
      </c>
      <c r="X85" s="72"/>
      <c r="Y85" s="1"/>
      <c r="Z85" s="7"/>
      <c r="AA85" s="7"/>
      <c r="AB85" s="7"/>
      <c r="AC85" s="7"/>
      <c r="AD85" s="7"/>
      <c r="AE85" s="7"/>
      <c r="AF85" s="7"/>
      <c r="AG85" s="7"/>
      <c r="AH85" s="7"/>
      <c r="AI85" s="7"/>
    </row>
    <row r="86" spans="1:35" s="6" customFormat="1" ht="38.25" customHeight="1" thickBot="1" x14ac:dyDescent="0.4">
      <c r="A86" s="72" t="s">
        <v>151</v>
      </c>
      <c r="B86" s="125"/>
      <c r="C86" s="30">
        <v>20000</v>
      </c>
      <c r="D86" s="30"/>
      <c r="E86" s="126">
        <f>+C86</f>
        <v>20000</v>
      </c>
      <c r="F86" s="182">
        <v>6991</v>
      </c>
      <c r="G86" s="127">
        <v>3000</v>
      </c>
      <c r="H86" s="127"/>
      <c r="I86" s="127">
        <f>+G86</f>
        <v>3000</v>
      </c>
      <c r="J86" s="127">
        <v>3000</v>
      </c>
      <c r="K86" s="30">
        <v>5000</v>
      </c>
      <c r="L86" s="30"/>
      <c r="M86" s="194">
        <f>+K86</f>
        <v>5000</v>
      </c>
      <c r="N86" s="208">
        <v>5000</v>
      </c>
      <c r="O86" s="128">
        <v>10000</v>
      </c>
      <c r="P86" s="30"/>
      <c r="Q86" s="30">
        <f>O86</f>
        <v>10000</v>
      </c>
      <c r="R86" s="221">
        <v>10000</v>
      </c>
      <c r="S86" s="42">
        <f>SUM(C86+G86+K86+O86)</f>
        <v>38000</v>
      </c>
      <c r="T86" s="42">
        <f t="shared" si="24"/>
        <v>0</v>
      </c>
      <c r="U86" s="48">
        <f t="shared" si="25"/>
        <v>38000</v>
      </c>
      <c r="V86" s="225">
        <f t="shared" si="26"/>
        <v>24991</v>
      </c>
      <c r="W86" s="60">
        <f t="shared" si="27"/>
        <v>0.65765789473684211</v>
      </c>
      <c r="X86" s="72"/>
      <c r="Y86" s="1"/>
      <c r="Z86" s="7"/>
      <c r="AA86" s="7"/>
      <c r="AB86" s="7"/>
      <c r="AC86" s="7"/>
      <c r="AD86" s="7"/>
      <c r="AE86" s="7"/>
      <c r="AF86" s="7"/>
      <c r="AG86" s="7"/>
      <c r="AH86" s="7"/>
      <c r="AI86" s="7"/>
    </row>
    <row r="87" spans="1:35" ht="31.5" customHeight="1" thickBot="1" x14ac:dyDescent="0.4">
      <c r="A87" s="43" t="s">
        <v>152</v>
      </c>
      <c r="B87" s="31"/>
      <c r="C87" s="31">
        <f>SUM(C86+C85+C84+C75+C47+C27)</f>
        <v>881776</v>
      </c>
      <c r="D87" s="31">
        <f>SUM(D86+D85+D84+D75+D47+D27)</f>
        <v>0</v>
      </c>
      <c r="E87" s="31">
        <f>SUM(E86+E85+E84+E75+E47+E27)</f>
        <v>881776</v>
      </c>
      <c r="F87" s="31">
        <f>SUM(F86+F85+F84+F75+F47+F27)</f>
        <v>795259.28</v>
      </c>
      <c r="G87" s="31">
        <f>SUM(G85+G84+G75+G47+G27)</f>
        <v>311682</v>
      </c>
      <c r="H87" s="31"/>
      <c r="I87" s="31">
        <f>+G87</f>
        <v>311682</v>
      </c>
      <c r="J87" s="31">
        <f>SUM(J85+J84+J75+J47+J27)</f>
        <v>244182</v>
      </c>
      <c r="K87" s="31">
        <f>SUM(K85+K84+K75+K47+K27)</f>
        <v>881776</v>
      </c>
      <c r="L87" s="31">
        <f>SUM(L85+L84+L75+L47+L27)</f>
        <v>0</v>
      </c>
      <c r="M87" s="134">
        <f>SUM(M85+M84+M75+M47+M27)</f>
        <v>881776</v>
      </c>
      <c r="N87" s="209">
        <f>SUM(N85+N84+N75+N47+N27)</f>
        <v>715569.7</v>
      </c>
      <c r="O87" s="129">
        <f>SUM(O85+O84+O75+O47+O27+O86)</f>
        <v>311682</v>
      </c>
      <c r="P87" s="31">
        <f>SUM(P85+P84+P75+P47+P27+P86)</f>
        <v>0</v>
      </c>
      <c r="Q87" s="31">
        <f>SUM(Q85+Q84+Q75+Q47+Q27+Q86)</f>
        <v>311682</v>
      </c>
      <c r="R87" s="209">
        <f>SUM(R85+R84+R75+R47+R27+R86)</f>
        <v>258320</v>
      </c>
      <c r="S87" s="42">
        <f>SUM(C87+G87+K87+O87)</f>
        <v>2386916</v>
      </c>
      <c r="T87" s="42">
        <f>SUM(D87+H87+L87+P87)</f>
        <v>0</v>
      </c>
      <c r="U87" s="48">
        <f>+S87+T87</f>
        <v>2386916</v>
      </c>
      <c r="V87" s="225">
        <f t="shared" si="26"/>
        <v>2013330.98</v>
      </c>
      <c r="W87" s="60">
        <f t="shared" si="27"/>
        <v>0.84348631455819978</v>
      </c>
      <c r="X87" s="43"/>
      <c r="Y87" s="1"/>
      <c r="Z87" s="7"/>
      <c r="AA87" s="7"/>
      <c r="AB87" s="7"/>
      <c r="AC87" s="7"/>
      <c r="AD87" s="7"/>
      <c r="AE87" s="7"/>
      <c r="AF87" s="7"/>
      <c r="AG87" s="7"/>
      <c r="AH87" s="7"/>
      <c r="AI87" s="7"/>
    </row>
    <row r="88" spans="1:35" ht="39" customHeight="1" thickBot="1" x14ac:dyDescent="0.4">
      <c r="A88" s="72" t="s">
        <v>153</v>
      </c>
      <c r="B88" s="125"/>
      <c r="C88" s="33">
        <f>C87*0.07</f>
        <v>61724.320000000007</v>
      </c>
      <c r="D88" s="33">
        <f>D87*0.07</f>
        <v>0</v>
      </c>
      <c r="E88" s="33">
        <f>E87*0.07</f>
        <v>61724.320000000007</v>
      </c>
      <c r="F88" s="33">
        <v>0</v>
      </c>
      <c r="G88" s="130">
        <v>21818</v>
      </c>
      <c r="H88" s="130"/>
      <c r="I88" s="130">
        <f>+G88</f>
        <v>21818</v>
      </c>
      <c r="J88" s="130">
        <f>+J87*7%</f>
        <v>17092.740000000002</v>
      </c>
      <c r="K88" s="33">
        <v>61724</v>
      </c>
      <c r="L88" s="32"/>
      <c r="M88" s="32">
        <f>+K88</f>
        <v>61724</v>
      </c>
      <c r="N88" s="208">
        <f>+N87*7%</f>
        <v>50089.879000000001</v>
      </c>
      <c r="O88" s="195">
        <f>21818</f>
        <v>21818</v>
      </c>
      <c r="P88" s="32"/>
      <c r="Q88" s="32">
        <f>O88</f>
        <v>21818</v>
      </c>
      <c r="R88" s="223">
        <f>+R87*0.07</f>
        <v>18082.400000000001</v>
      </c>
      <c r="S88" s="33">
        <f>C88+G88+K88+O88</f>
        <v>167084.32</v>
      </c>
      <c r="T88" s="42">
        <f t="shared" si="24"/>
        <v>0</v>
      </c>
      <c r="U88" s="131">
        <f>+S88</f>
        <v>167084.32</v>
      </c>
      <c r="V88" s="225">
        <f t="shared" si="26"/>
        <v>85265.019</v>
      </c>
      <c r="W88" s="60">
        <f t="shared" si="27"/>
        <v>0.5103113146703413</v>
      </c>
      <c r="X88" s="72"/>
      <c r="Y88" s="1"/>
      <c r="Z88" s="7"/>
      <c r="AA88" s="7"/>
      <c r="AB88" s="7"/>
      <c r="AC88" s="7"/>
      <c r="AD88" s="7"/>
      <c r="AE88" s="7"/>
      <c r="AF88" s="7"/>
      <c r="AG88" s="7"/>
      <c r="AH88" s="7"/>
      <c r="AI88" s="7"/>
    </row>
    <row r="89" spans="1:35" ht="30.5" thickBot="1" x14ac:dyDescent="0.4">
      <c r="A89" s="132" t="s">
        <v>154</v>
      </c>
      <c r="B89" s="133"/>
      <c r="C89" s="31">
        <f>SUM(C87:C88)</f>
        <v>943500.32000000007</v>
      </c>
      <c r="D89" s="31">
        <f>SUM(D87:D88)</f>
        <v>0</v>
      </c>
      <c r="E89" s="31">
        <f>SUM(E87:E88)</f>
        <v>943500.32000000007</v>
      </c>
      <c r="F89" s="31">
        <f>SUM(F87:F88)</f>
        <v>795259.28</v>
      </c>
      <c r="G89" s="31">
        <f>SUM(G83+G87+G88)</f>
        <v>779500</v>
      </c>
      <c r="H89" s="31">
        <f>SUM(H83+H87+H88)</f>
        <v>0</v>
      </c>
      <c r="I89" s="31">
        <f>SUM(I83+I87+I88)</f>
        <v>779500</v>
      </c>
      <c r="J89" s="31">
        <f>SUM(J83+J87+J88)</f>
        <v>553606.74</v>
      </c>
      <c r="K89" s="31">
        <f t="shared" ref="K89:Q89" si="28">SUM(K87:K88)</f>
        <v>943500</v>
      </c>
      <c r="L89" s="31">
        <f t="shared" si="28"/>
        <v>0</v>
      </c>
      <c r="M89" s="134">
        <f t="shared" si="28"/>
        <v>943500</v>
      </c>
      <c r="N89" s="209">
        <f>SUM(N87:N88)</f>
        <v>765659.57899999991</v>
      </c>
      <c r="O89" s="129">
        <f t="shared" si="28"/>
        <v>333500</v>
      </c>
      <c r="P89" s="31">
        <f t="shared" si="28"/>
        <v>0</v>
      </c>
      <c r="Q89" s="134">
        <f t="shared" si="28"/>
        <v>333500</v>
      </c>
      <c r="R89" s="222">
        <f>+R87+R88</f>
        <v>276402.40000000002</v>
      </c>
      <c r="S89" s="135">
        <f>C89+G89+K89+O89</f>
        <v>3000000.3200000003</v>
      </c>
      <c r="T89" s="59">
        <f>SUM(D89+H89+L89+P89)</f>
        <v>0</v>
      </c>
      <c r="U89" s="131">
        <f>+S89+T89</f>
        <v>3000000.3200000003</v>
      </c>
      <c r="V89" s="224">
        <f>F89+J89+N89+R89</f>
        <v>2390927.9989999998</v>
      </c>
      <c r="W89" s="60">
        <f>+V89/U89</f>
        <v>0.79697591465590234</v>
      </c>
      <c r="X89" s="43"/>
      <c r="Y89" s="14"/>
      <c r="Z89" s="13"/>
      <c r="AA89" s="7"/>
      <c r="AB89" s="7"/>
      <c r="AC89" s="7"/>
      <c r="AD89" s="7"/>
      <c r="AE89" s="7"/>
      <c r="AF89" s="7"/>
      <c r="AG89" s="7"/>
      <c r="AH89" s="7"/>
      <c r="AI89" s="7"/>
    </row>
    <row r="91" spans="1:35" x14ac:dyDescent="0.35">
      <c r="A91" s="7"/>
      <c r="B91" s="7"/>
      <c r="C91" s="7"/>
      <c r="G91" s="7"/>
      <c r="H91" s="44"/>
      <c r="J91" s="46"/>
      <c r="W91" s="10"/>
      <c r="X91" s="7"/>
      <c r="Y91" s="7"/>
      <c r="Z91" s="7"/>
      <c r="AA91" s="7"/>
      <c r="AB91" s="7"/>
      <c r="AC91" s="7"/>
      <c r="AD91" s="7"/>
      <c r="AE91" s="7"/>
      <c r="AF91" s="7"/>
      <c r="AG91" s="7"/>
      <c r="AH91" s="7"/>
      <c r="AI91" s="7"/>
    </row>
    <row r="92" spans="1:35" x14ac:dyDescent="0.35">
      <c r="A92" s="7"/>
      <c r="B92" s="7"/>
      <c r="C92" s="7"/>
      <c r="G92" s="7"/>
      <c r="H92" s="44"/>
      <c r="I92" s="10"/>
      <c r="U92" s="228"/>
      <c r="V92" s="192"/>
      <c r="W92" s="7"/>
      <c r="X92" s="7"/>
      <c r="Y92" s="7"/>
      <c r="Z92" s="7"/>
      <c r="AA92" s="7"/>
      <c r="AB92" s="7"/>
      <c r="AC92" s="7"/>
      <c r="AD92" s="7"/>
      <c r="AE92" s="7"/>
      <c r="AF92" s="7"/>
      <c r="AG92" s="7"/>
      <c r="AH92" s="7"/>
      <c r="AI92" s="7"/>
    </row>
    <row r="93" spans="1:35" x14ac:dyDescent="0.35">
      <c r="J93" s="193"/>
      <c r="U93" s="229"/>
    </row>
    <row r="94" spans="1:35" ht="25.5" customHeight="1" x14ac:dyDescent="0.35">
      <c r="A94" s="7"/>
      <c r="B94" s="7"/>
      <c r="C94" s="7"/>
      <c r="F94" s="188">
        <f>+F89/E89</f>
        <v>0.84288183389275373</v>
      </c>
      <c r="G94" s="7"/>
      <c r="I94" s="192"/>
      <c r="J94" s="193"/>
      <c r="W94" s="7"/>
      <c r="X94" s="7"/>
      <c r="Y94" s="7"/>
      <c r="Z94" s="7"/>
      <c r="AA94" s="7"/>
      <c r="AB94" s="7"/>
      <c r="AC94" s="7"/>
      <c r="AD94" s="7"/>
      <c r="AE94" s="7"/>
      <c r="AF94" s="7"/>
      <c r="AG94" s="7"/>
      <c r="AH94" s="7"/>
      <c r="AI94" s="7"/>
    </row>
  </sheetData>
  <phoneticPr fontId="1" type="noConversion"/>
  <pageMargins left="0.78740157480314965" right="0.78740157480314965" top="0.98425196850393704" bottom="0.98425196850393704" header="0.31496062992125984" footer="0.31496062992125984"/>
  <pageSetup paperSize="9" scale="29" orientation="landscape" r:id="rId1"/>
  <rowBreaks count="5" manualBreakCount="5">
    <brk id="15" max="23" man="1"/>
    <brk id="32" max="23" man="1"/>
    <brk id="47" max="16383" man="1"/>
    <brk id="48" max="27" man="1"/>
    <brk id="77"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2:AC32"/>
  <sheetViews>
    <sheetView topLeftCell="A11" zoomScale="110" zoomScaleNormal="110" workbookViewId="0">
      <pane xSplit="1" topLeftCell="R1" activePane="topRight" state="frozen"/>
      <selection activeCell="A7" sqref="A7"/>
      <selection pane="topRight" activeCell="H14" sqref="H14"/>
    </sheetView>
  </sheetViews>
  <sheetFormatPr baseColWidth="10" defaultColWidth="8.7265625" defaultRowHeight="14.5" x14ac:dyDescent="0.35"/>
  <cols>
    <col min="1" max="1" width="20.7265625" customWidth="1"/>
    <col min="2" max="3" width="12.26953125" style="7" bestFit="1" customWidth="1"/>
    <col min="4" max="6" width="12.26953125" style="7" customWidth="1"/>
    <col min="7" max="7" width="11.453125" customWidth="1"/>
    <col min="8" max="8" width="13.7265625" customWidth="1"/>
    <col min="9" max="11" width="11.453125" style="7" customWidth="1"/>
    <col min="12" max="12" width="13" customWidth="1"/>
    <col min="13" max="13" width="12.26953125" customWidth="1"/>
    <col min="14" max="16" width="11.453125" style="7" customWidth="1"/>
    <col min="17" max="17" width="11.453125" style="29" customWidth="1"/>
    <col min="18" max="18" width="11.453125" customWidth="1"/>
    <col min="19" max="21" width="11.453125" style="7" customWidth="1"/>
    <col min="22" max="23" width="11.453125" customWidth="1"/>
    <col min="24" max="25" width="11.453125" style="7" customWidth="1"/>
    <col min="26" max="26" width="10.453125" customWidth="1"/>
    <col min="27" max="261" width="10.7265625" customWidth="1"/>
  </cols>
  <sheetData>
    <row r="2" spans="1:29" ht="15.5" x14ac:dyDescent="0.35">
      <c r="A2" s="8" t="s">
        <v>155</v>
      </c>
      <c r="B2" s="8"/>
      <c r="C2" s="8"/>
      <c r="D2" s="8"/>
      <c r="E2" s="8"/>
      <c r="F2" s="8"/>
      <c r="G2" s="8"/>
      <c r="H2" s="17"/>
      <c r="I2" s="8"/>
      <c r="J2" s="8"/>
      <c r="K2" s="8"/>
      <c r="L2" s="8"/>
      <c r="M2" s="7"/>
      <c r="R2" s="7"/>
      <c r="V2" s="7"/>
      <c r="W2" s="7"/>
      <c r="Z2" s="7"/>
      <c r="AA2" s="7"/>
      <c r="AB2" s="7"/>
      <c r="AC2" s="7"/>
    </row>
    <row r="3" spans="1:29" x14ac:dyDescent="0.35">
      <c r="A3" s="9"/>
      <c r="B3" s="9"/>
      <c r="C3" s="9"/>
      <c r="D3" s="9"/>
      <c r="E3" s="9"/>
      <c r="F3" s="9"/>
      <c r="G3" s="9"/>
      <c r="H3" s="9"/>
      <c r="I3" s="9"/>
      <c r="J3" s="9"/>
      <c r="K3" s="9"/>
      <c r="L3" s="9"/>
      <c r="M3" s="16"/>
      <c r="R3" s="7"/>
      <c r="V3" s="7"/>
      <c r="W3" s="7"/>
      <c r="Z3" s="7"/>
      <c r="AA3" s="7"/>
      <c r="AB3" s="7"/>
      <c r="AC3" s="7"/>
    </row>
    <row r="4" spans="1:29" x14ac:dyDescent="0.35">
      <c r="A4" s="9" t="s">
        <v>156</v>
      </c>
      <c r="B4" s="9"/>
      <c r="C4" s="9"/>
      <c r="D4" s="9"/>
      <c r="E4" s="9"/>
      <c r="F4" s="9"/>
      <c r="G4" s="9"/>
      <c r="H4" s="9"/>
      <c r="I4" s="9"/>
      <c r="J4" s="9"/>
      <c r="K4" s="9"/>
      <c r="L4" s="9"/>
      <c r="M4" s="7"/>
      <c r="R4" s="7"/>
      <c r="V4" s="7"/>
      <c r="W4" s="7"/>
      <c r="Z4" s="7"/>
      <c r="AA4" s="7"/>
      <c r="AB4" s="7"/>
      <c r="AC4" s="7"/>
    </row>
    <row r="5" spans="1:29" x14ac:dyDescent="0.35">
      <c r="A5" s="7"/>
      <c r="G5" s="7"/>
      <c r="H5" s="7"/>
      <c r="L5" s="7"/>
      <c r="M5" s="7"/>
      <c r="R5" s="7"/>
      <c r="V5" s="7"/>
      <c r="W5" s="7"/>
      <c r="Z5" s="7"/>
      <c r="AA5" s="7"/>
      <c r="AB5" s="7"/>
      <c r="AC5" s="7"/>
    </row>
    <row r="6" spans="1:29" ht="28.15" customHeight="1" x14ac:dyDescent="0.35">
      <c r="A6" s="233" t="s">
        <v>157</v>
      </c>
      <c r="B6" s="230" t="s">
        <v>158</v>
      </c>
      <c r="C6" s="230"/>
      <c r="D6" s="230"/>
      <c r="E6" s="230"/>
      <c r="F6" s="230"/>
      <c r="G6" s="231" t="s">
        <v>159</v>
      </c>
      <c r="H6" s="231"/>
      <c r="I6" s="231"/>
      <c r="J6" s="231"/>
      <c r="K6" s="231"/>
      <c r="L6" s="236" t="s">
        <v>160</v>
      </c>
      <c r="M6" s="236"/>
      <c r="N6" s="236"/>
      <c r="O6" s="236"/>
      <c r="P6" s="236"/>
      <c r="Q6" s="235" t="s">
        <v>161</v>
      </c>
      <c r="R6" s="235"/>
      <c r="S6" s="235"/>
      <c r="T6" s="235"/>
      <c r="U6" s="235"/>
      <c r="V6" s="234" t="s">
        <v>162</v>
      </c>
      <c r="W6" s="234"/>
      <c r="X6" s="234"/>
      <c r="Y6" s="234"/>
      <c r="Z6" s="234"/>
      <c r="AA6" s="7"/>
      <c r="AB6" s="7"/>
      <c r="AC6" s="7"/>
    </row>
    <row r="7" spans="1:29" ht="26" x14ac:dyDescent="0.35">
      <c r="A7" s="233"/>
      <c r="B7" s="153" t="s">
        <v>163</v>
      </c>
      <c r="C7" s="153" t="s">
        <v>164</v>
      </c>
      <c r="D7" s="153" t="s">
        <v>165</v>
      </c>
      <c r="E7" s="140" t="s">
        <v>188</v>
      </c>
      <c r="F7" s="140" t="s">
        <v>189</v>
      </c>
      <c r="G7" s="154" t="s">
        <v>166</v>
      </c>
      <c r="H7" s="154" t="s">
        <v>164</v>
      </c>
      <c r="I7" s="154" t="s">
        <v>165</v>
      </c>
      <c r="J7" s="140" t="s">
        <v>188</v>
      </c>
      <c r="K7" s="140" t="s">
        <v>189</v>
      </c>
      <c r="L7" s="155" t="s">
        <v>163</v>
      </c>
      <c r="M7" s="155" t="s">
        <v>164</v>
      </c>
      <c r="N7" s="155" t="s">
        <v>167</v>
      </c>
      <c r="O7" s="155" t="s">
        <v>188</v>
      </c>
      <c r="P7" s="155" t="s">
        <v>189</v>
      </c>
      <c r="Q7" s="148" t="s">
        <v>168</v>
      </c>
      <c r="R7" s="148" t="s">
        <v>164</v>
      </c>
      <c r="S7" s="148" t="s">
        <v>167</v>
      </c>
      <c r="T7" s="148" t="s">
        <v>190</v>
      </c>
      <c r="U7" s="148" t="s">
        <v>189</v>
      </c>
      <c r="V7" s="164" t="s">
        <v>163</v>
      </c>
      <c r="W7" s="164" t="s">
        <v>164</v>
      </c>
      <c r="X7" s="164" t="s">
        <v>165</v>
      </c>
      <c r="Y7" s="164" t="s">
        <v>188</v>
      </c>
      <c r="Z7" s="164" t="s">
        <v>189</v>
      </c>
      <c r="AA7" s="7"/>
      <c r="AB7" s="7"/>
      <c r="AC7" s="7"/>
    </row>
    <row r="8" spans="1:29" ht="26" x14ac:dyDescent="0.35">
      <c r="A8" s="156" t="s">
        <v>169</v>
      </c>
      <c r="B8" s="136">
        <f>'Project Budget'!C84</f>
        <v>190000</v>
      </c>
      <c r="C8" s="157">
        <v>0</v>
      </c>
      <c r="D8" s="136">
        <f>B8</f>
        <v>190000</v>
      </c>
      <c r="E8" s="136">
        <v>145162</v>
      </c>
      <c r="F8" s="165">
        <f>D8-E8</f>
        <v>44838</v>
      </c>
      <c r="G8" s="136">
        <f>'Project Budget'!G84</f>
        <v>45000</v>
      </c>
      <c r="H8" s="142">
        <v>0</v>
      </c>
      <c r="I8" s="136">
        <f>+G8</f>
        <v>45000</v>
      </c>
      <c r="J8" s="136">
        <f>'Project Budget'!J84</f>
        <v>30000</v>
      </c>
      <c r="K8" s="165">
        <f>I8-J8</f>
        <v>15000</v>
      </c>
      <c r="L8" s="136">
        <f>+'Project Budget'!G77</f>
        <v>247500</v>
      </c>
      <c r="M8" s="142">
        <v>0</v>
      </c>
      <c r="N8" s="136">
        <f>+L8</f>
        <v>247500</v>
      </c>
      <c r="O8" s="136">
        <f>+'Project Budget'!J77</f>
        <v>198332</v>
      </c>
      <c r="P8" s="165">
        <f>N8-O8</f>
        <v>49168</v>
      </c>
      <c r="Q8" s="210">
        <v>131822</v>
      </c>
      <c r="R8" s="144">
        <v>-27324</v>
      </c>
      <c r="S8" s="210">
        <v>159146</v>
      </c>
      <c r="T8" s="210">
        <v>149997</v>
      </c>
      <c r="U8" s="165">
        <f>S8-T8</f>
        <v>9149</v>
      </c>
      <c r="V8" s="143">
        <f>+'Project Budget'!O84</f>
        <v>146500</v>
      </c>
      <c r="W8" s="144">
        <v>0</v>
      </c>
      <c r="X8" s="143">
        <f>+V8</f>
        <v>146500</v>
      </c>
      <c r="Y8" s="143">
        <v>106350</v>
      </c>
      <c r="Z8" s="165">
        <f>X8-Y8</f>
        <v>40150</v>
      </c>
      <c r="AA8" s="7"/>
      <c r="AB8" s="7"/>
      <c r="AC8" s="7"/>
    </row>
    <row r="9" spans="1:29" ht="26" x14ac:dyDescent="0.35">
      <c r="A9" s="156" t="s">
        <v>170</v>
      </c>
      <c r="B9" s="136">
        <v>0</v>
      </c>
      <c r="C9" s="157">
        <v>0</v>
      </c>
      <c r="D9" s="136">
        <v>0</v>
      </c>
      <c r="E9" s="136">
        <v>20912.29</v>
      </c>
      <c r="F9" s="165">
        <f t="shared" ref="F9:F17" si="0">D9-E9</f>
        <v>-20912.29</v>
      </c>
      <c r="G9" s="136">
        <v>0</v>
      </c>
      <c r="H9" s="142">
        <v>0</v>
      </c>
      <c r="I9" s="136">
        <f>+G9</f>
        <v>0</v>
      </c>
      <c r="J9" s="136"/>
      <c r="K9" s="165">
        <f t="shared" ref="K9:K17" si="1">I9-J9</f>
        <v>0</v>
      </c>
      <c r="L9" s="143">
        <f>+'Project Budget'!G78</f>
        <v>98500</v>
      </c>
      <c r="M9" s="144">
        <f>+'Project Budget'!H78</f>
        <v>-10000</v>
      </c>
      <c r="N9" s="143">
        <f>+L9+M9</f>
        <v>88500</v>
      </c>
      <c r="O9" s="143">
        <f>+'Project Budget'!J78</f>
        <v>49000</v>
      </c>
      <c r="P9" s="165">
        <f t="shared" ref="P9:P17" si="2">N9-O9</f>
        <v>39500</v>
      </c>
      <c r="Q9" s="210">
        <v>205917</v>
      </c>
      <c r="R9" s="144">
        <v>-169266.00199159759</v>
      </c>
      <c r="S9" s="210">
        <v>375183.00199159759</v>
      </c>
      <c r="T9" s="210">
        <v>372494</v>
      </c>
      <c r="U9" s="165">
        <f>S9-T9</f>
        <v>2689.0019915975863</v>
      </c>
      <c r="V9" s="143">
        <v>0</v>
      </c>
      <c r="W9" s="144">
        <v>0</v>
      </c>
      <c r="X9" s="143">
        <f>+V9</f>
        <v>0</v>
      </c>
      <c r="Y9" s="143"/>
      <c r="Z9" s="165">
        <f t="shared" ref="Z9:Z17" si="3">X9-Y9</f>
        <v>0</v>
      </c>
      <c r="AA9" s="7"/>
      <c r="AB9" s="7"/>
      <c r="AC9" s="7"/>
    </row>
    <row r="10" spans="1:29" ht="49.5" customHeight="1" x14ac:dyDescent="0.35">
      <c r="A10" s="156" t="s">
        <v>171</v>
      </c>
      <c r="B10" s="136">
        <v>0</v>
      </c>
      <c r="C10" s="157">
        <v>0</v>
      </c>
      <c r="D10" s="136">
        <v>0</v>
      </c>
      <c r="E10" s="136"/>
      <c r="F10" s="165">
        <f t="shared" si="0"/>
        <v>0</v>
      </c>
      <c r="G10" s="136">
        <v>0</v>
      </c>
      <c r="H10" s="142">
        <v>0</v>
      </c>
      <c r="I10" s="136">
        <f>+G10</f>
        <v>0</v>
      </c>
      <c r="J10" s="136"/>
      <c r="K10" s="165">
        <f t="shared" si="1"/>
        <v>0</v>
      </c>
      <c r="L10" s="136">
        <f>+'Project Budget'!G79</f>
        <v>30000</v>
      </c>
      <c r="M10" s="142">
        <v>0</v>
      </c>
      <c r="N10" s="136">
        <f>+L10</f>
        <v>30000</v>
      </c>
      <c r="O10" s="136">
        <f>+'Project Budget'!J79</f>
        <v>25000</v>
      </c>
      <c r="P10" s="165">
        <f t="shared" si="2"/>
        <v>5000</v>
      </c>
      <c r="Q10" s="210">
        <v>6857</v>
      </c>
      <c r="R10" s="144">
        <v>813</v>
      </c>
      <c r="S10" s="210">
        <v>6044</v>
      </c>
      <c r="T10" s="210">
        <v>5904</v>
      </c>
      <c r="U10" s="165">
        <f t="shared" ref="U10:U17" si="4">S10-T10</f>
        <v>140</v>
      </c>
      <c r="V10" s="143">
        <v>4000</v>
      </c>
      <c r="W10" s="144">
        <v>0</v>
      </c>
      <c r="X10" s="143">
        <f>+V10</f>
        <v>4000</v>
      </c>
      <c r="Y10" s="143">
        <v>3420</v>
      </c>
      <c r="Z10" s="165">
        <f t="shared" si="3"/>
        <v>580</v>
      </c>
      <c r="AA10" s="7"/>
      <c r="AB10" s="7"/>
      <c r="AC10" s="7"/>
    </row>
    <row r="11" spans="1:29" ht="24.75" customHeight="1" x14ac:dyDescent="0.35">
      <c r="A11" s="156" t="s">
        <v>172</v>
      </c>
      <c r="B11" s="136">
        <v>20000</v>
      </c>
      <c r="C11" s="157">
        <v>0</v>
      </c>
      <c r="D11" s="136">
        <f>+B11</f>
        <v>20000</v>
      </c>
      <c r="E11" s="136"/>
      <c r="F11" s="165">
        <f t="shared" si="0"/>
        <v>20000</v>
      </c>
      <c r="G11" s="136">
        <f>'Project Budget'!G75+'Project Budget'!G47</f>
        <v>193682</v>
      </c>
      <c r="H11" s="142">
        <v>0</v>
      </c>
      <c r="I11" s="136">
        <f>+G11</f>
        <v>193682</v>
      </c>
      <c r="J11" s="143">
        <f>'Project Budget'!J75+'Project Budget'!J47</f>
        <v>141182</v>
      </c>
      <c r="K11" s="165">
        <f t="shared" si="1"/>
        <v>52500</v>
      </c>
      <c r="L11" s="136">
        <f>+'Project Budget'!G82</f>
        <v>40000</v>
      </c>
      <c r="M11" s="142">
        <f>+'Project Budget'!H80</f>
        <v>10000</v>
      </c>
      <c r="N11" s="136">
        <f>+L11+M11</f>
        <v>50000</v>
      </c>
      <c r="O11" s="136">
        <f>'Project Budget'!J81</f>
        <v>20000</v>
      </c>
      <c r="P11" s="165">
        <f t="shared" si="2"/>
        <v>30000</v>
      </c>
      <c r="Q11" s="212">
        <v>336750</v>
      </c>
      <c r="R11" s="144">
        <v>183294</v>
      </c>
      <c r="S11" s="210">
        <v>153456</v>
      </c>
      <c r="T11" s="210">
        <v>0</v>
      </c>
      <c r="U11" s="165">
        <f t="shared" si="4"/>
        <v>153456</v>
      </c>
      <c r="V11" s="143">
        <f>+'Project Budget'!O27</f>
        <v>109782</v>
      </c>
      <c r="W11" s="144">
        <v>0</v>
      </c>
      <c r="X11" s="143">
        <f>+V11</f>
        <v>109782</v>
      </c>
      <c r="Y11" s="143">
        <v>101560</v>
      </c>
      <c r="Z11" s="165">
        <f t="shared" si="3"/>
        <v>8222</v>
      </c>
      <c r="AA11" s="7"/>
      <c r="AB11" s="7"/>
      <c r="AC11" s="7"/>
    </row>
    <row r="12" spans="1:29" ht="22.5" customHeight="1" x14ac:dyDescent="0.35">
      <c r="A12" s="156" t="s">
        <v>173</v>
      </c>
      <c r="B12" s="136">
        <v>15000</v>
      </c>
      <c r="C12" s="157">
        <v>0</v>
      </c>
      <c r="D12" s="136">
        <f>+B12</f>
        <v>15000</v>
      </c>
      <c r="E12" s="136">
        <v>1001.35</v>
      </c>
      <c r="F12" s="165">
        <f t="shared" si="0"/>
        <v>13998.65</v>
      </c>
      <c r="G12" s="136">
        <v>0</v>
      </c>
      <c r="H12" s="142">
        <v>0</v>
      </c>
      <c r="I12" s="136">
        <v>0</v>
      </c>
      <c r="J12" s="136"/>
      <c r="K12" s="165">
        <f t="shared" si="1"/>
        <v>0</v>
      </c>
      <c r="L12" s="136">
        <f>+'Project Budget'!G81</f>
        <v>30000</v>
      </c>
      <c r="M12" s="142"/>
      <c r="N12" s="136">
        <f>+L12</f>
        <v>30000</v>
      </c>
      <c r="O12" s="136">
        <v>29500</v>
      </c>
      <c r="P12" s="165">
        <f t="shared" si="2"/>
        <v>500</v>
      </c>
      <c r="Q12" s="210">
        <v>49000</v>
      </c>
      <c r="R12" s="144">
        <v>12126</v>
      </c>
      <c r="S12" s="211">
        <v>36874</v>
      </c>
      <c r="T12" s="211">
        <v>36874</v>
      </c>
      <c r="U12" s="165">
        <f t="shared" si="4"/>
        <v>0</v>
      </c>
      <c r="V12" s="143">
        <v>6000</v>
      </c>
      <c r="W12" s="144">
        <v>0</v>
      </c>
      <c r="X12" s="143">
        <f>+V12</f>
        <v>6000</v>
      </c>
      <c r="Y12" s="143">
        <v>4390</v>
      </c>
      <c r="Z12" s="165">
        <f t="shared" si="3"/>
        <v>1610</v>
      </c>
      <c r="AA12" s="7"/>
      <c r="AB12" s="7"/>
      <c r="AC12" s="7"/>
    </row>
    <row r="13" spans="1:29" ht="36" customHeight="1" x14ac:dyDescent="0.35">
      <c r="A13" s="158" t="s">
        <v>174</v>
      </c>
      <c r="B13" s="159">
        <v>626775</v>
      </c>
      <c r="C13" s="157">
        <v>0</v>
      </c>
      <c r="D13" s="136">
        <f>+B13</f>
        <v>626775</v>
      </c>
      <c r="E13" s="136">
        <v>616135.81000000006</v>
      </c>
      <c r="F13" s="165">
        <f t="shared" si="0"/>
        <v>10639.189999999944</v>
      </c>
      <c r="G13" s="136">
        <f>+'Project Budget'!G5</f>
        <v>58000</v>
      </c>
      <c r="H13" s="142">
        <v>0</v>
      </c>
      <c r="I13" s="136">
        <f>+G13</f>
        <v>58000</v>
      </c>
      <c r="J13" s="136">
        <f>+'Project Budget'!J75</f>
        <v>28500</v>
      </c>
      <c r="K13" s="165">
        <f t="shared" si="1"/>
        <v>29500</v>
      </c>
      <c r="L13" s="136">
        <v>0</v>
      </c>
      <c r="M13" s="142">
        <v>0</v>
      </c>
      <c r="N13" s="136">
        <v>0</v>
      </c>
      <c r="O13" s="136"/>
      <c r="P13" s="165">
        <f t="shared" si="2"/>
        <v>0</v>
      </c>
      <c r="Q13" s="210">
        <v>45300</v>
      </c>
      <c r="R13" s="144">
        <v>-27282</v>
      </c>
      <c r="S13" s="211">
        <v>72582</v>
      </c>
      <c r="T13" s="211">
        <v>72807</v>
      </c>
      <c r="U13" s="165">
        <f t="shared" si="4"/>
        <v>-225</v>
      </c>
      <c r="V13" s="150">
        <v>0</v>
      </c>
      <c r="W13" s="142">
        <v>0</v>
      </c>
      <c r="X13" s="136">
        <v>0</v>
      </c>
      <c r="Y13" s="136"/>
      <c r="Z13" s="165">
        <f t="shared" si="3"/>
        <v>0</v>
      </c>
      <c r="AA13" s="7"/>
      <c r="AB13" s="7"/>
      <c r="AC13" s="7"/>
    </row>
    <row r="14" spans="1:29" ht="31.5" customHeight="1" x14ac:dyDescent="0.35">
      <c r="A14" s="158" t="s">
        <v>175</v>
      </c>
      <c r="B14" s="136">
        <f>'Project Budget'!C85</f>
        <v>30000</v>
      </c>
      <c r="C14" s="157">
        <v>0</v>
      </c>
      <c r="D14" s="136">
        <f>+B14</f>
        <v>30000</v>
      </c>
      <c r="E14" s="180">
        <f>12046.64</f>
        <v>12046.64</v>
      </c>
      <c r="F14" s="165">
        <f t="shared" si="0"/>
        <v>17953.36</v>
      </c>
      <c r="G14" s="136">
        <f>'Project Budget'!G85</f>
        <v>15000</v>
      </c>
      <c r="H14" s="142">
        <v>0</v>
      </c>
      <c r="I14" s="136">
        <f>+G14</f>
        <v>15000</v>
      </c>
      <c r="J14" s="136">
        <f>+'Project Budget'!J85</f>
        <v>15000</v>
      </c>
      <c r="K14" s="165">
        <f t="shared" si="1"/>
        <v>0</v>
      </c>
      <c r="L14" s="136"/>
      <c r="M14" s="142"/>
      <c r="N14" s="136">
        <f>+L14</f>
        <v>0</v>
      </c>
      <c r="O14" s="136"/>
      <c r="P14" s="165">
        <f t="shared" si="2"/>
        <v>0</v>
      </c>
      <c r="Q14" s="210">
        <v>106130</v>
      </c>
      <c r="R14" s="144">
        <v>27639</v>
      </c>
      <c r="S14" s="211">
        <v>78491</v>
      </c>
      <c r="T14" s="211">
        <v>77494</v>
      </c>
      <c r="U14" s="165">
        <f t="shared" si="4"/>
        <v>997</v>
      </c>
      <c r="V14" s="149">
        <f>+'Project Budget'!Q85</f>
        <v>45400</v>
      </c>
      <c r="W14" s="142">
        <v>0</v>
      </c>
      <c r="X14" s="136">
        <f>+V14</f>
        <v>45400</v>
      </c>
      <c r="Y14" s="136">
        <v>42600</v>
      </c>
      <c r="Z14" s="165">
        <f t="shared" si="3"/>
        <v>2800</v>
      </c>
      <c r="AA14" s="7"/>
      <c r="AB14" s="7"/>
      <c r="AC14" s="7">
        <v>0</v>
      </c>
    </row>
    <row r="15" spans="1:29" ht="24" customHeight="1" x14ac:dyDescent="0.35">
      <c r="A15" s="160" t="s">
        <v>176</v>
      </c>
      <c r="B15" s="137">
        <f>'Project Budget'!C87</f>
        <v>881776</v>
      </c>
      <c r="C15" s="161">
        <f>SUM(C8:C14)</f>
        <v>0</v>
      </c>
      <c r="D15" s="137">
        <f>+B15</f>
        <v>881776</v>
      </c>
      <c r="E15" s="137">
        <f>SUM(E8:E14)</f>
        <v>795258.09000000008</v>
      </c>
      <c r="F15" s="165">
        <f t="shared" si="0"/>
        <v>86517.909999999916</v>
      </c>
      <c r="G15" s="141">
        <f>SUM(G8:G14)</f>
        <v>311682</v>
      </c>
      <c r="H15" s="142">
        <f t="shared" ref="H15:O15" si="5">SUM(H8:H14)</f>
        <v>0</v>
      </c>
      <c r="I15" s="141">
        <f t="shared" si="5"/>
        <v>311682</v>
      </c>
      <c r="J15" s="141">
        <f t="shared" si="5"/>
        <v>214682</v>
      </c>
      <c r="K15" s="165">
        <f t="shared" si="1"/>
        <v>97000</v>
      </c>
      <c r="L15" s="141">
        <f t="shared" si="5"/>
        <v>446000</v>
      </c>
      <c r="M15" s="142">
        <f t="shared" si="5"/>
        <v>0</v>
      </c>
      <c r="N15" s="141">
        <f t="shared" si="5"/>
        <v>446000</v>
      </c>
      <c r="O15" s="141">
        <f t="shared" si="5"/>
        <v>321832</v>
      </c>
      <c r="P15" s="165">
        <f t="shared" si="2"/>
        <v>124168</v>
      </c>
      <c r="Q15" s="145">
        <v>881776</v>
      </c>
      <c r="R15" s="144">
        <v>-1.9915975863113999E-3</v>
      </c>
      <c r="S15" s="141">
        <v>881776.00199159759</v>
      </c>
      <c r="T15" s="141">
        <v>715570</v>
      </c>
      <c r="U15" s="165">
        <f t="shared" si="4"/>
        <v>166206.00199159759</v>
      </c>
      <c r="V15" s="151">
        <f>SUM(V8:V14)</f>
        <v>311682</v>
      </c>
      <c r="W15" s="142">
        <f t="shared" ref="W15:X15" si="6">SUM(W8:W14)</f>
        <v>0</v>
      </c>
      <c r="X15" s="141">
        <f t="shared" si="6"/>
        <v>311682</v>
      </c>
      <c r="Y15" s="141">
        <v>258320</v>
      </c>
      <c r="Z15" s="165">
        <f t="shared" si="3"/>
        <v>53362</v>
      </c>
      <c r="AA15" s="7"/>
      <c r="AB15" s="7"/>
      <c r="AC15" s="7"/>
    </row>
    <row r="16" spans="1:29" ht="32.25" customHeight="1" x14ac:dyDescent="0.35">
      <c r="A16" s="156" t="s">
        <v>177</v>
      </c>
      <c r="B16" s="136">
        <f>'Project Budget'!C88</f>
        <v>61724.320000000007</v>
      </c>
      <c r="C16" s="162">
        <f>C15*7/100</f>
        <v>0</v>
      </c>
      <c r="D16" s="138">
        <f>D15*7/100</f>
        <v>61724.32</v>
      </c>
      <c r="E16" s="138">
        <v>0</v>
      </c>
      <c r="F16" s="165">
        <f t="shared" si="0"/>
        <v>61724.32</v>
      </c>
      <c r="G16" s="136">
        <f>+'Project Budget'!G88</f>
        <v>21818</v>
      </c>
      <c r="H16" s="142">
        <v>0</v>
      </c>
      <c r="I16" s="136">
        <f>+G16</f>
        <v>21818</v>
      </c>
      <c r="J16" s="136">
        <f>+'Project Budget'!J88</f>
        <v>17092.740000000002</v>
      </c>
      <c r="K16" s="165">
        <f t="shared" si="1"/>
        <v>4725.2599999999984</v>
      </c>
      <c r="L16" s="136">
        <v>0</v>
      </c>
      <c r="M16" s="142">
        <v>0</v>
      </c>
      <c r="N16" s="136">
        <v>0</v>
      </c>
      <c r="O16" s="136"/>
      <c r="P16" s="165">
        <f t="shared" si="2"/>
        <v>0</v>
      </c>
      <c r="Q16" s="210">
        <v>61724.320000000007</v>
      </c>
      <c r="R16" s="144">
        <v>-1.3941182987764478E-4</v>
      </c>
      <c r="S16" s="210">
        <v>61724.320139411837</v>
      </c>
      <c r="T16" s="210">
        <v>50089.9</v>
      </c>
      <c r="U16" s="165">
        <f t="shared" si="4"/>
        <v>11634.420139411835</v>
      </c>
      <c r="V16" s="150">
        <f>+'Project Budget'!Q88</f>
        <v>21818</v>
      </c>
      <c r="W16" s="142">
        <v>0</v>
      </c>
      <c r="X16" s="136">
        <f>+V16</f>
        <v>21818</v>
      </c>
      <c r="Y16" s="136">
        <v>18082.400000000001</v>
      </c>
      <c r="Z16" s="165">
        <f t="shared" si="3"/>
        <v>3735.5999999999985</v>
      </c>
      <c r="AA16" s="7"/>
      <c r="AB16" s="7"/>
      <c r="AC16" s="7"/>
    </row>
    <row r="17" spans="1:26" s="9" customFormat="1" ht="22.5" customHeight="1" x14ac:dyDescent="0.35">
      <c r="A17" s="160" t="s">
        <v>178</v>
      </c>
      <c r="B17" s="139">
        <f>B15+B16</f>
        <v>943500.32000000007</v>
      </c>
      <c r="C17" s="163">
        <f>C15+C16</f>
        <v>0</v>
      </c>
      <c r="D17" s="139">
        <f>D15+D16</f>
        <v>943500.32</v>
      </c>
      <c r="E17" s="139">
        <f>E15+E16</f>
        <v>795258.09000000008</v>
      </c>
      <c r="F17" s="166">
        <f t="shared" si="0"/>
        <v>148242.22999999986</v>
      </c>
      <c r="G17" s="139">
        <f t="shared" ref="G17:O17" si="7">SUM(G15:G16)</f>
        <v>333500</v>
      </c>
      <c r="H17" s="146">
        <f>SUM(H15:H16)</f>
        <v>0</v>
      </c>
      <c r="I17" s="139">
        <f t="shared" si="7"/>
        <v>333500</v>
      </c>
      <c r="J17" s="139">
        <f t="shared" si="7"/>
        <v>231774.74</v>
      </c>
      <c r="K17" s="165">
        <f t="shared" si="1"/>
        <v>101725.26000000001</v>
      </c>
      <c r="L17" s="139">
        <f>SUM(L15:L16)</f>
        <v>446000</v>
      </c>
      <c r="M17" s="146">
        <f t="shared" si="7"/>
        <v>0</v>
      </c>
      <c r="N17" s="139">
        <f t="shared" si="7"/>
        <v>446000</v>
      </c>
      <c r="O17" s="139">
        <f t="shared" si="7"/>
        <v>321832</v>
      </c>
      <c r="P17" s="213">
        <f t="shared" si="2"/>
        <v>124168</v>
      </c>
      <c r="Q17" s="147">
        <v>943500.32000000007</v>
      </c>
      <c r="R17" s="146">
        <v>-2.1310094161890447E-3</v>
      </c>
      <c r="S17" s="147">
        <v>943500.32213100942</v>
      </c>
      <c r="T17" s="147">
        <v>765659.9</v>
      </c>
      <c r="U17" s="213">
        <f t="shared" si="4"/>
        <v>177840.4221310094</v>
      </c>
      <c r="V17" s="152">
        <f>SUM(V15:V16)</f>
        <v>333500</v>
      </c>
      <c r="W17" s="146">
        <f>SUM(W15:W16)</f>
        <v>0</v>
      </c>
      <c r="X17" s="139">
        <f>SUM(X15:X16)</f>
        <v>333500</v>
      </c>
      <c r="Y17" s="139">
        <v>276402.40000000002</v>
      </c>
      <c r="Z17" s="213">
        <f t="shared" si="3"/>
        <v>57097.599999999977</v>
      </c>
    </row>
    <row r="18" spans="1:26" x14ac:dyDescent="0.35">
      <c r="A18" s="7"/>
      <c r="B18" s="10"/>
      <c r="C18" s="10"/>
      <c r="D18" s="10"/>
      <c r="E18" s="10"/>
      <c r="F18" s="10"/>
      <c r="G18" s="10"/>
      <c r="H18" s="10"/>
      <c r="I18" s="10"/>
      <c r="J18" s="10"/>
      <c r="K18" s="10"/>
      <c r="L18" s="10"/>
      <c r="M18" s="10"/>
      <c r="N18" s="10"/>
      <c r="O18" s="10"/>
      <c r="P18" s="10"/>
      <c r="Q18" s="46"/>
      <c r="R18" s="10"/>
      <c r="S18" s="10"/>
      <c r="T18" s="10"/>
      <c r="U18" s="10"/>
      <c r="V18" s="10"/>
      <c r="W18" s="10"/>
      <c r="X18" s="10"/>
      <c r="Y18" s="10"/>
      <c r="Z18" s="10"/>
    </row>
    <row r="19" spans="1:26" x14ac:dyDescent="0.35">
      <c r="A19" s="7"/>
      <c r="B19" s="10"/>
      <c r="C19" s="10"/>
      <c r="D19" s="10"/>
      <c r="E19" s="10"/>
      <c r="F19" s="10"/>
      <c r="G19" s="10"/>
      <c r="H19" s="10"/>
      <c r="I19" s="10"/>
      <c r="J19" s="45"/>
      <c r="K19" s="10"/>
      <c r="L19" s="21"/>
      <c r="M19" s="189"/>
      <c r="N19" s="10"/>
      <c r="O19" s="10"/>
      <c r="P19" s="10"/>
      <c r="Q19" s="45"/>
      <c r="R19" s="10"/>
      <c r="S19" s="10"/>
      <c r="T19" s="10"/>
      <c r="U19" s="10"/>
      <c r="V19" s="10"/>
      <c r="W19" s="10"/>
      <c r="X19" s="10"/>
      <c r="Y19" s="10"/>
      <c r="Z19" s="7"/>
    </row>
    <row r="20" spans="1:26" ht="13.5" customHeight="1" x14ac:dyDescent="0.35">
      <c r="A20" s="7"/>
      <c r="B20" s="16"/>
      <c r="C20" s="10"/>
      <c r="D20" s="44"/>
      <c r="E20" s="44"/>
      <c r="F20" s="10"/>
      <c r="G20" s="10"/>
      <c r="H20" s="10"/>
      <c r="I20" s="10"/>
      <c r="J20" s="187"/>
      <c r="K20" s="10"/>
      <c r="L20" s="21"/>
      <c r="M20" s="14"/>
      <c r="N20" s="10"/>
      <c r="O20" s="10"/>
      <c r="P20" s="10"/>
      <c r="Q20" s="45"/>
      <c r="R20" s="10"/>
      <c r="S20" s="10"/>
      <c r="T20" s="10"/>
      <c r="U20" s="10"/>
      <c r="V20" s="10"/>
      <c r="W20" s="10"/>
      <c r="X20" s="10"/>
      <c r="Y20" s="10"/>
      <c r="Z20" s="7"/>
    </row>
    <row r="21" spans="1:26" ht="22.5" customHeight="1" x14ac:dyDescent="0.35">
      <c r="A21" s="7"/>
      <c r="B21" s="16"/>
      <c r="C21" s="16"/>
      <c r="D21" s="16"/>
      <c r="E21" s="16"/>
      <c r="F21" s="16"/>
      <c r="G21" s="7"/>
      <c r="H21" s="7"/>
      <c r="L21" s="16"/>
      <c r="M21" s="191"/>
      <c r="N21" s="187"/>
      <c r="O21" s="187"/>
      <c r="R21" s="7"/>
      <c r="V21" s="7"/>
      <c r="W21" s="7"/>
      <c r="Z21" s="7"/>
    </row>
    <row r="22" spans="1:26" x14ac:dyDescent="0.35">
      <c r="A22" s="18"/>
      <c r="B22" s="19"/>
      <c r="C22" s="18"/>
      <c r="D22" s="19"/>
      <c r="E22" s="19"/>
      <c r="F22" s="19"/>
      <c r="G22" s="18"/>
      <c r="H22" s="7"/>
      <c r="L22" s="7"/>
      <c r="M22" s="7"/>
      <c r="R22" s="7"/>
      <c r="V22" s="7"/>
      <c r="W22" s="7"/>
      <c r="Z22" s="7"/>
    </row>
    <row r="23" spans="1:26" ht="15" x14ac:dyDescent="0.35">
      <c r="A23" s="18"/>
      <c r="B23" s="62"/>
      <c r="C23" s="62"/>
      <c r="D23" s="62"/>
      <c r="E23" s="63"/>
      <c r="F23" s="62"/>
      <c r="G23" s="232"/>
      <c r="H23" s="7"/>
      <c r="I23" s="10"/>
      <c r="J23" s="10"/>
      <c r="K23" s="10"/>
      <c r="L23" s="7"/>
      <c r="M23" s="7"/>
      <c r="R23" s="7"/>
      <c r="V23" s="7"/>
      <c r="W23" s="7"/>
      <c r="Z23" s="7"/>
    </row>
    <row r="24" spans="1:26" ht="15.5" x14ac:dyDescent="0.35">
      <c r="A24" s="18"/>
      <c r="B24" s="62"/>
      <c r="C24" s="62"/>
      <c r="D24" s="20"/>
      <c r="E24" s="20"/>
      <c r="F24" s="20"/>
      <c r="G24" s="232"/>
      <c r="H24" s="7"/>
      <c r="L24" s="7"/>
      <c r="M24" s="7"/>
      <c r="N24" s="15"/>
      <c r="O24" s="15"/>
      <c r="P24" s="15"/>
      <c r="R24" s="7"/>
      <c r="V24" s="7"/>
      <c r="W24" s="7"/>
      <c r="Z24" s="7"/>
    </row>
    <row r="25" spans="1:26" ht="15.5" x14ac:dyDescent="0.35">
      <c r="A25" s="18"/>
      <c r="B25" s="20"/>
      <c r="C25" s="20"/>
      <c r="D25" s="20"/>
      <c r="E25" s="20"/>
      <c r="F25" s="20"/>
      <c r="G25" s="232"/>
      <c r="H25" s="7"/>
      <c r="L25" s="7"/>
      <c r="M25" s="7"/>
      <c r="N25" s="15"/>
      <c r="O25" s="15"/>
      <c r="P25" s="15"/>
      <c r="R25" s="7"/>
      <c r="V25" s="7"/>
      <c r="W25" s="7"/>
      <c r="Z25" s="7"/>
    </row>
    <row r="26" spans="1:26" ht="15.5" x14ac:dyDescent="0.35">
      <c r="A26" s="18"/>
      <c r="B26" s="20"/>
      <c r="C26" s="20"/>
      <c r="D26" s="20"/>
      <c r="E26" s="20"/>
      <c r="F26" s="20"/>
      <c r="G26" s="232"/>
      <c r="H26" s="7"/>
      <c r="L26" s="7"/>
      <c r="M26" s="7"/>
      <c r="N26" s="15"/>
      <c r="O26" s="15"/>
      <c r="P26" s="15"/>
      <c r="R26" s="7"/>
      <c r="V26" s="7"/>
      <c r="W26" s="7"/>
      <c r="Z26" s="7"/>
    </row>
    <row r="27" spans="1:26" ht="15.5" x14ac:dyDescent="0.35">
      <c r="A27" s="18"/>
      <c r="B27" s="20"/>
      <c r="C27" s="20"/>
      <c r="D27" s="20"/>
      <c r="E27" s="20"/>
      <c r="F27" s="20"/>
      <c r="G27" s="232"/>
      <c r="H27" s="7"/>
      <c r="L27" s="7"/>
      <c r="M27" s="7"/>
      <c r="N27" s="15"/>
      <c r="O27" s="15"/>
      <c r="P27" s="15"/>
      <c r="R27" s="7"/>
      <c r="V27" s="7"/>
      <c r="W27" s="7"/>
      <c r="Z27" s="7"/>
    </row>
    <row r="28" spans="1:26" ht="15.5" x14ac:dyDescent="0.35">
      <c r="A28" s="18"/>
      <c r="B28" s="20"/>
      <c r="C28" s="20"/>
      <c r="D28" s="20"/>
      <c r="E28" s="20"/>
      <c r="F28" s="20"/>
      <c r="G28" s="232"/>
      <c r="H28" s="7"/>
      <c r="L28" s="7"/>
      <c r="M28" s="7"/>
      <c r="N28" s="15"/>
      <c r="O28" s="15"/>
      <c r="P28" s="15"/>
      <c r="R28" s="7"/>
      <c r="V28" s="7"/>
      <c r="W28" s="7"/>
      <c r="Z28" s="7"/>
    </row>
    <row r="29" spans="1:26" x14ac:dyDescent="0.35">
      <c r="A29" s="18"/>
      <c r="B29" s="18"/>
      <c r="C29" s="18"/>
      <c r="D29" s="18"/>
      <c r="E29" s="18"/>
      <c r="F29" s="18"/>
      <c r="G29" s="18"/>
      <c r="H29" s="7"/>
      <c r="L29" s="7"/>
      <c r="M29" s="7"/>
      <c r="N29" s="15"/>
      <c r="O29" s="15"/>
      <c r="P29" s="15"/>
      <c r="R29" s="7"/>
      <c r="V29" s="7"/>
      <c r="W29" s="7"/>
      <c r="Z29" s="7"/>
    </row>
    <row r="30" spans="1:26" x14ac:dyDescent="0.35">
      <c r="A30" s="7"/>
      <c r="G30" s="7"/>
      <c r="H30" s="7"/>
      <c r="L30" s="7"/>
      <c r="M30" s="7"/>
      <c r="N30" s="15"/>
      <c r="O30" s="15"/>
      <c r="P30" s="15"/>
      <c r="R30" s="7"/>
      <c r="V30" s="7"/>
      <c r="W30" s="7"/>
      <c r="Z30" s="7"/>
    </row>
    <row r="31" spans="1:26" x14ac:dyDescent="0.35">
      <c r="A31" s="7"/>
      <c r="G31" s="7"/>
      <c r="H31" s="7"/>
      <c r="L31" s="7"/>
      <c r="M31" s="7"/>
      <c r="N31" s="15"/>
      <c r="O31" s="15"/>
      <c r="P31" s="15"/>
      <c r="R31" s="7"/>
      <c r="V31" s="7"/>
      <c r="W31" s="7"/>
      <c r="Z31" s="7"/>
    </row>
    <row r="32" spans="1:26" x14ac:dyDescent="0.35">
      <c r="A32" s="7"/>
      <c r="G32" s="7"/>
      <c r="H32" s="7"/>
      <c r="L32" s="7"/>
      <c r="M32" s="7"/>
      <c r="N32" s="15"/>
      <c r="O32" s="15"/>
      <c r="P32" s="15"/>
      <c r="R32" s="7"/>
      <c r="V32" s="7"/>
      <c r="W32" s="7"/>
      <c r="Z32" s="7"/>
    </row>
  </sheetData>
  <mergeCells count="7">
    <mergeCell ref="B6:F6"/>
    <mergeCell ref="G6:K6"/>
    <mergeCell ref="G23:G28"/>
    <mergeCell ref="A6:A7"/>
    <mergeCell ref="V6:Z6"/>
    <mergeCell ref="Q6:U6"/>
    <mergeCell ref="L6:P6"/>
  </mergeCells>
  <pageMargins left="0.78740157499999996" right="0.78740157499999996" top="0.984251969" bottom="0.984251969"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Project Budget</vt:lpstr>
      <vt:lpstr>budget by UN cost category</vt:lpstr>
      <vt:lpstr>'Project Budget'!Zone_d_impression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Fah Brahim Jiddou</cp:lastModifiedBy>
  <cp:revision/>
  <dcterms:created xsi:type="dcterms:W3CDTF">2017-11-15T21:17:43Z</dcterms:created>
  <dcterms:modified xsi:type="dcterms:W3CDTF">2020-06-16T15:50:45Z</dcterms:modified>
  <cp:category/>
  <cp:contentStatus/>
</cp:coreProperties>
</file>