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DELL\Documents\@ PBF BF\Programmation 2020\Centre Nord Cohesion sociale\"/>
    </mc:Choice>
  </mc:AlternateContent>
  <xr:revisionPtr revIDLastSave="0" documentId="13_ncr:1_{54493343-5995-4858-8CA8-C93F147F6D4B}" xr6:coauthVersionLast="45" xr6:coauthVersionMax="45" xr10:uidLastSave="{00000000-0000-0000-0000-000000000000}"/>
  <bookViews>
    <workbookView xWindow="-108" yWindow="-108" windowWidth="23256" windowHeight="12576" tabRatio="753"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definedNames>
    <definedName name="_xlnm.Print_Titles" localSheetId="1">'1) Tableau budgétaire 1'!$12:$12</definedName>
    <definedName name="_xlnm.Print_Area" localSheetId="1">'1) Tableau budgétaire 1'!$B$12:$J$179</definedName>
    <definedName name="_xlnm.Print_Area" localSheetId="5">'5) Pour utilisation par MPTFO'!$A$1:$F$25</definedName>
    <definedName name="_xlnm.Print_Area" localSheetId="0">Recap!$B$1:$H$28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8" l="1"/>
  <c r="D18" i="8"/>
  <c r="D17" i="8"/>
  <c r="D10" i="8"/>
  <c r="G10" i="8"/>
  <c r="E10" i="8"/>
  <c r="D145" i="1" l="1"/>
  <c r="D144" i="1"/>
  <c r="D139" i="1"/>
  <c r="D138" i="1"/>
  <c r="D110" i="1"/>
  <c r="D86" i="1"/>
  <c r="E86" i="1"/>
  <c r="E94" i="1" l="1"/>
  <c r="C29" i="6" l="1"/>
  <c r="F97" i="5" l="1"/>
  <c r="F98" i="5"/>
  <c r="F99" i="5"/>
  <c r="F100" i="5"/>
  <c r="F101" i="5"/>
  <c r="F102" i="5"/>
  <c r="F96" i="5"/>
  <c r="E97" i="5"/>
  <c r="E98" i="5"/>
  <c r="E99" i="5"/>
  <c r="E100" i="5"/>
  <c r="E101" i="5"/>
  <c r="E102" i="5"/>
  <c r="E96" i="5"/>
  <c r="D96" i="5"/>
  <c r="D98" i="5"/>
  <c r="D100" i="5"/>
  <c r="D101" i="5"/>
  <c r="D102" i="5"/>
  <c r="D85" i="5"/>
  <c r="E19" i="5"/>
  <c r="F19" i="5"/>
  <c r="E20" i="5"/>
  <c r="F20" i="5"/>
  <c r="E21" i="5"/>
  <c r="F21" i="5"/>
  <c r="E22" i="5"/>
  <c r="F22" i="5"/>
  <c r="E23" i="5"/>
  <c r="F23" i="5"/>
  <c r="E24" i="5"/>
  <c r="F24" i="5"/>
  <c r="F18" i="5"/>
  <c r="E18" i="5"/>
  <c r="D20" i="5"/>
  <c r="D23" i="5"/>
  <c r="D24" i="5"/>
  <c r="D18" i="5"/>
  <c r="F17" i="8" l="1"/>
  <c r="E17" i="8"/>
  <c r="G41" i="1"/>
  <c r="F42" i="1"/>
  <c r="E42" i="1"/>
  <c r="G132" i="1" l="1"/>
  <c r="G133" i="1"/>
  <c r="G134" i="1"/>
  <c r="G135" i="1"/>
  <c r="G136" i="1"/>
  <c r="G137" i="1"/>
  <c r="G131" i="1" l="1"/>
  <c r="C14" i="8" l="1"/>
  <c r="G127" i="1" l="1"/>
  <c r="G128" i="1"/>
  <c r="G129" i="1"/>
  <c r="G130" i="1"/>
  <c r="G120" i="1" l="1"/>
  <c r="E122" i="1"/>
  <c r="F122" i="1"/>
  <c r="G121" i="1"/>
  <c r="G119" i="1"/>
  <c r="G118" i="1"/>
  <c r="G117" i="1"/>
  <c r="D116" i="1"/>
  <c r="D115" i="1"/>
  <c r="G115" i="1" s="1"/>
  <c r="G114" i="1"/>
  <c r="D113" i="1"/>
  <c r="G113" i="1" s="1"/>
  <c r="D112" i="1"/>
  <c r="D122" i="1" l="1"/>
  <c r="D14" i="8" s="1"/>
  <c r="D97" i="5"/>
  <c r="G116" i="1"/>
  <c r="D99" i="5"/>
  <c r="G112" i="1"/>
  <c r="F18" i="8"/>
  <c r="E20" i="8"/>
  <c r="F20" i="8"/>
  <c r="E19" i="8"/>
  <c r="F19" i="8"/>
  <c r="E18" i="8"/>
  <c r="D9" i="8"/>
  <c r="C9" i="8"/>
  <c r="C8" i="8"/>
  <c r="C7" i="8"/>
  <c r="C6" i="8"/>
  <c r="D50" i="5"/>
  <c r="D149" i="1"/>
  <c r="D73" i="1"/>
  <c r="G73" i="1" s="1"/>
  <c r="D72" i="1"/>
  <c r="G72" i="1" s="1"/>
  <c r="D71" i="1"/>
  <c r="G71" i="1" s="1"/>
  <c r="D65" i="1"/>
  <c r="G65" i="1" s="1"/>
  <c r="D62" i="1"/>
  <c r="D61" i="1"/>
  <c r="G61" i="1" s="1"/>
  <c r="D60" i="1"/>
  <c r="G60" i="1" s="1"/>
  <c r="D59" i="1"/>
  <c r="D58" i="1"/>
  <c r="G58" i="1" s="1"/>
  <c r="D56" i="1"/>
  <c r="D55" i="1"/>
  <c r="G55" i="1" s="1"/>
  <c r="D54" i="1"/>
  <c r="D53" i="1"/>
  <c r="D50" i="1"/>
  <c r="G50" i="1" s="1"/>
  <c r="D49" i="1"/>
  <c r="G49" i="1" s="1"/>
  <c r="D48" i="1"/>
  <c r="G48" i="1" s="1"/>
  <c r="D46" i="1"/>
  <c r="G46" i="1" s="1"/>
  <c r="D45" i="1"/>
  <c r="D33" i="5" s="1"/>
  <c r="D44" i="1"/>
  <c r="G44" i="1" s="1"/>
  <c r="D39" i="1"/>
  <c r="D34" i="1"/>
  <c r="G32" i="1"/>
  <c r="D31" i="1"/>
  <c r="G31" i="1" s="1"/>
  <c r="D30" i="1"/>
  <c r="G30" i="1" s="1"/>
  <c r="D28" i="1"/>
  <c r="D27" i="1"/>
  <c r="D26" i="1"/>
  <c r="G26" i="1" s="1"/>
  <c r="D23" i="1"/>
  <c r="G23" i="1" s="1"/>
  <c r="G22" i="1"/>
  <c r="D20" i="1"/>
  <c r="D19" i="1"/>
  <c r="D18" i="1"/>
  <c r="D17" i="1"/>
  <c r="D16" i="1"/>
  <c r="F57" i="5"/>
  <c r="F56" i="5"/>
  <c r="F55" i="5"/>
  <c r="F54" i="5"/>
  <c r="F53" i="5"/>
  <c r="F52" i="5"/>
  <c r="F51" i="5"/>
  <c r="E57" i="5"/>
  <c r="E56" i="5"/>
  <c r="E55" i="5"/>
  <c r="E54" i="5"/>
  <c r="E53" i="5"/>
  <c r="E52" i="5"/>
  <c r="E51" i="5"/>
  <c r="D56" i="5"/>
  <c r="D57" i="5"/>
  <c r="D55" i="5"/>
  <c r="D54" i="5"/>
  <c r="D53" i="5"/>
  <c r="D52" i="5"/>
  <c r="D51" i="5"/>
  <c r="F46" i="5"/>
  <c r="F45" i="5"/>
  <c r="F44" i="5"/>
  <c r="F43" i="5"/>
  <c r="F42" i="5"/>
  <c r="F41" i="5"/>
  <c r="F40" i="5"/>
  <c r="E46" i="5"/>
  <c r="E45" i="5"/>
  <c r="E44" i="5"/>
  <c r="E43" i="5"/>
  <c r="E42" i="5"/>
  <c r="E41" i="5"/>
  <c r="E40" i="5"/>
  <c r="D46" i="5"/>
  <c r="D44" i="5"/>
  <c r="D42" i="5"/>
  <c r="D41" i="5"/>
  <c r="D40" i="5"/>
  <c r="F35" i="5"/>
  <c r="F34" i="5"/>
  <c r="F33" i="5"/>
  <c r="F32" i="5"/>
  <c r="F31" i="5"/>
  <c r="F30" i="5"/>
  <c r="F29" i="5"/>
  <c r="E35" i="5"/>
  <c r="E34" i="5"/>
  <c r="E33" i="5"/>
  <c r="E32" i="5"/>
  <c r="E31" i="5"/>
  <c r="E30" i="5"/>
  <c r="E29" i="5"/>
  <c r="D34" i="5"/>
  <c r="D29" i="5"/>
  <c r="E68" i="5"/>
  <c r="F86" i="1"/>
  <c r="F50" i="5" s="1"/>
  <c r="F78" i="1"/>
  <c r="F8" i="8" s="1"/>
  <c r="I78" i="1"/>
  <c r="I86" i="1" s="1"/>
  <c r="E78" i="1"/>
  <c r="E50" i="5" s="1"/>
  <c r="G74" i="1"/>
  <c r="G69" i="1"/>
  <c r="G70" i="1"/>
  <c r="D76" i="1"/>
  <c r="G76" i="1" s="1"/>
  <c r="G75" i="1"/>
  <c r="G66" i="1"/>
  <c r="G67" i="1"/>
  <c r="G68" i="1"/>
  <c r="G77" i="1"/>
  <c r="G80" i="1"/>
  <c r="G81" i="1"/>
  <c r="G82" i="1"/>
  <c r="G83" i="1"/>
  <c r="G84" i="1"/>
  <c r="G85" i="1"/>
  <c r="I63" i="1"/>
  <c r="F63" i="1"/>
  <c r="F7" i="8" s="1"/>
  <c r="E63" i="1"/>
  <c r="E7" i="8" s="1"/>
  <c r="G62" i="1"/>
  <c r="G56" i="1"/>
  <c r="G54" i="1"/>
  <c r="G53" i="1"/>
  <c r="G45" i="1"/>
  <c r="I42" i="1"/>
  <c r="F6" i="8"/>
  <c r="E17" i="5"/>
  <c r="G39" i="1"/>
  <c r="G34" i="1"/>
  <c r="G27" i="1"/>
  <c r="G25" i="1"/>
  <c r="G18" i="1"/>
  <c r="G21" i="1"/>
  <c r="G24" i="1"/>
  <c r="G29" i="1"/>
  <c r="G33" i="1"/>
  <c r="G35" i="1"/>
  <c r="G36" i="1"/>
  <c r="G37" i="1"/>
  <c r="G38" i="1"/>
  <c r="G40" i="1"/>
  <c r="G47" i="1"/>
  <c r="G51" i="1"/>
  <c r="G52" i="1"/>
  <c r="G57" i="1"/>
  <c r="D35" i="5" l="1"/>
  <c r="G20" i="1"/>
  <c r="D21" i="5"/>
  <c r="H122" i="1"/>
  <c r="D22" i="5"/>
  <c r="G17" i="1"/>
  <c r="D19" i="5"/>
  <c r="G16" i="1"/>
  <c r="D42" i="1"/>
  <c r="D6" i="8" s="1"/>
  <c r="G122" i="1"/>
  <c r="D32" i="5"/>
  <c r="G19" i="1"/>
  <c r="D31" i="5"/>
  <c r="D30" i="5"/>
  <c r="H86" i="1"/>
  <c r="F17" i="5"/>
  <c r="H78" i="1"/>
  <c r="D58" i="5"/>
  <c r="E39" i="5"/>
  <c r="F39" i="5"/>
  <c r="E8" i="8"/>
  <c r="E28" i="5"/>
  <c r="D43" i="5"/>
  <c r="E6" i="8"/>
  <c r="F9" i="8"/>
  <c r="F5" i="8" s="1"/>
  <c r="F28" i="5"/>
  <c r="E9" i="8"/>
  <c r="D45" i="5"/>
  <c r="G59" i="1"/>
  <c r="H63" i="1" s="1"/>
  <c r="G28" i="1"/>
  <c r="G55" i="5"/>
  <c r="G51" i="5"/>
  <c r="E58" i="5"/>
  <c r="G52" i="5"/>
  <c r="G56" i="5"/>
  <c r="G50" i="5"/>
  <c r="G54" i="5"/>
  <c r="G53" i="5"/>
  <c r="G57" i="5"/>
  <c r="F58" i="5"/>
  <c r="D78" i="1"/>
  <c r="D8" i="8" s="1"/>
  <c r="G86" i="1"/>
  <c r="G15" i="1"/>
  <c r="G78" i="1"/>
  <c r="D63" i="1"/>
  <c r="D7" i="8" s="1"/>
  <c r="H42" i="1" l="1"/>
  <c r="G42" i="1"/>
  <c r="D28" i="5"/>
  <c r="E5" i="8"/>
  <c r="G63" i="1"/>
  <c r="D39" i="5"/>
  <c r="D5" i="8"/>
  <c r="G9" i="8"/>
  <c r="D17" i="5"/>
  <c r="G17" i="5" s="1"/>
  <c r="G58" i="5"/>
  <c r="C7" i="6" l="1"/>
  <c r="G140" i="1"/>
  <c r="G101" i="1"/>
  <c r="G102" i="1"/>
  <c r="G103" i="1"/>
  <c r="G104" i="1"/>
  <c r="G92" i="1"/>
  <c r="G93" i="1"/>
  <c r="G94" i="1"/>
  <c r="E79" i="5" l="1"/>
  <c r="E90" i="5"/>
  <c r="E110" i="1" l="1"/>
  <c r="E149" i="1" l="1"/>
  <c r="F149" i="1"/>
  <c r="F157" i="1" s="1"/>
  <c r="G139" i="1" l="1"/>
  <c r="G141" i="1"/>
  <c r="G142" i="1"/>
  <c r="G143" i="1"/>
  <c r="G144" i="1"/>
  <c r="G145" i="1"/>
  <c r="G146" i="1"/>
  <c r="D20" i="8"/>
  <c r="E69" i="5" l="1"/>
  <c r="E63" i="5"/>
  <c r="E67" i="5"/>
  <c r="C13" i="8" l="1"/>
  <c r="C12" i="8"/>
  <c r="C11" i="8"/>
  <c r="E97" i="1" l="1"/>
  <c r="G100" i="1"/>
  <c r="G109" i="1" l="1"/>
  <c r="G107" i="1"/>
  <c r="G108" i="1"/>
  <c r="F110" i="1"/>
  <c r="I110" i="1"/>
  <c r="G89" i="1"/>
  <c r="H110" i="1" l="1"/>
  <c r="G110" i="1"/>
  <c r="G126" i="1" l="1"/>
  <c r="D109" i="5"/>
  <c r="E109" i="5"/>
  <c r="F109" i="5"/>
  <c r="D110" i="5"/>
  <c r="E110" i="5"/>
  <c r="F110" i="5"/>
  <c r="D111" i="5"/>
  <c r="E111" i="5"/>
  <c r="F111" i="5"/>
  <c r="D112" i="5"/>
  <c r="E112" i="5"/>
  <c r="F112" i="5"/>
  <c r="D113" i="5"/>
  <c r="E113" i="5"/>
  <c r="E125" i="5" s="1"/>
  <c r="F113" i="5"/>
  <c r="F125" i="5" s="1"/>
  <c r="E114" i="5"/>
  <c r="F114" i="5"/>
  <c r="F108" i="5"/>
  <c r="E108" i="5"/>
  <c r="D108" i="5"/>
  <c r="D86" i="5"/>
  <c r="E86" i="5"/>
  <c r="F86" i="5"/>
  <c r="D87" i="5"/>
  <c r="E87" i="5"/>
  <c r="F87" i="5"/>
  <c r="D88" i="5"/>
  <c r="E88" i="5"/>
  <c r="F88" i="5"/>
  <c r="D89" i="5"/>
  <c r="E89" i="5"/>
  <c r="F89" i="5"/>
  <c r="D90" i="5"/>
  <c r="F90" i="5"/>
  <c r="D91" i="5"/>
  <c r="E91" i="5"/>
  <c r="F91" i="5"/>
  <c r="F85" i="5"/>
  <c r="E85" i="5"/>
  <c r="D74" i="5"/>
  <c r="F64" i="5"/>
  <c r="F65" i="5"/>
  <c r="F66" i="5"/>
  <c r="F67" i="5"/>
  <c r="F68" i="5"/>
  <c r="F69" i="5"/>
  <c r="F63" i="5"/>
  <c r="D75" i="5"/>
  <c r="E75" i="5"/>
  <c r="F75" i="5"/>
  <c r="D76" i="5"/>
  <c r="E76" i="5"/>
  <c r="F76" i="5"/>
  <c r="D77" i="5"/>
  <c r="E77" i="5"/>
  <c r="F77" i="5"/>
  <c r="D78" i="5"/>
  <c r="E78" i="5"/>
  <c r="F78" i="5"/>
  <c r="D79" i="5"/>
  <c r="F79" i="5"/>
  <c r="D80" i="5"/>
  <c r="E80" i="5"/>
  <c r="F80" i="5"/>
  <c r="F74" i="5"/>
  <c r="E74" i="5"/>
  <c r="D64" i="5"/>
  <c r="E64" i="5"/>
  <c r="D65" i="5"/>
  <c r="E65" i="5"/>
  <c r="D66" i="5"/>
  <c r="E66" i="5"/>
  <c r="D67" i="5"/>
  <c r="D68" i="5"/>
  <c r="D69" i="5"/>
  <c r="D63" i="5"/>
  <c r="I149" i="1"/>
  <c r="G138" i="1"/>
  <c r="G99" i="1"/>
  <c r="H105" i="1" s="1"/>
  <c r="G96" i="1"/>
  <c r="G95" i="1"/>
  <c r="G91" i="1"/>
  <c r="G90" i="1"/>
  <c r="F122" i="5" l="1"/>
  <c r="D123" i="5"/>
  <c r="D125" i="5"/>
  <c r="E122" i="5"/>
  <c r="D120" i="5"/>
  <c r="F124" i="5"/>
  <c r="D122" i="5"/>
  <c r="G122" i="5" s="1"/>
  <c r="E120" i="5"/>
  <c r="E124" i="5"/>
  <c r="F121" i="5"/>
  <c r="F120" i="5"/>
  <c r="D124" i="5"/>
  <c r="E121" i="5"/>
  <c r="F126" i="5"/>
  <c r="F123" i="5"/>
  <c r="D121" i="5"/>
  <c r="G121" i="5" s="1"/>
  <c r="E126" i="5"/>
  <c r="E123" i="5"/>
  <c r="H97" i="1"/>
  <c r="E70" i="5"/>
  <c r="E41" i="8"/>
  <c r="G105" i="1"/>
  <c r="G148" i="1"/>
  <c r="D172" i="1" s="1"/>
  <c r="E47" i="5"/>
  <c r="F47" i="5"/>
  <c r="G46" i="5"/>
  <c r="G97" i="1"/>
  <c r="F24" i="4"/>
  <c r="F23" i="4"/>
  <c r="F22" i="4"/>
  <c r="G120" i="5" l="1"/>
  <c r="G124" i="5"/>
  <c r="E127" i="5"/>
  <c r="E128" i="5" s="1"/>
  <c r="G123" i="5"/>
  <c r="G125" i="5"/>
  <c r="G147" i="1"/>
  <c r="D114" i="5"/>
  <c r="D126" i="5" s="1"/>
  <c r="D127" i="5" s="1"/>
  <c r="I105" i="1"/>
  <c r="I97" i="1"/>
  <c r="E129" i="5" l="1"/>
  <c r="G126" i="5"/>
  <c r="H149" i="1"/>
  <c r="D170" i="1" s="1"/>
  <c r="G149" i="1"/>
  <c r="C40" i="6" s="1"/>
  <c r="G18" i="5"/>
  <c r="G19" i="5"/>
  <c r="G20" i="5"/>
  <c r="G21" i="5"/>
  <c r="G22" i="5"/>
  <c r="G23" i="5"/>
  <c r="G24" i="5"/>
  <c r="D41" i="8" l="1"/>
  <c r="D36" i="8"/>
  <c r="D38" i="8"/>
  <c r="D39" i="8"/>
  <c r="D40" i="8"/>
  <c r="D42" i="8" l="1"/>
  <c r="D35" i="8"/>
  <c r="C10" i="4"/>
  <c r="D37" i="8"/>
  <c r="D128" i="5" l="1"/>
  <c r="D14" i="5"/>
  <c r="E164" i="1"/>
  <c r="F164" i="1"/>
  <c r="D164" i="1"/>
  <c r="E156" i="1"/>
  <c r="F156" i="1"/>
  <c r="D156" i="1"/>
  <c r="F115" i="5"/>
  <c r="E115" i="5"/>
  <c r="D115" i="5"/>
  <c r="G114" i="5"/>
  <c r="G113" i="5"/>
  <c r="G112" i="5"/>
  <c r="G111" i="5"/>
  <c r="G110" i="5"/>
  <c r="G109" i="5"/>
  <c r="G108" i="5"/>
  <c r="E107" i="5"/>
  <c r="F107" i="5"/>
  <c r="D107" i="5"/>
  <c r="D129" i="5" l="1"/>
  <c r="G115" i="5"/>
  <c r="G107" i="5"/>
  <c r="D14" i="4"/>
  <c r="E40" i="8"/>
  <c r="C14" i="4"/>
  <c r="C11" i="4"/>
  <c r="C12" i="4"/>
  <c r="C13" i="4"/>
  <c r="C8" i="4"/>
  <c r="F14" i="5"/>
  <c r="E14"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F70" i="5"/>
  <c r="G29" i="5"/>
  <c r="G30" i="5"/>
  <c r="G31" i="5"/>
  <c r="G32" i="5"/>
  <c r="G33" i="5"/>
  <c r="G34" i="5"/>
  <c r="G35" i="5"/>
  <c r="D36" i="5"/>
  <c r="E36" i="5"/>
  <c r="F36" i="5"/>
  <c r="G40" i="5"/>
  <c r="G41" i="5"/>
  <c r="G42" i="5"/>
  <c r="G43" i="5"/>
  <c r="G44" i="5"/>
  <c r="G45" i="5"/>
  <c r="D47" i="5"/>
  <c r="G47" i="5" s="1"/>
  <c r="E25" i="5"/>
  <c r="F25" i="5"/>
  <c r="D25" i="5"/>
  <c r="G92" i="5" l="1"/>
  <c r="G70" i="5"/>
  <c r="G41" i="8"/>
  <c r="G40" i="8"/>
  <c r="D9" i="4"/>
  <c r="E36" i="8"/>
  <c r="E8" i="4"/>
  <c r="F127" i="5"/>
  <c r="G127" i="5" s="1"/>
  <c r="F35" i="8"/>
  <c r="E10" i="4"/>
  <c r="F37" i="8"/>
  <c r="E14" i="4"/>
  <c r="F14" i="4" s="1"/>
  <c r="F41" i="8"/>
  <c r="E9" i="4"/>
  <c r="F36" i="8"/>
  <c r="D8" i="4"/>
  <c r="E35" i="8"/>
  <c r="D10" i="4"/>
  <c r="E37" i="8"/>
  <c r="E11" i="4"/>
  <c r="F38" i="8"/>
  <c r="D11" i="4"/>
  <c r="E38" i="8"/>
  <c r="E12" i="4"/>
  <c r="F39" i="8"/>
  <c r="E13" i="4"/>
  <c r="F40" i="8"/>
  <c r="D12" i="4"/>
  <c r="E39" i="8"/>
  <c r="G25" i="5"/>
  <c r="C9" i="4"/>
  <c r="G35" i="8"/>
  <c r="D13" i="4"/>
  <c r="G38" i="8"/>
  <c r="G36" i="8"/>
  <c r="G39" i="8"/>
  <c r="G37" i="8"/>
  <c r="G81" i="5"/>
  <c r="G103" i="5"/>
  <c r="G36" i="5"/>
  <c r="F14" i="8"/>
  <c r="E105" i="1"/>
  <c r="F105" i="1"/>
  <c r="F97" i="1"/>
  <c r="F10" i="4" l="1"/>
  <c r="F9" i="4"/>
  <c r="F12" i="4"/>
  <c r="F13" i="4"/>
  <c r="F11" i="4"/>
  <c r="E15" i="4"/>
  <c r="E16" i="4" s="1"/>
  <c r="E17" i="4" s="1"/>
  <c r="D15" i="4"/>
  <c r="D16" i="4" s="1"/>
  <c r="F8" i="4"/>
  <c r="C15" i="4"/>
  <c r="E157" i="1"/>
  <c r="F158" i="1"/>
  <c r="E42" i="8"/>
  <c r="G18" i="8"/>
  <c r="E84" i="5"/>
  <c r="E13" i="8"/>
  <c r="E73" i="5"/>
  <c r="E12" i="8"/>
  <c r="E95" i="5"/>
  <c r="E14" i="8"/>
  <c r="E43" i="8"/>
  <c r="F84" i="5"/>
  <c r="F13" i="8"/>
  <c r="F62" i="5"/>
  <c r="F11" i="8"/>
  <c r="F42" i="8"/>
  <c r="F128" i="5"/>
  <c r="F73" i="5"/>
  <c r="F12" i="8"/>
  <c r="E62" i="5"/>
  <c r="E11" i="8"/>
  <c r="F95" i="5"/>
  <c r="F43" i="8" l="1"/>
  <c r="G128" i="5"/>
  <c r="G129" i="5" s="1"/>
  <c r="E158" i="1"/>
  <c r="D17" i="4"/>
  <c r="F15" i="4"/>
  <c r="C16" i="4"/>
  <c r="F16" i="4" s="1"/>
  <c r="F10" i="8"/>
  <c r="E44" i="8"/>
  <c r="F129" i="5"/>
  <c r="F44" i="8" s="1"/>
  <c r="G28" i="5"/>
  <c r="F16" i="8"/>
  <c r="E16" i="8"/>
  <c r="G7" i="8"/>
  <c r="G42" i="8"/>
  <c r="D44" i="8"/>
  <c r="D43" i="8"/>
  <c r="F159" i="1"/>
  <c r="D105" i="1"/>
  <c r="D97" i="1"/>
  <c r="D11" i="8" s="1"/>
  <c r="D157" i="1" l="1"/>
  <c r="G157" i="1" s="1"/>
  <c r="G43" i="8"/>
  <c r="G44" i="8"/>
  <c r="C17" i="4"/>
  <c r="F17" i="4"/>
  <c r="E159" i="1"/>
  <c r="E165" i="1" s="1"/>
  <c r="D22" i="4" s="1"/>
  <c r="F165" i="1"/>
  <c r="E22" i="4" s="1"/>
  <c r="F166" i="1"/>
  <c r="E23" i="4" s="1"/>
  <c r="F15" i="8"/>
  <c r="F21" i="8" s="1"/>
  <c r="E15" i="8"/>
  <c r="E21" i="8" s="1"/>
  <c r="E22" i="8" s="1"/>
  <c r="F167" i="1"/>
  <c r="E24" i="4" s="1"/>
  <c r="G17" i="8"/>
  <c r="G19" i="8"/>
  <c r="D95" i="5"/>
  <c r="G95" i="5" s="1"/>
  <c r="G14" i="8"/>
  <c r="G20" i="8"/>
  <c r="G11" i="8"/>
  <c r="D73" i="5"/>
  <c r="G73" i="5" s="1"/>
  <c r="H78" i="5" s="1"/>
  <c r="D12" i="8"/>
  <c r="G12" i="8" s="1"/>
  <c r="D84" i="5"/>
  <c r="G84" i="5" s="1"/>
  <c r="D13" i="8"/>
  <c r="G13" i="8" s="1"/>
  <c r="G6" i="8"/>
  <c r="D62" i="5"/>
  <c r="G62" i="5" s="1"/>
  <c r="C18" i="6"/>
  <c r="G39" i="5"/>
  <c r="H47" i="5" s="1"/>
  <c r="D10" i="6"/>
  <c r="D158" i="1" l="1"/>
  <c r="G158" i="1" s="1"/>
  <c r="E167" i="1"/>
  <c r="D24" i="4" s="1"/>
  <c r="E166" i="1"/>
  <c r="D15" i="8"/>
  <c r="E23" i="8"/>
  <c r="F22" i="8"/>
  <c r="F23" i="8" s="1"/>
  <c r="F27" i="8" s="1"/>
  <c r="G8" i="8"/>
  <c r="G5" i="8" s="1"/>
  <c r="F168" i="1"/>
  <c r="G16" i="8"/>
  <c r="D16" i="8"/>
  <c r="D45" i="6"/>
  <c r="D47" i="6"/>
  <c r="D46" i="6"/>
  <c r="D43" i="6"/>
  <c r="D44" i="6"/>
  <c r="D34" i="6"/>
  <c r="D36" i="6"/>
  <c r="D32" i="6"/>
  <c r="D33" i="6"/>
  <c r="D35" i="6"/>
  <c r="D24" i="6"/>
  <c r="D25" i="6"/>
  <c r="D21" i="6"/>
  <c r="D22" i="6"/>
  <c r="D23" i="6"/>
  <c r="D12" i="6"/>
  <c r="D11" i="6"/>
  <c r="D14" i="6"/>
  <c r="D13" i="6"/>
  <c r="G159" i="1" l="1"/>
  <c r="E28" i="8"/>
  <c r="E27" i="8"/>
  <c r="E26" i="8"/>
  <c r="F28" i="8"/>
  <c r="F26" i="8"/>
  <c r="G15" i="8"/>
  <c r="D159" i="1"/>
  <c r="D165" i="1" s="1"/>
  <c r="D21" i="8"/>
  <c r="D22" i="8" s="1"/>
  <c r="C30" i="6"/>
  <c r="C41" i="6"/>
  <c r="C19" i="6"/>
  <c r="C8" i="6"/>
  <c r="D171" i="1" l="1"/>
  <c r="D173" i="1"/>
  <c r="G167" i="1"/>
  <c r="G165" i="1"/>
  <c r="G166" i="1"/>
  <c r="D166" i="1"/>
  <c r="C23" i="4" s="1"/>
  <c r="D167" i="1"/>
  <c r="C24" i="4" s="1"/>
  <c r="D23" i="4"/>
  <c r="G21" i="8"/>
  <c r="G168" i="1" l="1"/>
  <c r="E168" i="1"/>
  <c r="D168" i="1"/>
  <c r="C22" i="4"/>
  <c r="D23" i="8"/>
  <c r="G22" i="8"/>
  <c r="D26" i="8" l="1"/>
  <c r="G26" i="8" s="1"/>
  <c r="G23" i="8"/>
  <c r="H22" i="8" s="1"/>
  <c r="D28" i="8"/>
  <c r="G28" i="8" s="1"/>
  <c r="D27" i="8"/>
  <c r="G27" i="8" s="1"/>
  <c r="H5" i="8" l="1"/>
  <c r="H23" i="8"/>
  <c r="H10" i="8"/>
  <c r="H16" i="8"/>
</calcChain>
</file>

<file path=xl/sharedStrings.xml><?xml version="1.0" encoding="utf-8"?>
<sst xmlns="http://schemas.openxmlformats.org/spreadsheetml/2006/main" count="796" uniqueCount="648">
  <si>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</si>
  <si>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</si>
  <si>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</si>
  <si>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</si>
  <si>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</si>
  <si>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</si>
  <si>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</si>
  <si>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</si>
  <si>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</si>
  <si>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</si>
  <si>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</si>
  <si>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</si>
  <si>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</si>
  <si>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</si>
  <si>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</si>
  <si>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</si>
  <si>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</si>
  <si>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</si>
  <si>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</si>
  <si>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</si>
  <si>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</si>
  <si>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</si>
  <si>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</si>
  <si>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</si>
  <si>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</si>
  <si>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</si>
  <si>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</si>
  <si>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</si>
  <si>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</si>
  <si>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</si>
  <si>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</si>
  <si>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</si>
  <si>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</si>
  <si>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</si>
  <si>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</si>
  <si>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</si>
  <si>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</si>
  <si>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</si>
  <si>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</si>
  <si>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</si>
  <si>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</si>
  <si>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</si>
  <si>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</si>
  <si>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</si>
  <si>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</si>
  <si>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</si>
  <si>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</si>
  <si>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</si>
  <si>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</si>
  <si>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</si>
  <si>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</si>
  <si>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</si>
  <si>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</si>
  <si>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</si>
  <si>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</si>
  <si>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</si>
  <si>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</si>
  <si>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</si>
  <si>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</si>
  <si>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</si>
  <si>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</si>
  <si>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</si>
  <si>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</si>
  <si>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</si>
  <si>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</si>
  <si>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</si>
  <si>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</si>
  <si>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</si>
  <si>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</si>
  <si>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</si>
  <si>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</si>
  <si>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</si>
  <si>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</si>
  <si>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</si>
  <si>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</si>
  <si>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</si>
  <si>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</si>
  <si>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</si>
  <si>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</si>
  <si>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</si>
  <si>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</si>
  <si>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</si>
  <si>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</si>
  <si>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</si>
  <si>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</si>
  <si>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</si>
  <si>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</si>
  <si>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</si>
  <si>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</si>
  <si>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</si>
  <si>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</si>
  <si>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</si>
  <si>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</si>
  <si>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</si>
  <si>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</si>
  <si>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</si>
  <si>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</si>
  <si>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</si>
  <si>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</si>
  <si>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</si>
  <si>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</si>
  <si>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</si>
  <si>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</si>
  <si>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</si>
  <si>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</si>
  <si>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</si>
  <si>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</si>
  <si>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</si>
  <si>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</si>
  <si>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</si>
  <si>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</si>
  <si>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</si>
  <si>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</si>
  <si>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</si>
  <si>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</si>
  <si>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</si>
  <si>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</si>
  <si>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</si>
  <si>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</si>
  <si>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</si>
  <si>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</si>
  <si>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</si>
  <si>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</si>
  <si>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</si>
  <si>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</si>
  <si>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</si>
  <si>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</si>
  <si>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</si>
  <si>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</si>
  <si>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</si>
  <si>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</si>
  <si>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</si>
  <si>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</si>
  <si>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</si>
  <si>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</si>
  <si>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</si>
  <si>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</si>
  <si>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</si>
  <si>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</si>
  <si>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</si>
  <si>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</si>
  <si>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</si>
  <si>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</si>
  <si>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</si>
  <si>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</si>
  <si>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</si>
  <si>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</si>
  <si>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</si>
  <si>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</si>
  <si>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</si>
  <si>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</si>
  <si>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</si>
  <si>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</si>
  <si>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</si>
  <si>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</si>
  <si>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</si>
  <si>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</si>
  <si>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</si>
  <si>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</si>
  <si>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</si>
  <si>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</si>
  <si>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</si>
  <si>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</si>
  <si>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</si>
  <si>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</si>
  <si>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</si>
  <si>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</si>
  <si>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</si>
  <si>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</si>
  <si>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</si>
  <si>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</si>
  <si>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</si>
  <si>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</si>
  <si>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</si>
  <si>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</si>
  <si>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</si>
  <si>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</si>
  <si>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</si>
  <si>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</si>
  <si>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</si>
  <si>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</si>
  <si>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</si>
  <si>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</si>
  <si>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</si>
  <si>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</si>
  <si>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</si>
  <si>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</si>
  <si>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</si>
  <si>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</si>
  <si>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</si>
  <si>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</si>
  <si>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</si>
  <si>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</si>
  <si>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</si>
  <si>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</si>
  <si>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</si>
  <si>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</si>
  <si>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</si>
  <si>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</si>
  <si>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</si>
  <si>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</si>
  <si>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</si>
  <si>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</si>
  <si>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</si>
  <si>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</si>
  <si>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</si>
  <si>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</si>
  <si>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</si>
  <si>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</si>
  <si>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</si>
  <si>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</si>
  <si>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</si>
  <si>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</si>
  <si>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</si>
  <si>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</si>
  <si>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</si>
  <si>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</si>
  <si>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</si>
  <si>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</si>
  <si>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</si>
  <si>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</si>
  <si>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</si>
  <si>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</si>
  <si>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</si>
  <si>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</si>
  <si>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</si>
  <si>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</si>
  <si>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</si>
  <si>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</si>
  <si>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</si>
  <si>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</si>
  <si>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</si>
  <si>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</si>
  <si>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</si>
  <si>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</si>
  <si>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</si>
  <si>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</si>
  <si>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</si>
  <si>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</si>
  <si>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</si>
  <si>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</si>
  <si>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</si>
  <si>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</si>
  <si>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</si>
  <si>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</si>
  <si>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</si>
  <si>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</si>
  <si>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</si>
  <si>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</si>
  <si>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</si>
  <si>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</si>
  <si>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</si>
  <si>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</si>
  <si>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</si>
  <si>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</si>
  <si>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</si>
  <si>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</si>
  <si>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</si>
  <si>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</si>
  <si>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</si>
  <si>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</si>
  <si>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</si>
  <si>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</si>
  <si>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</si>
  <si>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</si>
  <si>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</si>
  <si>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</si>
  <si>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</si>
  <si>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</si>
  <si>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</si>
  <si>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</si>
  <si>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</si>
  <si>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</si>
  <si>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</si>
  <si>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</si>
  <si>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</si>
  <si>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</si>
  <si>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</si>
  <si>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</si>
  <si>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</si>
  <si>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</si>
  <si>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</si>
  <si>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</si>
  <si>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</si>
  <si>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</si>
  <si>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</si>
  <si>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</si>
  <si>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</si>
  <si>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</si>
  <si>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</si>
  <si>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</si>
  <si>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</si>
  <si>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</si>
  <si>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</si>
  <si>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</si>
  <si>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</si>
  <si>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</si>
  <si>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</si>
  <si>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</si>
  <si>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</si>
  <si>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</si>
  <si>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</si>
  <si>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</si>
  <si>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</si>
  <si>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</si>
  <si>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</si>
  <si>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</si>
  <si>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</si>
  <si>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</si>
  <si>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</si>
  <si>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</si>
  <si>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</si>
  <si>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</si>
  <si>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</si>
  <si>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</si>
  <si>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</si>
  <si>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</si>
  <si>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</si>
  <si>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</si>
  <si>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</si>
  <si>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</si>
  <si>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</si>
  <si>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</si>
  <si>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</si>
  <si>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</si>
  <si>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</si>
  <si>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</si>
  <si>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</si>
  <si>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</si>
  <si>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</si>
  <si>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</si>
  <si>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</si>
  <si>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</si>
  <si>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</si>
  <si>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</si>
  <si>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</si>
  <si>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</si>
  <si>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</si>
  <si>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</si>
  <si>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</si>
  <si>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</si>
  <si>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</si>
  <si>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</si>
  <si>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</si>
  <si>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</si>
  <si>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</si>
  <si>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</si>
  <si>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</si>
  <si>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</si>
  <si>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</si>
  <si>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</si>
  <si>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</si>
  <si>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</si>
  <si>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</si>
  <si>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</si>
  <si>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</si>
  <si>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</si>
  <si>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</si>
  <si>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</si>
  <si>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</si>
  <si>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</si>
  <si>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</si>
  <si>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</si>
  <si>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</si>
  <si>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</si>
  <si>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</si>
  <si>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</si>
  <si>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</si>
  <si>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</si>
  <si>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</si>
  <si>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</si>
  <si>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</si>
  <si>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</si>
  <si>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</si>
  <si>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</si>
  <si>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</si>
  <si>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</si>
  <si>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Total pour produit 1.1</t>
  </si>
  <si>
    <t>Produit 1.3:</t>
  </si>
  <si>
    <t>Total pour produit 1.3</t>
  </si>
  <si>
    <t xml:space="preserve">RESULTAT 2: </t>
  </si>
  <si>
    <t>Produit 2.1</t>
  </si>
  <si>
    <t>Produit 2.2</t>
  </si>
  <si>
    <t>Total pour produit 2.2</t>
  </si>
  <si>
    <t>Total pour produit 2.1</t>
  </si>
  <si>
    <t>Produit 2.3</t>
  </si>
  <si>
    <t>Total pour produit 2.3</t>
  </si>
  <si>
    <t>Produit 2.4</t>
  </si>
  <si>
    <t>Total pour produit 2.4</t>
  </si>
  <si>
    <t>Formulation du resultat/ produit/activite</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</si>
  <si>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</si>
  <si>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</si>
  <si>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</si>
  <si>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</si>
  <si>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</si>
  <si>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</si>
  <si>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</si>
  <si>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</si>
  <si>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</si>
  <si>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</si>
  <si>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</si>
  <si>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</si>
  <si>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</si>
  <si>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</si>
  <si>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</si>
  <si>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</si>
  <si>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</si>
  <si>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</si>
  <si>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</si>
  <si>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</si>
  <si>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</si>
  <si>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</si>
  <si>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</si>
  <si>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</si>
  <si>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</si>
  <si>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</si>
  <si>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</si>
  <si>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</si>
  <si>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</si>
  <si>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</si>
  <si>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</si>
  <si>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</si>
  <si>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</si>
  <si>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</si>
  <si>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</si>
  <si>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</si>
  <si>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</si>
  <si>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</si>
  <si>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</si>
  <si>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Total pour produit 2.3 (du tableau 1)</t>
  </si>
  <si>
    <t>Total pour produit 2.4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</si>
  <si>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</si>
  <si>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</si>
  <si>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</si>
  <si>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</si>
  <si>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</si>
  <si>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</si>
  <si>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</si>
  <si>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</si>
  <si>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7% Indirect Costs</t>
  </si>
  <si>
    <t xml:space="preserve">Sub-total </t>
  </si>
  <si>
    <t>Niveau de depense/ engagement actuel 
(a remplir au moment des rapports de projet)</t>
  </si>
  <si>
    <t>Organisation recipiendiaire 1 (budget en USD)
UNFPA</t>
  </si>
  <si>
    <t>Organisation recipiendiaire 2 (budget en USD)
UNHCR</t>
  </si>
  <si>
    <t>Catégorie SDG</t>
  </si>
  <si>
    <t>Organisation recipiendiaire 1
UNFPA</t>
  </si>
  <si>
    <t>Recipient Organization 2
UNHCR</t>
  </si>
  <si>
    <t>Recipient Organization 3
WANEP</t>
  </si>
  <si>
    <t>Organisation recipiendiaire 2
UNHCR</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</si>
  <si>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</si>
  <si>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</si>
  <si>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</si>
  <si>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</si>
  <si>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</si>
  <si>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</si>
  <si>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</si>
  <si>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</si>
  <si>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</si>
  <si>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</si>
  <si>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SOUS TOTAL DES ACTIVITES</t>
  </si>
  <si>
    <t>Coût de personnel du projet si pas inclus dans les activites si-dessus</t>
  </si>
  <si>
    <t>Coûts operationnels si pas inclus dans les activites si-dessus</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</si>
  <si>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</si>
  <si>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</si>
  <si>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</si>
  <si>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</si>
  <si>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</si>
  <si>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</si>
  <si>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</si>
  <si>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</si>
  <si>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</si>
  <si>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</si>
  <si>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2.4 </t>
  </si>
  <si>
    <t>UNFPA</t>
  </si>
  <si>
    <t>UNHCR</t>
  </si>
  <si>
    <t>SOUS TOTAL ACTIVITES + COORDINATION ET GESTION</t>
  </si>
  <si>
    <t>organiser l'offre de pause café pour les participants aux formations</t>
  </si>
  <si>
    <t>Identifier et prendre en charge la location des salles de formation</t>
  </si>
  <si>
    <t>Réaliser une couverture médiatique de la formation</t>
  </si>
  <si>
    <t>Identifier et contractualiser avec un consultant pour la conception des modules et la formation</t>
  </si>
  <si>
    <t>Mettre en forme et reproduire les documents de formations (modules, cahier de participants…)</t>
  </si>
  <si>
    <t>Realiser une étude d'évaluation des effets de la formation dans la vie des bénéficiaires</t>
  </si>
  <si>
    <t>Acquerir les fournitures et matériels didactiques pour la formation</t>
  </si>
  <si>
    <t>Réaliser l'organisation administrative et la supervision des formations</t>
  </si>
  <si>
    <t>Organiser des réunions de coordination des acteurs de prévention et de prise en charge des cas de VBG</t>
  </si>
  <si>
    <t xml:space="preserve">Activite 2.4.2: Prendre en charge les survivants-e-s de la violence basée sur le genre dans les 5 communes ciblées </t>
  </si>
  <si>
    <t>Acquerir les kits post viol pour les 5 communes</t>
  </si>
  <si>
    <t>Contractualiser avec 05 psychologues pour la prise en charge psychosociale dans les communes</t>
  </si>
  <si>
    <t>Former les prestataires de santé sur la gestion clinique des cas de viol et le soutien de première ligne</t>
  </si>
  <si>
    <t>Organiser l'offre de pause café pour les participants aux formations</t>
  </si>
  <si>
    <t>Evaluation</t>
  </si>
  <si>
    <t>Réaliser des sondages d'évaluation de la satisfaction des bénéficiaires de kits (dignité, post viol) vis-à-vis de l'utilisation</t>
  </si>
  <si>
    <t>Acquerir et distribuer 1000 kits de dignité et lampes solaires pour les femmes et filles vulnérables dans les 5 communes</t>
  </si>
  <si>
    <t>Evaluation finale pour les mesurer l'atteinte des résultats, définir les pratiques à haut impact et tirer les enseignement</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</si>
  <si>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</si>
  <si>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</si>
  <si>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COORDINATION ET GESTION</t>
  </si>
  <si>
    <t>Catégories budgétaires</t>
  </si>
  <si>
    <t>Contribution au loyer</t>
  </si>
  <si>
    <t xml:space="preserve">Frais de communication </t>
  </si>
  <si>
    <t>Fournitures de bureau</t>
  </si>
  <si>
    <t>Equipements (Un laptop une imprimante)</t>
  </si>
  <si>
    <t>Entretien et assurance véhicule(50% du véhicule de Kaya)</t>
  </si>
  <si>
    <t>Tenue des cadres de concertation des acteurs du projet  au niveau de Kaya</t>
  </si>
  <si>
    <t xml:space="preserve">Cérémonie de lancement </t>
  </si>
  <si>
    <t xml:space="preserve">Suivi </t>
  </si>
  <si>
    <t>Carburant</t>
  </si>
  <si>
    <t>Prise en charge déplacement personnel pour le suivi terrain des activités (DSA)</t>
  </si>
  <si>
    <t>Eau et électricité</t>
  </si>
  <si>
    <t>1 emission debat radiophonique par mois sera faite sur des thematiques jugees pertinentes sur base des tendances observees lors du monitoring de protection et ce en partenariat avec 15 radios communautaires.</t>
  </si>
  <si>
    <t>5 plateformes communales de dialogue et de concertation entre les communautés et les autorités locales et une plateforme au niveau régional pour un partage d’expérience seront mises en place.</t>
  </si>
  <si>
    <t>Formation et suivi de 60 autorites locales et communales et 180 leaders communautaires sur  les droits humains et leur rôle dans la protection des déplacées internes.</t>
  </si>
  <si>
    <t>Mise en place d'une clinique juridique dans la commune de Kaya. Formation de la Direction regionale de l'action sociale sur l'identification et la prise en charge des personnes a besoins specifiques. Octroi de dons materiels a l'action sociale.</t>
  </si>
  <si>
    <t xml:space="preserve">30 comites de protection composes de 6 membres chacun et 180 relais communautaires seront formes sur les droits humains, au droit des réfugiés et aux techniques de sensibilisation de proximité. </t>
  </si>
  <si>
    <t>Mise en place d'un mecanisme de plaintes par localite couverte adapatee aux besoins des populations.</t>
  </si>
  <si>
    <t>Renforcement de capacites materielles et alliances avec les reseaux de defenses de droits humains pour le suivi des cas de violations de droits.</t>
  </si>
  <si>
    <t>Mise en place de 3 equipes mobiles composees de 3 gestionnaires de cas et 3 agents psychosociaux,  l’identification, l’assistance et le suivi des personnes survivantes de VBG.</t>
  </si>
  <si>
    <t xml:space="preserve">30 comites de protection composes de 6 membres chacun et 180 relais communautaires seront identifies. </t>
  </si>
  <si>
    <r>
      <t xml:space="preserve">1. Ne remplissez que les cellules blanches. Les cellules grises sont verrouillées et / ou contiennent des formules de feuille de calcul.
2. Remplissez les feuilles 1 et 2.
a) </t>
    </r>
    <r>
      <rPr>
        <sz val="16"/>
        <rFont val="Calibri"/>
        <family val="2"/>
        <scheme val="minor"/>
      </rPr>
      <t>Premièrement, préparez un budget organisé par</t>
    </r>
    <r>
      <rPr>
        <b/>
        <sz val="16"/>
        <rFont val="Calibri"/>
        <family val="2"/>
        <scheme val="minor"/>
      </rPr>
      <t xml:space="preserve"> activité / produit / résultat dans la feuille 1</t>
    </r>
    <r>
      <rPr>
        <sz val="16"/>
        <rFont val="Calibri"/>
        <family val="2"/>
        <scheme val="minor"/>
      </rPr>
      <t>. (Les montants des activités peuvent être estimations indicatives.)</t>
    </r>
    <r>
      <rPr>
        <b/>
        <sz val="16"/>
        <rFont val="Calibri"/>
        <family val="2"/>
        <scheme val="minor"/>
      </rPr>
      <t xml:space="preserve">
b) </t>
    </r>
    <r>
      <rPr>
        <sz val="16"/>
        <rFont val="Calibri"/>
        <family val="2"/>
        <scheme val="minor"/>
      </rPr>
      <t>Ensuite, divisez chaque budget en fonction</t>
    </r>
    <r>
      <rPr>
        <b/>
        <sz val="16"/>
        <rFont val="Calibri"/>
        <family val="2"/>
        <scheme val="minor"/>
      </rPr>
      <t xml:space="preserve"> des catégories de budget des Nations Unies dans la feuille 2.
3. </t>
    </r>
    <r>
      <rPr>
        <sz val="16"/>
        <rFont val="Calibri"/>
        <family val="2"/>
        <scheme val="minor"/>
      </rPr>
      <t>Assurez-vous d’inclure</t>
    </r>
    <r>
      <rPr>
        <b/>
        <sz val="16"/>
        <rFont val="Calibri"/>
        <family val="2"/>
        <scheme val="minor"/>
      </rPr>
      <t xml:space="preserve"> % en faveur de l’égalité des sexes et de l’autonomisation des femmes (GEWE).
4. N'utilisez pas les feuilles 4 ou 5</t>
    </r>
    <r>
      <rPr>
        <sz val="16"/>
        <rFont val="Calibri"/>
        <family val="2"/>
        <scheme val="minor"/>
      </rPr>
      <t>, qui sont destinées au MPTF et au PBSO</t>
    </r>
    <r>
      <rPr>
        <b/>
        <sz val="16"/>
        <rFont val="Calibri"/>
        <family val="2"/>
        <scheme val="minor"/>
      </rPr>
      <t xml:space="preserve">.
5. Laissez  en blanc toutes </t>
    </r>
    <r>
      <rPr>
        <sz val="16"/>
        <rFont val="Calibri"/>
        <family val="2"/>
        <scheme val="minor"/>
      </rPr>
      <t>les organisations / résultats / réalisations / activités qui ne sont pas nécessaires. NE PAS supprimer les cellules.</t>
    </r>
    <r>
      <rPr>
        <b/>
        <sz val="16"/>
        <rFont val="Calibri"/>
        <family val="2"/>
        <scheme val="minor"/>
      </rPr>
      <t xml:space="preserve">
6. Ne pas ajuster les montants des tranches</t>
    </r>
    <r>
      <rPr>
        <sz val="16"/>
        <rFont val="Calibri"/>
        <family val="2"/>
        <scheme val="minor"/>
      </rPr>
      <t xml:space="preserve"> sans consulter PBSO.</t>
    </r>
  </si>
  <si>
    <t>Note: Le PBF n'accepte pas les projets avec moins de 5% pour le S&amp;E et moins 15% pour le GEWE. Ces chiffres apparaîtront en rouge si ce seuil minimum n'est pas atteint.</t>
  </si>
  <si>
    <t>Les membres des reseaux communautaires formees seront accompagnees dans la sensibilisation de proximite sur la promotion de la paix et de la cohésion sociale, les droits humains et la lutte contre les violences basées sur le genre.</t>
  </si>
  <si>
    <t>Formation des 180 membres des 30 comites de protection et 50 leaders communautaires sont formes sur l'analyse des risques pour servir de mecanismes de veille et d'alerte.</t>
  </si>
  <si>
    <t>D'ici la fin du projet, les violations des droits de l'homme et violences basee sur le genre diminuent de maniere significative grace a un systeme d'alerte precoce et un systeme communautaire de suivi et de prevention.</t>
  </si>
  <si>
    <t>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t>
  </si>
  <si>
    <t xml:space="preserve">Formation de 150 personnes aux techniques de collecte, verification et traitement des donnees sur les violations de droits individuels et collectifs et sur l'analyse de l'environnement de protection. </t>
  </si>
  <si>
    <t>Au moins 1 rapport d'analyse et une note de plaidoyer par trismestre par commune.</t>
  </si>
  <si>
    <t>Activite 2.1.1 : Renforcer les capacites des autorites locales / communautes en matiere de collecte et d'analyse de donnees sur les cas de violations des droits humains.</t>
  </si>
  <si>
    <t>Activite 2.1.2 : Appui a l'elaboration de rapports d'analyse et notes de plaidoyer visant une reponse effective aux problematiques de protection identifiees.</t>
  </si>
  <si>
    <t>Activite 2.1.3 : Mettre en place des mechanismes de veille y compris sur les VBG et d'alerte precoce sur les tensions intercommunautaires.</t>
  </si>
  <si>
    <t>Activite 2.1.4 : Mettre en place un mechanisme de documentation des plaintes et suivi des plaintes avec les communautes et les autorites locales.</t>
  </si>
  <si>
    <t>Activite 2.1.5 : Renforcer le partenariat avec la police, les autorites locales, les reseaux nationaux et locaux de defense des droits humaines pour les investigations sur les cas referes.</t>
  </si>
  <si>
    <t>Activite 2.1.6 : Mettre en place des equipes mobiles pour l'identification, l'assistance et le suivi des personnes survivantes de VBG.</t>
  </si>
  <si>
    <t>Activite 2.1.7 :  Mettre en place des relais communautaires et des comites de protection a parite egale et composes des memebres de toutes les communautes en presence.</t>
  </si>
  <si>
    <t>Activite 2.1.8 : Renforcer les capacites des comites de protection aux droits humains, au droit des refugies et aux techniques de sensibilisation de proximite.</t>
  </si>
  <si>
    <t>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t>
  </si>
  <si>
    <t xml:space="preserve">Identification de 330 personnes ressources au niveau communautaire y compris des membres de conseil villageois de developpement pour la mise en place de 30 comites de protection (180 membres) pour les 60 villages et 150 serviont de relais communuataires. </t>
  </si>
  <si>
    <t>Activite 2.2.2 : Organiser des seances de sensibilisation au niveau communautaire sur la promotion de la paix et de la cohesion sociale, les droits humains, et la lutte contre les VBG.</t>
  </si>
  <si>
    <t>Activite 2.2.1 : Identifier ldes relais communautairs (150) et comite de protection dans 60 villages et renforcer leurs capacites sur la promotion de la paix et de la cohesion sociale, les droits humains et la lutte contre les VBG.</t>
  </si>
  <si>
    <t>Activite 2.2.3 : Appuyer des emissions de debats radiophoniques sur la protection des droits des communautes.</t>
  </si>
  <si>
    <t xml:space="preserve"> 330 membres du reseau communutaire seront formes sur le plaidoyer. Une plateforme de plaidoyer pour les communautes par elles-memes ou a travers une alliance avec les OSC sera mise en place dans les localites couvertes par le projet.</t>
  </si>
  <si>
    <t>Activite 2.2.4 : Realiser des actions de plaidoyer aupres des acteurs etatiques pour la protection des droits humains.</t>
  </si>
  <si>
    <t>Activite 2.2.5 Elaborer et diffuser des messages cles sur la cohabitation pacifique a travers differents supports et canaux.</t>
  </si>
  <si>
    <t>Un partenariat avec la fondation hirondelle permettra la production et la diffusion radiophonique de messages de paix et de coexistence pacifique ainsi que de messages d'informations pour lutter contre les rumeurs dans 15 radios communautaires du Centre Nord.</t>
  </si>
  <si>
    <t>Activite 2.2.6 : Soutenirles membres du comite financierements et a travers des cooperatives.</t>
  </si>
  <si>
    <t>Organiser les membres des comites en cooperatives et les soutenir dans les activites generatrices de revenus.</t>
  </si>
  <si>
    <t>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t>
  </si>
  <si>
    <t>Activite 2.3.1: Renforcement des capacites des acteurs etatiques et des leaders communautaires sur les droits humains et leur role dans la protection des deplacees internes.</t>
  </si>
  <si>
    <t>Activite 2.3.2: Mise en place d'une plateforme communale de dialogue et de conceration entre les communautes et les autorites locales (dans 5 communes) et une plateforme au niveau regional pour un partage d'experience par les 5 communes.</t>
  </si>
  <si>
    <t>Activite 2.3.3 : Renforcement technique et materiel des services de prise en charges des personnes a besoins specifiques et des victimes de violations de droits.</t>
  </si>
  <si>
    <t xml:space="preserve">Les communautés des zones ciblées développent de manière participative et inclusive des initiatives vertes sur base d’un accès partagé aux ressources naturelles </t>
  </si>
  <si>
    <t>Mettre en place les comités mixtes consultatifs (PDI &amp; population hôte) par village</t>
  </si>
  <si>
    <t>Organiser le déplacement et la prise en charge des 300 membres des comités consultatifs issus des 60 villages aux sessions de renforcement des capacités de 02 jours dans les 5 communes d'intervention</t>
  </si>
  <si>
    <t>Appuyer l'élaboration et la mise en œuvre des plans d'action des comités mixtes consultatifs</t>
  </si>
  <si>
    <t xml:space="preserve">Appuyer le fonctionnement des comités consultatifs </t>
  </si>
  <si>
    <t>Organiser le déplacement et la prise en charge de 100 participants aux ateliers pour l'élaboration  du repertoire d'activités vertes  dans les 5 communes d'intervention</t>
  </si>
  <si>
    <t>Contractualiser avec un consultant pour animer les ateliers verts</t>
  </si>
  <si>
    <t xml:space="preserve">Superviser la mise en œuvre des initiatives vertes </t>
  </si>
  <si>
    <t>Oraginiser un voyage d'étude dans une région du Burkina Faso</t>
  </si>
  <si>
    <t>Apporter un appui pour le renforcement des activités des 25 bénéficiaires ayant été formés en entreprenariat vert</t>
  </si>
  <si>
    <t>Assurer le suivi de la mise en œuvre des activités vertes issues des plans communaux</t>
  </si>
  <si>
    <t xml:space="preserve">Réaliser un film documentaire </t>
  </si>
  <si>
    <t>Activite 1.1.2:   Faciliter le développement d’une liste d’initiatives vertes à financer / appuyer par le projet pour diminuer les pressions sur les ressources naturelles</t>
  </si>
  <si>
    <t>Activite 1.1.3:  Mettre en œuvre et faciliter la réalisation des initiatives vertes par les communautés</t>
  </si>
  <si>
    <t>Produit 1.2:</t>
  </si>
  <si>
    <t xml:space="preserve"> Les capacités des communautés en gestion locale des ressources naturelles sont améliorées </t>
  </si>
  <si>
    <t>Identifier un point focal dans chaque commune</t>
  </si>
  <si>
    <t xml:space="preserve">Servir une prime de motivation mensuelle aux points focaux </t>
  </si>
  <si>
    <t>Doter les points focaux en matériel de communication et matériel de sensibilisation</t>
  </si>
  <si>
    <t>Organiser le déplacement et la prise en charge de 100 participants  aux sessions de renforcement des capacités de 02 jours dans les 5 communes d'intervention</t>
  </si>
  <si>
    <t>Assurer la supervision post formation</t>
  </si>
  <si>
    <t>Elaborer les outils de sensibilisation</t>
  </si>
  <si>
    <t xml:space="preserve">Identifier et contractualiser avec 05 VNU communautaires </t>
  </si>
  <si>
    <t>Acquerir des motos pour les activités des VNU communautaires</t>
  </si>
  <si>
    <t>Acquérir du matériel informatique et téléphones pour les VNU communautaires</t>
  </si>
  <si>
    <t>Assurer les entretiens moto et la dotation en carburant pour les VNU communautaires</t>
  </si>
  <si>
    <t>Dotation mensuelle des VNU communautaires en crédit de communication</t>
  </si>
  <si>
    <t xml:space="preserve">Réaliser 480 séances de sensibilisation par les VNU communautaires </t>
  </si>
  <si>
    <t>Total pour produit 1.2</t>
  </si>
  <si>
    <t>Activite 1.2.3:  Sensibiliser les populations des 5 communes sur les mécanismes de gestion des ressources naturelles adoptés</t>
  </si>
  <si>
    <t>Produit 1.4:</t>
  </si>
  <si>
    <t>Les liens socioculturels et économiques entre les communautés des villages des communes ciblées sont renforcés pour une consolidation de la paix à travers la réalisation participative et inclusive de projets d’intérêt commun</t>
  </si>
  <si>
    <t xml:space="preserve">Mettre en place un réseau communautaire d'alerte précoce </t>
  </si>
  <si>
    <t>Renforcer les capacités des membres du réseau sur la surveillance et analyse des tendances en matière de rumeurs, discours de haine et stigmatisation</t>
  </si>
  <si>
    <t xml:space="preserve">Appuyer le fonctionnement du réseau </t>
  </si>
  <si>
    <t xml:space="preserve">Mettre en place un mécanisme de collecte et de gestion des données </t>
  </si>
  <si>
    <t xml:space="preserve"> Réaliser des ateliers d’élaboration de plan d’action communal pour la cohésion sociale</t>
  </si>
  <si>
    <t>Contactualiser avec un consultant pour conduire les travaux</t>
  </si>
  <si>
    <t xml:space="preserve">Organiser dans chaque commune , une journée culturelle sur le vivre ensemble   </t>
  </si>
  <si>
    <t xml:space="preserve">Assurer la couverture médiaque des journées culturelles </t>
  </si>
  <si>
    <t>organisation de focus group avec 10 personnes par communes pour développer et valider les indicateurs de surveillance</t>
  </si>
  <si>
    <t>Mise en place d'une cellule de surveillance composée de moniteurs terrains</t>
  </si>
  <si>
    <t>Budget organisation</t>
  </si>
  <si>
    <t>Activite 1.3.4:  Organiser des activités culturelles promouvant le respect des droits de l’homme, la non-discrimination, la tolérance, la compréhension des autres cultures et religions et l’égalité des genres.</t>
  </si>
  <si>
    <t>former 500 femmes et jeunes filles sur les compétences de vie courante, les droits humains, les  valeurs universelles de paix, y compris les violences basées sur le genre et l’entreprenariat social</t>
  </si>
  <si>
    <t>Mise en réseau des groupes constitués et renforcement du fonctionnement du réseau</t>
  </si>
  <si>
    <t>Sessions d'identification des projets à financer</t>
  </si>
  <si>
    <t xml:space="preserve">Suivi-Accompagnement et coaching des femmes et jeunes filles identifiées pour la mise en œuvre des projets d'interet commun </t>
  </si>
  <si>
    <t>Enveloppe pour l'accompagnement des projets d'intérêt commun dans les 5 communes sélectionnés</t>
  </si>
  <si>
    <t xml:space="preserve">Formation de 100 jeunes filles et jeunes garçons identifiés sur les techniques d'élaboration et de diffusion de message audio-visuel clé sur la paix, à l'utilisation rationnelle des réseaux sociaux, en détection de Fake news </t>
  </si>
  <si>
    <t>1.4.1: Identifier et former 500 femmes et jeunes filles sur les compétences de vie courante, les droits humains, les  valeurs universelles de paix, y compris les violences basées sur le genre et l’entreprenariat social</t>
  </si>
  <si>
    <t>1.4.2: Soutenir la mise en place et le renforcement d’un réseau de 100 femmes et jeunes filles ambassadrices pour la paix choisis parmi les 500 femmes et jeunes filles formées</t>
  </si>
  <si>
    <t>Activite 1.4.3: Appuyer des sessions d’identification de projets d’intérêt commun susceptibles de renforcer le ciment de la cohésion sociale et améliorer les conditions de vie des populations résidentes et déplacées (Eau, assainissement, préservation de l’environnement, etc.)</t>
  </si>
  <si>
    <t xml:space="preserve">Activite 1.4.4:  Appuyer la réalisation des travaux d’intérêt commun initiés par les ambassadrices de la paix en partenariat avec les collectivités locales </t>
  </si>
  <si>
    <t>Activite 1.4.5: Appuyer les jeunes filles et garçons à élaborer et diffuser des messages clés sur la paix, la cohésion sociale, le dialogue intergénérationnel y compris à travers les réseaux sociaux et au cours des travaux d’intérêt commun</t>
  </si>
  <si>
    <t>Total pour produit 1.4</t>
  </si>
  <si>
    <t>Apporter un appui financier pour la mise en œuvre des activités vertes contenues dans les plans d'actions communaux</t>
  </si>
  <si>
    <t>Partage des bonnes pratiques entre communes</t>
  </si>
  <si>
    <t>Produit 1.4</t>
  </si>
  <si>
    <t xml:space="preserve">Produit 1.4: </t>
  </si>
  <si>
    <t>RESULTAT 2: D'ici la fin du projet, les violations des droits de l'homme et violences basee sur le genre diminuent de maniere significative grace a un systeme d'alerte precoce et un systeme communautaire de suivi et de prevention.</t>
  </si>
  <si>
    <t xml:space="preserve">Les communautés sont outillées pour lutter contre la stigmatisation et les rumeurs </t>
  </si>
  <si>
    <t>Les survivant-e-s de violences basées sur le genre dans les 5 communes ciblées bénéficient d’une prise en charge holistique</t>
  </si>
  <si>
    <t>Activite 2.4.1:  Mettre en œuvre des activités de prévention à travers la promotion de la masculinité positive et des droits des femmes et des filles, la diffusion des mesures d’atténuation de risques</t>
  </si>
  <si>
    <t>Renforcer les capacités des acteurs sur le concept de masculinité positif, le contenu des lois sur la VBG, le référencement des cas de VBG, la mise en place d'un circuit de référencement</t>
  </si>
  <si>
    <t>Activite 2.4.3:  Renforcer la résilience socio-économique et le leadership des femmes en matière de paix et de sécurité</t>
  </si>
  <si>
    <t xml:space="preserve">Former des associations/ groupements de femmes et filles en leadership, entreprenariat et gestion de micro-crédits </t>
  </si>
  <si>
    <t>Financer des projets économiques soumis par les associations et groupements de femmes et filles formés</t>
  </si>
  <si>
    <t>Réaliser une étude d'évaluation de la mise en œuvre des projets économiques mis en œuvre par les groupements et associations formés</t>
  </si>
  <si>
    <t>50% chauffeur SB2</t>
  </si>
  <si>
    <t>Un coordonnateur de Projet SB4, Spécialiste femme et paix basé à Kaya (100%)</t>
  </si>
  <si>
    <t>Recrutement d'un (e) chargé de projet pris en charge à 100%</t>
  </si>
  <si>
    <t>Recrutement d'une assistante de programme femme paix et sécurité prise en charge à 100%</t>
  </si>
  <si>
    <t>Contribution à la prise en charge du chauffeur à hauteur de 30%</t>
  </si>
  <si>
    <t>Contribution à la prise en charge de quatre moniteurs (trices) volontaires relais communautaires à hauteur de 30%</t>
  </si>
  <si>
    <t>Contribution à la prise en charge du responsable financier à hauteur de 30%</t>
  </si>
  <si>
    <t>Contribution à la prise en charge de la coordonnatrice Nationale, spécialiste femme paix et sécurité pour la coordination de l’ensemble et de la mise en œuvre quotidienne du Projet à hauteur de 25%</t>
  </si>
  <si>
    <t xml:space="preserve">Contribution à la prise en charge d'un Field Associate   à hauteur de 40%  </t>
  </si>
  <si>
    <t>Contribution à la prise en charge de l'assistante administrative et financière à hauteur de 20%</t>
  </si>
  <si>
    <t>D’ici la fin du projet, les communautés ont développé des systèmes inclusifs de gestion des ressources naturelles et résolvent leurs conflits de manière pacifique</t>
  </si>
  <si>
    <t>Activité 1.1.5 : Promouvoir des systèmes inclusifs d’accès aux ressources naturelles et aux infrastructures rurales.</t>
  </si>
  <si>
    <t>Contribution à la prise en charge de l'assistant en suivi évaluation à hauteur de 10%</t>
  </si>
  <si>
    <t>Contribution à la prise en charge du NPO responsable de la gestion du projet et de la supervision du coordonnateur à hauteur de 10%</t>
  </si>
  <si>
    <t>RESULTAT 1: D’ici la fin du projet, les communautés ont développé des systèmes inclusifs de gestion des ressources naturelles et résolvent leurs conflits de manière pacifique</t>
  </si>
  <si>
    <t>Activité 1.1.1 : Formation des comités consultatifs en partenariat avec les autorités locales incluant PDI par village / communauté pour identifier les besoins prioritaires dont la prise en charge permettrait de diminuer la pression exercée sur les ressources naturelles</t>
  </si>
  <si>
    <t>Activité 1.1.4: Appuyer l’élaboration et l’application de plans pluriannuels de renforcement des capacités des promoteurs des initiatives vertes</t>
  </si>
  <si>
    <t>Renforcer les capacités de 50  bénéficiaires (parité égale) en élaboration de plans et en entreprenariats vert</t>
  </si>
  <si>
    <t>Activité 1.2.1: Identification de façon participative des points focaux, incluant les femmes et jeunes filles, dans chacune des communautés pour appuyer et renforcer les structures locales de  gestion des ressources naturelles</t>
  </si>
  <si>
    <t>Activité 1.2.2: Elaboration des plans de renforcement des capacités et organisation des ateliers de formations en gestion des ressources naturelles pour les points focaux communautaires et les autorités locales</t>
  </si>
  <si>
    <t>Activité 1.3.1: Surveillance et analyse des alertes sur les préjugés véhiculés dans l’opinion publique et alimentant la stigmatisation</t>
  </si>
  <si>
    <t xml:space="preserve">Activité 1.3.2:   Identification des causes profondes et analyse des moteurs de conflits localisés et des parties prenantes du processus de stigmatisation </t>
  </si>
  <si>
    <t>Activité 1.3.3: Travail avec les réseaux traditionnels de communication pour lutter contre les discours de haine et promouvoir les valeurs de tolérance, non-discrimination et cohésion sociale</t>
  </si>
  <si>
    <t>organiser des émissions et des  débats radiophoniques pour promouvoir les valeurs de tolérance, non-discrimination et cohésion sociale avec les leaders des réseaux de communicateurs traditionnels</t>
  </si>
  <si>
    <t xml:space="preserve">Formation de 5 médias par communes/2 personnes par médias formées les leaders des réseaux de communicateurs traditionnels </t>
  </si>
  <si>
    <t xml:space="preserve">Renforcer les capacités des acteurs pour une adapation des économies locales et développer des infrastructures rurales pour la valorisation optimale des ressources en terres et en eau </t>
  </si>
  <si>
    <t>Coûts indirects (7%) et 6,5% pour UNHCR:</t>
  </si>
  <si>
    <t>Recipient Organization 1</t>
  </si>
  <si>
    <t>Organisation recipiendiaire 3 (budget en USD)</t>
  </si>
  <si>
    <t>Projet : Appui au renforcement de la Cohésion sociale dans la région du Centre-Nord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</si>
</sst>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quot;$&quot;* #,##0.00_);_(&quot;$&quot;* \(#,##0.00\);_(&quot;$&quot;* &quot;-&quot;??_);_(@_)"/>
    <numFmt numFmtId="166" formatCode="_-* #,##0.00\ _C_F_A_-;\-* #,##0.00\ _C_F_A_-;_-* &quot;-&quot;??\ _C_F_A_-;_-@_-"/>
    <numFmt numFmtId="167" formatCode="_(&quot;$&quot;* #,##0_);_(&quot;$&quot;* \(#,##0\);_(&quot;$&quot;* &quot;-&quot;??_);_(@_)"/>
    <numFmt numFmtId="168" formatCode="_-* #,##0\ _F_G_-;\-* #,##0\ _F_G_-;_-* &quot;-&quot;\ _F_G_-;_-@_-"/>
    <numFmt numFmtId="169" formatCode="_-* #,##0.00\ _F_G_-;\-* #,##0.00\ _F_G_-;_-* &quot;-&quot;\ _F_G_-;_-@_-"/>
    <numFmt numFmtId="170" formatCode="_(&quot;$&quot;* #,##0.0000_);_(&quot;$&quot;* \(#,##0.0000\);_(&quot;$&quot;* &quot;-&quot;??_);_(@_)"/>
    <numFmt numFmtId="171" formatCode="0.0%"/>
  </numFmts>
  <fonts count="3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sz val="12"/>
      <name val="Calibri"/>
      <family val="2"/>
      <scheme val="minor"/>
    </font>
    <font>
      <b/>
      <sz val="28"/>
      <name val="Calibri"/>
      <family val="2"/>
      <scheme val="minor"/>
    </font>
    <font>
      <b/>
      <sz val="12"/>
      <name val="Calibri"/>
      <family val="2"/>
      <scheme val="minor"/>
    </font>
    <font>
      <b/>
      <sz val="11"/>
      <name val="Calibri"/>
      <family val="2"/>
      <scheme val="minor"/>
    </font>
    <font>
      <b/>
      <sz val="36"/>
      <name val="Calibri"/>
      <family val="2"/>
      <scheme val="minor"/>
    </font>
    <font>
      <sz val="36"/>
      <name val="Calibri"/>
      <family val="2"/>
      <scheme val="minor"/>
    </font>
    <font>
      <b/>
      <sz val="16"/>
      <name val="Calibri"/>
      <family val="2"/>
      <scheme val="minor"/>
    </font>
    <font>
      <sz val="16"/>
      <name val="Calibri"/>
      <family val="2"/>
      <scheme val="minor"/>
    </font>
    <font>
      <b/>
      <sz val="20"/>
      <name val="Calibri"/>
      <family val="2"/>
      <scheme val="minor"/>
    </font>
    <font>
      <sz val="12"/>
      <color rgb="FF0070C0"/>
      <name val="Calibri"/>
      <family val="2"/>
      <scheme val="minor"/>
    </font>
    <font>
      <b/>
      <sz val="12"/>
      <color rgb="FF0070C0"/>
      <name val="Calibri"/>
      <family val="2"/>
      <scheme val="minor"/>
    </font>
    <font>
      <sz val="8"/>
      <name val="Calibri"/>
      <family val="2"/>
      <scheme val="minor"/>
    </font>
    <font>
      <b/>
      <sz val="12"/>
      <color rgb="FF00B0F0"/>
      <name val="Calibri"/>
      <family val="2"/>
      <scheme val="minor"/>
    </font>
    <font>
      <sz val="12"/>
      <color rgb="FF00B0F0"/>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0">
    <xf numFmtId="0" fontId="0" fillId="0" borderId="0"/>
    <xf numFmtId="165"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457">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6" fillId="3" borderId="0" xfId="0" applyFont="1" applyFill="1" applyBorder="1" applyAlignment="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165" fontId="2" fillId="2" borderId="14" xfId="1" applyFont="1" applyFill="1" applyBorder="1" applyAlignment="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3" borderId="0" xfId="0" applyNumberFormat="1" applyFont="1" applyFill="1" applyBorder="1" applyAlignment="1">
      <alignment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5"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5" fontId="2" fillId="2" borderId="37" xfId="0" applyNumberFormat="1" applyFont="1" applyFill="1" applyBorder="1" applyAlignment="1">
      <alignment wrapText="1"/>
    </xf>
    <xf numFmtId="0" fontId="2" fillId="2" borderId="14" xfId="0" applyFont="1" applyFill="1" applyBorder="1" applyAlignment="1">
      <alignment horizontal="left" wrapText="1"/>
    </xf>
    <xf numFmtId="165" fontId="2" fillId="2" borderId="14" xfId="0" applyNumberFormat="1" applyFont="1" applyFill="1" applyBorder="1" applyAlignment="1">
      <alignment horizontal="center" wrapText="1"/>
    </xf>
    <xf numFmtId="165" fontId="2" fillId="2" borderId="14"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2" borderId="11" xfId="0" applyFont="1" applyFill="1" applyBorder="1" applyAlignment="1">
      <alignment horizontal="center" wrapText="1"/>
    </xf>
    <xf numFmtId="165" fontId="6" fillId="2" borderId="37" xfId="0" applyNumberFormat="1" applyFont="1" applyFill="1" applyBorder="1" applyAlignment="1">
      <alignment wrapText="1"/>
    </xf>
    <xf numFmtId="165" fontId="6" fillId="2" borderId="14" xfId="0" applyNumberFormat="1" applyFont="1" applyFill="1" applyBorder="1" applyAlignment="1">
      <alignment wrapText="1"/>
    </xf>
    <xf numFmtId="0" fontId="6" fillId="0" borderId="0" xfId="0" applyFont="1"/>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165" fontId="6" fillId="0" borderId="37" xfId="0" applyNumberFormat="1" applyFont="1" applyBorder="1" applyAlignment="1" applyProtection="1">
      <alignment wrapText="1"/>
      <protection locked="0"/>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165" fontId="6" fillId="2" borderId="47" xfId="0" applyNumberFormat="1" applyFont="1" applyFill="1" applyBorder="1" applyAlignment="1">
      <alignment wrapText="1"/>
    </xf>
    <xf numFmtId="165" fontId="6" fillId="2" borderId="46" xfId="0" applyNumberFormat="1" applyFont="1" applyFill="1" applyBorder="1" applyAlignment="1">
      <alignment wrapText="1"/>
    </xf>
    <xf numFmtId="0" fontId="2" fillId="2" borderId="47" xfId="0" applyFont="1" applyFill="1" applyBorder="1" applyAlignment="1">
      <alignment horizontal="center" wrapText="1"/>
    </xf>
    <xf numFmtId="165"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5" fontId="2" fillId="2" borderId="9" xfId="0" applyNumberFormat="1" applyFont="1" applyFill="1" applyBorder="1" applyAlignment="1">
      <alignment horizontal="center" wrapText="1"/>
    </xf>
    <xf numFmtId="165" fontId="6" fillId="2" borderId="36" xfId="0" applyNumberFormat="1" applyFont="1" applyFill="1" applyBorder="1" applyAlignment="1">
      <alignment wrapText="1"/>
    </xf>
    <xf numFmtId="165" fontId="6" fillId="2" borderId="15" xfId="0" applyNumberFormat="1" applyFont="1" applyFill="1" applyBorder="1" applyAlignment="1">
      <alignment wrapText="1"/>
    </xf>
    <xf numFmtId="0" fontId="6" fillId="7" borderId="16" xfId="0" applyFont="1" applyFill="1" applyBorder="1" applyAlignment="1">
      <alignment wrapText="1"/>
    </xf>
    <xf numFmtId="165"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5" fontId="2" fillId="2" borderId="31" xfId="0" applyNumberFormat="1" applyFont="1" applyFill="1" applyBorder="1" applyAlignment="1">
      <alignment horizontal="center" wrapText="1"/>
    </xf>
    <xf numFmtId="165"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5" fontId="2" fillId="2" borderId="50" xfId="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0" fillId="0" borderId="0" xfId="0"/>
    <xf numFmtId="0" fontId="0" fillId="0" borderId="0" xfId="0"/>
    <xf numFmtId="169" fontId="5" fillId="0" borderId="0" xfId="3" applyNumberFormat="1" applyFont="1" applyFill="1"/>
    <xf numFmtId="0" fontId="0" fillId="0" borderId="0" xfId="0" applyFill="1"/>
    <xf numFmtId="0" fontId="18" fillId="0" borderId="6" xfId="0" applyFont="1" applyFill="1" applyBorder="1" applyAlignment="1">
      <alignment vertical="center" wrapText="1"/>
    </xf>
    <xf numFmtId="168" fontId="18" fillId="0" borderId="6" xfId="3" applyFont="1" applyFill="1" applyBorder="1" applyAlignment="1">
      <alignment vertical="center" wrapText="1"/>
    </xf>
    <xf numFmtId="168" fontId="18" fillId="0" borderId="6" xfId="3" applyFont="1" applyFill="1" applyBorder="1" applyAlignment="1">
      <alignment horizontal="center" vertical="center" wrapText="1"/>
    </xf>
    <xf numFmtId="168" fontId="18" fillId="0" borderId="6" xfId="0" applyNumberFormat="1" applyFont="1" applyFill="1" applyBorder="1" applyAlignment="1">
      <alignment vertical="center" wrapText="1"/>
    </xf>
    <xf numFmtId="9" fontId="18" fillId="0" borderId="6" xfId="2" applyFont="1" applyFill="1" applyBorder="1" applyAlignment="1">
      <alignment vertical="center" wrapText="1"/>
    </xf>
    <xf numFmtId="3" fontId="19" fillId="0" borderId="6" xfId="0" applyNumberFormat="1" applyFont="1" applyFill="1" applyBorder="1" applyAlignment="1">
      <alignment horizontal="center" vertical="center" wrapText="1"/>
    </xf>
    <xf numFmtId="168" fontId="20" fillId="0" borderId="6" xfId="3" applyNumberFormat="1" applyFont="1" applyFill="1" applyBorder="1" applyAlignment="1">
      <alignment horizontal="center" vertical="center" wrapText="1"/>
    </xf>
    <xf numFmtId="169" fontId="20" fillId="0" borderId="6" xfId="3" applyNumberFormat="1" applyFont="1" applyFill="1" applyBorder="1" applyAlignment="1">
      <alignment horizontal="center" vertical="center" wrapText="1"/>
    </xf>
    <xf numFmtId="3" fontId="19" fillId="0" borderId="6" xfId="0" applyNumberFormat="1" applyFont="1" applyFill="1" applyBorder="1" applyAlignment="1">
      <alignment vertical="center" wrapText="1"/>
    </xf>
    <xf numFmtId="168" fontId="19" fillId="0" borderId="6" xfId="3" applyNumberFormat="1" applyFont="1" applyFill="1" applyBorder="1" applyAlignment="1">
      <alignment horizontal="center" vertical="center" wrapText="1"/>
    </xf>
    <xf numFmtId="169" fontId="19" fillId="0" borderId="6" xfId="3" applyNumberFormat="1" applyFont="1" applyFill="1" applyBorder="1" applyAlignment="1">
      <alignment horizontal="center" vertical="center" wrapText="1"/>
    </xf>
    <xf numFmtId="3" fontId="19" fillId="0" borderId="6" xfId="0" applyNumberFormat="1" applyFont="1" applyFill="1" applyBorder="1" applyAlignment="1">
      <alignment horizontal="left" vertical="center" wrapText="1"/>
    </xf>
    <xf numFmtId="0" fontId="21" fillId="0" borderId="6" xfId="0" applyFont="1" applyFill="1" applyBorder="1" applyAlignment="1">
      <alignment horizontal="justify" vertical="center" wrapText="1"/>
    </xf>
    <xf numFmtId="168" fontId="22" fillId="0" borderId="6" xfId="3" applyNumberFormat="1" applyFont="1" applyFill="1" applyBorder="1" applyAlignment="1">
      <alignment horizontal="center" vertical="center" wrapText="1"/>
    </xf>
    <xf numFmtId="168" fontId="19" fillId="0" borderId="6" xfId="0" applyNumberFormat="1" applyFont="1" applyFill="1" applyBorder="1" applyAlignment="1">
      <alignment horizontal="center" vertical="center" wrapText="1"/>
    </xf>
    <xf numFmtId="168" fontId="19" fillId="0" borderId="6" xfId="3" applyNumberFormat="1" applyFont="1" applyFill="1" applyBorder="1" applyAlignment="1">
      <alignment vertical="center" wrapText="1"/>
    </xf>
    <xf numFmtId="168" fontId="22" fillId="0" borderId="6" xfId="3" applyNumberFormat="1" applyFont="1" applyFill="1" applyBorder="1" applyAlignment="1">
      <alignment vertical="center" wrapText="1"/>
    </xf>
    <xf numFmtId="169" fontId="22" fillId="0" borderId="6" xfId="3" applyNumberFormat="1" applyFont="1" applyFill="1" applyBorder="1" applyAlignment="1">
      <alignment vertical="center" wrapText="1"/>
    </xf>
    <xf numFmtId="168" fontId="18"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9"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3" fillId="0" borderId="6" xfId="0" applyFont="1" applyBorder="1" applyAlignment="1">
      <alignment horizontal="left" vertical="center"/>
    </xf>
    <xf numFmtId="3" fontId="3" fillId="0" borderId="6" xfId="0" applyNumberFormat="1" applyFont="1" applyFill="1" applyBorder="1" applyAlignment="1">
      <alignment vertical="center"/>
    </xf>
    <xf numFmtId="168" fontId="3" fillId="0" borderId="6" xfId="3" applyNumberFormat="1" applyFont="1" applyFill="1" applyBorder="1" applyAlignment="1">
      <alignment vertical="center"/>
    </xf>
    <xf numFmtId="0" fontId="8" fillId="2" borderId="7" xfId="0" applyFont="1" applyFill="1" applyBorder="1" applyAlignment="1" applyProtection="1">
      <alignment vertical="center" wrapText="1"/>
      <protection locked="0"/>
    </xf>
    <xf numFmtId="0" fontId="8" fillId="2" borderId="54"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5" fontId="2" fillId="2" borderId="3" xfId="0" applyNumberFormat="1" applyFont="1" applyFill="1" applyBorder="1" applyAlignment="1">
      <alignment horizontal="center" wrapText="1"/>
    </xf>
    <xf numFmtId="165" fontId="2" fillId="2" borderId="14" xfId="0" applyNumberFormat="1" applyFont="1" applyFill="1" applyBorder="1" applyAlignment="1">
      <alignment horizontal="center" wrapText="1"/>
    </xf>
    <xf numFmtId="165" fontId="2" fillId="2" borderId="36"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8" fontId="20" fillId="0" borderId="6" xfId="3" applyNumberFormat="1" applyFont="1" applyFill="1" applyBorder="1" applyAlignment="1">
      <alignment horizontal="center" vertical="center" wrapText="1"/>
    </xf>
    <xf numFmtId="3" fontId="19" fillId="0" borderId="6" xfId="0" applyNumberFormat="1" applyFont="1" applyFill="1" applyBorder="1" applyAlignment="1">
      <alignment vertical="center" wrapText="1"/>
    </xf>
    <xf numFmtId="0" fontId="21" fillId="0" borderId="6" xfId="0" applyFont="1" applyFill="1" applyBorder="1" applyAlignment="1">
      <alignment horizontal="justify" vertical="center" wrapText="1"/>
    </xf>
    <xf numFmtId="168" fontId="19" fillId="0" borderId="6" xfId="3" applyNumberFormat="1" applyFont="1" applyFill="1" applyBorder="1" applyAlignment="1">
      <alignment vertical="center" wrapText="1"/>
    </xf>
    <xf numFmtId="168" fontId="22" fillId="0" borderId="6" xfId="3" applyNumberFormat="1" applyFont="1" applyFill="1" applyBorder="1" applyAlignment="1">
      <alignment vertical="center" wrapText="1"/>
    </xf>
    <xf numFmtId="168" fontId="18" fillId="0" borderId="6" xfId="3" applyNumberFormat="1" applyFont="1" applyFill="1" applyBorder="1" applyAlignment="1">
      <alignment vertical="center" wrapText="1"/>
    </xf>
    <xf numFmtId="165" fontId="2" fillId="2" borderId="14" xfId="1" applyNumberFormat="1" applyFont="1" applyFill="1" applyBorder="1" applyAlignment="1">
      <alignment wrapText="1"/>
    </xf>
    <xf numFmtId="165" fontId="2" fillId="2" borderId="15" xfId="1" applyNumberFormat="1" applyFont="1" applyFill="1" applyBorder="1" applyAlignment="1">
      <alignment wrapText="1"/>
    </xf>
    <xf numFmtId="165" fontId="2" fillId="2" borderId="43" xfId="1" applyFont="1" applyFill="1" applyBorder="1" applyAlignment="1" applyProtection="1">
      <alignment wrapText="1"/>
    </xf>
    <xf numFmtId="165" fontId="6" fillId="2" borderId="3" xfId="1" applyNumberFormat="1" applyFont="1" applyFill="1" applyBorder="1" applyAlignment="1">
      <alignment wrapText="1"/>
    </xf>
    <xf numFmtId="165" fontId="2" fillId="2" borderId="3" xfId="1" applyNumberFormat="1" applyFont="1" applyFill="1" applyBorder="1" applyAlignment="1">
      <alignment wrapText="1"/>
    </xf>
    <xf numFmtId="165" fontId="6" fillId="2" borderId="8" xfId="1" applyNumberFormat="1" applyFont="1" applyFill="1" applyBorder="1" applyAlignment="1">
      <alignment wrapText="1"/>
    </xf>
    <xf numFmtId="165" fontId="6" fillId="2" borderId="9" xfId="1" applyNumberFormat="1" applyFont="1" applyFill="1" applyBorder="1" applyAlignment="1">
      <alignment wrapText="1"/>
    </xf>
    <xf numFmtId="165" fontId="2" fillId="2" borderId="13" xfId="1" applyNumberFormat="1" applyFont="1" applyFill="1" applyBorder="1" applyAlignment="1">
      <alignment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0" fontId="1" fillId="2" borderId="49" xfId="0" applyFont="1" applyFill="1" applyBorder="1" applyAlignment="1" applyProtection="1">
      <alignment vertical="center" wrapText="1"/>
    </xf>
    <xf numFmtId="165" fontId="2" fillId="2" borderId="28" xfId="1" applyFont="1" applyFill="1" applyBorder="1" applyAlignment="1" applyProtection="1">
      <alignment horizontal="center" vertical="center" wrapText="1"/>
    </xf>
    <xf numFmtId="165" fontId="2" fillId="2" borderId="29" xfId="1" applyFont="1" applyFill="1" applyBorder="1" applyAlignment="1" applyProtection="1">
      <alignment horizontal="center" vertical="center" wrapText="1"/>
    </xf>
    <xf numFmtId="165" fontId="2" fillId="2" borderId="8" xfId="0" applyNumberFormat="1" applyFont="1" applyFill="1" applyBorder="1" applyAlignment="1">
      <alignment horizontal="center" wrapText="1"/>
    </xf>
    <xf numFmtId="165" fontId="6" fillId="2" borderId="10" xfId="0" applyNumberFormat="1" applyFont="1" applyFill="1" applyBorder="1" applyAlignment="1">
      <alignment wrapText="1"/>
    </xf>
    <xf numFmtId="165" fontId="2" fillId="2" borderId="13" xfId="0" applyNumberFormat="1" applyFont="1" applyFill="1" applyBorder="1" applyAlignment="1">
      <alignment horizontal="center" wrapText="1"/>
    </xf>
    <xf numFmtId="165" fontId="23" fillId="2" borderId="3" xfId="1" applyNumberFormat="1" applyFont="1" applyFill="1" applyBorder="1" applyAlignment="1" applyProtection="1">
      <alignment horizontal="center" vertical="center" wrapText="1"/>
    </xf>
    <xf numFmtId="165" fontId="23" fillId="0" borderId="3" xfId="1" applyNumberFormat="1" applyFont="1" applyBorder="1" applyAlignment="1" applyProtection="1">
      <alignment horizontal="center" vertical="center" wrapText="1"/>
      <protection locked="0"/>
    </xf>
    <xf numFmtId="165" fontId="23" fillId="0" borderId="3" xfId="1" applyFont="1" applyBorder="1" applyAlignment="1" applyProtection="1">
      <alignment horizontal="center" vertical="center" wrapText="1"/>
      <protection locked="0"/>
    </xf>
    <xf numFmtId="0" fontId="23" fillId="0" borderId="3" xfId="1" applyNumberFormat="1"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 xfId="0" applyFont="1" applyFill="1" applyBorder="1" applyAlignment="1" applyProtection="1">
      <alignment vertical="center" wrapText="1"/>
    </xf>
    <xf numFmtId="0" fontId="23" fillId="3" borderId="0"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25" fillId="4" borderId="3" xfId="0" applyFont="1" applyFill="1" applyBorder="1" applyAlignment="1" applyProtection="1">
      <alignment vertical="center" wrapText="1"/>
      <protection locked="0"/>
    </xf>
    <xf numFmtId="0" fontId="23" fillId="2" borderId="8" xfId="0" applyFont="1" applyFill="1" applyBorder="1" applyAlignment="1" applyProtection="1">
      <alignment vertical="center" wrapText="1"/>
    </xf>
    <xf numFmtId="0" fontId="25" fillId="2" borderId="13" xfId="0" applyFont="1" applyFill="1" applyBorder="1" applyAlignment="1" applyProtection="1">
      <alignment vertical="center" wrapText="1"/>
    </xf>
    <xf numFmtId="0" fontId="25" fillId="2" borderId="8" xfId="0" applyFont="1" applyFill="1" applyBorder="1" applyAlignment="1" applyProtection="1">
      <alignment horizontal="center" vertical="center" wrapText="1"/>
    </xf>
    <xf numFmtId="0" fontId="25" fillId="2" borderId="8" xfId="0" applyFont="1" applyFill="1" applyBorder="1" applyAlignment="1" applyProtection="1">
      <alignment vertical="center" wrapText="1"/>
    </xf>
    <xf numFmtId="0" fontId="25" fillId="2" borderId="33" xfId="0" applyFont="1" applyFill="1" applyBorder="1" applyAlignment="1" applyProtection="1">
      <alignment vertical="center" wrapText="1"/>
    </xf>
    <xf numFmtId="0" fontId="25" fillId="0" borderId="0" xfId="0" applyFont="1" applyFill="1" applyBorder="1" applyAlignment="1">
      <alignment vertical="center" wrapText="1"/>
    </xf>
    <xf numFmtId="0" fontId="26" fillId="2" borderId="28" xfId="0" applyFont="1" applyFill="1" applyBorder="1" applyAlignment="1" applyProtection="1">
      <alignment horizontal="left" vertical="center" wrapText="1"/>
    </xf>
    <xf numFmtId="0" fontId="26" fillId="2" borderId="8" xfId="0" applyFont="1" applyFill="1" applyBorder="1" applyAlignment="1" applyProtection="1">
      <alignment horizontal="left" vertical="center" wrapText="1"/>
    </xf>
    <xf numFmtId="164" fontId="6" fillId="0" borderId="0" xfId="0" applyNumberFormat="1" applyFont="1" applyBorder="1" applyAlignment="1">
      <alignment wrapText="1"/>
    </xf>
    <xf numFmtId="0" fontId="1" fillId="3" borderId="0" xfId="0" applyFont="1" applyFill="1" applyBorder="1" applyAlignment="1">
      <alignment wrapText="1"/>
    </xf>
    <xf numFmtId="165" fontId="2" fillId="2" borderId="8" xfId="1" applyNumberFormat="1" applyFont="1" applyFill="1" applyBorder="1" applyAlignment="1">
      <alignment wrapText="1"/>
    </xf>
    <xf numFmtId="9" fontId="20" fillId="0" borderId="6" xfId="2" applyFont="1" applyFill="1" applyBorder="1" applyAlignment="1">
      <alignment horizontal="center" vertical="center" wrapText="1"/>
    </xf>
    <xf numFmtId="9" fontId="19" fillId="0" borderId="6" xfId="2" applyFont="1" applyFill="1" applyBorder="1" applyAlignment="1">
      <alignment horizontal="center" vertical="center" wrapText="1"/>
    </xf>
    <xf numFmtId="168" fontId="0" fillId="0" borderId="0" xfId="0" applyNumberFormat="1"/>
    <xf numFmtId="164" fontId="0" fillId="0" borderId="0" xfId="0" applyNumberFormat="1"/>
    <xf numFmtId="0" fontId="2" fillId="2" borderId="49" xfId="0" applyFont="1" applyFill="1" applyBorder="1" applyAlignment="1" applyProtection="1">
      <alignment vertical="center" wrapText="1"/>
    </xf>
    <xf numFmtId="0" fontId="7" fillId="2" borderId="48" xfId="0" applyFont="1" applyFill="1" applyBorder="1" applyAlignment="1" applyProtection="1">
      <alignment vertical="center"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165" fontId="6" fillId="0" borderId="37" xfId="0" applyNumberFormat="1" applyFont="1" applyFill="1" applyBorder="1" applyAlignment="1" applyProtection="1">
      <alignment wrapText="1"/>
      <protection locked="0"/>
    </xf>
    <xf numFmtId="0" fontId="14" fillId="0" borderId="0" xfId="0" applyFont="1" applyBorder="1" applyAlignment="1">
      <alignment vertical="center" wrapText="1"/>
    </xf>
    <xf numFmtId="0" fontId="24" fillId="7" borderId="16" xfId="0" applyFont="1" applyFill="1" applyBorder="1" applyAlignment="1">
      <alignment vertical="center" wrapText="1"/>
    </xf>
    <xf numFmtId="0" fontId="23" fillId="0" borderId="3" xfId="0" applyFont="1" applyBorder="1" applyAlignment="1" applyProtection="1">
      <alignment horizontal="left" vertical="center" wrapText="1"/>
      <protection locked="0"/>
    </xf>
    <xf numFmtId="49" fontId="23" fillId="0" borderId="3" xfId="1" applyNumberFormat="1" applyFont="1" applyBorder="1" applyAlignment="1" applyProtection="1">
      <alignment horizontal="left" vertical="center" wrapText="1"/>
      <protection locked="0"/>
    </xf>
    <xf numFmtId="166" fontId="14" fillId="0" borderId="0" xfId="0" applyNumberFormat="1" applyFont="1" applyBorder="1" applyAlignment="1">
      <alignment vertical="center" wrapText="1"/>
    </xf>
    <xf numFmtId="0" fontId="2" fillId="2" borderId="26" xfId="0" applyFont="1" applyFill="1" applyBorder="1" applyAlignment="1">
      <alignment horizontal="center" wrapText="1"/>
    </xf>
    <xf numFmtId="165" fontId="14" fillId="0" borderId="0" xfId="1" applyFont="1" applyBorder="1" applyAlignment="1">
      <alignment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165" fontId="29" fillId="3" borderId="0" xfId="1" applyFont="1" applyFill="1" applyBorder="1" applyAlignment="1">
      <alignment vertical="center" wrapText="1"/>
    </xf>
    <xf numFmtId="0" fontId="25" fillId="0" borderId="0" xfId="0" applyFont="1" applyBorder="1" applyAlignment="1">
      <alignment vertical="center" wrapText="1"/>
    </xf>
    <xf numFmtId="0" fontId="24" fillId="7" borderId="18" xfId="0" applyFont="1" applyFill="1" applyBorder="1" applyAlignment="1">
      <alignment vertical="center" wrapText="1"/>
    </xf>
    <xf numFmtId="165" fontId="24" fillId="7" borderId="16" xfId="1" applyFont="1" applyFill="1" applyBorder="1" applyAlignment="1">
      <alignment vertical="center" wrapText="1"/>
    </xf>
    <xf numFmtId="0" fontId="24" fillId="7" borderId="19" xfId="0" applyFont="1" applyFill="1" applyBorder="1" applyAlignment="1">
      <alignment vertical="center" wrapText="1"/>
    </xf>
    <xf numFmtId="0" fontId="26" fillId="0" borderId="0" xfId="0" applyFont="1" applyBorder="1" applyAlignment="1">
      <alignment vertical="center" wrapText="1"/>
    </xf>
    <xf numFmtId="165" fontId="31" fillId="3" borderId="0" xfId="1"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165" fontId="14" fillId="0" borderId="0" xfId="1" applyFont="1" applyFill="1" applyBorder="1" applyAlignment="1">
      <alignment vertical="center" wrapText="1"/>
    </xf>
    <xf numFmtId="0" fontId="14" fillId="3" borderId="0" xfId="0" applyFont="1" applyFill="1" applyBorder="1" applyAlignment="1">
      <alignment vertical="center" wrapText="1"/>
    </xf>
    <xf numFmtId="0" fontId="25" fillId="8" borderId="3" xfId="0" applyFont="1" applyFill="1" applyBorder="1" applyAlignment="1" applyProtection="1">
      <alignment horizontal="center" vertical="center" wrapText="1"/>
    </xf>
    <xf numFmtId="0" fontId="25" fillId="6" borderId="3" xfId="0" applyFont="1" applyFill="1" applyBorder="1" applyAlignment="1" applyProtection="1">
      <alignment vertical="center" wrapText="1"/>
    </xf>
    <xf numFmtId="9" fontId="23" fillId="0" borderId="3" xfId="2" applyFont="1" applyBorder="1" applyAlignment="1" applyProtection="1">
      <alignment horizontal="center" vertical="center" wrapText="1"/>
      <protection locked="0"/>
    </xf>
    <xf numFmtId="165" fontId="25" fillId="2" borderId="3" xfId="1" applyNumberFormat="1" applyFont="1" applyFill="1" applyBorder="1" applyAlignment="1" applyProtection="1">
      <alignment horizontal="center" vertical="center" wrapText="1"/>
    </xf>
    <xf numFmtId="165" fontId="25" fillId="2" borderId="3" xfId="1" applyFont="1" applyFill="1" applyBorder="1" applyAlignment="1" applyProtection="1">
      <alignment horizontal="center" vertical="center" wrapText="1"/>
    </xf>
    <xf numFmtId="49" fontId="23" fillId="3" borderId="3" xfId="1" applyNumberFormat="1" applyFont="1" applyFill="1" applyBorder="1" applyAlignment="1" applyProtection="1">
      <alignment horizontal="left" vertical="center" wrapText="1"/>
      <protection locked="0"/>
    </xf>
    <xf numFmtId="165" fontId="23" fillId="0" borderId="3" xfId="1" applyNumberFormat="1" applyFont="1" applyFill="1" applyBorder="1" applyAlignment="1" applyProtection="1">
      <alignment horizontal="center" vertical="center" wrapText="1"/>
      <protection locked="0"/>
    </xf>
    <xf numFmtId="0" fontId="14" fillId="0" borderId="3" xfId="0" applyFont="1" applyBorder="1" applyAlignment="1">
      <alignment vertical="center" wrapText="1"/>
    </xf>
    <xf numFmtId="0" fontId="25" fillId="3" borderId="0" xfId="0" applyFont="1" applyFill="1" applyBorder="1" applyAlignment="1" applyProtection="1">
      <alignment vertical="center" wrapText="1"/>
    </xf>
    <xf numFmtId="165" fontId="23" fillId="3" borderId="0" xfId="1" applyFont="1" applyFill="1" applyBorder="1" applyAlignment="1" applyProtection="1">
      <alignment vertical="center" wrapText="1"/>
      <protection locked="0"/>
    </xf>
    <xf numFmtId="165" fontId="23" fillId="0" borderId="3" xfId="1" applyFont="1" applyBorder="1" applyAlignment="1" applyProtection="1">
      <alignment vertical="center" wrapText="1"/>
      <protection locked="0"/>
    </xf>
    <xf numFmtId="165" fontId="23" fillId="2" borderId="3" xfId="1" applyFont="1" applyFill="1" applyBorder="1" applyAlignment="1" applyProtection="1">
      <alignment vertical="center" wrapText="1"/>
    </xf>
    <xf numFmtId="9" fontId="23" fillId="0" borderId="3" xfId="2" applyFont="1" applyBorder="1" applyAlignment="1" applyProtection="1">
      <alignment vertical="center" wrapText="1"/>
      <protection locked="0"/>
    </xf>
    <xf numFmtId="49" fontId="23" fillId="0" borderId="3" xfId="0" applyNumberFormat="1" applyFont="1" applyBorder="1" applyAlignment="1" applyProtection="1">
      <alignment horizontal="left" vertical="center" wrapText="1"/>
      <protection locked="0"/>
    </xf>
    <xf numFmtId="0" fontId="25" fillId="0" borderId="3" xfId="1" applyNumberFormat="1" applyFont="1" applyFill="1" applyBorder="1" applyAlignment="1" applyProtection="1">
      <alignment horizontal="center" vertical="center" wrapText="1"/>
    </xf>
    <xf numFmtId="165" fontId="25" fillId="4" borderId="3" xfId="1" applyFont="1" applyFill="1" applyBorder="1" applyAlignment="1" applyProtection="1">
      <alignment vertical="center" wrapText="1"/>
    </xf>
    <xf numFmtId="0" fontId="25" fillId="3" borderId="3" xfId="0" applyNumberFormat="1" applyFont="1" applyFill="1" applyBorder="1" applyAlignment="1" applyProtection="1">
      <alignment vertical="center" wrapText="1"/>
      <protection locked="0"/>
    </xf>
    <xf numFmtId="167" fontId="25" fillId="3" borderId="0" xfId="0" applyNumberFormat="1" applyFont="1" applyFill="1" applyBorder="1" applyAlignment="1" applyProtection="1">
      <alignment vertical="center" wrapText="1"/>
      <protection locked="0"/>
    </xf>
    <xf numFmtId="0" fontId="25" fillId="4" borderId="39" xfId="0" applyFont="1" applyFill="1" applyBorder="1" applyAlignment="1" applyProtection="1">
      <alignment vertical="center" wrapText="1"/>
    </xf>
    <xf numFmtId="0" fontId="25" fillId="4" borderId="40" xfId="0" applyFont="1" applyFill="1" applyBorder="1" applyAlignment="1" applyProtection="1">
      <alignment vertical="center" wrapText="1"/>
    </xf>
    <xf numFmtId="0" fontId="25" fillId="3" borderId="0" xfId="0" applyFont="1" applyFill="1" applyBorder="1" applyAlignment="1" applyProtection="1">
      <alignment vertical="center" wrapText="1"/>
      <protection locked="0"/>
    </xf>
    <xf numFmtId="165" fontId="25" fillId="3" borderId="0" xfId="1" applyFont="1" applyFill="1" applyBorder="1" applyAlignment="1" applyProtection="1">
      <alignment vertical="center" wrapText="1"/>
      <protection locked="0"/>
    </xf>
    <xf numFmtId="167" fontId="14" fillId="0" borderId="0" xfId="0" applyNumberFormat="1" applyFont="1" applyBorder="1" applyAlignment="1">
      <alignment vertical="center" wrapText="1"/>
    </xf>
    <xf numFmtId="165" fontId="25" fillId="2" borderId="9" xfId="1" applyFont="1" applyFill="1" applyBorder="1" applyAlignment="1" applyProtection="1">
      <alignment horizontal="center" vertical="center" wrapText="1"/>
    </xf>
    <xf numFmtId="165" fontId="25" fillId="2" borderId="2" xfId="1" applyFont="1" applyFill="1" applyBorder="1" applyAlignment="1" applyProtection="1">
      <alignment horizontal="center" vertical="center" wrapText="1"/>
    </xf>
    <xf numFmtId="166" fontId="23" fillId="3" borderId="0" xfId="0" applyNumberFormat="1" applyFont="1" applyFill="1" applyBorder="1" applyAlignment="1" applyProtection="1">
      <alignment vertical="center" wrapText="1"/>
      <protection locked="0"/>
    </xf>
    <xf numFmtId="0" fontId="25" fillId="2" borderId="9" xfId="1" applyNumberFormat="1" applyFont="1" applyFill="1" applyBorder="1" applyAlignment="1" applyProtection="1">
      <alignment horizontal="center" vertical="center" wrapText="1"/>
    </xf>
    <xf numFmtId="0" fontId="25" fillId="2" borderId="2" xfId="1" applyNumberFormat="1" applyFont="1" applyFill="1" applyBorder="1" applyAlignment="1" applyProtection="1">
      <alignment vertical="center" wrapText="1"/>
    </xf>
    <xf numFmtId="0" fontId="25" fillId="2" borderId="3" xfId="1" applyNumberFormat="1" applyFont="1" applyFill="1" applyBorder="1" applyAlignment="1" applyProtection="1">
      <alignment vertical="center" wrapText="1"/>
    </xf>
    <xf numFmtId="0" fontId="23" fillId="3" borderId="0" xfId="0" applyFont="1" applyFill="1" applyBorder="1" applyAlignment="1" applyProtection="1">
      <alignment vertical="center" wrapText="1"/>
    </xf>
    <xf numFmtId="165" fontId="23" fillId="2" borderId="9" xfId="0" applyNumberFormat="1" applyFont="1" applyFill="1" applyBorder="1" applyAlignment="1" applyProtection="1">
      <alignment vertical="center" wrapText="1"/>
    </xf>
    <xf numFmtId="0" fontId="23" fillId="3" borderId="0" xfId="0" applyFont="1" applyFill="1" applyBorder="1" applyAlignment="1">
      <alignment vertical="center" wrapText="1"/>
    </xf>
    <xf numFmtId="0" fontId="23" fillId="0" borderId="0" xfId="0" applyFont="1" applyFill="1" applyBorder="1" applyAlignment="1" applyProtection="1">
      <alignment vertical="center" wrapText="1"/>
      <protection locked="0"/>
    </xf>
    <xf numFmtId="165" fontId="23" fillId="2" borderId="2" xfId="0" applyNumberFormat="1" applyFont="1" applyFill="1" applyBorder="1" applyAlignment="1" applyProtection="1">
      <alignment vertical="center" wrapText="1"/>
    </xf>
    <xf numFmtId="166" fontId="23" fillId="0" borderId="0" xfId="0" applyNumberFormat="1" applyFont="1" applyFill="1" applyBorder="1" applyAlignment="1" applyProtection="1">
      <alignment vertical="center" wrapText="1"/>
      <protection locked="0"/>
    </xf>
    <xf numFmtId="165" fontId="23" fillId="0" borderId="0" xfId="1" applyFont="1" applyFill="1" applyBorder="1" applyAlignment="1" applyProtection="1">
      <alignment vertical="center" wrapText="1"/>
      <protection locked="0"/>
    </xf>
    <xf numFmtId="0" fontId="23" fillId="0" borderId="0" xfId="0" applyFont="1" applyFill="1" applyBorder="1" applyAlignment="1">
      <alignment vertical="center" wrapText="1"/>
    </xf>
    <xf numFmtId="165" fontId="25" fillId="2" borderId="15" xfId="1" applyFont="1" applyFill="1" applyBorder="1" applyAlignment="1" applyProtection="1">
      <alignment vertical="center" wrapText="1"/>
    </xf>
    <xf numFmtId="165" fontId="25" fillId="2" borderId="14" xfId="1" applyFont="1" applyFill="1" applyBorder="1" applyAlignment="1" applyProtection="1">
      <alignment vertical="center" wrapText="1"/>
    </xf>
    <xf numFmtId="166" fontId="23" fillId="0" borderId="0" xfId="0" applyNumberFormat="1" applyFont="1" applyFill="1" applyBorder="1" applyAlignment="1">
      <alignment vertical="center" wrapText="1"/>
    </xf>
    <xf numFmtId="0" fontId="25" fillId="0" borderId="0" xfId="0" applyFont="1" applyFill="1" applyBorder="1" applyAlignment="1" applyProtection="1">
      <alignment vertical="center" wrapText="1"/>
      <protection locked="0"/>
    </xf>
    <xf numFmtId="167" fontId="23" fillId="0" borderId="0" xfId="0" applyNumberFormat="1" applyFont="1" applyFill="1" applyBorder="1" applyAlignment="1">
      <alignment vertical="center" wrapText="1"/>
    </xf>
    <xf numFmtId="165" fontId="25" fillId="3" borderId="0" xfId="0" applyNumberFormat="1" applyFont="1" applyFill="1" applyBorder="1" applyAlignment="1">
      <alignment vertical="center" wrapText="1"/>
    </xf>
    <xf numFmtId="165" fontId="25" fillId="3" borderId="0" xfId="1" applyFont="1" applyFill="1" applyBorder="1" applyAlignment="1">
      <alignment vertical="center" wrapText="1"/>
    </xf>
    <xf numFmtId="167" fontId="23" fillId="3" borderId="0" xfId="0" applyNumberFormat="1" applyFont="1" applyFill="1" applyBorder="1" applyAlignment="1">
      <alignment vertical="center" wrapText="1"/>
    </xf>
    <xf numFmtId="165" fontId="25" fillId="3" borderId="0" xfId="1" applyFont="1" applyFill="1" applyBorder="1" applyAlignment="1" applyProtection="1">
      <alignment horizontal="center" vertical="center" wrapText="1"/>
    </xf>
    <xf numFmtId="167" fontId="14" fillId="0" borderId="0" xfId="0" applyNumberFormat="1" applyFont="1" applyFill="1" applyBorder="1" applyAlignment="1">
      <alignment vertical="center" wrapText="1"/>
    </xf>
    <xf numFmtId="165" fontId="25" fillId="2" borderId="3" xfId="1" applyFont="1" applyFill="1" applyBorder="1" applyAlignment="1" applyProtection="1">
      <alignment vertical="center" wrapText="1"/>
    </xf>
    <xf numFmtId="165" fontId="25" fillId="2" borderId="4" xfId="1" applyFont="1" applyFill="1" applyBorder="1" applyAlignment="1" applyProtection="1">
      <alignment vertical="center" wrapText="1"/>
    </xf>
    <xf numFmtId="9" fontId="25" fillId="3" borderId="9" xfId="2" applyFont="1" applyFill="1" applyBorder="1" applyAlignment="1" applyProtection="1">
      <alignment vertical="center" wrapText="1"/>
      <protection locked="0"/>
    </xf>
    <xf numFmtId="165" fontId="25" fillId="2" borderId="5" xfId="1" applyFont="1" applyFill="1" applyBorder="1" applyAlignment="1" applyProtection="1">
      <alignment vertical="center" wrapText="1"/>
    </xf>
    <xf numFmtId="9" fontId="25" fillId="3" borderId="30" xfId="2" applyFont="1" applyFill="1" applyBorder="1" applyAlignment="1" applyProtection="1">
      <alignment vertical="center" wrapText="1"/>
      <protection locked="0"/>
    </xf>
    <xf numFmtId="9" fontId="25" fillId="2" borderId="15" xfId="2" applyFont="1" applyFill="1" applyBorder="1" applyAlignment="1" applyProtection="1">
      <alignment vertical="center" wrapText="1"/>
    </xf>
    <xf numFmtId="165" fontId="25" fillId="3" borderId="0" xfId="1" applyFont="1" applyFill="1" applyBorder="1" applyAlignment="1" applyProtection="1">
      <alignment vertical="center" wrapText="1"/>
    </xf>
    <xf numFmtId="165" fontId="25" fillId="0" borderId="0" xfId="0" applyNumberFormat="1" applyFont="1" applyFill="1" applyBorder="1" applyAlignment="1">
      <alignment vertical="center" wrapText="1"/>
    </xf>
    <xf numFmtId="165" fontId="25" fillId="0" borderId="0" xfId="1" applyFont="1" applyFill="1" applyBorder="1" applyAlignment="1">
      <alignment vertical="center" wrapText="1"/>
    </xf>
    <xf numFmtId="165" fontId="25" fillId="2" borderId="17" xfId="0" applyNumberFormat="1" applyFont="1" applyFill="1" applyBorder="1" applyAlignment="1" applyProtection="1">
      <alignment vertical="center" wrapText="1"/>
    </xf>
    <xf numFmtId="10" fontId="25" fillId="2" borderId="9" xfId="2" applyNumberFormat="1" applyFont="1" applyFill="1" applyBorder="1" applyAlignment="1" applyProtection="1">
      <alignment vertical="center" wrapText="1"/>
    </xf>
    <xf numFmtId="9" fontId="25" fillId="3" borderId="0" xfId="2" applyFont="1" applyFill="1" applyBorder="1" applyAlignment="1">
      <alignment vertical="center" wrapText="1"/>
    </xf>
    <xf numFmtId="165" fontId="25" fillId="2" borderId="9" xfId="2" applyNumberFormat="1" applyFont="1" applyFill="1" applyBorder="1" applyAlignment="1" applyProtection="1">
      <alignment vertical="center" wrapText="1"/>
    </xf>
    <xf numFmtId="165" fontId="25" fillId="3" borderId="0" xfId="2" applyNumberFormat="1" applyFont="1" applyFill="1" applyBorder="1" applyAlignment="1">
      <alignment vertical="center" wrapText="1"/>
    </xf>
    <xf numFmtId="0" fontId="14" fillId="3" borderId="0" xfId="0" applyFont="1" applyFill="1" applyBorder="1" applyAlignment="1">
      <alignment horizontal="center" vertical="center" wrapText="1"/>
    </xf>
    <xf numFmtId="167" fontId="14" fillId="3" borderId="0" xfId="0" applyNumberFormat="1" applyFont="1" applyFill="1" applyBorder="1" applyAlignment="1">
      <alignment vertical="center" wrapText="1"/>
    </xf>
    <xf numFmtId="0" fontId="33" fillId="6" borderId="3" xfId="0" applyFont="1" applyFill="1" applyBorder="1" applyAlignment="1" applyProtection="1">
      <alignment vertical="center" wrapText="1"/>
    </xf>
    <xf numFmtId="0" fontId="33" fillId="2" borderId="3" xfId="0" applyFont="1" applyFill="1" applyBorder="1" applyAlignment="1" applyProtection="1">
      <alignment vertical="center" wrapText="1"/>
    </xf>
    <xf numFmtId="0" fontId="32" fillId="6" borderId="3" xfId="0" applyFont="1" applyFill="1" applyBorder="1" applyAlignment="1" applyProtection="1">
      <alignment horizontal="left" vertical="center" wrapText="1"/>
    </xf>
    <xf numFmtId="0" fontId="32" fillId="6" borderId="3" xfId="0" applyFont="1" applyFill="1" applyBorder="1" applyAlignment="1" applyProtection="1">
      <alignment vertical="center" wrapText="1"/>
    </xf>
    <xf numFmtId="0" fontId="23" fillId="0" borderId="3" xfId="1" applyNumberFormat="1" applyFont="1" applyFill="1" applyBorder="1" applyAlignment="1" applyProtection="1">
      <alignment vertical="center" wrapText="1"/>
    </xf>
    <xf numFmtId="0" fontId="25" fillId="0" borderId="3" xfId="1" applyNumberFormat="1" applyFont="1" applyFill="1" applyBorder="1" applyAlignment="1" applyProtection="1">
      <alignment vertical="center" wrapText="1"/>
    </xf>
    <xf numFmtId="165" fontId="23" fillId="3" borderId="3" xfId="1" applyFont="1" applyFill="1" applyBorder="1" applyAlignment="1" applyProtection="1">
      <alignment horizontal="center" vertical="center" wrapText="1"/>
      <protection locked="0"/>
    </xf>
    <xf numFmtId="0" fontId="25" fillId="3" borderId="3" xfId="0" applyFont="1" applyFill="1" applyBorder="1" applyAlignment="1" applyProtection="1">
      <alignment vertical="center" wrapText="1"/>
    </xf>
    <xf numFmtId="165" fontId="23" fillId="3" borderId="3" xfId="1" applyFont="1" applyFill="1" applyBorder="1" applyAlignment="1" applyProtection="1">
      <alignment vertical="center" wrapText="1"/>
      <protection locked="0"/>
    </xf>
    <xf numFmtId="0" fontId="25" fillId="0" borderId="3" xfId="0" applyNumberFormat="1" applyFont="1" applyFill="1" applyBorder="1" applyAlignment="1" applyProtection="1">
      <alignment vertical="center" wrapText="1"/>
      <protection locked="0"/>
    </xf>
    <xf numFmtId="3" fontId="19" fillId="0" borderId="6" xfId="0" applyNumberFormat="1" applyFont="1" applyFill="1" applyBorder="1" applyAlignment="1">
      <alignment horizontal="center" vertical="center" wrapText="1"/>
    </xf>
    <xf numFmtId="0" fontId="23" fillId="3" borderId="3"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165" fontId="23" fillId="3" borderId="3" xfId="1" applyNumberFormat="1" applyFont="1" applyFill="1" applyBorder="1" applyAlignment="1" applyProtection="1">
      <alignment horizontal="center" vertical="center" wrapText="1"/>
      <protection locked="0"/>
    </xf>
    <xf numFmtId="0" fontId="23" fillId="3" borderId="3" xfId="0" applyFont="1" applyFill="1" applyBorder="1" applyAlignment="1" applyProtection="1">
      <alignment vertical="center" wrapText="1"/>
    </xf>
    <xf numFmtId="165" fontId="23" fillId="3" borderId="5" xfId="1" applyNumberFormat="1" applyFont="1" applyFill="1" applyBorder="1" applyAlignment="1" applyProtection="1">
      <alignment horizontal="center" vertical="center" wrapText="1"/>
    </xf>
    <xf numFmtId="0" fontId="23" fillId="0" borderId="3" xfId="0" applyFont="1" applyBorder="1" applyAlignment="1" applyProtection="1">
      <alignment horizontal="left" vertical="top" wrapText="1"/>
      <protection locked="0"/>
    </xf>
    <xf numFmtId="165" fontId="1" fillId="0" borderId="3" xfId="1" applyNumberFormat="1" applyFont="1" applyBorder="1" applyAlignment="1" applyProtection="1">
      <alignment horizontal="center" vertical="center" wrapText="1"/>
      <protection locked="0"/>
    </xf>
    <xf numFmtId="165" fontId="1" fillId="0" borderId="3" xfId="1" applyNumberFormat="1" applyFont="1" applyFill="1" applyBorder="1" applyAlignment="1" applyProtection="1">
      <alignment horizontal="center" vertical="center" wrapText="1"/>
      <protection locked="0"/>
    </xf>
    <xf numFmtId="49" fontId="23" fillId="0" borderId="3" xfId="1" applyNumberFormat="1"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164" fontId="14" fillId="0" borderId="0" xfId="0" applyNumberFormat="1" applyFont="1" applyBorder="1" applyAlignment="1">
      <alignment vertical="center" wrapText="1"/>
    </xf>
    <xf numFmtId="9" fontId="14" fillId="0" borderId="0" xfId="2" applyFont="1" applyFill="1" applyBorder="1" applyAlignment="1">
      <alignment vertical="center" wrapText="1"/>
    </xf>
    <xf numFmtId="0" fontId="35" fillId="6" borderId="3" xfId="0" applyFont="1" applyFill="1" applyBorder="1" applyAlignment="1" applyProtection="1">
      <alignment vertical="center" wrapText="1"/>
    </xf>
    <xf numFmtId="0" fontId="23" fillId="0" borderId="3" xfId="0" applyFont="1" applyFill="1" applyBorder="1" applyAlignment="1" applyProtection="1">
      <alignment vertical="center" wrapText="1"/>
      <protection locked="0"/>
    </xf>
    <xf numFmtId="165" fontId="23" fillId="0" borderId="3" xfId="1" applyFont="1" applyFill="1" applyBorder="1" applyAlignment="1" applyProtection="1">
      <alignment vertical="center" wrapText="1"/>
      <protection locked="0"/>
    </xf>
    <xf numFmtId="9" fontId="23" fillId="0" borderId="3" xfId="0" applyNumberFormat="1" applyFont="1" applyFill="1" applyBorder="1" applyAlignment="1" applyProtection="1">
      <alignment vertical="center" wrapText="1"/>
      <protection locked="0"/>
    </xf>
    <xf numFmtId="165" fontId="23" fillId="0" borderId="2" xfId="1" applyFont="1" applyFill="1" applyBorder="1" applyAlignment="1" applyProtection="1">
      <alignment vertical="center" wrapText="1"/>
      <protection locked="0"/>
    </xf>
    <xf numFmtId="0" fontId="37" fillId="0" borderId="3" xfId="0" applyFont="1" applyBorder="1" applyAlignment="1">
      <alignment vertical="center" wrapText="1"/>
    </xf>
    <xf numFmtId="9" fontId="23" fillId="0" borderId="5" xfId="0" applyNumberFormat="1" applyFont="1" applyFill="1" applyBorder="1" applyAlignment="1" applyProtection="1">
      <alignment vertical="center" wrapText="1"/>
      <protection locked="0"/>
    </xf>
    <xf numFmtId="0" fontId="37" fillId="0" borderId="3" xfId="0" applyFont="1" applyBorder="1" applyAlignment="1">
      <alignment horizontal="justify" vertical="center" wrapText="1"/>
    </xf>
    <xf numFmtId="0" fontId="32" fillId="6" borderId="37" xfId="0" applyFont="1" applyFill="1" applyBorder="1" applyAlignment="1" applyProtection="1">
      <alignment horizontal="center" vertical="center" wrapText="1"/>
    </xf>
    <xf numFmtId="168" fontId="19" fillId="0" borderId="6" xfId="3" quotePrefix="1" applyNumberFormat="1" applyFont="1" applyFill="1" applyBorder="1" applyAlignment="1">
      <alignment horizontal="center" vertical="center" wrapText="1"/>
    </xf>
    <xf numFmtId="165" fontId="1" fillId="2" borderId="51" xfId="1" applyFont="1" applyFill="1" applyBorder="1" applyAlignment="1" applyProtection="1">
      <alignment wrapText="1"/>
    </xf>
    <xf numFmtId="165" fontId="1" fillId="2" borderId="52" xfId="1" applyFont="1" applyFill="1" applyBorder="1" applyAlignment="1">
      <alignment wrapText="1"/>
    </xf>
    <xf numFmtId="165" fontId="1" fillId="2" borderId="17" xfId="0" applyNumberFormat="1" applyFont="1" applyFill="1" applyBorder="1" applyAlignment="1">
      <alignment wrapText="1"/>
    </xf>
    <xf numFmtId="165" fontId="1" fillId="2" borderId="13" xfId="1" applyFont="1" applyFill="1" applyBorder="1" applyAlignment="1" applyProtection="1">
      <alignment wrapText="1"/>
    </xf>
    <xf numFmtId="165" fontId="1" fillId="2" borderId="15" xfId="1" applyFont="1" applyFill="1" applyBorder="1" applyAlignment="1">
      <alignment wrapText="1"/>
    </xf>
    <xf numFmtId="165" fontId="2" fillId="2" borderId="9" xfId="1" applyFont="1" applyFill="1" applyBorder="1" applyAlignment="1">
      <alignment wrapText="1"/>
    </xf>
    <xf numFmtId="165" fontId="2" fillId="2" borderId="32" xfId="1" applyFont="1" applyFill="1" applyBorder="1" applyAlignment="1">
      <alignment wrapText="1"/>
    </xf>
    <xf numFmtId="165" fontId="2" fillId="2" borderId="15" xfId="1" applyFont="1" applyFill="1" applyBorder="1" applyAlignment="1">
      <alignment wrapText="1"/>
    </xf>
    <xf numFmtId="165" fontId="2" fillId="2" borderId="30" xfId="0" applyNumberFormat="1" applyFont="1" applyFill="1" applyBorder="1" applyAlignment="1">
      <alignment wrapText="1"/>
    </xf>
    <xf numFmtId="49" fontId="23" fillId="2" borderId="3" xfId="1" applyNumberFormat="1" applyFont="1" applyFill="1" applyBorder="1" applyAlignment="1" applyProtection="1">
      <alignment horizontal="left" vertical="center" wrapText="1"/>
      <protection locked="0"/>
    </xf>
    <xf numFmtId="0" fontId="25" fillId="2" borderId="3" xfId="1" applyNumberFormat="1" applyFont="1" applyFill="1" applyBorder="1" applyAlignment="1" applyProtection="1">
      <alignment horizontal="center" vertical="center" wrapText="1"/>
    </xf>
    <xf numFmtId="165" fontId="14" fillId="0" borderId="0" xfId="0" applyNumberFormat="1" applyFont="1" applyBorder="1" applyAlignment="1">
      <alignment vertical="center" wrapText="1"/>
    </xf>
    <xf numFmtId="165" fontId="25" fillId="2" borderId="15" xfId="1" applyNumberFormat="1" applyFont="1" applyFill="1" applyBorder="1" applyAlignment="1" applyProtection="1">
      <alignment vertical="center" wrapText="1"/>
    </xf>
    <xf numFmtId="165" fontId="25" fillId="2" borderId="46" xfId="1" applyNumberFormat="1" applyFont="1" applyFill="1" applyBorder="1" applyAlignment="1" applyProtection="1">
      <alignment vertical="center" wrapText="1"/>
    </xf>
    <xf numFmtId="170" fontId="14" fillId="0" borderId="0" xfId="0" applyNumberFormat="1" applyFont="1" applyBorder="1" applyAlignment="1">
      <alignment vertical="center" wrapText="1"/>
    </xf>
    <xf numFmtId="164" fontId="25" fillId="3" borderId="0" xfId="0" applyNumberFormat="1" applyFont="1" applyFill="1" applyBorder="1" applyAlignment="1">
      <alignment vertical="center" wrapText="1"/>
    </xf>
    <xf numFmtId="171" fontId="18" fillId="0" borderId="6" xfId="2" applyNumberFormat="1" applyFont="1" applyFill="1" applyBorder="1" applyAlignment="1">
      <alignment vertical="center" wrapText="1"/>
    </xf>
    <xf numFmtId="0" fontId="1" fillId="2" borderId="7" xfId="0" applyFont="1" applyFill="1" applyBorder="1" applyAlignment="1" applyProtection="1">
      <alignment vertical="center" wrapText="1"/>
    </xf>
    <xf numFmtId="0" fontId="0" fillId="0" borderId="0" xfId="0" applyAlignment="1">
      <alignment vertical="center"/>
    </xf>
    <xf numFmtId="167" fontId="1" fillId="2" borderId="10" xfId="0" applyNumberFormat="1" applyFont="1" applyFill="1" applyBorder="1" applyAlignment="1">
      <alignment vertical="center" wrapText="1"/>
    </xf>
    <xf numFmtId="167" fontId="1" fillId="2" borderId="37" xfId="0" applyNumberFormat="1" applyFont="1" applyFill="1" applyBorder="1" applyAlignment="1">
      <alignment vertical="center" wrapText="1"/>
    </xf>
    <xf numFmtId="167" fontId="1" fillId="2" borderId="36" xfId="0" applyNumberFormat="1" applyFont="1" applyFill="1" applyBorder="1" applyAlignment="1">
      <alignment vertical="center" wrapText="1"/>
    </xf>
    <xf numFmtId="169" fontId="5" fillId="0" borderId="0" xfId="3" applyNumberFormat="1" applyFont="1" applyFill="1" applyAlignment="1">
      <alignment vertical="center"/>
    </xf>
    <xf numFmtId="164" fontId="0" fillId="0" borderId="0" xfId="0" applyNumberFormat="1" applyAlignment="1">
      <alignment vertical="center"/>
    </xf>
    <xf numFmtId="167" fontId="2" fillId="2" borderId="10" xfId="0" applyNumberFormat="1" applyFont="1" applyFill="1" applyBorder="1" applyAlignment="1">
      <alignment vertical="center" wrapText="1"/>
    </xf>
    <xf numFmtId="167" fontId="2" fillId="2" borderId="37" xfId="0" applyNumberFormat="1" applyFont="1" applyFill="1" applyBorder="1" applyAlignment="1">
      <alignment vertical="center" wrapText="1"/>
    </xf>
    <xf numFmtId="167" fontId="2" fillId="2" borderId="36" xfId="0" applyNumberFormat="1" applyFont="1" applyFill="1" applyBorder="1" applyAlignment="1">
      <alignment vertical="center" wrapText="1"/>
    </xf>
    <xf numFmtId="0" fontId="2" fillId="2" borderId="24" xfId="0" applyFont="1" applyFill="1" applyBorder="1" applyAlignment="1">
      <alignment vertical="center" wrapText="1"/>
    </xf>
    <xf numFmtId="167" fontId="2" fillId="2" borderId="50" xfId="0" applyNumberFormat="1" applyFont="1" applyFill="1" applyBorder="1" applyAlignment="1">
      <alignment vertical="center" wrapText="1"/>
    </xf>
    <xf numFmtId="167" fontId="2" fillId="2" borderId="31" xfId="0" applyNumberFormat="1" applyFont="1" applyFill="1" applyBorder="1" applyAlignment="1">
      <alignment vertical="center" wrapText="1"/>
    </xf>
    <xf numFmtId="167" fontId="2" fillId="2" borderId="32" xfId="0" applyNumberFormat="1" applyFont="1" applyFill="1" applyBorder="1" applyAlignment="1">
      <alignment vertical="center" wrapText="1"/>
    </xf>
    <xf numFmtId="3" fontId="22" fillId="0" borderId="6" xfId="0" applyNumberFormat="1" applyFont="1" applyFill="1" applyBorder="1" applyAlignment="1">
      <alignment horizontal="center" vertical="center" wrapText="1"/>
    </xf>
    <xf numFmtId="0" fontId="17" fillId="0" borderId="26" xfId="0" applyFont="1" applyBorder="1" applyAlignment="1">
      <alignment horizontal="center" wrapText="1"/>
    </xf>
    <xf numFmtId="0" fontId="17" fillId="0" borderId="27" xfId="0" applyFont="1" applyBorder="1" applyAlignment="1">
      <alignment horizontal="center" wrapText="1"/>
    </xf>
    <xf numFmtId="0" fontId="17" fillId="0" borderId="22" xfId="0" applyFont="1" applyBorder="1" applyAlignment="1">
      <alignment horizontal="center" wrapText="1"/>
    </xf>
    <xf numFmtId="0" fontId="17" fillId="0" borderId="26" xfId="0" applyFont="1" applyBorder="1" applyAlignment="1">
      <alignment horizontal="center"/>
    </xf>
    <xf numFmtId="0" fontId="17" fillId="0" borderId="27" xfId="0" applyFont="1" applyBorder="1" applyAlignment="1">
      <alignment horizontal="center"/>
    </xf>
    <xf numFmtId="0" fontId="17" fillId="0" borderId="22" xfId="0" applyFont="1" applyBorder="1" applyAlignment="1">
      <alignment horizontal="center"/>
    </xf>
    <xf numFmtId="49" fontId="18" fillId="0" borderId="26"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0" fontId="18" fillId="0"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2" fillId="0" borderId="6" xfId="0" applyNumberFormat="1" applyFont="1" applyFill="1" applyBorder="1" applyAlignment="1">
      <alignment horizontal="left" vertical="center" wrapText="1"/>
    </xf>
    <xf numFmtId="3" fontId="19" fillId="0" borderId="6" xfId="0" applyNumberFormat="1" applyFont="1" applyFill="1" applyBorder="1" applyAlignment="1">
      <alignment horizontal="center" vertical="center" wrapText="1"/>
    </xf>
    <xf numFmtId="3" fontId="18" fillId="0" borderId="6" xfId="0" applyNumberFormat="1" applyFont="1" applyFill="1" applyBorder="1" applyAlignment="1">
      <alignment horizontal="left" vertical="center" wrapText="1"/>
    </xf>
    <xf numFmtId="0" fontId="36" fillId="6" borderId="5" xfId="0" applyFont="1" applyFill="1" applyBorder="1" applyAlignment="1" applyProtection="1">
      <alignment horizontal="left" vertical="center" wrapText="1"/>
    </xf>
    <xf numFmtId="0" fontId="36" fillId="6" borderId="37" xfId="0" applyFont="1" applyFill="1" applyBorder="1" applyAlignment="1" applyProtection="1">
      <alignment horizontal="left" vertical="center" wrapText="1"/>
    </xf>
    <xf numFmtId="0" fontId="36" fillId="6" borderId="3" xfId="0" applyFont="1" applyFill="1" applyBorder="1" applyAlignment="1" applyProtection="1">
      <alignment horizontal="left" vertical="center" wrapText="1"/>
    </xf>
    <xf numFmtId="0" fontId="32" fillId="6" borderId="5" xfId="0" applyFont="1" applyFill="1" applyBorder="1" applyAlignment="1" applyProtection="1">
      <alignment horizontal="center" vertical="center" wrapText="1"/>
    </xf>
    <xf numFmtId="0" fontId="32" fillId="6" borderId="55" xfId="0" applyFont="1" applyFill="1" applyBorder="1" applyAlignment="1" applyProtection="1">
      <alignment horizontal="center" vertical="center" wrapText="1"/>
    </xf>
    <xf numFmtId="0" fontId="32" fillId="6" borderId="37" xfId="0" applyFont="1" applyFill="1" applyBorder="1" applyAlignment="1" applyProtection="1">
      <alignment horizontal="center" vertical="center" wrapText="1"/>
    </xf>
    <xf numFmtId="49" fontId="25" fillId="3" borderId="3" xfId="0" applyNumberFormat="1" applyFont="1" applyFill="1" applyBorder="1" applyAlignment="1" applyProtection="1">
      <alignment horizontal="left" vertical="center" wrapText="1"/>
      <protection locked="0"/>
    </xf>
    <xf numFmtId="165" fontId="25" fillId="3" borderId="3" xfId="1"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165" fontId="32" fillId="3" borderId="3" xfId="1"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165" fontId="35" fillId="3" borderId="3" xfId="1" applyFont="1" applyFill="1" applyBorder="1" applyAlignment="1" applyProtection="1">
      <alignment horizontal="left" vertical="center" wrapText="1"/>
      <protection locked="0"/>
    </xf>
    <xf numFmtId="49" fontId="25" fillId="3" borderId="3" xfId="0" applyNumberFormat="1" applyFont="1" applyFill="1" applyBorder="1" applyAlignment="1" applyProtection="1">
      <alignment horizontal="left" vertical="center"/>
      <protection locked="0"/>
    </xf>
    <xf numFmtId="165" fontId="25" fillId="3" borderId="3" xfId="1" applyFont="1" applyFill="1" applyBorder="1" applyAlignment="1" applyProtection="1">
      <alignment horizontal="left" vertical="center"/>
      <protection locked="0"/>
    </xf>
    <xf numFmtId="0" fontId="25" fillId="2" borderId="5"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wrapText="1"/>
    </xf>
    <xf numFmtId="0" fontId="25" fillId="2" borderId="36"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0" fontId="25" fillId="2" borderId="28" xfId="0" applyFont="1" applyFill="1" applyBorder="1" applyAlignment="1" applyProtection="1">
      <alignment horizontal="center" vertical="center" wrapText="1"/>
    </xf>
    <xf numFmtId="0" fontId="25" fillId="2" borderId="29" xfId="0" applyFont="1" applyFill="1" applyBorder="1" applyAlignment="1" applyProtection="1">
      <alignment horizontal="center" vertical="center" wrapText="1"/>
    </xf>
    <xf numFmtId="0" fontId="25" fillId="2" borderId="35"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 xfId="0" applyFont="1" applyFill="1" applyBorder="1" applyAlignment="1" applyProtection="1">
      <alignment horizontal="left" vertical="center" wrapText="1"/>
    </xf>
    <xf numFmtId="0" fontId="23" fillId="2" borderId="33"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165" fontId="25" fillId="2" borderId="30" xfId="1" applyFont="1" applyFill="1" applyBorder="1" applyAlignment="1" applyProtection="1">
      <alignment horizontal="center" vertical="center" wrapText="1"/>
    </xf>
    <xf numFmtId="165" fontId="25" fillId="2" borderId="36" xfId="1" applyFont="1" applyFill="1" applyBorder="1" applyAlignment="1" applyProtection="1">
      <alignment horizontal="center" vertical="center" wrapText="1"/>
    </xf>
    <xf numFmtId="0" fontId="25" fillId="4" borderId="38" xfId="0" applyFont="1" applyFill="1" applyBorder="1" applyAlignment="1" applyProtection="1">
      <alignment horizontal="center" vertical="center" wrapText="1"/>
    </xf>
    <xf numFmtId="0" fontId="25" fillId="4" borderId="40" xfId="0" applyFont="1" applyFill="1" applyBorder="1" applyAlignment="1" applyProtection="1">
      <alignment horizontal="center" vertical="center" wrapText="1"/>
    </xf>
    <xf numFmtId="0" fontId="36" fillId="6" borderId="3" xfId="0"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wrapText="1"/>
    </xf>
    <xf numFmtId="0" fontId="25" fillId="2" borderId="56" xfId="0" applyFont="1" applyFill="1" applyBorder="1" applyAlignment="1" applyProtection="1">
      <alignment horizontal="center" vertical="center" wrapText="1"/>
    </xf>
    <xf numFmtId="0" fontId="25" fillId="2" borderId="41" xfId="0" applyFont="1" applyFill="1" applyBorder="1" applyAlignment="1" applyProtection="1">
      <alignment horizontal="center" vertical="center" wrapText="1"/>
    </xf>
    <xf numFmtId="0" fontId="29" fillId="7" borderId="20" xfId="0" applyFont="1" applyFill="1" applyBorder="1" applyAlignment="1">
      <alignment horizontal="left" vertical="center" wrapText="1"/>
    </xf>
    <xf numFmtId="0" fontId="29" fillId="7" borderId="25" xfId="0" applyFont="1" applyFill="1" applyBorder="1" applyAlignment="1">
      <alignment horizontal="left" vertical="center" wrapText="1"/>
    </xf>
    <xf numFmtId="165" fontId="29" fillId="7" borderId="25" xfId="1" applyFont="1" applyFill="1" applyBorder="1" applyAlignment="1">
      <alignment horizontal="left" vertical="center" wrapText="1"/>
    </xf>
    <xf numFmtId="0" fontId="29" fillId="7" borderId="21" xfId="0" applyFont="1" applyFill="1" applyBorder="1" applyAlignment="1">
      <alignment horizontal="left" vertical="center" wrapText="1"/>
    </xf>
    <xf numFmtId="0" fontId="27" fillId="0" borderId="0" xfId="0" applyFont="1" applyBorder="1" applyAlignment="1">
      <alignment horizontal="left" vertical="center" wrapText="1"/>
    </xf>
    <xf numFmtId="0" fontId="31" fillId="7" borderId="26" xfId="0" applyFont="1" applyFill="1" applyBorder="1" applyAlignment="1">
      <alignment horizontal="left" vertical="center" wrapText="1"/>
    </xf>
    <xf numFmtId="0" fontId="31" fillId="7" borderId="27" xfId="0" applyFont="1" applyFill="1" applyBorder="1" applyAlignment="1">
      <alignment horizontal="left" vertical="center" wrapText="1"/>
    </xf>
    <xf numFmtId="0" fontId="31" fillId="7" borderId="22" xfId="0" applyFont="1" applyFill="1" applyBorder="1" applyAlignment="1">
      <alignment horizontal="left" vertical="center" wrapText="1"/>
    </xf>
    <xf numFmtId="0" fontId="33" fillId="3" borderId="3" xfId="0" applyNumberFormat="1" applyFont="1" applyFill="1" applyBorder="1" applyAlignment="1" applyProtection="1">
      <alignment horizontal="left" vertical="center" wrapText="1"/>
      <protection locked="0"/>
    </xf>
    <xf numFmtId="165" fontId="33" fillId="3" borderId="3" xfId="1" applyFont="1" applyFill="1" applyBorder="1" applyAlignment="1" applyProtection="1">
      <alignment horizontal="left" vertical="center" wrapText="1"/>
      <protection locked="0"/>
    </xf>
    <xf numFmtId="0" fontId="32" fillId="6" borderId="5" xfId="0" applyFont="1" applyFill="1" applyBorder="1" applyAlignment="1" applyProtection="1">
      <alignment horizontal="left" vertical="center" wrapText="1"/>
    </xf>
    <xf numFmtId="0" fontId="32" fillId="6" borderId="37" xfId="0" applyFont="1" applyFill="1" applyBorder="1" applyAlignment="1" applyProtection="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15" fillId="0" borderId="0" xfId="0" applyFont="1" applyBorder="1" applyAlignment="1">
      <alignment horizontal="left" vertical="top" wrapText="1"/>
    </xf>
    <xf numFmtId="0" fontId="10" fillId="7" borderId="26" xfId="0" applyFont="1" applyFill="1" applyBorder="1" applyAlignment="1">
      <alignment horizontal="left" wrapText="1"/>
    </xf>
    <xf numFmtId="0" fontId="10" fillId="7" borderId="27" xfId="0" applyFont="1" applyFill="1" applyBorder="1" applyAlignment="1">
      <alignment horizontal="left" wrapText="1"/>
    </xf>
    <xf numFmtId="0" fontId="10" fillId="7" borderId="2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9" fillId="7" borderId="18" xfId="0" applyFont="1" applyFill="1" applyBorder="1" applyAlignment="1">
      <alignment horizontal="left" wrapText="1"/>
    </xf>
    <xf numFmtId="0" fontId="9" fillId="7" borderId="16"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5" fontId="3" fillId="2" borderId="41" xfId="0" applyNumberFormat="1" applyFont="1" applyFill="1" applyBorder="1" applyAlignment="1">
      <alignment horizontal="center"/>
    </xf>
    <xf numFmtId="165" fontId="3" fillId="2" borderId="42" xfId="0" applyNumberFormat="1" applyFont="1" applyFill="1" applyBorder="1" applyAlignment="1">
      <alignment horizontal="center"/>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165" fontId="3" fillId="2" borderId="4" xfId="0" applyNumberFormat="1" applyFont="1" applyFill="1" applyBorder="1" applyAlignment="1">
      <alignment horizontal="center"/>
    </xf>
    <xf numFmtId="165" fontId="3" fillId="2" borderId="34" xfId="0" applyNumberFormat="1" applyFont="1" applyFill="1" applyBorder="1" applyAlignment="1">
      <alignment horizontal="center"/>
    </xf>
    <xf numFmtId="0" fontId="0" fillId="2" borderId="43"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3" fillId="3" borderId="3" xfId="0" applyNumberFormat="1" applyFont="1" applyFill="1" applyBorder="1" applyAlignment="1" applyProtection="1">
      <alignment vertical="center"/>
      <protection locked="0"/>
    </xf>
    <xf numFmtId="165" fontId="33" fillId="3" borderId="3" xfId="1" applyFont="1" applyFill="1" applyBorder="1" applyAlignment="1" applyProtection="1">
      <alignment vertical="center"/>
      <protection locked="0"/>
    </xf>
  </cellXfs>
  <cellStyles count="10">
    <cellStyle name="Milliers [0] 2" xfId="3" xr:uid="{00000000-0005-0000-0000-000001000000}"/>
    <cellStyle name="Milliers 2" xfId="4" xr:uid="{00000000-0005-0000-0000-000002000000}"/>
    <cellStyle name="Milliers 3" xfId="5" xr:uid="{00000000-0005-0000-0000-000003000000}"/>
    <cellStyle name="Milliers 4" xfId="6" xr:uid="{00000000-0005-0000-0000-000004000000}"/>
    <cellStyle name="Milliers 5" xfId="7" xr:uid="{00000000-0005-0000-0000-000005000000}"/>
    <cellStyle name="Milliers 6" xfId="8" xr:uid="{00000000-0005-0000-0000-000006000000}"/>
    <cellStyle name="Milliers 7" xfId="9" xr:uid="{00000000-0005-0000-0000-000007000000}"/>
    <cellStyle name="Monétaire" xfId="1" builtinId="4"/>
    <cellStyle name="Normal" xfId="0" builtinId="0"/>
    <cellStyle name="Pourcentage"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topLeftCell="A22" zoomScaleNormal="100" workbookViewId="0">
      <selection activeCell="C27" sqref="C27"/>
    </sheetView>
  </sheetViews>
  <sheetFormatPr baseColWidth="10" defaultColWidth="11.5546875" defaultRowHeight="14.4" x14ac:dyDescent="0.3"/>
  <cols>
    <col min="1" max="1" width="2.5546875" style="101" customWidth="1"/>
    <col min="2" max="2" width="13.44140625" customWidth="1"/>
    <col min="3" max="3" width="63.44140625" customWidth="1"/>
    <col min="4" max="5" width="17" customWidth="1"/>
    <col min="6" max="6" width="17" hidden="1" customWidth="1"/>
    <col min="7" max="7" width="17" customWidth="1"/>
  </cols>
  <sheetData>
    <row r="1" spans="2:9" ht="18.600000000000001" thickBot="1" x14ac:dyDescent="0.4">
      <c r="B1" s="339" t="s">
        <v>647</v>
      </c>
      <c r="C1" s="340"/>
      <c r="D1" s="340"/>
      <c r="E1" s="340"/>
      <c r="F1" s="340"/>
      <c r="G1" s="340"/>
      <c r="H1" s="341"/>
    </row>
    <row r="2" spans="2:9" ht="18.600000000000001" thickBot="1" x14ac:dyDescent="0.4">
      <c r="B2" s="342" t="s">
        <v>449</v>
      </c>
      <c r="C2" s="343"/>
      <c r="D2" s="343"/>
      <c r="E2" s="343"/>
      <c r="F2" s="343"/>
      <c r="G2" s="343"/>
      <c r="H2" s="344"/>
    </row>
    <row r="3" spans="2:9" ht="15" thickBot="1" x14ac:dyDescent="0.35">
      <c r="B3" s="101"/>
      <c r="C3" s="103"/>
      <c r="D3" s="102"/>
      <c r="E3" s="102"/>
      <c r="F3" s="102"/>
      <c r="G3" s="102"/>
      <c r="H3" s="102"/>
    </row>
    <row r="4" spans="2:9" ht="42" thickBot="1" x14ac:dyDescent="0.35">
      <c r="B4" s="104" t="s">
        <v>450</v>
      </c>
      <c r="C4" s="104" t="s">
        <v>451</v>
      </c>
      <c r="D4" s="105" t="s">
        <v>473</v>
      </c>
      <c r="E4" s="105" t="s">
        <v>474</v>
      </c>
      <c r="F4" s="105"/>
      <c r="G4" s="105" t="s">
        <v>452</v>
      </c>
      <c r="H4" s="106" t="s">
        <v>453</v>
      </c>
    </row>
    <row r="5" spans="2:9" ht="49.95" customHeight="1" thickBot="1" x14ac:dyDescent="0.35">
      <c r="B5" s="345" t="s">
        <v>632</v>
      </c>
      <c r="C5" s="346"/>
      <c r="D5" s="107">
        <f>SUM(D6:D9)</f>
        <v>834733.64999999991</v>
      </c>
      <c r="E5" s="107">
        <f t="shared" ref="E5:G5" si="0">SUM(E6:E9)</f>
        <v>0</v>
      </c>
      <c r="F5" s="107">
        <f t="shared" si="0"/>
        <v>0</v>
      </c>
      <c r="G5" s="107">
        <f t="shared" si="0"/>
        <v>834733.64999999991</v>
      </c>
      <c r="H5" s="108">
        <f>G5/$G$23</f>
        <v>0.33389345935738857</v>
      </c>
      <c r="I5" s="101"/>
    </row>
    <row r="6" spans="2:9" ht="49.95" customHeight="1" thickBot="1" x14ac:dyDescent="0.35">
      <c r="B6" s="109" t="s">
        <v>454</v>
      </c>
      <c r="C6" s="112" t="str">
        <f>'1) Tableau budgétaire 1'!C14:J14</f>
        <v xml:space="preserve">Les communautés des zones ciblées développent de manière participative et inclusive des initiatives vertes sur base d’un accès partagé aux ressources naturelles </v>
      </c>
      <c r="D6" s="110">
        <f>'1) Tableau budgétaire 1'!D42</f>
        <v>321722.93</v>
      </c>
      <c r="E6" s="140">
        <f>'1) Tableau budgétaire 1'!E42</f>
        <v>0</v>
      </c>
      <c r="F6" s="140">
        <f>'1) Tableau budgétaire 1'!F42</f>
        <v>0</v>
      </c>
      <c r="G6" s="110">
        <f>SUM(D6:F6)</f>
        <v>321722.93</v>
      </c>
      <c r="H6" s="182"/>
    </row>
    <row r="7" spans="2:9" ht="49.95" customHeight="1" thickBot="1" x14ac:dyDescent="0.35">
      <c r="B7" s="109" t="s">
        <v>455</v>
      </c>
      <c r="C7" s="112" t="str">
        <f>'1) Tableau budgétaire 1'!C43:J43</f>
        <v xml:space="preserve"> Les capacités des communautés en gestion locale des ressources naturelles sont améliorées </v>
      </c>
      <c r="D7" s="113">
        <f>'1) Tableau budgétaire 1'!D63</f>
        <v>177768.4</v>
      </c>
      <c r="E7" s="113">
        <f>'1) Tableau budgétaire 1'!E63</f>
        <v>0</v>
      </c>
      <c r="F7" s="113">
        <f>'1) Tableau budgétaire 1'!F63</f>
        <v>0</v>
      </c>
      <c r="G7" s="110">
        <f>SUM(D7:F7)</f>
        <v>177768.4</v>
      </c>
      <c r="H7" s="183"/>
    </row>
    <row r="8" spans="2:9" ht="49.95" customHeight="1" thickBot="1" x14ac:dyDescent="0.35">
      <c r="B8" s="109" t="s">
        <v>456</v>
      </c>
      <c r="C8" s="112" t="str">
        <f>'1) Tableau budgétaire 1'!C64:J64</f>
        <v xml:space="preserve">Les communautés sont outillées pour lutter contre la stigmatisation et les rumeurs </v>
      </c>
      <c r="D8" s="113">
        <f>'1) Tableau budgétaire 1'!D78</f>
        <v>114092</v>
      </c>
      <c r="E8" s="113">
        <f>'1) Tableau budgétaire 1'!E78</f>
        <v>0</v>
      </c>
      <c r="F8" s="113">
        <f>'1) Tableau budgétaire 1'!F78</f>
        <v>0</v>
      </c>
      <c r="G8" s="110">
        <f>SUM(D8:F8)</f>
        <v>114092</v>
      </c>
      <c r="H8" s="183"/>
    </row>
    <row r="9" spans="2:9" s="101" customFormat="1" ht="49.95" customHeight="1" thickBot="1" x14ac:dyDescent="0.35">
      <c r="B9" s="284" t="s">
        <v>608</v>
      </c>
      <c r="C9" s="141" t="str">
        <f>'1) Tableau budgétaire 1'!C79:J79</f>
        <v>Les liens socioculturels et économiques entre les communautés des villages des communes ciblées sont renforcés pour une consolidation de la paix à travers la réalisation participative et inclusive de projets d’intérêt commun</v>
      </c>
      <c r="D9" s="113">
        <f>'1) Tableau budgétaire 1'!D86</f>
        <v>221150.32</v>
      </c>
      <c r="E9" s="113">
        <f>'1) Tableau budgétaire 1'!E86</f>
        <v>0</v>
      </c>
      <c r="F9" s="113">
        <f>'1) Tableau budgétaire 1'!F86</f>
        <v>0</v>
      </c>
      <c r="G9" s="140">
        <f>SUM(D9:F9)</f>
        <v>221150.32</v>
      </c>
      <c r="H9" s="183"/>
    </row>
    <row r="10" spans="2:9" ht="49.95" customHeight="1" thickBot="1" x14ac:dyDescent="0.35">
      <c r="B10" s="347" t="s">
        <v>609</v>
      </c>
      <c r="C10" s="347"/>
      <c r="D10" s="107">
        <f>SUM(D11:D14)</f>
        <v>244660</v>
      </c>
      <c r="E10" s="107">
        <f>SUM(E11:E14)</f>
        <v>886077.77709999995</v>
      </c>
      <c r="F10" s="107">
        <f t="shared" ref="E10:F10" si="1">SUM(F11:F14)</f>
        <v>0</v>
      </c>
      <c r="G10" s="107">
        <f>SUM(G11:G14)</f>
        <v>1130737.7771000001</v>
      </c>
      <c r="H10" s="108">
        <f>G10/$G$23</f>
        <v>0.45229510996951283</v>
      </c>
    </row>
    <row r="11" spans="2:9" ht="69.599999999999994" thickBot="1" x14ac:dyDescent="0.35">
      <c r="B11" s="115" t="s">
        <v>381</v>
      </c>
      <c r="C11" s="112" t="str">
        <f>'1) Tableau budgétaire 1'!C88:J88</f>
        <v>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v>
      </c>
      <c r="D11" s="113">
        <f>'1) Tableau budgétaire 1'!D97</f>
        <v>0</v>
      </c>
      <c r="E11" s="113">
        <f>'1) Tableau budgétaire 1'!E97</f>
        <v>454150.77709999995</v>
      </c>
      <c r="F11" s="113">
        <f>'1) Tableau budgétaire 1'!F97</f>
        <v>0</v>
      </c>
      <c r="G11" s="110">
        <f>SUM(D11:F11)</f>
        <v>454150.77709999995</v>
      </c>
      <c r="H11" s="111"/>
    </row>
    <row r="12" spans="2:9" ht="69.599999999999994" thickBot="1" x14ac:dyDescent="0.35">
      <c r="B12" s="112" t="s">
        <v>457</v>
      </c>
      <c r="C12" s="116" t="str">
        <f>'1) Tableau budgétaire 1'!C98:J98</f>
        <v>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v>
      </c>
      <c r="D12" s="113">
        <f>'1) Tableau budgétaire 1'!D105</f>
        <v>0</v>
      </c>
      <c r="E12" s="113">
        <f>'1) Tableau budgétaire 1'!E105</f>
        <v>220851</v>
      </c>
      <c r="F12" s="113">
        <f>'1) Tableau budgétaire 1'!F105</f>
        <v>0</v>
      </c>
      <c r="G12" s="110">
        <f>SUM(D12:F12)</f>
        <v>220851</v>
      </c>
      <c r="H12" s="114"/>
    </row>
    <row r="13" spans="2:9" ht="69.599999999999994" thickBot="1" x14ac:dyDescent="0.35">
      <c r="B13" s="112" t="s">
        <v>458</v>
      </c>
      <c r="C13" s="116" t="str">
        <f>'1) Tableau budgétaire 1'!C106:J106</f>
        <v>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v>
      </c>
      <c r="D13" s="113">
        <f>'1) Tableau budgétaire 1'!D110</f>
        <v>0</v>
      </c>
      <c r="E13" s="113">
        <f>'1) Tableau budgétaire 1'!E110</f>
        <v>211076</v>
      </c>
      <c r="F13" s="113">
        <f>'1) Tableau budgétaire 1'!F110</f>
        <v>0</v>
      </c>
      <c r="G13" s="110">
        <f>SUM(D13:F13)</f>
        <v>211076</v>
      </c>
      <c r="H13" s="114"/>
    </row>
    <row r="14" spans="2:9" s="101" customFormat="1" ht="49.95" customHeight="1" thickBot="1" x14ac:dyDescent="0.35">
      <c r="B14" s="112" t="s">
        <v>472</v>
      </c>
      <c r="C14" s="116" t="str">
        <f>'1) Tableau budgétaire 1'!C111:J111</f>
        <v>Les survivant-e-s de violences basées sur le genre dans les 5 communes ciblées bénéficient d’une prise en charge holistique</v>
      </c>
      <c r="D14" s="113">
        <f>'1) Tableau budgétaire 1'!D122</f>
        <v>244660</v>
      </c>
      <c r="E14" s="113">
        <f>'1) Tableau budgétaire 1'!E122</f>
        <v>0</v>
      </c>
      <c r="F14" s="113">
        <f>'1) Tableau budgétaire 1'!F122</f>
        <v>0</v>
      </c>
      <c r="G14" s="110">
        <f>SUM(D14:F14)</f>
        <v>244660</v>
      </c>
      <c r="H14" s="114"/>
    </row>
    <row r="15" spans="2:9" ht="15" thickBot="1" x14ac:dyDescent="0.35">
      <c r="B15" s="338" t="s">
        <v>459</v>
      </c>
      <c r="C15" s="338"/>
      <c r="D15" s="117">
        <f>+D10+D5</f>
        <v>1079393.6499999999</v>
      </c>
      <c r="E15" s="117">
        <f t="shared" ref="E15:G15" si="2">+E10+E5</f>
        <v>886077.77709999995</v>
      </c>
      <c r="F15" s="117">
        <f t="shared" si="2"/>
        <v>0</v>
      </c>
      <c r="G15" s="117">
        <f t="shared" si="2"/>
        <v>1965471.4271</v>
      </c>
      <c r="H15" s="108"/>
    </row>
    <row r="16" spans="2:9" ht="29.1" customHeight="1" thickBot="1" x14ac:dyDescent="0.35">
      <c r="B16" s="353" t="s">
        <v>496</v>
      </c>
      <c r="C16" s="353"/>
      <c r="D16" s="107">
        <f>SUM(D17:D20)</f>
        <v>345840</v>
      </c>
      <c r="E16" s="107">
        <f>SUM(E17:E20)</f>
        <v>29415.18</v>
      </c>
      <c r="F16" s="107">
        <f>SUM(F17:F20)</f>
        <v>0</v>
      </c>
      <c r="G16" s="107">
        <f>SUM(G17:G20)</f>
        <v>375255.18</v>
      </c>
      <c r="H16" s="108">
        <f>G16/$G$23</f>
        <v>0.15010207171111353</v>
      </c>
    </row>
    <row r="17" spans="2:10" ht="22.95" customHeight="1" thickBot="1" x14ac:dyDescent="0.35">
      <c r="B17" s="109" t="s">
        <v>81</v>
      </c>
      <c r="C17" s="142" t="s">
        <v>460</v>
      </c>
      <c r="D17" s="113">
        <f>SUM('1) Tableau budgétaire 1'!D126:D137)</f>
        <v>163244</v>
      </c>
      <c r="E17" s="113">
        <f>'1) Tableau budgétaire 1'!E131</f>
        <v>19865.18</v>
      </c>
      <c r="F17" s="306">
        <f>'1) Tableau budgétaire 1'!F132+'1) Tableau budgétaire 1'!F133+'1) Tableau budgétaire 1'!F134+'1) Tableau budgétaire 1'!F135+'1) Tableau budgétaire 1'!F136+'1) Tableau budgétaire 1'!F137</f>
        <v>0</v>
      </c>
      <c r="G17" s="110">
        <f t="shared" ref="G17:G22" si="3">SUM(D17:F17)</f>
        <v>183109.18</v>
      </c>
      <c r="H17" s="111"/>
    </row>
    <row r="18" spans="2:10" ht="22.95" customHeight="1" thickBot="1" x14ac:dyDescent="0.35">
      <c r="B18" s="109" t="s">
        <v>83</v>
      </c>
      <c r="C18" s="141" t="s">
        <v>461</v>
      </c>
      <c r="D18" s="118">
        <f>SUM('1) Tableau budgétaire 1'!D138:D144)</f>
        <v>56196</v>
      </c>
      <c r="E18" s="118">
        <f>'1) Tableau budgétaire 1'!E138+'1) Tableau budgétaire 1'!E139+'1) Tableau budgétaire 1'!E141+'1) Tableau budgétaire 1'!E142+'1) Tableau budgétaire 1'!E143+'1) Tableau budgétaire 1'!E144</f>
        <v>7800</v>
      </c>
      <c r="F18" s="118">
        <f>'1) Tableau budgétaire 1'!F138+'1) Tableau budgétaire 1'!F139+'1) Tableau budgétaire 1'!F140+'1) Tableau budgétaire 1'!F144</f>
        <v>0</v>
      </c>
      <c r="G18" s="110">
        <f t="shared" si="3"/>
        <v>63996</v>
      </c>
      <c r="H18" s="114"/>
      <c r="J18" s="184"/>
    </row>
    <row r="19" spans="2:10" ht="22.95" customHeight="1" thickBot="1" x14ac:dyDescent="0.35">
      <c r="B19" s="109" t="s">
        <v>85</v>
      </c>
      <c r="C19" s="141" t="s">
        <v>505</v>
      </c>
      <c r="D19" s="119">
        <f>SUM('1) Tableau budgétaire 1'!D145:D147)</f>
        <v>76400</v>
      </c>
      <c r="E19" s="143">
        <f>'1) Tableau budgétaire 1'!E145+'1) Tableau budgétaire 1'!E146+'1) Tableau budgétaire 1'!E147</f>
        <v>1750</v>
      </c>
      <c r="F19" s="143">
        <f>'1) Tableau budgétaire 1'!F145+'1) Tableau budgétaire 1'!F146+'1) Tableau budgétaire 1'!F147</f>
        <v>0</v>
      </c>
      <c r="G19" s="110">
        <f t="shared" si="3"/>
        <v>78150</v>
      </c>
      <c r="H19" s="114"/>
    </row>
    <row r="20" spans="2:10" s="101" customFormat="1" ht="22.95" customHeight="1" thickBot="1" x14ac:dyDescent="0.35">
      <c r="B20" s="109" t="s">
        <v>87</v>
      </c>
      <c r="C20" s="112" t="s">
        <v>490</v>
      </c>
      <c r="D20" s="119">
        <f>'1) Tableau budgétaire 1'!D148</f>
        <v>50000</v>
      </c>
      <c r="E20" s="143">
        <f>'1) Tableau budgétaire 1'!E148</f>
        <v>0</v>
      </c>
      <c r="F20" s="143">
        <f>'1) Tableau budgétaire 1'!F148</f>
        <v>0</v>
      </c>
      <c r="G20" s="110">
        <f t="shared" si="3"/>
        <v>50000</v>
      </c>
      <c r="H20" s="114"/>
    </row>
    <row r="21" spans="2:10" ht="22.95" customHeight="1" thickBot="1" x14ac:dyDescent="0.35">
      <c r="B21" s="338" t="s">
        <v>475</v>
      </c>
      <c r="C21" s="338"/>
      <c r="D21" s="120">
        <f>+D16+D15</f>
        <v>1425233.65</v>
      </c>
      <c r="E21" s="144">
        <f>+E16+E15</f>
        <v>915492.9571</v>
      </c>
      <c r="F21" s="144">
        <f>+F16+F15</f>
        <v>0</v>
      </c>
      <c r="G21" s="140">
        <f t="shared" si="3"/>
        <v>2340726.6070999997</v>
      </c>
      <c r="H21" s="121"/>
    </row>
    <row r="22" spans="2:10" ht="22.95" customHeight="1" thickBot="1" x14ac:dyDescent="0.35">
      <c r="B22" s="354" t="s">
        <v>462</v>
      </c>
      <c r="C22" s="354"/>
      <c r="D22" s="119">
        <f>D21*7%</f>
        <v>99766.355500000005</v>
      </c>
      <c r="E22" s="143">
        <f>E21*6.5%</f>
        <v>59507.042211500004</v>
      </c>
      <c r="F22" s="143">
        <f>F21*7%</f>
        <v>0</v>
      </c>
      <c r="G22" s="119">
        <f t="shared" si="3"/>
        <v>159273.3977115</v>
      </c>
      <c r="H22" s="323">
        <f>G22/$G$23</f>
        <v>6.3709358961984958E-2</v>
      </c>
    </row>
    <row r="23" spans="2:10" ht="15" thickBot="1" x14ac:dyDescent="0.35">
      <c r="B23" s="355" t="s">
        <v>463</v>
      </c>
      <c r="C23" s="355"/>
      <c r="D23" s="145">
        <f>D22+D21</f>
        <v>1525000.0055</v>
      </c>
      <c r="E23" s="145">
        <f>E22+E21</f>
        <v>974999.9993115</v>
      </c>
      <c r="F23" s="145">
        <f>F22+F21</f>
        <v>0</v>
      </c>
      <c r="G23" s="122">
        <f>SUM(D23:F23)</f>
        <v>2500000.0048115002</v>
      </c>
      <c r="H23" s="108">
        <f>G23/G23</f>
        <v>1</v>
      </c>
    </row>
    <row r="24" spans="2:10" ht="15" thickBot="1" x14ac:dyDescent="0.35">
      <c r="B24" s="123"/>
      <c r="C24" s="124"/>
      <c r="D24" s="125"/>
      <c r="E24" s="125"/>
      <c r="F24" s="125"/>
      <c r="G24" s="125"/>
      <c r="H24" s="126"/>
    </row>
    <row r="25" spans="2:10" ht="15" thickBot="1" x14ac:dyDescent="0.35">
      <c r="B25" s="127"/>
      <c r="C25" s="128" t="s">
        <v>464</v>
      </c>
      <c r="D25" s="105" t="s">
        <v>473</v>
      </c>
      <c r="E25" s="105" t="s">
        <v>474</v>
      </c>
      <c r="F25" s="105"/>
      <c r="G25" s="105" t="s">
        <v>465</v>
      </c>
      <c r="H25" s="101"/>
    </row>
    <row r="26" spans="2:10" ht="15" thickBot="1" x14ac:dyDescent="0.35">
      <c r="B26" s="101"/>
      <c r="C26" s="129" t="s">
        <v>466</v>
      </c>
      <c r="D26" s="130">
        <f>D23*35%</f>
        <v>533750.00192499999</v>
      </c>
      <c r="E26" s="130">
        <f>E23*35%</f>
        <v>341249.999759025</v>
      </c>
      <c r="F26" s="130">
        <f>F23*35%</f>
        <v>0</v>
      </c>
      <c r="G26" s="130">
        <f>SUM(D26:F26)</f>
        <v>875000.00168402493</v>
      </c>
      <c r="H26" s="102"/>
    </row>
    <row r="27" spans="2:10" ht="15" thickBot="1" x14ac:dyDescent="0.35">
      <c r="B27" s="101"/>
      <c r="C27" s="129" t="s">
        <v>467</v>
      </c>
      <c r="D27" s="130">
        <f>D23*35%</f>
        <v>533750.00192499999</v>
      </c>
      <c r="E27" s="130">
        <f>E23*35%</f>
        <v>341249.999759025</v>
      </c>
      <c r="F27" s="130">
        <f>F23*35%</f>
        <v>0</v>
      </c>
      <c r="G27" s="130">
        <f>SUM(D27:F27)</f>
        <v>875000.00168402493</v>
      </c>
      <c r="H27" s="102"/>
    </row>
    <row r="28" spans="2:10" ht="15" thickBot="1" x14ac:dyDescent="0.35">
      <c r="B28" s="101"/>
      <c r="C28" s="129" t="s">
        <v>468</v>
      </c>
      <c r="D28" s="130">
        <f>D23*30%</f>
        <v>457500.00164999999</v>
      </c>
      <c r="E28" s="130">
        <f>E23*30%</f>
        <v>292499.99979345</v>
      </c>
      <c r="F28" s="130">
        <f>F23*30%</f>
        <v>0</v>
      </c>
      <c r="G28" s="130">
        <f>SUM(D28:F28)</f>
        <v>750000.00144344999</v>
      </c>
      <c r="H28" s="102"/>
    </row>
    <row r="29" spans="2:10" x14ac:dyDescent="0.3">
      <c r="B29" s="101"/>
      <c r="C29" s="103"/>
      <c r="D29" s="102"/>
      <c r="E29" s="102"/>
      <c r="F29" s="102"/>
      <c r="G29" s="102"/>
      <c r="H29" s="102"/>
    </row>
    <row r="30" spans="2:10" x14ac:dyDescent="0.3">
      <c r="B30" s="101"/>
      <c r="C30" s="103"/>
      <c r="D30" s="102"/>
      <c r="E30" s="102"/>
      <c r="F30" s="102"/>
      <c r="G30" s="102"/>
      <c r="H30" s="102"/>
    </row>
    <row r="31" spans="2:10" ht="15" thickBot="1" x14ac:dyDescent="0.35">
      <c r="B31" s="101"/>
      <c r="C31" s="103"/>
      <c r="D31" s="102"/>
      <c r="E31" s="102"/>
      <c r="F31" s="102"/>
      <c r="G31" s="102"/>
      <c r="H31" s="102"/>
    </row>
    <row r="32" spans="2:10" ht="16.2" thickBot="1" x14ac:dyDescent="0.35">
      <c r="B32" s="100"/>
      <c r="C32" s="348" t="s">
        <v>402</v>
      </c>
      <c r="D32" s="349"/>
      <c r="E32" s="349"/>
      <c r="F32" s="349"/>
      <c r="G32" s="350"/>
      <c r="H32" s="102"/>
    </row>
    <row r="33" spans="2:9" ht="31.2" x14ac:dyDescent="0.3">
      <c r="B33" s="100"/>
      <c r="C33" s="154" t="s">
        <v>497</v>
      </c>
      <c r="D33" s="157" t="s">
        <v>469</v>
      </c>
      <c r="E33" s="158" t="s">
        <v>470</v>
      </c>
      <c r="F33" s="158" t="s">
        <v>471</v>
      </c>
      <c r="G33" s="351" t="s">
        <v>402</v>
      </c>
      <c r="H33" s="102"/>
    </row>
    <row r="34" spans="2:9" ht="15.6" x14ac:dyDescent="0.3">
      <c r="B34" s="100"/>
      <c r="C34" s="155"/>
      <c r="D34" s="159" t="s">
        <v>473</v>
      </c>
      <c r="E34" s="135" t="s">
        <v>474</v>
      </c>
      <c r="F34" s="135"/>
      <c r="G34" s="352"/>
      <c r="H34" s="102"/>
    </row>
    <row r="35" spans="2:9" s="325" customFormat="1" ht="27" customHeight="1" x14ac:dyDescent="0.3">
      <c r="C35" s="187" t="s">
        <v>415</v>
      </c>
      <c r="D35" s="326">
        <f>'2) Tableau budgétaire 2'!D120</f>
        <v>163244</v>
      </c>
      <c r="E35" s="327">
        <f>'2) Tableau budgétaire 2'!E120</f>
        <v>19865.18</v>
      </c>
      <c r="F35" s="327">
        <f>'2) Tableau budgétaire 2'!F120</f>
        <v>0</v>
      </c>
      <c r="G35" s="328">
        <f>'2) Tableau budgétaire 2'!G120</f>
        <v>183109.18</v>
      </c>
      <c r="H35" s="329"/>
    </row>
    <row r="36" spans="2:9" s="325" customFormat="1" ht="27" customHeight="1" x14ac:dyDescent="0.3">
      <c r="C36" s="188" t="s">
        <v>416</v>
      </c>
      <c r="D36" s="326">
        <f>'2) Tableau budgétaire 2'!D121</f>
        <v>119760</v>
      </c>
      <c r="E36" s="327">
        <f>'2) Tableau budgétaire 2'!E121</f>
        <v>0</v>
      </c>
      <c r="F36" s="327">
        <f>'2) Tableau budgétaire 2'!F121</f>
        <v>0</v>
      </c>
      <c r="G36" s="328">
        <f>'2) Tableau budgétaire 2'!G121</f>
        <v>119760</v>
      </c>
      <c r="H36" s="329"/>
    </row>
    <row r="37" spans="2:9" s="325" customFormat="1" ht="31.2" customHeight="1" x14ac:dyDescent="0.3">
      <c r="C37" s="188" t="s">
        <v>417</v>
      </c>
      <c r="D37" s="326">
        <f>'2) Tableau budgétaire 2'!D122</f>
        <v>73740</v>
      </c>
      <c r="E37" s="327">
        <f>'2) Tableau budgétaire 2'!E122</f>
        <v>0</v>
      </c>
      <c r="F37" s="327">
        <f>'2) Tableau budgétaire 2'!F122</f>
        <v>0</v>
      </c>
      <c r="G37" s="328">
        <f>'2) Tableau budgétaire 2'!G122</f>
        <v>73740</v>
      </c>
      <c r="H37" s="329"/>
      <c r="I37" s="330"/>
    </row>
    <row r="38" spans="2:9" s="325" customFormat="1" ht="27" customHeight="1" x14ac:dyDescent="0.3">
      <c r="C38" s="189" t="s">
        <v>418</v>
      </c>
      <c r="D38" s="326">
        <f>'2) Tableau budgétaire 2'!D123</f>
        <v>566453.4</v>
      </c>
      <c r="E38" s="327">
        <f>'2) Tableau budgétaire 2'!E123</f>
        <v>0</v>
      </c>
      <c r="F38" s="327">
        <f>'2) Tableau budgétaire 2'!F123</f>
        <v>0</v>
      </c>
      <c r="G38" s="328">
        <f>'2) Tableau budgétaire 2'!G123</f>
        <v>566453.4</v>
      </c>
      <c r="H38" s="329"/>
    </row>
    <row r="39" spans="2:9" s="325" customFormat="1" ht="27" customHeight="1" x14ac:dyDescent="0.3">
      <c r="C39" s="188" t="s">
        <v>419</v>
      </c>
      <c r="D39" s="326">
        <f>'2) Tableau budgétaire 2'!D124</f>
        <v>111731.93</v>
      </c>
      <c r="E39" s="327">
        <f>'2) Tableau budgétaire 2'!E124</f>
        <v>1750</v>
      </c>
      <c r="F39" s="327">
        <f>'2) Tableau budgétaire 2'!F124</f>
        <v>0</v>
      </c>
      <c r="G39" s="328">
        <f>'2) Tableau budgétaire 2'!G124</f>
        <v>113481.93</v>
      </c>
      <c r="H39" s="329"/>
    </row>
    <row r="40" spans="2:9" s="325" customFormat="1" ht="27" customHeight="1" x14ac:dyDescent="0.3">
      <c r="C40" s="188" t="s">
        <v>420</v>
      </c>
      <c r="D40" s="326">
        <f>'2) Tableau budgétaire 2'!D125</f>
        <v>325148.32</v>
      </c>
      <c r="E40" s="327">
        <f>'2) Tableau budgétaire 2'!E125</f>
        <v>886077.77709999995</v>
      </c>
      <c r="F40" s="327">
        <f>'2) Tableau budgétaire 2'!F125</f>
        <v>0</v>
      </c>
      <c r="G40" s="328">
        <f>'2) Tableau budgétaire 2'!G125</f>
        <v>1211226.0970999999</v>
      </c>
      <c r="H40" s="329"/>
    </row>
    <row r="41" spans="2:9" s="325" customFormat="1" ht="27" customHeight="1" x14ac:dyDescent="0.3">
      <c r="C41" s="188" t="s">
        <v>421</v>
      </c>
      <c r="D41" s="326">
        <f>'2) Tableau budgétaire 2'!D126</f>
        <v>65156</v>
      </c>
      <c r="E41" s="327">
        <f>'2) Tableau budgétaire 2'!E126</f>
        <v>7800</v>
      </c>
      <c r="F41" s="327">
        <f>'2) Tableau budgétaire 2'!F126</f>
        <v>0</v>
      </c>
      <c r="G41" s="328">
        <f>'2) Tableau budgétaire 2'!G126</f>
        <v>72956</v>
      </c>
      <c r="H41" s="329"/>
    </row>
    <row r="42" spans="2:9" s="325" customFormat="1" ht="27" customHeight="1" x14ac:dyDescent="0.3">
      <c r="C42" s="186" t="s">
        <v>394</v>
      </c>
      <c r="D42" s="331">
        <f>'2) Tableau budgétaire 2'!D127</f>
        <v>1425233.6500000001</v>
      </c>
      <c r="E42" s="332">
        <f>'2) Tableau budgétaire 2'!E127</f>
        <v>915492.9571</v>
      </c>
      <c r="F42" s="332">
        <f>'2) Tableau budgétaire 2'!F127</f>
        <v>0</v>
      </c>
      <c r="G42" s="333">
        <f>'2) Tableau budgétaire 2'!G127</f>
        <v>2340726.6071000001</v>
      </c>
      <c r="H42" s="329"/>
    </row>
    <row r="43" spans="2:9" s="325" customFormat="1" ht="27" customHeight="1" x14ac:dyDescent="0.3">
      <c r="C43" s="156" t="s">
        <v>395</v>
      </c>
      <c r="D43" s="326">
        <f>'2) Tableau budgétaire 2'!D128</f>
        <v>99766.35550000002</v>
      </c>
      <c r="E43" s="327">
        <f>'2) Tableau budgétaire 2'!E128</f>
        <v>59507.042211500004</v>
      </c>
      <c r="F43" s="327">
        <f>'2) Tableau budgétaire 2'!F128</f>
        <v>0</v>
      </c>
      <c r="G43" s="328">
        <f>'2) Tableau budgétaire 2'!G128</f>
        <v>159273.39771150003</v>
      </c>
      <c r="H43" s="329"/>
    </row>
    <row r="44" spans="2:9" s="325" customFormat="1" ht="27" customHeight="1" thickBot="1" x14ac:dyDescent="0.35">
      <c r="C44" s="334" t="s">
        <v>371</v>
      </c>
      <c r="D44" s="335">
        <f>'2) Tableau budgétaire 2'!D129</f>
        <v>1525000.0055000002</v>
      </c>
      <c r="E44" s="336">
        <f>'2) Tableau budgétaire 2'!E129</f>
        <v>974999.9993115</v>
      </c>
      <c r="F44" s="336">
        <f>'2) Tableau budgétaire 2'!F129</f>
        <v>0</v>
      </c>
      <c r="G44" s="337">
        <f>'2) Tableau budgétaire 2'!G129</f>
        <v>2500000.0048115002</v>
      </c>
      <c r="H44" s="329"/>
    </row>
    <row r="46" spans="2:9" x14ac:dyDescent="0.3">
      <c r="G46" s="185"/>
    </row>
  </sheetData>
  <mergeCells count="11">
    <mergeCell ref="C32:G32"/>
    <mergeCell ref="G33:G34"/>
    <mergeCell ref="B16:C16"/>
    <mergeCell ref="B21:C21"/>
    <mergeCell ref="B22:C22"/>
    <mergeCell ref="B23:C23"/>
    <mergeCell ref="B15:C15"/>
    <mergeCell ref="B1:H1"/>
    <mergeCell ref="B2:H2"/>
    <mergeCell ref="B5:C5"/>
    <mergeCell ref="B10:C10"/>
  </mergeCells>
  <pageMargins left="0.70866141732283472" right="0.70866141732283472" top="0.74803149606299213" bottom="0.74803149606299213" header="0.31496062992125984" footer="0.31496062992125984"/>
  <pageSetup paperSize="9" scale="9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S188"/>
  <sheetViews>
    <sheetView showGridLines="0" showZeros="0" topLeftCell="B12" zoomScaleNormal="100" workbookViewId="0">
      <pane xSplit="2" ySplit="1" topLeftCell="D144" activePane="bottomRight" state="frozen"/>
      <selection activeCell="B12" sqref="B12"/>
      <selection pane="topRight" activeCell="D12" sqref="D12"/>
      <selection pane="bottomLeft" activeCell="B13" sqref="B13"/>
      <selection pane="bottomRight" activeCell="K12" sqref="K12"/>
    </sheetView>
  </sheetViews>
  <sheetFormatPr baseColWidth="10" defaultColWidth="9.109375" defaultRowHeight="14.4" x14ac:dyDescent="0.3"/>
  <cols>
    <col min="1" max="1" width="14.21875" style="191" bestFit="1" customWidth="1"/>
    <col min="2" max="2" width="43.44140625" style="191" customWidth="1"/>
    <col min="3" max="3" width="32.44140625" style="191" customWidth="1"/>
    <col min="4" max="4" width="24.44140625" style="191" customWidth="1"/>
    <col min="5" max="5" width="23.109375" style="191" customWidth="1"/>
    <col min="6" max="6" width="22.44140625" style="191" hidden="1" customWidth="1"/>
    <col min="7" max="7" width="21.88671875" style="191" bestFit="1" customWidth="1"/>
    <col min="8" max="8" width="22.44140625" style="191" customWidth="1"/>
    <col min="9" max="9" width="22.44140625" style="197" customWidth="1"/>
    <col min="10" max="10" width="31.44140625" style="191" customWidth="1"/>
    <col min="11" max="11" width="12.88671875" style="233" customWidth="1"/>
    <col min="12" max="12" width="9.109375" style="191"/>
    <col min="13" max="13" width="17.5546875" style="191" customWidth="1"/>
    <col min="14" max="14" width="26.44140625" style="191" customWidth="1"/>
    <col min="15" max="15" width="22.44140625" style="191" customWidth="1"/>
    <col min="16" max="16" width="29.5546875" style="191" customWidth="1"/>
    <col min="17" max="17" width="23.44140625" style="191" customWidth="1"/>
    <col min="18" max="18" width="18.44140625" style="191" customWidth="1"/>
    <col min="19" max="19" width="17.44140625" style="191" customWidth="1"/>
    <col min="20" max="20" width="25.109375" style="191" customWidth="1"/>
    <col min="21" max="16384" width="9.109375" style="191"/>
  </cols>
  <sheetData>
    <row r="1" spans="2:13" x14ac:dyDescent="0.3">
      <c r="K1" s="191"/>
    </row>
    <row r="2" spans="2:13" ht="47.25" customHeight="1" x14ac:dyDescent="0.3">
      <c r="B2" s="397" t="s">
        <v>404</v>
      </c>
      <c r="C2" s="397"/>
      <c r="D2" s="397"/>
      <c r="E2" s="397"/>
      <c r="F2" s="198"/>
      <c r="G2" s="198"/>
      <c r="H2" s="199"/>
      <c r="I2" s="200"/>
      <c r="J2" s="199"/>
      <c r="K2" s="191"/>
    </row>
    <row r="3" spans="2:13" ht="15.6" x14ac:dyDescent="0.3">
      <c r="B3" s="201"/>
      <c r="K3" s="191"/>
    </row>
    <row r="4" spans="2:13" ht="16.2" thickBot="1" x14ac:dyDescent="0.35">
      <c r="B4" s="201"/>
      <c r="K4" s="191"/>
    </row>
    <row r="5" spans="2:13" ht="36.6" x14ac:dyDescent="0.3">
      <c r="B5" s="202" t="s">
        <v>5</v>
      </c>
      <c r="C5" s="192"/>
      <c r="D5" s="192"/>
      <c r="E5" s="192"/>
      <c r="F5" s="192"/>
      <c r="G5" s="192"/>
      <c r="H5" s="192"/>
      <c r="I5" s="203"/>
      <c r="J5" s="192"/>
      <c r="K5" s="192"/>
      <c r="L5" s="192"/>
      <c r="M5" s="204"/>
    </row>
    <row r="6" spans="2:13" ht="189" customHeight="1" thickBot="1" x14ac:dyDescent="0.35">
      <c r="B6" s="393" t="s">
        <v>518</v>
      </c>
      <c r="C6" s="394"/>
      <c r="D6" s="394"/>
      <c r="E6" s="394"/>
      <c r="F6" s="394"/>
      <c r="G6" s="394"/>
      <c r="H6" s="394"/>
      <c r="I6" s="395"/>
      <c r="J6" s="394"/>
      <c r="K6" s="394"/>
      <c r="L6" s="394"/>
      <c r="M6" s="396"/>
    </row>
    <row r="7" spans="2:13" ht="15.75" customHeight="1" x14ac:dyDescent="0.3">
      <c r="B7" s="205"/>
      <c r="K7" s="191"/>
    </row>
    <row r="8" spans="2:13" ht="15.75" customHeight="1" thickBot="1" x14ac:dyDescent="0.35">
      <c r="K8" s="191"/>
    </row>
    <row r="9" spans="2:13" ht="27" customHeight="1" thickBot="1" x14ac:dyDescent="0.35">
      <c r="B9" s="398" t="s">
        <v>405</v>
      </c>
      <c r="C9" s="399"/>
      <c r="D9" s="399"/>
      <c r="E9" s="399"/>
      <c r="F9" s="399"/>
      <c r="G9" s="399"/>
      <c r="H9" s="400"/>
      <c r="I9" s="206"/>
      <c r="K9" s="191"/>
    </row>
    <row r="10" spans="2:13" x14ac:dyDescent="0.3">
      <c r="K10" s="191"/>
    </row>
    <row r="11" spans="2:13" ht="25.5" customHeight="1" x14ac:dyDescent="0.3">
      <c r="D11" s="207"/>
      <c r="E11" s="207"/>
      <c r="F11" s="207"/>
      <c r="G11" s="207"/>
      <c r="H11" s="208"/>
      <c r="I11" s="209"/>
      <c r="J11" s="210"/>
      <c r="K11" s="210"/>
    </row>
    <row r="12" spans="2:13" ht="155.4" customHeight="1" x14ac:dyDescent="0.3">
      <c r="B12" s="166" t="s">
        <v>373</v>
      </c>
      <c r="C12" s="166" t="s">
        <v>389</v>
      </c>
      <c r="D12" s="166" t="s">
        <v>442</v>
      </c>
      <c r="E12" s="166" t="s">
        <v>443</v>
      </c>
      <c r="F12" s="166" t="s">
        <v>646</v>
      </c>
      <c r="G12" s="166" t="s">
        <v>12</v>
      </c>
      <c r="H12" s="166" t="s">
        <v>399</v>
      </c>
      <c r="I12" s="166" t="s">
        <v>441</v>
      </c>
      <c r="J12" s="166" t="s">
        <v>374</v>
      </c>
      <c r="K12" s="211" t="s">
        <v>444</v>
      </c>
    </row>
    <row r="13" spans="2:13" ht="38.4" customHeight="1" x14ac:dyDescent="0.3">
      <c r="B13" s="275" t="s">
        <v>375</v>
      </c>
      <c r="C13" s="455" t="s">
        <v>628</v>
      </c>
      <c r="D13" s="455"/>
      <c r="E13" s="455"/>
      <c r="F13" s="455"/>
      <c r="G13" s="455"/>
      <c r="H13" s="455"/>
      <c r="I13" s="456"/>
      <c r="J13" s="455"/>
      <c r="K13" s="278"/>
    </row>
    <row r="14" spans="2:13" ht="23.4" customHeight="1" x14ac:dyDescent="0.3">
      <c r="B14" s="212" t="s">
        <v>376</v>
      </c>
      <c r="C14" s="368" t="s">
        <v>549</v>
      </c>
      <c r="D14" s="368"/>
      <c r="E14" s="368"/>
      <c r="F14" s="368"/>
      <c r="G14" s="368"/>
      <c r="H14" s="368"/>
      <c r="I14" s="369"/>
      <c r="J14" s="368"/>
      <c r="K14" s="218"/>
    </row>
    <row r="15" spans="2:13" ht="46.8" x14ac:dyDescent="0.3">
      <c r="B15" s="359" t="s">
        <v>633</v>
      </c>
      <c r="C15" s="193" t="s">
        <v>550</v>
      </c>
      <c r="D15" s="163">
        <v>3000</v>
      </c>
      <c r="E15" s="280"/>
      <c r="F15" s="280"/>
      <c r="G15" s="162">
        <f t="shared" ref="G15:G85" si="0">D15+E15+F15</f>
        <v>3000</v>
      </c>
      <c r="H15" s="213">
        <v>0.2</v>
      </c>
      <c r="I15" s="280"/>
      <c r="J15" s="280"/>
      <c r="K15" s="165">
        <v>5</v>
      </c>
    </row>
    <row r="16" spans="2:13" ht="109.2" x14ac:dyDescent="0.3">
      <c r="B16" s="360"/>
      <c r="C16" s="286" t="s">
        <v>551</v>
      </c>
      <c r="D16" s="163">
        <f>((5000*300*2)/500)</f>
        <v>6000</v>
      </c>
      <c r="E16" s="280"/>
      <c r="F16" s="280"/>
      <c r="G16" s="162">
        <f t="shared" si="0"/>
        <v>6000</v>
      </c>
      <c r="H16" s="213">
        <v>0.2</v>
      </c>
      <c r="I16" s="280"/>
      <c r="J16" s="280"/>
      <c r="K16" s="165">
        <v>5</v>
      </c>
    </row>
    <row r="17" spans="2:11" ht="46.8" x14ac:dyDescent="0.3">
      <c r="B17" s="360"/>
      <c r="C17" s="286" t="s">
        <v>476</v>
      </c>
      <c r="D17" s="163">
        <f>(2500*300*2)/500</f>
        <v>3000</v>
      </c>
      <c r="E17" s="280"/>
      <c r="F17" s="280"/>
      <c r="G17" s="162">
        <f t="shared" si="0"/>
        <v>3000</v>
      </c>
      <c r="H17" s="213">
        <v>0.5</v>
      </c>
      <c r="I17" s="280"/>
      <c r="J17" s="280"/>
      <c r="K17" s="165">
        <v>2</v>
      </c>
    </row>
    <row r="18" spans="2:11" ht="31.2" x14ac:dyDescent="0.3">
      <c r="B18" s="360"/>
      <c r="C18" s="286" t="s">
        <v>477</v>
      </c>
      <c r="D18" s="163">
        <f>((75000*2*5)+(75000*2*5))/500</f>
        <v>3000</v>
      </c>
      <c r="E18" s="280"/>
      <c r="F18" s="280"/>
      <c r="G18" s="162">
        <f t="shared" si="0"/>
        <v>3000</v>
      </c>
      <c r="H18" s="213">
        <v>0.5</v>
      </c>
      <c r="I18" s="280"/>
      <c r="J18" s="280"/>
      <c r="K18" s="165">
        <v>2</v>
      </c>
    </row>
    <row r="19" spans="2:11" ht="31.2" x14ac:dyDescent="0.3">
      <c r="B19" s="360"/>
      <c r="C19" s="286" t="s">
        <v>478</v>
      </c>
      <c r="D19" s="163">
        <f>(450000*5)/500</f>
        <v>4500</v>
      </c>
      <c r="E19" s="280"/>
      <c r="F19" s="280"/>
      <c r="G19" s="162">
        <f t="shared" si="0"/>
        <v>4500</v>
      </c>
      <c r="H19" s="213">
        <v>0.5</v>
      </c>
      <c r="I19" s="280"/>
      <c r="J19" s="280"/>
      <c r="K19" s="165">
        <v>2</v>
      </c>
    </row>
    <row r="20" spans="2:11" ht="46.8" x14ac:dyDescent="0.3">
      <c r="B20" s="360"/>
      <c r="C20" s="286" t="s">
        <v>483</v>
      </c>
      <c r="D20" s="163">
        <f>((3*3*69700)*4)/500</f>
        <v>5018.3999999999996</v>
      </c>
      <c r="E20" s="280"/>
      <c r="F20" s="280"/>
      <c r="G20" s="162">
        <f t="shared" si="0"/>
        <v>5018.3999999999996</v>
      </c>
      <c r="H20" s="213">
        <v>0.5</v>
      </c>
      <c r="I20" s="280"/>
      <c r="J20" s="280"/>
      <c r="K20" s="165">
        <v>4</v>
      </c>
    </row>
    <row r="21" spans="2:11" ht="46.8" x14ac:dyDescent="0.3">
      <c r="B21" s="360"/>
      <c r="C21" s="286" t="s">
        <v>481</v>
      </c>
      <c r="D21" s="163">
        <v>4000</v>
      </c>
      <c r="E21" s="280"/>
      <c r="F21" s="280"/>
      <c r="G21" s="162">
        <f t="shared" si="0"/>
        <v>4000</v>
      </c>
      <c r="H21" s="213">
        <v>0.5</v>
      </c>
      <c r="I21" s="280"/>
      <c r="J21" s="280"/>
      <c r="K21" s="165">
        <v>4</v>
      </c>
    </row>
    <row r="22" spans="2:11" ht="46.8" x14ac:dyDescent="0.3">
      <c r="B22" s="360"/>
      <c r="C22" s="293" t="s">
        <v>479</v>
      </c>
      <c r="D22" s="163">
        <v>5000</v>
      </c>
      <c r="E22" s="280"/>
      <c r="F22" s="280"/>
      <c r="G22" s="162">
        <f t="shared" si="0"/>
        <v>5000</v>
      </c>
      <c r="H22" s="213">
        <v>0.2</v>
      </c>
      <c r="I22" s="280"/>
      <c r="J22" s="280"/>
      <c r="K22" s="165">
        <v>4</v>
      </c>
    </row>
    <row r="23" spans="2:11" ht="46.8" x14ac:dyDescent="0.3">
      <c r="B23" s="360"/>
      <c r="C23" s="293" t="s">
        <v>482</v>
      </c>
      <c r="D23" s="163">
        <f>(500*1500)/500</f>
        <v>1500</v>
      </c>
      <c r="E23" s="280"/>
      <c r="F23" s="280"/>
      <c r="G23" s="162">
        <f t="shared" si="0"/>
        <v>1500</v>
      </c>
      <c r="H23" s="213">
        <v>0.5</v>
      </c>
      <c r="I23" s="280"/>
      <c r="J23" s="280"/>
      <c r="K23" s="165">
        <v>2</v>
      </c>
    </row>
    <row r="24" spans="2:11" ht="62.4" x14ac:dyDescent="0.3">
      <c r="B24" s="360"/>
      <c r="C24" s="293" t="s">
        <v>480</v>
      </c>
      <c r="D24" s="163">
        <v>4000</v>
      </c>
      <c r="E24" s="280"/>
      <c r="F24" s="280"/>
      <c r="G24" s="162">
        <f t="shared" si="0"/>
        <v>4000</v>
      </c>
      <c r="H24" s="213">
        <v>0.5</v>
      </c>
      <c r="I24" s="280"/>
      <c r="J24" s="280"/>
      <c r="K24" s="165">
        <v>2</v>
      </c>
    </row>
    <row r="25" spans="2:11" ht="46.8" x14ac:dyDescent="0.3">
      <c r="B25" s="360"/>
      <c r="C25" s="194" t="s">
        <v>552</v>
      </c>
      <c r="D25" s="163">
        <v>20000</v>
      </c>
      <c r="E25" s="280"/>
      <c r="F25" s="280"/>
      <c r="G25" s="162">
        <f t="shared" si="0"/>
        <v>20000</v>
      </c>
      <c r="H25" s="213">
        <v>0.5</v>
      </c>
      <c r="I25" s="280"/>
      <c r="J25" s="280"/>
      <c r="K25" s="165">
        <v>2</v>
      </c>
    </row>
    <row r="26" spans="2:11" ht="31.2" x14ac:dyDescent="0.3">
      <c r="B26" s="361"/>
      <c r="C26" s="194" t="s">
        <v>553</v>
      </c>
      <c r="D26" s="163">
        <f xml:space="preserve"> ((50000*60*2)/500)</f>
        <v>12000</v>
      </c>
      <c r="E26" s="280"/>
      <c r="F26" s="280"/>
      <c r="G26" s="162">
        <f t="shared" si="0"/>
        <v>12000</v>
      </c>
      <c r="H26" s="213">
        <v>0.5</v>
      </c>
      <c r="I26" s="280"/>
      <c r="J26" s="280"/>
      <c r="K26" s="165">
        <v>2</v>
      </c>
    </row>
    <row r="27" spans="2:11" ht="93.6" x14ac:dyDescent="0.3">
      <c r="B27" s="359" t="s">
        <v>561</v>
      </c>
      <c r="C27" s="193" t="s">
        <v>554</v>
      </c>
      <c r="D27" s="163">
        <f>(((5000*300*2)+(30000*5*2))/500)</f>
        <v>6600</v>
      </c>
      <c r="E27" s="280"/>
      <c r="F27" s="280"/>
      <c r="G27" s="162">
        <f t="shared" si="0"/>
        <v>6600</v>
      </c>
      <c r="H27" s="213">
        <v>0.5</v>
      </c>
      <c r="I27" s="280"/>
      <c r="J27" s="280"/>
      <c r="K27" s="165">
        <v>2</v>
      </c>
    </row>
    <row r="28" spans="2:11" ht="46.8" x14ac:dyDescent="0.3">
      <c r="B28" s="360"/>
      <c r="C28" s="193" t="s">
        <v>489</v>
      </c>
      <c r="D28" s="163">
        <f>(2500*500*2)/500</f>
        <v>5000</v>
      </c>
      <c r="E28" s="280"/>
      <c r="F28" s="280"/>
      <c r="G28" s="162">
        <f t="shared" si="0"/>
        <v>5000</v>
      </c>
      <c r="H28" s="213">
        <v>0.5</v>
      </c>
      <c r="I28" s="280"/>
      <c r="J28" s="280"/>
      <c r="K28" s="165">
        <v>5</v>
      </c>
    </row>
    <row r="29" spans="2:11" ht="46.8" x14ac:dyDescent="0.3">
      <c r="B29" s="360"/>
      <c r="C29" s="193" t="s">
        <v>482</v>
      </c>
      <c r="D29" s="163">
        <v>300</v>
      </c>
      <c r="E29" s="280"/>
      <c r="F29" s="280"/>
      <c r="G29" s="162">
        <f t="shared" si="0"/>
        <v>300</v>
      </c>
      <c r="H29" s="213">
        <v>0.5</v>
      </c>
      <c r="I29" s="280"/>
      <c r="J29" s="280"/>
      <c r="K29" s="165">
        <v>3</v>
      </c>
    </row>
    <row r="30" spans="2:11" ht="31.2" x14ac:dyDescent="0.3">
      <c r="B30" s="360"/>
      <c r="C30" s="193" t="s">
        <v>477</v>
      </c>
      <c r="D30" s="163">
        <f>(75000*2*5)/500</f>
        <v>1500</v>
      </c>
      <c r="E30" s="280"/>
      <c r="F30" s="280"/>
      <c r="G30" s="162">
        <f t="shared" si="0"/>
        <v>1500</v>
      </c>
      <c r="H30" s="213">
        <v>0.5</v>
      </c>
      <c r="I30" s="280"/>
      <c r="J30" s="280"/>
      <c r="K30" s="165">
        <v>4</v>
      </c>
    </row>
    <row r="31" spans="2:11" ht="46.8" x14ac:dyDescent="0.3">
      <c r="B31" s="360"/>
      <c r="C31" s="193" t="s">
        <v>483</v>
      </c>
      <c r="D31" s="287">
        <f>(69700*3*5)/500</f>
        <v>2091</v>
      </c>
      <c r="E31" s="280"/>
      <c r="F31" s="280"/>
      <c r="G31" s="162">
        <f t="shared" si="0"/>
        <v>2091</v>
      </c>
      <c r="H31" s="213">
        <v>0.5</v>
      </c>
      <c r="I31" s="280"/>
      <c r="J31" s="280"/>
      <c r="K31" s="165">
        <v>4</v>
      </c>
    </row>
    <row r="32" spans="2:11" ht="46.8" x14ac:dyDescent="0.3">
      <c r="B32" s="361"/>
      <c r="C32" s="193" t="s">
        <v>555</v>
      </c>
      <c r="D32" s="163">
        <v>5000</v>
      </c>
      <c r="E32" s="280"/>
      <c r="F32" s="280"/>
      <c r="G32" s="162">
        <f t="shared" si="0"/>
        <v>5000</v>
      </c>
      <c r="H32" s="213">
        <v>0.5</v>
      </c>
      <c r="I32" s="280"/>
      <c r="J32" s="280"/>
      <c r="K32" s="165">
        <v>3</v>
      </c>
    </row>
    <row r="33" spans="2:11" ht="31.2" x14ac:dyDescent="0.3">
      <c r="B33" s="359" t="s">
        <v>562</v>
      </c>
      <c r="C33" s="193" t="s">
        <v>606</v>
      </c>
      <c r="D33" s="163">
        <v>6000</v>
      </c>
      <c r="E33" s="280"/>
      <c r="F33" s="280"/>
      <c r="G33" s="162">
        <f t="shared" si="0"/>
        <v>6000</v>
      </c>
      <c r="H33" s="213">
        <v>0.3</v>
      </c>
      <c r="I33" s="280"/>
      <c r="J33" s="280"/>
      <c r="K33" s="165">
        <v>4</v>
      </c>
    </row>
    <row r="34" spans="2:11" ht="31.2" x14ac:dyDescent="0.3">
      <c r="B34" s="360"/>
      <c r="C34" s="286" t="s">
        <v>556</v>
      </c>
      <c r="D34" s="163">
        <f>((3*69700)*5)/500</f>
        <v>2091</v>
      </c>
      <c r="E34" s="280"/>
      <c r="F34" s="280"/>
      <c r="G34" s="162">
        <f t="shared" si="0"/>
        <v>2091</v>
      </c>
      <c r="H34" s="213">
        <v>0.5</v>
      </c>
      <c r="I34" s="280"/>
      <c r="J34" s="280"/>
      <c r="K34" s="165">
        <v>5</v>
      </c>
    </row>
    <row r="35" spans="2:11" ht="31.2" x14ac:dyDescent="0.3">
      <c r="B35" s="360"/>
      <c r="C35" s="286" t="s">
        <v>557</v>
      </c>
      <c r="D35" s="163">
        <v>4122.53</v>
      </c>
      <c r="E35" s="280"/>
      <c r="F35" s="280"/>
      <c r="G35" s="162">
        <f t="shared" si="0"/>
        <v>4122.53</v>
      </c>
      <c r="H35" s="213">
        <v>0.5</v>
      </c>
      <c r="I35" s="280"/>
      <c r="J35" s="280"/>
      <c r="K35" s="165">
        <v>5</v>
      </c>
    </row>
    <row r="36" spans="2:11" ht="62.4" x14ac:dyDescent="0.3">
      <c r="B36" s="361"/>
      <c r="C36" s="294" t="s">
        <v>605</v>
      </c>
      <c r="D36" s="163">
        <v>150000</v>
      </c>
      <c r="E36" s="280"/>
      <c r="F36" s="280"/>
      <c r="G36" s="162">
        <f t="shared" si="0"/>
        <v>150000</v>
      </c>
      <c r="H36" s="213">
        <v>0.5</v>
      </c>
      <c r="I36" s="280"/>
      <c r="J36" s="280"/>
      <c r="K36" s="165">
        <v>4</v>
      </c>
    </row>
    <row r="37" spans="2:11" ht="62.4" x14ac:dyDescent="0.3">
      <c r="B37" s="359" t="s">
        <v>634</v>
      </c>
      <c r="C37" s="286" t="s">
        <v>635</v>
      </c>
      <c r="D37" s="287">
        <v>6000</v>
      </c>
      <c r="E37" s="280"/>
      <c r="F37" s="280"/>
      <c r="G37" s="162">
        <f t="shared" si="0"/>
        <v>6000</v>
      </c>
      <c r="H37" s="213">
        <v>0.5</v>
      </c>
      <c r="I37" s="280"/>
      <c r="J37" s="280"/>
      <c r="K37" s="165">
        <v>3</v>
      </c>
    </row>
    <row r="38" spans="2:11" ht="62.4" x14ac:dyDescent="0.3">
      <c r="B38" s="360"/>
      <c r="C38" s="286" t="s">
        <v>558</v>
      </c>
      <c r="D38" s="287">
        <v>15000</v>
      </c>
      <c r="E38" s="280"/>
      <c r="F38" s="280"/>
      <c r="G38" s="162">
        <f t="shared" si="0"/>
        <v>15000</v>
      </c>
      <c r="H38" s="213">
        <v>0.5</v>
      </c>
      <c r="I38" s="280"/>
      <c r="J38" s="280"/>
      <c r="K38" s="165">
        <v>3</v>
      </c>
    </row>
    <row r="39" spans="2:11" ht="46.8" x14ac:dyDescent="0.3">
      <c r="B39" s="360"/>
      <c r="C39" s="286" t="s">
        <v>559</v>
      </c>
      <c r="D39" s="287">
        <f>(500000*5)/500</f>
        <v>5000</v>
      </c>
      <c r="E39" s="280"/>
      <c r="F39" s="280"/>
      <c r="G39" s="162">
        <f t="shared" si="0"/>
        <v>5000</v>
      </c>
      <c r="H39" s="213">
        <v>0.5</v>
      </c>
      <c r="I39" s="280"/>
      <c r="J39" s="280"/>
      <c r="K39" s="165">
        <v>2</v>
      </c>
    </row>
    <row r="40" spans="2:11" ht="15.6" x14ac:dyDescent="0.3">
      <c r="B40" s="361"/>
      <c r="C40" s="285" t="s">
        <v>560</v>
      </c>
      <c r="D40" s="287">
        <v>10000</v>
      </c>
      <c r="E40" s="280"/>
      <c r="F40" s="280"/>
      <c r="G40" s="162">
        <f t="shared" si="0"/>
        <v>10000</v>
      </c>
      <c r="H40" s="213">
        <v>0.5</v>
      </c>
      <c r="I40" s="280"/>
      <c r="J40" s="280"/>
      <c r="K40" s="165">
        <v>4</v>
      </c>
    </row>
    <row r="41" spans="2:11" ht="93.6" x14ac:dyDescent="0.3">
      <c r="B41" s="305" t="s">
        <v>629</v>
      </c>
      <c r="C41" s="285" t="s">
        <v>643</v>
      </c>
      <c r="D41" s="287">
        <v>32000</v>
      </c>
      <c r="E41" s="280"/>
      <c r="F41" s="280"/>
      <c r="G41" s="162">
        <f t="shared" si="0"/>
        <v>32000</v>
      </c>
      <c r="H41" s="213">
        <v>0.5</v>
      </c>
      <c r="I41" s="280"/>
      <c r="J41" s="280"/>
      <c r="K41" s="165">
        <v>4</v>
      </c>
    </row>
    <row r="42" spans="2:11" ht="15.6" x14ac:dyDescent="0.3">
      <c r="B42" s="218"/>
      <c r="C42" s="167" t="s">
        <v>377</v>
      </c>
      <c r="D42" s="214">
        <f>SUM(D15:D41)</f>
        <v>321722.93</v>
      </c>
      <c r="E42" s="214">
        <f>SUM(E33:E41)</f>
        <v>0</v>
      </c>
      <c r="F42" s="214">
        <f>SUM(F33:F41)</f>
        <v>0</v>
      </c>
      <c r="G42" s="214">
        <f>SUM(G15:G41)</f>
        <v>321722.93</v>
      </c>
      <c r="H42" s="215">
        <f>(H33*G33)+(H34*G34)+(H35*G35)+(H39*G39)+(H40*G40)+(H15*G15)+(H16*G16)+(H17*G17)+(H18*G18)+(H19*G19)+(H20*G20)+(H21*G21)+(H22*G22)+(H23*G23)+(H24*G24)+(H25*G25)+(H26*G26)+(H27*G27)+(H28*G28)+(H28*G28)+(H29*G29)+(H30*G30)+(H31*G31)+(H32*G32)+(H36*G36)+(H37*G37)+(H38*G38)+(H41*G41)</f>
        <v>157961.465</v>
      </c>
      <c r="I42" s="215">
        <f>SUM(I33:I40)</f>
        <v>0</v>
      </c>
      <c r="J42" s="216"/>
      <c r="K42" s="225"/>
    </row>
    <row r="43" spans="2:11" ht="23.4" customHeight="1" x14ac:dyDescent="0.3">
      <c r="B43" s="212" t="s">
        <v>563</v>
      </c>
      <c r="C43" s="368" t="s">
        <v>564</v>
      </c>
      <c r="D43" s="368"/>
      <c r="E43" s="368"/>
      <c r="F43" s="368"/>
      <c r="G43" s="368"/>
      <c r="H43" s="368"/>
      <c r="I43" s="369"/>
      <c r="J43" s="368"/>
      <c r="K43" s="218"/>
    </row>
    <row r="44" spans="2:11" ht="78" customHeight="1" x14ac:dyDescent="0.3">
      <c r="B44" s="359" t="s">
        <v>636</v>
      </c>
      <c r="C44" s="193" t="s">
        <v>565</v>
      </c>
      <c r="D44" s="163">
        <f>(105000*5)/500</f>
        <v>1050</v>
      </c>
      <c r="E44" s="280"/>
      <c r="F44" s="280"/>
      <c r="G44" s="162">
        <f t="shared" si="0"/>
        <v>1050</v>
      </c>
      <c r="H44" s="213">
        <v>0.5</v>
      </c>
      <c r="I44" s="280"/>
      <c r="J44" s="280"/>
      <c r="K44" s="165">
        <v>2</v>
      </c>
    </row>
    <row r="45" spans="2:11" ht="31.2" x14ac:dyDescent="0.3">
      <c r="B45" s="360"/>
      <c r="C45" s="193" t="s">
        <v>566</v>
      </c>
      <c r="D45" s="163">
        <f>((75000*24*5)/500)</f>
        <v>18000</v>
      </c>
      <c r="E45" s="280"/>
      <c r="F45" s="280"/>
      <c r="G45" s="162">
        <f t="shared" si="0"/>
        <v>18000</v>
      </c>
      <c r="H45" s="213">
        <v>0.5</v>
      </c>
      <c r="I45" s="280"/>
      <c r="J45" s="280"/>
      <c r="K45" s="165">
        <v>5</v>
      </c>
    </row>
    <row r="46" spans="2:11" ht="46.8" x14ac:dyDescent="0.3">
      <c r="B46" s="361"/>
      <c r="C46" s="193" t="s">
        <v>567</v>
      </c>
      <c r="D46" s="163">
        <f>(100000*5)/500</f>
        <v>1000</v>
      </c>
      <c r="E46" s="280"/>
      <c r="F46" s="280"/>
      <c r="G46" s="162">
        <f t="shared" si="0"/>
        <v>1000</v>
      </c>
      <c r="H46" s="213">
        <v>0.5</v>
      </c>
      <c r="I46" s="280"/>
      <c r="J46" s="280"/>
      <c r="K46" s="165">
        <v>3</v>
      </c>
    </row>
    <row r="47" spans="2:11" ht="93.6" x14ac:dyDescent="0.3">
      <c r="B47" s="359" t="s">
        <v>637</v>
      </c>
      <c r="C47" s="285" t="s">
        <v>568</v>
      </c>
      <c r="D47" s="287">
        <v>6000</v>
      </c>
      <c r="E47" s="280"/>
      <c r="F47" s="280"/>
      <c r="G47" s="162">
        <f t="shared" si="0"/>
        <v>6000</v>
      </c>
      <c r="H47" s="213">
        <v>0.5</v>
      </c>
      <c r="I47" s="280"/>
      <c r="J47" s="280"/>
      <c r="K47" s="165">
        <v>4</v>
      </c>
    </row>
    <row r="48" spans="2:11" ht="46.8" x14ac:dyDescent="0.3">
      <c r="B48" s="360"/>
      <c r="C48" s="285" t="s">
        <v>489</v>
      </c>
      <c r="D48" s="287">
        <f>((2500*120)/500)*2</f>
        <v>1200</v>
      </c>
      <c r="E48" s="280"/>
      <c r="F48" s="280"/>
      <c r="G48" s="162">
        <f t="shared" si="0"/>
        <v>1200</v>
      </c>
      <c r="H48" s="213">
        <v>0.5</v>
      </c>
      <c r="I48" s="280"/>
      <c r="J48" s="280"/>
      <c r="K48" s="165">
        <v>4</v>
      </c>
    </row>
    <row r="49" spans="2:11" ht="31.2" x14ac:dyDescent="0.3">
      <c r="B49" s="360"/>
      <c r="C49" s="285" t="s">
        <v>477</v>
      </c>
      <c r="D49" s="287">
        <f>((75000*5*2)/500)</f>
        <v>1500</v>
      </c>
      <c r="E49" s="280"/>
      <c r="F49" s="280"/>
      <c r="G49" s="162">
        <f t="shared" si="0"/>
        <v>1500</v>
      </c>
      <c r="H49" s="213">
        <v>0.5</v>
      </c>
      <c r="I49" s="280"/>
      <c r="J49" s="280"/>
      <c r="K49" s="165">
        <v>3</v>
      </c>
    </row>
    <row r="50" spans="2:11" ht="31.2" x14ac:dyDescent="0.3">
      <c r="B50" s="360"/>
      <c r="C50" s="285" t="s">
        <v>478</v>
      </c>
      <c r="D50" s="287">
        <f>450000/500</f>
        <v>900</v>
      </c>
      <c r="E50" s="280"/>
      <c r="F50" s="280"/>
      <c r="G50" s="162">
        <f t="shared" si="0"/>
        <v>900</v>
      </c>
      <c r="H50" s="213">
        <v>0.5</v>
      </c>
      <c r="I50" s="280"/>
      <c r="J50" s="280"/>
      <c r="K50" s="165">
        <v>4</v>
      </c>
    </row>
    <row r="51" spans="2:11" ht="46.8" x14ac:dyDescent="0.3">
      <c r="B51" s="360"/>
      <c r="C51" s="285" t="s">
        <v>483</v>
      </c>
      <c r="D51" s="287">
        <v>5018.3999999999996</v>
      </c>
      <c r="E51" s="280"/>
      <c r="F51" s="280"/>
      <c r="G51" s="162">
        <f t="shared" si="0"/>
        <v>5018.3999999999996</v>
      </c>
      <c r="H51" s="213">
        <v>0.5</v>
      </c>
      <c r="I51" s="280"/>
      <c r="J51" s="280"/>
      <c r="K51" s="165">
        <v>5</v>
      </c>
    </row>
    <row r="52" spans="2:11" ht="31.2" x14ac:dyDescent="0.3">
      <c r="B52" s="360"/>
      <c r="C52" s="286" t="s">
        <v>569</v>
      </c>
      <c r="D52" s="287">
        <v>4000</v>
      </c>
      <c r="E52" s="280"/>
      <c r="F52" s="280"/>
      <c r="G52" s="162">
        <f t="shared" si="0"/>
        <v>4000</v>
      </c>
      <c r="H52" s="213">
        <v>0.5</v>
      </c>
      <c r="I52" s="280"/>
      <c r="J52" s="280"/>
      <c r="K52" s="165">
        <v>5</v>
      </c>
    </row>
    <row r="53" spans="2:11" ht="46.8" x14ac:dyDescent="0.3">
      <c r="B53" s="360"/>
      <c r="C53" s="285" t="s">
        <v>479</v>
      </c>
      <c r="D53" s="287">
        <f>((105000*2*5)+(105000*2))/500</f>
        <v>2520</v>
      </c>
      <c r="E53" s="280"/>
      <c r="F53" s="280"/>
      <c r="G53" s="162">
        <f t="shared" si="0"/>
        <v>2520</v>
      </c>
      <c r="H53" s="213">
        <v>0.5</v>
      </c>
      <c r="I53" s="280"/>
      <c r="J53" s="280"/>
      <c r="K53" s="165">
        <v>4</v>
      </c>
    </row>
    <row r="54" spans="2:11" ht="62.4" x14ac:dyDescent="0.3">
      <c r="B54" s="360"/>
      <c r="C54" s="285" t="s">
        <v>480</v>
      </c>
      <c r="D54" s="287">
        <f>(10000*100)/500</f>
        <v>2000</v>
      </c>
      <c r="E54" s="280"/>
      <c r="F54" s="280"/>
      <c r="G54" s="162">
        <f t="shared" si="0"/>
        <v>2000</v>
      </c>
      <c r="H54" s="213">
        <v>0.5</v>
      </c>
      <c r="I54" s="280"/>
      <c r="J54" s="280"/>
      <c r="K54" s="165">
        <v>3</v>
      </c>
    </row>
    <row r="55" spans="2:11" ht="46.8" x14ac:dyDescent="0.3">
      <c r="B55" s="361"/>
      <c r="C55" s="285" t="s">
        <v>482</v>
      </c>
      <c r="D55" s="287">
        <f>(1500*100)/500</f>
        <v>300</v>
      </c>
      <c r="E55" s="280"/>
      <c r="F55" s="280"/>
      <c r="G55" s="162">
        <f t="shared" si="0"/>
        <v>300</v>
      </c>
      <c r="H55" s="213">
        <v>0.5</v>
      </c>
      <c r="I55" s="280"/>
      <c r="J55" s="280"/>
      <c r="K55" s="165">
        <v>3</v>
      </c>
    </row>
    <row r="56" spans="2:11" ht="46.95" customHeight="1" x14ac:dyDescent="0.3">
      <c r="B56" s="359" t="s">
        <v>578</v>
      </c>
      <c r="C56" s="285" t="s">
        <v>570</v>
      </c>
      <c r="D56" s="287">
        <f>(1000000*5)/500</f>
        <v>10000</v>
      </c>
      <c r="E56" s="280"/>
      <c r="F56" s="280"/>
      <c r="G56" s="162">
        <f t="shared" si="0"/>
        <v>10000</v>
      </c>
      <c r="H56" s="213">
        <v>0.5</v>
      </c>
      <c r="I56" s="280"/>
      <c r="J56" s="280"/>
      <c r="K56" s="165">
        <v>2</v>
      </c>
    </row>
    <row r="57" spans="2:11" ht="31.2" x14ac:dyDescent="0.3">
      <c r="B57" s="360"/>
      <c r="C57" s="285" t="s">
        <v>571</v>
      </c>
      <c r="D57" s="287">
        <v>80730</v>
      </c>
      <c r="E57" s="280"/>
      <c r="F57" s="280"/>
      <c r="G57" s="162">
        <f t="shared" si="0"/>
        <v>80730</v>
      </c>
      <c r="H57" s="213">
        <v>0.5</v>
      </c>
      <c r="I57" s="280"/>
      <c r="J57" s="280"/>
      <c r="K57" s="165">
        <v>4</v>
      </c>
    </row>
    <row r="58" spans="2:11" ht="46.8" x14ac:dyDescent="0.3">
      <c r="B58" s="360"/>
      <c r="C58" s="285" t="s">
        <v>572</v>
      </c>
      <c r="D58" s="287">
        <f>(2100000*5)/500</f>
        <v>21000</v>
      </c>
      <c r="E58" s="280"/>
      <c r="F58" s="280"/>
      <c r="G58" s="162">
        <f t="shared" si="0"/>
        <v>21000</v>
      </c>
      <c r="H58" s="213">
        <v>0.5</v>
      </c>
      <c r="I58" s="280"/>
      <c r="J58" s="280"/>
      <c r="K58" s="165">
        <v>3</v>
      </c>
    </row>
    <row r="59" spans="2:11" ht="46.8" x14ac:dyDescent="0.3">
      <c r="B59" s="360"/>
      <c r="C59" s="285" t="s">
        <v>573</v>
      </c>
      <c r="D59" s="287">
        <f>((200000*5)+(15000*5))/500</f>
        <v>2150</v>
      </c>
      <c r="E59" s="280"/>
      <c r="F59" s="280"/>
      <c r="G59" s="162">
        <f t="shared" si="0"/>
        <v>2150</v>
      </c>
      <c r="H59" s="213">
        <v>0.5</v>
      </c>
      <c r="I59" s="280"/>
      <c r="J59" s="280"/>
      <c r="K59" s="165">
        <v>2</v>
      </c>
    </row>
    <row r="60" spans="2:11" ht="46.8" x14ac:dyDescent="0.3">
      <c r="B60" s="360"/>
      <c r="C60" s="285" t="s">
        <v>574</v>
      </c>
      <c r="D60" s="287">
        <f>(24*60000*5)/500</f>
        <v>14400</v>
      </c>
      <c r="E60" s="280"/>
      <c r="F60" s="280"/>
      <c r="G60" s="162">
        <f t="shared" si="0"/>
        <v>14400</v>
      </c>
      <c r="H60" s="213">
        <v>0.5</v>
      </c>
      <c r="I60" s="280"/>
      <c r="J60" s="280"/>
      <c r="K60" s="165">
        <v>3</v>
      </c>
    </row>
    <row r="61" spans="2:11" ht="46.8" x14ac:dyDescent="0.3">
      <c r="B61" s="360"/>
      <c r="C61" s="285" t="s">
        <v>575</v>
      </c>
      <c r="D61" s="287">
        <f>((5000*5)*24)/500</f>
        <v>1200</v>
      </c>
      <c r="E61" s="280"/>
      <c r="F61" s="280"/>
      <c r="G61" s="162">
        <f t="shared" si="0"/>
        <v>1200</v>
      </c>
      <c r="H61" s="213">
        <v>0.5</v>
      </c>
      <c r="I61" s="280"/>
      <c r="J61" s="280"/>
      <c r="K61" s="165">
        <v>7</v>
      </c>
    </row>
    <row r="62" spans="2:11" ht="46.8" x14ac:dyDescent="0.3">
      <c r="B62" s="361"/>
      <c r="C62" s="285" t="s">
        <v>576</v>
      </c>
      <c r="D62" s="287">
        <f>(5000*4*5*24)/500</f>
        <v>4800</v>
      </c>
      <c r="E62" s="280"/>
      <c r="F62" s="280"/>
      <c r="G62" s="162">
        <f t="shared" si="0"/>
        <v>4800</v>
      </c>
      <c r="H62" s="213">
        <v>0.5</v>
      </c>
      <c r="I62" s="280"/>
      <c r="J62" s="280"/>
      <c r="K62" s="165">
        <v>4</v>
      </c>
    </row>
    <row r="63" spans="2:11" ht="15.6" x14ac:dyDescent="0.3">
      <c r="B63" s="218"/>
      <c r="C63" s="167" t="s">
        <v>577</v>
      </c>
      <c r="D63" s="214">
        <f>SUM(D44:D62)</f>
        <v>177768.4</v>
      </c>
      <c r="E63" s="214">
        <f>SUM(E55:E62)</f>
        <v>0</v>
      </c>
      <c r="F63" s="214">
        <f>SUM(F55:F62)</f>
        <v>0</v>
      </c>
      <c r="G63" s="214">
        <f>SUM(G44:G62)</f>
        <v>177768.4</v>
      </c>
      <c r="H63" s="215">
        <f>(H55*G55)+(H56*G56)+(H57*G57)+(H61*G61)+(H62*G62)+(H44*G44)+(H45*G45)+(H46*G46)+(H47*G47)+(H48*G48)+(H49*G49)+(H50*G50)+(H50*G50)+(H51*G51)+(H52*G52)+(H53*G53)+(H54*G54)+(H58*G58)+(H59*G59)+(H60*G60)</f>
        <v>89334.2</v>
      </c>
      <c r="I63" s="215">
        <f>SUM(I55:I62)</f>
        <v>0</v>
      </c>
      <c r="J63" s="216"/>
      <c r="K63" s="225"/>
    </row>
    <row r="64" spans="2:11" ht="15.6" x14ac:dyDescent="0.3">
      <c r="B64" s="212" t="s">
        <v>378</v>
      </c>
      <c r="C64" s="368" t="s">
        <v>610</v>
      </c>
      <c r="D64" s="368"/>
      <c r="E64" s="368"/>
      <c r="F64" s="368"/>
      <c r="G64" s="368"/>
      <c r="H64" s="368"/>
      <c r="I64" s="369"/>
      <c r="J64" s="368"/>
      <c r="K64" s="218"/>
    </row>
    <row r="65" spans="2:11" ht="46.95" customHeight="1" x14ac:dyDescent="0.3">
      <c r="B65" s="359" t="s">
        <v>638</v>
      </c>
      <c r="C65" s="288" t="s">
        <v>581</v>
      </c>
      <c r="D65" s="289">
        <f>((5000*100*2)+(2500*100*2)+(75000*5*2)+250000)/500</f>
        <v>5000</v>
      </c>
      <c r="E65" s="280"/>
      <c r="F65" s="280"/>
      <c r="G65" s="162">
        <f t="shared" si="0"/>
        <v>5000</v>
      </c>
      <c r="H65" s="213">
        <v>0.5</v>
      </c>
      <c r="I65" s="280"/>
      <c r="J65" s="280"/>
      <c r="K65" s="225">
        <v>6</v>
      </c>
    </row>
    <row r="66" spans="2:11" ht="93.6" x14ac:dyDescent="0.3">
      <c r="B66" s="360"/>
      <c r="C66" s="288" t="s">
        <v>582</v>
      </c>
      <c r="D66" s="289">
        <v>8000</v>
      </c>
      <c r="E66" s="280"/>
      <c r="F66" s="280"/>
      <c r="G66" s="162">
        <f t="shared" si="0"/>
        <v>8000</v>
      </c>
      <c r="H66" s="213">
        <v>0.5</v>
      </c>
      <c r="I66" s="280"/>
      <c r="J66" s="280"/>
      <c r="K66" s="225">
        <v>6</v>
      </c>
    </row>
    <row r="67" spans="2:11" ht="31.2" x14ac:dyDescent="0.3">
      <c r="B67" s="360"/>
      <c r="C67" s="288" t="s">
        <v>583</v>
      </c>
      <c r="D67" s="289">
        <v>4000</v>
      </c>
      <c r="E67" s="280"/>
      <c r="F67" s="280"/>
      <c r="G67" s="162">
        <f t="shared" si="0"/>
        <v>4000</v>
      </c>
      <c r="H67" s="213">
        <v>0.5</v>
      </c>
      <c r="I67" s="280"/>
      <c r="J67" s="280"/>
      <c r="K67" s="225">
        <v>6</v>
      </c>
    </row>
    <row r="68" spans="2:11" ht="46.8" x14ac:dyDescent="0.3">
      <c r="B68" s="360"/>
      <c r="C68" s="288" t="s">
        <v>584</v>
      </c>
      <c r="D68" s="289">
        <v>8000</v>
      </c>
      <c r="E68" s="280"/>
      <c r="F68" s="280"/>
      <c r="G68" s="162">
        <f t="shared" si="0"/>
        <v>8000</v>
      </c>
      <c r="H68" s="213">
        <v>0.5</v>
      </c>
      <c r="I68" s="280"/>
      <c r="J68" s="280"/>
      <c r="K68" s="225">
        <v>6</v>
      </c>
    </row>
    <row r="69" spans="2:11" ht="62.4" x14ac:dyDescent="0.3">
      <c r="B69" s="360"/>
      <c r="C69" s="290" t="s">
        <v>589</v>
      </c>
      <c r="D69" s="289">
        <v>15072</v>
      </c>
      <c r="E69" s="280"/>
      <c r="F69" s="291"/>
      <c r="G69" s="162">
        <f t="shared" si="0"/>
        <v>15072</v>
      </c>
      <c r="H69" s="213">
        <v>0.5</v>
      </c>
      <c r="I69" s="280"/>
      <c r="J69" s="280"/>
      <c r="K69" s="225">
        <v>4</v>
      </c>
    </row>
    <row r="70" spans="2:11" ht="46.8" x14ac:dyDescent="0.3">
      <c r="B70" s="361"/>
      <c r="C70" s="290" t="s">
        <v>590</v>
      </c>
      <c r="D70" s="289">
        <v>2100</v>
      </c>
      <c r="E70" s="280"/>
      <c r="F70" s="292"/>
      <c r="G70" s="162">
        <f t="shared" si="0"/>
        <v>2100</v>
      </c>
      <c r="H70" s="213">
        <v>0.5</v>
      </c>
      <c r="I70" s="280"/>
      <c r="J70" s="280"/>
      <c r="K70" s="225">
        <v>4</v>
      </c>
    </row>
    <row r="71" spans="2:11" ht="62.4" x14ac:dyDescent="0.3">
      <c r="B71" s="359" t="s">
        <v>639</v>
      </c>
      <c r="C71" s="288" t="s">
        <v>585</v>
      </c>
      <c r="D71" s="289">
        <f>((((20*5000*2)+(20*2500*2))*5)+(75000*5)+(100000*5))/500</f>
        <v>4750</v>
      </c>
      <c r="E71" s="280"/>
      <c r="F71" s="280"/>
      <c r="G71" s="162">
        <f t="shared" si="0"/>
        <v>4750</v>
      </c>
      <c r="H71" s="213">
        <v>0.5</v>
      </c>
      <c r="I71" s="280"/>
      <c r="J71" s="280"/>
      <c r="K71" s="225">
        <v>4</v>
      </c>
    </row>
    <row r="72" spans="2:11" ht="46.8" x14ac:dyDescent="0.3">
      <c r="B72" s="361"/>
      <c r="C72" s="288" t="s">
        <v>586</v>
      </c>
      <c r="D72" s="289">
        <f>((200000*4)*5)/500</f>
        <v>8000</v>
      </c>
      <c r="E72" s="280"/>
      <c r="F72" s="280"/>
      <c r="G72" s="162">
        <f t="shared" si="0"/>
        <v>8000</v>
      </c>
      <c r="H72" s="213">
        <v>0.5</v>
      </c>
      <c r="I72" s="280"/>
      <c r="J72" s="280"/>
      <c r="K72" s="225">
        <v>4</v>
      </c>
    </row>
    <row r="73" spans="2:11" ht="109.2" x14ac:dyDescent="0.3">
      <c r="B73" s="359" t="s">
        <v>640</v>
      </c>
      <c r="C73" s="288" t="s">
        <v>641</v>
      </c>
      <c r="D73" s="289">
        <f>(350000*5)/500</f>
        <v>3500</v>
      </c>
      <c r="E73" s="280"/>
      <c r="F73" s="280"/>
      <c r="G73" s="162">
        <f t="shared" si="0"/>
        <v>3500</v>
      </c>
      <c r="H73" s="213">
        <v>0.5</v>
      </c>
      <c r="I73" s="280"/>
      <c r="J73" s="280"/>
      <c r="K73" s="225">
        <v>4</v>
      </c>
    </row>
    <row r="74" spans="2:11" ht="78" x14ac:dyDescent="0.3">
      <c r="B74" s="361"/>
      <c r="C74" s="288" t="s">
        <v>642</v>
      </c>
      <c r="D74" s="289">
        <v>17172</v>
      </c>
      <c r="E74" s="280"/>
      <c r="F74" s="280"/>
      <c r="G74" s="162">
        <f t="shared" si="0"/>
        <v>17172</v>
      </c>
      <c r="H74" s="213">
        <v>0.5</v>
      </c>
      <c r="I74" s="280"/>
      <c r="J74" s="280"/>
      <c r="K74" s="225">
        <v>4</v>
      </c>
    </row>
    <row r="75" spans="2:11" ht="78" customHeight="1" x14ac:dyDescent="0.3">
      <c r="B75" s="359" t="s">
        <v>592</v>
      </c>
      <c r="C75" s="288" t="s">
        <v>587</v>
      </c>
      <c r="D75" s="289">
        <v>28558</v>
      </c>
      <c r="E75" s="280"/>
      <c r="F75" s="280"/>
      <c r="G75" s="162">
        <f t="shared" si="0"/>
        <v>28558</v>
      </c>
      <c r="H75" s="213">
        <v>0.5</v>
      </c>
      <c r="I75" s="280"/>
      <c r="J75" s="280"/>
      <c r="K75" s="225">
        <v>6</v>
      </c>
    </row>
    <row r="76" spans="2:11" ht="31.2" x14ac:dyDescent="0.3">
      <c r="B76" s="360"/>
      <c r="C76" s="288" t="s">
        <v>588</v>
      </c>
      <c r="D76" s="289">
        <f>(350000*2)/500</f>
        <v>1400</v>
      </c>
      <c r="E76" s="280"/>
      <c r="F76" s="280"/>
      <c r="G76" s="162">
        <f t="shared" si="0"/>
        <v>1400</v>
      </c>
      <c r="H76" s="213">
        <v>0.5</v>
      </c>
      <c r="I76" s="280"/>
      <c r="J76" s="280"/>
      <c r="K76" s="225">
        <v>4</v>
      </c>
    </row>
    <row r="77" spans="2:11" ht="15.6" x14ac:dyDescent="0.3">
      <c r="B77" s="361"/>
      <c r="C77" s="285" t="s">
        <v>591</v>
      </c>
      <c r="D77" s="280">
        <v>8540</v>
      </c>
      <c r="E77" s="280"/>
      <c r="F77" s="280"/>
      <c r="G77" s="162">
        <f t="shared" si="0"/>
        <v>8540</v>
      </c>
      <c r="H77" s="213">
        <v>0.5</v>
      </c>
      <c r="I77" s="280"/>
      <c r="J77" s="280"/>
      <c r="K77" s="225">
        <v>6</v>
      </c>
    </row>
    <row r="78" spans="2:11" ht="15.6" x14ac:dyDescent="0.3">
      <c r="B78" s="218"/>
      <c r="C78" s="167" t="s">
        <v>379</v>
      </c>
      <c r="D78" s="214">
        <f>SUM(D65:D77)</f>
        <v>114092</v>
      </c>
      <c r="E78" s="214">
        <f>SUM(E70:E77)</f>
        <v>0</v>
      </c>
      <c r="F78" s="214">
        <f>SUM(F65:F77)</f>
        <v>0</v>
      </c>
      <c r="G78" s="214">
        <f>SUM(G65:G77)</f>
        <v>114092</v>
      </c>
      <c r="H78" s="215">
        <f>(H70*G70)+(H71*G71)+(H72*G72)+(H76*G76)+(H77*G77)+(H65*G65)+(H65*G65)+(H66*G66)+(H67*G67)+(H68*G68)+(H69*G69)+(H73*G73)+(H74*G74)+(H75*G75)</f>
        <v>59546</v>
      </c>
      <c r="I78" s="215">
        <f>SUM(I70:I77)</f>
        <v>0</v>
      </c>
      <c r="J78" s="216"/>
      <c r="K78" s="225"/>
    </row>
    <row r="79" spans="2:11" ht="31.95" customHeight="1" x14ac:dyDescent="0.3">
      <c r="B79" s="212" t="s">
        <v>579</v>
      </c>
      <c r="C79" s="362" t="s">
        <v>580</v>
      </c>
      <c r="D79" s="362"/>
      <c r="E79" s="362"/>
      <c r="F79" s="362"/>
      <c r="G79" s="362"/>
      <c r="H79" s="362"/>
      <c r="I79" s="363"/>
      <c r="J79" s="362"/>
      <c r="K79" s="218"/>
    </row>
    <row r="80" spans="2:11" ht="93.6" x14ac:dyDescent="0.3">
      <c r="B80" s="277" t="s">
        <v>599</v>
      </c>
      <c r="C80" s="193" t="s">
        <v>593</v>
      </c>
      <c r="D80" s="280">
        <v>80904</v>
      </c>
      <c r="E80" s="280"/>
      <c r="F80" s="163"/>
      <c r="G80" s="162">
        <f t="shared" si="0"/>
        <v>80904</v>
      </c>
      <c r="H80" s="213">
        <v>0.3</v>
      </c>
      <c r="I80" s="280"/>
      <c r="J80" s="280"/>
      <c r="K80" s="165">
        <v>6</v>
      </c>
    </row>
    <row r="81" spans="1:11" ht="78" x14ac:dyDescent="0.3">
      <c r="B81" s="277" t="s">
        <v>600</v>
      </c>
      <c r="C81" s="193" t="s">
        <v>594</v>
      </c>
      <c r="D81" s="280">
        <v>5900</v>
      </c>
      <c r="E81" s="280"/>
      <c r="F81" s="163"/>
      <c r="G81" s="162">
        <f t="shared" si="0"/>
        <v>5900</v>
      </c>
      <c r="H81" s="213">
        <v>0.5</v>
      </c>
      <c r="I81" s="280"/>
      <c r="J81" s="280"/>
      <c r="K81" s="165">
        <v>6</v>
      </c>
    </row>
    <row r="82" spans="1:11" ht="109.2" x14ac:dyDescent="0.3">
      <c r="B82" s="277" t="s">
        <v>601</v>
      </c>
      <c r="C82" s="193" t="s">
        <v>595</v>
      </c>
      <c r="D82" s="280">
        <v>3100</v>
      </c>
      <c r="E82" s="280"/>
      <c r="F82" s="163"/>
      <c r="G82" s="162">
        <f t="shared" si="0"/>
        <v>3100</v>
      </c>
      <c r="H82" s="213">
        <v>0.5</v>
      </c>
      <c r="I82" s="280"/>
      <c r="J82" s="280"/>
      <c r="K82" s="165">
        <v>5</v>
      </c>
    </row>
    <row r="83" spans="1:11" ht="78" x14ac:dyDescent="0.3">
      <c r="B83" s="403" t="s">
        <v>602</v>
      </c>
      <c r="C83" s="286" t="s">
        <v>596</v>
      </c>
      <c r="D83" s="280">
        <v>24884</v>
      </c>
      <c r="E83" s="280"/>
      <c r="F83" s="163"/>
      <c r="G83" s="162">
        <f t="shared" si="0"/>
        <v>24884</v>
      </c>
      <c r="H83" s="213">
        <v>0.5</v>
      </c>
      <c r="I83" s="280"/>
      <c r="J83" s="280"/>
      <c r="K83" s="165">
        <v>6</v>
      </c>
    </row>
    <row r="84" spans="1:11" ht="62.4" x14ac:dyDescent="0.3">
      <c r="B84" s="404"/>
      <c r="C84" s="193" t="s">
        <v>597</v>
      </c>
      <c r="D84" s="280">
        <v>81478.320000000007</v>
      </c>
      <c r="E84" s="280"/>
      <c r="F84" s="217"/>
      <c r="G84" s="162">
        <f t="shared" si="0"/>
        <v>81478.320000000007</v>
      </c>
      <c r="H84" s="213">
        <v>0.5</v>
      </c>
      <c r="I84" s="280"/>
      <c r="J84" s="280"/>
      <c r="K84" s="165">
        <v>6</v>
      </c>
    </row>
    <row r="85" spans="1:11" ht="124.8" x14ac:dyDescent="0.3">
      <c r="B85" s="277" t="s">
        <v>603</v>
      </c>
      <c r="C85" s="193" t="s">
        <v>598</v>
      </c>
      <c r="D85" s="280">
        <v>24884</v>
      </c>
      <c r="E85" s="280"/>
      <c r="F85" s="217"/>
      <c r="G85" s="162">
        <f t="shared" si="0"/>
        <v>24884</v>
      </c>
      <c r="H85" s="213">
        <v>0.5</v>
      </c>
      <c r="I85" s="280"/>
      <c r="J85" s="280"/>
      <c r="K85" s="165">
        <v>6</v>
      </c>
    </row>
    <row r="86" spans="1:11" ht="15.6" x14ac:dyDescent="0.3">
      <c r="B86" s="218"/>
      <c r="C86" s="167" t="s">
        <v>604</v>
      </c>
      <c r="D86" s="214">
        <f t="shared" ref="D86:E86" si="1">SUM(D80:D85)</f>
        <v>221150.32</v>
      </c>
      <c r="E86" s="214">
        <f t="shared" si="1"/>
        <v>0</v>
      </c>
      <c r="F86" s="214">
        <f>SUM(F80:F85)</f>
        <v>0</v>
      </c>
      <c r="G86" s="214">
        <f>SUM(G80:G85)</f>
        <v>221150.32</v>
      </c>
      <c r="H86" s="215">
        <f>(H80*G80)+(H84*G84)+(H85*G85)+(H81*G81)+(H82*G82)+(H83*G83)</f>
        <v>94394.36</v>
      </c>
      <c r="I86" s="215">
        <f>SUM(I78:I85)</f>
        <v>0</v>
      </c>
      <c r="J86" s="216"/>
      <c r="K86" s="225"/>
    </row>
    <row r="87" spans="1:11" ht="51" customHeight="1" x14ac:dyDescent="0.3">
      <c r="B87" s="275" t="s">
        <v>380</v>
      </c>
      <c r="C87" s="401" t="s">
        <v>522</v>
      </c>
      <c r="D87" s="401"/>
      <c r="E87" s="401"/>
      <c r="F87" s="401"/>
      <c r="G87" s="401"/>
      <c r="H87" s="401"/>
      <c r="I87" s="402"/>
      <c r="J87" s="401"/>
      <c r="K87" s="278"/>
    </row>
    <row r="88" spans="1:11" ht="51" customHeight="1" x14ac:dyDescent="0.3">
      <c r="B88" s="274" t="s">
        <v>381</v>
      </c>
      <c r="C88" s="364" t="s">
        <v>523</v>
      </c>
      <c r="D88" s="364"/>
      <c r="E88" s="364"/>
      <c r="F88" s="364"/>
      <c r="G88" s="364"/>
      <c r="H88" s="364"/>
      <c r="I88" s="365"/>
      <c r="J88" s="364"/>
      <c r="K88" s="279"/>
    </row>
    <row r="89" spans="1:11" ht="147.75" customHeight="1" x14ac:dyDescent="0.3">
      <c r="B89" s="277" t="s">
        <v>526</v>
      </c>
      <c r="C89" s="286" t="s">
        <v>524</v>
      </c>
      <c r="D89" s="163"/>
      <c r="E89" s="163">
        <v>19416</v>
      </c>
      <c r="F89" s="163"/>
      <c r="G89" s="162">
        <f>D89+E89+F89</f>
        <v>19416</v>
      </c>
      <c r="H89" s="213">
        <v>0.4</v>
      </c>
      <c r="I89" s="164"/>
      <c r="J89" s="194"/>
      <c r="K89" s="165">
        <v>6</v>
      </c>
    </row>
    <row r="90" spans="1:11" ht="84.6" customHeight="1" x14ac:dyDescent="0.3">
      <c r="B90" s="277" t="s">
        <v>527</v>
      </c>
      <c r="C90" s="286" t="s">
        <v>525</v>
      </c>
      <c r="D90" s="163"/>
      <c r="E90" s="163">
        <v>78000</v>
      </c>
      <c r="F90" s="163"/>
      <c r="G90" s="162">
        <f t="shared" ref="G90:G96" si="2">D90+E90+F90</f>
        <v>78000</v>
      </c>
      <c r="H90" s="213">
        <v>0.5</v>
      </c>
      <c r="I90" s="164"/>
      <c r="J90" s="194"/>
      <c r="K90" s="165">
        <v>6</v>
      </c>
    </row>
    <row r="91" spans="1:11" ht="116.4" customHeight="1" x14ac:dyDescent="0.3">
      <c r="B91" s="276" t="s">
        <v>528</v>
      </c>
      <c r="C91" s="286" t="s">
        <v>521</v>
      </c>
      <c r="D91" s="163"/>
      <c r="E91" s="163">
        <v>24875</v>
      </c>
      <c r="F91" s="163"/>
      <c r="G91" s="162">
        <f t="shared" si="2"/>
        <v>24875</v>
      </c>
      <c r="H91" s="213">
        <v>0.5</v>
      </c>
      <c r="I91" s="164"/>
      <c r="J91" s="194"/>
      <c r="K91" s="165">
        <v>6</v>
      </c>
    </row>
    <row r="92" spans="1:11" ht="116.4" customHeight="1" x14ac:dyDescent="0.3">
      <c r="B92" s="276" t="s">
        <v>529</v>
      </c>
      <c r="C92" s="286" t="s">
        <v>514</v>
      </c>
      <c r="D92" s="163"/>
      <c r="E92" s="163">
        <v>37454</v>
      </c>
      <c r="F92" s="163"/>
      <c r="G92" s="162">
        <f t="shared" si="2"/>
        <v>37454</v>
      </c>
      <c r="H92" s="213"/>
      <c r="I92" s="164"/>
      <c r="J92" s="194"/>
      <c r="K92" s="165">
        <v>6</v>
      </c>
    </row>
    <row r="93" spans="1:11" ht="116.4" customHeight="1" x14ac:dyDescent="0.3">
      <c r="B93" s="276" t="s">
        <v>530</v>
      </c>
      <c r="C93" s="286" t="s">
        <v>515</v>
      </c>
      <c r="D93" s="163"/>
      <c r="E93" s="163">
        <v>70125</v>
      </c>
      <c r="F93" s="163"/>
      <c r="G93" s="162">
        <f t="shared" si="2"/>
        <v>70125</v>
      </c>
      <c r="H93" s="213"/>
      <c r="I93" s="164"/>
      <c r="J93" s="194"/>
      <c r="K93" s="165">
        <v>6</v>
      </c>
    </row>
    <row r="94" spans="1:11" ht="116.4" customHeight="1" x14ac:dyDescent="0.3">
      <c r="A94" s="318"/>
      <c r="B94" s="276" t="s">
        <v>531</v>
      </c>
      <c r="C94" s="286" t="s">
        <v>516</v>
      </c>
      <c r="D94" s="163"/>
      <c r="E94" s="163">
        <f>169124.77+4278.0071</f>
        <v>173402.77709999998</v>
      </c>
      <c r="F94" s="163"/>
      <c r="G94" s="162">
        <f t="shared" si="2"/>
        <v>173402.77709999998</v>
      </c>
      <c r="H94" s="213"/>
      <c r="I94" s="164"/>
      <c r="J94" s="194"/>
      <c r="K94" s="165">
        <v>6</v>
      </c>
    </row>
    <row r="95" spans="1:11" ht="133.35" customHeight="1" x14ac:dyDescent="0.3">
      <c r="A95" s="321"/>
      <c r="B95" s="277" t="s">
        <v>532</v>
      </c>
      <c r="C95" s="286" t="s">
        <v>517</v>
      </c>
      <c r="D95" s="163"/>
      <c r="E95" s="163">
        <v>33630</v>
      </c>
      <c r="F95" s="163"/>
      <c r="G95" s="162">
        <f t="shared" si="2"/>
        <v>33630</v>
      </c>
      <c r="H95" s="213">
        <v>0.4</v>
      </c>
      <c r="I95" s="164"/>
      <c r="J95" s="194"/>
      <c r="K95" s="165">
        <v>6</v>
      </c>
    </row>
    <row r="96" spans="1:11" ht="144.6" customHeight="1" x14ac:dyDescent="0.3">
      <c r="B96" s="277" t="s">
        <v>533</v>
      </c>
      <c r="C96" s="286" t="s">
        <v>513</v>
      </c>
      <c r="D96" s="163"/>
      <c r="E96" s="163">
        <v>17248</v>
      </c>
      <c r="F96" s="163"/>
      <c r="G96" s="162">
        <f t="shared" si="2"/>
        <v>17248</v>
      </c>
      <c r="H96" s="213">
        <v>0.4</v>
      </c>
      <c r="I96" s="164"/>
      <c r="J96" s="194"/>
      <c r="K96" s="165">
        <v>6</v>
      </c>
    </row>
    <row r="97" spans="1:19" s="210" customFormat="1" ht="15.6" x14ac:dyDescent="0.3">
      <c r="A97" s="191"/>
      <c r="B97" s="218"/>
      <c r="C97" s="167" t="s">
        <v>384</v>
      </c>
      <c r="D97" s="214">
        <f>SUM(D89:D96)</f>
        <v>0</v>
      </c>
      <c r="E97" s="214">
        <f>SUM(E89:E96)</f>
        <v>454150.77709999995</v>
      </c>
      <c r="F97" s="214">
        <f>SUM(F89:F96)</f>
        <v>0</v>
      </c>
      <c r="G97" s="214">
        <f>SUM(G89:G96)</f>
        <v>454150.77709999995</v>
      </c>
      <c r="H97" s="215">
        <f>(G89*H89)+(G90*H90)+(H91*G91)+(H92*G92)+(H93*G93)+(H94*G94)+(H95*G95)+(H96*G96)</f>
        <v>79555.099999999991</v>
      </c>
      <c r="I97" s="215">
        <f>SUM(I89:I96)</f>
        <v>0</v>
      </c>
      <c r="J97" s="216"/>
      <c r="K97" s="225"/>
    </row>
    <row r="98" spans="1:19" ht="51" customHeight="1" x14ac:dyDescent="0.3">
      <c r="B98" s="274" t="s">
        <v>382</v>
      </c>
      <c r="C98" s="364" t="s">
        <v>534</v>
      </c>
      <c r="D98" s="364"/>
      <c r="E98" s="364"/>
      <c r="F98" s="364"/>
      <c r="G98" s="364"/>
      <c r="H98" s="364"/>
      <c r="I98" s="365"/>
      <c r="J98" s="364"/>
      <c r="K98" s="279"/>
    </row>
    <row r="99" spans="1:19" ht="141" customHeight="1" x14ac:dyDescent="0.3">
      <c r="B99" s="277" t="s">
        <v>537</v>
      </c>
      <c r="C99" s="286" t="s">
        <v>535</v>
      </c>
      <c r="D99" s="163"/>
      <c r="E99" s="217">
        <v>28992</v>
      </c>
      <c r="F99" s="163"/>
      <c r="G99" s="162">
        <f>D99+E99+F99</f>
        <v>28992</v>
      </c>
      <c r="H99" s="213">
        <v>0.5</v>
      </c>
      <c r="I99" s="164"/>
      <c r="J99" s="194"/>
      <c r="K99" s="165">
        <v>6</v>
      </c>
    </row>
    <row r="100" spans="1:19" ht="139.35" customHeight="1" x14ac:dyDescent="0.3">
      <c r="B100" s="276" t="s">
        <v>536</v>
      </c>
      <c r="C100" s="286" t="s">
        <v>520</v>
      </c>
      <c r="D100" s="163"/>
      <c r="E100" s="163">
        <v>16900</v>
      </c>
      <c r="F100" s="163"/>
      <c r="G100" s="162">
        <f t="shared" ref="G100:G104" si="3">D100+E100+F100</f>
        <v>16900</v>
      </c>
      <c r="H100" s="213">
        <v>0.5</v>
      </c>
      <c r="I100" s="164"/>
      <c r="J100" s="194"/>
      <c r="K100" s="165">
        <v>6</v>
      </c>
    </row>
    <row r="101" spans="1:19" ht="139.35" customHeight="1" x14ac:dyDescent="0.3">
      <c r="B101" s="276" t="s">
        <v>538</v>
      </c>
      <c r="C101" s="286" t="s">
        <v>509</v>
      </c>
      <c r="D101" s="163"/>
      <c r="E101" s="163">
        <v>19140</v>
      </c>
      <c r="F101" s="163"/>
      <c r="G101" s="162">
        <f t="shared" si="3"/>
        <v>19140</v>
      </c>
      <c r="H101" s="213"/>
      <c r="I101" s="164"/>
      <c r="J101" s="194"/>
      <c r="K101" s="165">
        <v>6</v>
      </c>
    </row>
    <row r="102" spans="1:19" ht="139.35" customHeight="1" x14ac:dyDescent="0.3">
      <c r="B102" s="276" t="s">
        <v>540</v>
      </c>
      <c r="C102" s="286" t="s">
        <v>539</v>
      </c>
      <c r="D102" s="163"/>
      <c r="E102" s="163">
        <v>17930</v>
      </c>
      <c r="F102" s="163"/>
      <c r="G102" s="162">
        <f t="shared" si="3"/>
        <v>17930</v>
      </c>
      <c r="H102" s="213"/>
      <c r="I102" s="164"/>
      <c r="J102" s="194"/>
      <c r="K102" s="165">
        <v>6</v>
      </c>
    </row>
    <row r="103" spans="1:19" ht="162.75" customHeight="1" x14ac:dyDescent="0.3">
      <c r="B103" s="276" t="s">
        <v>541</v>
      </c>
      <c r="C103" s="286" t="s">
        <v>542</v>
      </c>
      <c r="D103" s="163"/>
      <c r="E103" s="163">
        <v>137889</v>
      </c>
      <c r="F103" s="163"/>
      <c r="G103" s="162">
        <f t="shared" si="3"/>
        <v>137889</v>
      </c>
      <c r="H103" s="213"/>
      <c r="I103" s="164"/>
      <c r="J103" s="194"/>
      <c r="K103" s="165">
        <v>6</v>
      </c>
    </row>
    <row r="104" spans="1:19" ht="73.650000000000006" customHeight="1" x14ac:dyDescent="0.3">
      <c r="B104" s="276" t="s">
        <v>543</v>
      </c>
      <c r="C104" s="286" t="s">
        <v>544</v>
      </c>
      <c r="D104" s="163"/>
      <c r="E104" s="163"/>
      <c r="F104" s="163"/>
      <c r="G104" s="162">
        <f t="shared" si="3"/>
        <v>0</v>
      </c>
      <c r="H104" s="213"/>
      <c r="I104" s="164"/>
      <c r="J104" s="194"/>
      <c r="K104" s="165">
        <v>6</v>
      </c>
    </row>
    <row r="105" spans="1:19" ht="15.6" x14ac:dyDescent="0.3">
      <c r="B105" s="218"/>
      <c r="C105" s="167" t="s">
        <v>383</v>
      </c>
      <c r="D105" s="214">
        <f>SUM(D99:D104)</f>
        <v>0</v>
      </c>
      <c r="E105" s="214">
        <f>SUM(E99:E104)</f>
        <v>220851</v>
      </c>
      <c r="F105" s="214">
        <f>SUM(F99:F104)</f>
        <v>0</v>
      </c>
      <c r="G105" s="214">
        <f>SUM(G99:G104)</f>
        <v>220851</v>
      </c>
      <c r="H105" s="215">
        <f>(H99*G99)+(H100*G100)+(H101*G101)+(H102*G102)+(H103*G103)+(H104*G104)</f>
        <v>22946</v>
      </c>
      <c r="I105" s="215">
        <f>SUM(I99:I104)</f>
        <v>0</v>
      </c>
      <c r="J105" s="216"/>
      <c r="K105" s="225"/>
    </row>
    <row r="106" spans="1:19" ht="51" customHeight="1" x14ac:dyDescent="0.3">
      <c r="B106" s="274" t="s">
        <v>385</v>
      </c>
      <c r="C106" s="364" t="s">
        <v>545</v>
      </c>
      <c r="D106" s="364"/>
      <c r="E106" s="364"/>
      <c r="F106" s="364"/>
      <c r="G106" s="364"/>
      <c r="H106" s="364"/>
      <c r="I106" s="365"/>
      <c r="J106" s="364"/>
      <c r="K106" s="279"/>
    </row>
    <row r="107" spans="1:19" ht="93.6" x14ac:dyDescent="0.3">
      <c r="B107" s="276" t="s">
        <v>546</v>
      </c>
      <c r="C107" s="286" t="s">
        <v>511</v>
      </c>
      <c r="D107" s="163"/>
      <c r="E107" s="163">
        <v>30820</v>
      </c>
      <c r="F107" s="163"/>
      <c r="G107" s="162">
        <f>D107+E107+F107</f>
        <v>30820</v>
      </c>
      <c r="H107" s="213">
        <v>0.3</v>
      </c>
      <c r="I107" s="164"/>
      <c r="J107" s="194"/>
      <c r="K107" s="165">
        <v>6</v>
      </c>
    </row>
    <row r="108" spans="1:19" ht="109.2" x14ac:dyDescent="0.3">
      <c r="B108" s="277" t="s">
        <v>547</v>
      </c>
      <c r="C108" s="286" t="s">
        <v>510</v>
      </c>
      <c r="D108" s="163"/>
      <c r="E108" s="163">
        <v>11300</v>
      </c>
      <c r="F108" s="163"/>
      <c r="G108" s="162">
        <f t="shared" ref="G108:G109" si="4">D108+E108+F108</f>
        <v>11300</v>
      </c>
      <c r="H108" s="213">
        <v>0.2</v>
      </c>
      <c r="I108" s="164"/>
      <c r="J108" s="194"/>
      <c r="K108" s="165">
        <v>6</v>
      </c>
    </row>
    <row r="109" spans="1:19" s="218" customFormat="1" ht="141.6" customHeight="1" x14ac:dyDescent="0.3">
      <c r="A109" s="191"/>
      <c r="B109" s="276" t="s">
        <v>548</v>
      </c>
      <c r="C109" s="286" t="s">
        <v>512</v>
      </c>
      <c r="D109" s="163"/>
      <c r="E109" s="163">
        <v>168956</v>
      </c>
      <c r="F109" s="163"/>
      <c r="G109" s="162">
        <f t="shared" si="4"/>
        <v>168956</v>
      </c>
      <c r="H109" s="213">
        <v>0.5</v>
      </c>
      <c r="I109" s="164"/>
      <c r="J109" s="194"/>
      <c r="K109" s="165">
        <v>6</v>
      </c>
      <c r="L109" s="191"/>
      <c r="M109" s="191"/>
      <c r="N109" s="191"/>
      <c r="O109" s="191"/>
      <c r="P109" s="191"/>
      <c r="Q109" s="191"/>
      <c r="R109" s="191"/>
      <c r="S109" s="191"/>
    </row>
    <row r="110" spans="1:19" ht="15.6" x14ac:dyDescent="0.3">
      <c r="B110" s="218"/>
      <c r="C110" s="167" t="s">
        <v>386</v>
      </c>
      <c r="D110" s="214">
        <f>SUM(D107:D109)</f>
        <v>0</v>
      </c>
      <c r="E110" s="214">
        <f>SUM(E107:E109)</f>
        <v>211076</v>
      </c>
      <c r="F110" s="214">
        <f>SUM(F107:F109)</f>
        <v>0</v>
      </c>
      <c r="G110" s="214">
        <f>SUM(G107:G109)</f>
        <v>211076</v>
      </c>
      <c r="H110" s="215">
        <f>(H107*G107)+(H108*G108)++(H109*G109)</f>
        <v>95984</v>
      </c>
      <c r="I110" s="215">
        <f>SUM(I107:I109)</f>
        <v>0</v>
      </c>
      <c r="J110" s="216"/>
      <c r="K110" s="225"/>
    </row>
    <row r="111" spans="1:19" s="205" customFormat="1" ht="51" customHeight="1" x14ac:dyDescent="0.3">
      <c r="B111" s="297" t="s">
        <v>387</v>
      </c>
      <c r="C111" s="366" t="s">
        <v>611</v>
      </c>
      <c r="D111" s="366"/>
      <c r="E111" s="366"/>
      <c r="F111" s="366"/>
      <c r="G111" s="366"/>
      <c r="H111" s="366"/>
      <c r="I111" s="367"/>
      <c r="J111" s="366"/>
      <c r="K111" s="279"/>
    </row>
    <row r="112" spans="1:19" ht="114.75" customHeight="1" x14ac:dyDescent="0.3">
      <c r="B112" s="356" t="s">
        <v>612</v>
      </c>
      <c r="C112" s="193" t="s">
        <v>613</v>
      </c>
      <c r="D112" s="163">
        <f>((5*27000*2*5)+(2500*2*5*5)+(1500*5*5))/500</f>
        <v>3025</v>
      </c>
      <c r="E112" s="163"/>
      <c r="F112" s="163"/>
      <c r="G112" s="162">
        <f>D112+E112+F112</f>
        <v>3025</v>
      </c>
      <c r="H112" s="213">
        <v>0.5</v>
      </c>
      <c r="I112" s="164"/>
      <c r="J112" s="194"/>
      <c r="K112" s="165">
        <v>2</v>
      </c>
    </row>
    <row r="113" spans="2:11" ht="62.4" x14ac:dyDescent="0.3">
      <c r="B113" s="357"/>
      <c r="C113" s="193" t="s">
        <v>484</v>
      </c>
      <c r="D113" s="163">
        <f>(4*20*5000)/500</f>
        <v>800</v>
      </c>
      <c r="E113" s="163"/>
      <c r="F113" s="163"/>
      <c r="G113" s="162">
        <f>D113+E113+F113</f>
        <v>800</v>
      </c>
      <c r="H113" s="213">
        <v>0.5</v>
      </c>
      <c r="I113" s="164"/>
      <c r="J113" s="194"/>
      <c r="K113" s="165">
        <v>2</v>
      </c>
    </row>
    <row r="114" spans="2:11" ht="67.349999999999994" customHeight="1" x14ac:dyDescent="0.3">
      <c r="B114" s="358" t="s">
        <v>485</v>
      </c>
      <c r="C114" s="193" t="s">
        <v>492</v>
      </c>
      <c r="D114" s="163">
        <v>37400</v>
      </c>
      <c r="E114" s="163"/>
      <c r="F114" s="163"/>
      <c r="G114" s="162">
        <f t="shared" ref="G114:G121" si="5">D114+E114+F114</f>
        <v>37400</v>
      </c>
      <c r="H114" s="213">
        <v>0.5</v>
      </c>
      <c r="I114" s="164"/>
      <c r="J114" s="194"/>
      <c r="K114" s="165">
        <v>2</v>
      </c>
    </row>
    <row r="115" spans="2:11" ht="31.2" x14ac:dyDescent="0.3">
      <c r="B115" s="358"/>
      <c r="C115" s="193" t="s">
        <v>486</v>
      </c>
      <c r="D115" s="163">
        <f>1147*5</f>
        <v>5735</v>
      </c>
      <c r="E115" s="163"/>
      <c r="F115" s="163"/>
      <c r="G115" s="162">
        <f t="shared" si="5"/>
        <v>5735</v>
      </c>
      <c r="H115" s="213">
        <v>0.5</v>
      </c>
      <c r="I115" s="164"/>
      <c r="J115" s="194"/>
      <c r="K115" s="165">
        <v>2</v>
      </c>
    </row>
    <row r="116" spans="2:11" ht="54" customHeight="1" x14ac:dyDescent="0.3">
      <c r="B116" s="358"/>
      <c r="C116" s="193" t="s">
        <v>488</v>
      </c>
      <c r="D116" s="163">
        <f>((5*5*5*27000)+(5*5*5*3500)+(1500*5*5))/500</f>
        <v>7700</v>
      </c>
      <c r="E116" s="163"/>
      <c r="F116" s="163"/>
      <c r="G116" s="162">
        <f t="shared" si="5"/>
        <v>7700</v>
      </c>
      <c r="H116" s="213">
        <v>0.5</v>
      </c>
      <c r="I116" s="164"/>
      <c r="J116" s="194"/>
      <c r="K116" s="165">
        <v>4</v>
      </c>
    </row>
    <row r="117" spans="2:11" ht="62.4" x14ac:dyDescent="0.3">
      <c r="B117" s="358"/>
      <c r="C117" s="193" t="s">
        <v>487</v>
      </c>
      <c r="D117" s="163">
        <v>140000</v>
      </c>
      <c r="E117" s="163"/>
      <c r="F117" s="163"/>
      <c r="G117" s="162">
        <f t="shared" si="5"/>
        <v>140000</v>
      </c>
      <c r="H117" s="213">
        <v>0.5</v>
      </c>
      <c r="I117" s="164"/>
      <c r="J117" s="194"/>
      <c r="K117" s="165">
        <v>4</v>
      </c>
    </row>
    <row r="118" spans="2:11" ht="68.099999999999994" customHeight="1" x14ac:dyDescent="0.3">
      <c r="B118" s="358"/>
      <c r="C118" s="193" t="s">
        <v>491</v>
      </c>
      <c r="D118" s="163">
        <v>2000</v>
      </c>
      <c r="E118" s="163"/>
      <c r="F118" s="163"/>
      <c r="G118" s="162">
        <f t="shared" si="5"/>
        <v>2000</v>
      </c>
      <c r="H118" s="213">
        <v>0.5</v>
      </c>
      <c r="I118" s="164"/>
      <c r="J118" s="194"/>
      <c r="K118" s="165">
        <v>4</v>
      </c>
    </row>
    <row r="119" spans="2:11" ht="31.35" customHeight="1" x14ac:dyDescent="0.3">
      <c r="B119" s="389" t="s">
        <v>614</v>
      </c>
      <c r="C119" s="193" t="s">
        <v>615</v>
      </c>
      <c r="D119" s="163">
        <v>10000</v>
      </c>
      <c r="E119" s="163"/>
      <c r="F119" s="163"/>
      <c r="G119" s="162">
        <f t="shared" si="5"/>
        <v>10000</v>
      </c>
      <c r="H119" s="213">
        <v>0.5</v>
      </c>
      <c r="I119" s="164"/>
      <c r="J119" s="194"/>
      <c r="K119" s="165">
        <v>6</v>
      </c>
    </row>
    <row r="120" spans="2:11" ht="31.35" customHeight="1" x14ac:dyDescent="0.3">
      <c r="B120" s="389"/>
      <c r="C120" s="193" t="s">
        <v>616</v>
      </c>
      <c r="D120" s="163">
        <v>35000</v>
      </c>
      <c r="E120" s="163"/>
      <c r="F120" s="163"/>
      <c r="G120" s="162">
        <f t="shared" si="5"/>
        <v>35000</v>
      </c>
      <c r="H120" s="213"/>
      <c r="I120" s="164"/>
      <c r="J120" s="194"/>
      <c r="K120" s="165">
        <v>6</v>
      </c>
    </row>
    <row r="121" spans="2:11" ht="78" x14ac:dyDescent="0.3">
      <c r="B121" s="389"/>
      <c r="C121" s="193" t="s">
        <v>617</v>
      </c>
      <c r="D121" s="163">
        <v>3000</v>
      </c>
      <c r="E121" s="163"/>
      <c r="F121" s="163"/>
      <c r="G121" s="162">
        <f t="shared" si="5"/>
        <v>3000</v>
      </c>
      <c r="H121" s="213">
        <v>0.5</v>
      </c>
      <c r="I121" s="164"/>
      <c r="J121" s="194"/>
      <c r="K121" s="165">
        <v>4</v>
      </c>
    </row>
    <row r="122" spans="2:11" ht="15.6" x14ac:dyDescent="0.3">
      <c r="B122" s="218"/>
      <c r="C122" s="167" t="s">
        <v>388</v>
      </c>
      <c r="D122" s="214">
        <f>SUM(D112:D121)</f>
        <v>244660</v>
      </c>
      <c r="E122" s="214">
        <f t="shared" ref="E122:F122" si="6">SUM(E112:E121)</f>
        <v>0</v>
      </c>
      <c r="F122" s="214">
        <f t="shared" si="6"/>
        <v>0</v>
      </c>
      <c r="G122" s="214">
        <f>SUM(G112:G121)</f>
        <v>244660</v>
      </c>
      <c r="H122" s="215">
        <f>(G112*H112)+(G113*H113)+(G114*H114)+(G115*H115)+(G116*H116)+(G117*H117)+(G118*H118)+(G119*H119)+(G120*H120)+(G121*H121)</f>
        <v>104830</v>
      </c>
      <c r="I122" s="215"/>
      <c r="J122" s="316"/>
      <c r="K122" s="317"/>
    </row>
    <row r="123" spans="2:11" ht="15.75" hidden="1" customHeight="1" x14ac:dyDescent="0.3">
      <c r="B123" s="281"/>
      <c r="C123" s="169"/>
      <c r="D123" s="282"/>
      <c r="E123" s="282"/>
      <c r="F123" s="282"/>
      <c r="G123" s="282"/>
      <c r="H123" s="282"/>
      <c r="I123" s="282"/>
      <c r="J123" s="169"/>
      <c r="K123" s="283"/>
    </row>
    <row r="124" spans="2:11" ht="15.75" hidden="1" customHeight="1" x14ac:dyDescent="0.3">
      <c r="B124" s="281"/>
      <c r="C124" s="169"/>
      <c r="D124" s="282"/>
      <c r="E124" s="282"/>
      <c r="F124" s="282"/>
      <c r="G124" s="282"/>
      <c r="H124" s="282"/>
      <c r="I124" s="282"/>
      <c r="J124" s="169"/>
      <c r="K124" s="283"/>
    </row>
    <row r="125" spans="2:11" ht="15.75" customHeight="1" x14ac:dyDescent="0.3">
      <c r="B125" s="281"/>
      <c r="C125" s="169"/>
      <c r="D125" s="282"/>
      <c r="E125" s="282"/>
      <c r="F125" s="282"/>
      <c r="G125" s="282"/>
      <c r="H125" s="282"/>
      <c r="I125" s="282"/>
      <c r="J125" s="169"/>
      <c r="K125" s="283"/>
    </row>
    <row r="126" spans="2:11" ht="47.25" customHeight="1" x14ac:dyDescent="0.3">
      <c r="B126" s="370" t="s">
        <v>390</v>
      </c>
      <c r="C126" s="298" t="s">
        <v>619</v>
      </c>
      <c r="D126" s="299">
        <v>86048</v>
      </c>
      <c r="E126" s="221"/>
      <c r="F126" s="221"/>
      <c r="G126" s="222">
        <f>D126+E126+F126</f>
        <v>86048</v>
      </c>
      <c r="H126" s="223">
        <v>0.4</v>
      </c>
      <c r="I126" s="221"/>
      <c r="J126" s="224"/>
      <c r="K126" s="225">
        <v>1</v>
      </c>
    </row>
    <row r="127" spans="2:11" ht="72" customHeight="1" x14ac:dyDescent="0.3">
      <c r="B127" s="390"/>
      <c r="C127" s="298" t="s">
        <v>631</v>
      </c>
      <c r="D127" s="299">
        <v>12000</v>
      </c>
      <c r="E127" s="221"/>
      <c r="F127" s="221"/>
      <c r="G127" s="222">
        <f t="shared" ref="G127:G137" si="7">D127+E127+F127</f>
        <v>12000</v>
      </c>
      <c r="H127" s="223"/>
      <c r="I127" s="221"/>
      <c r="J127" s="224"/>
      <c r="K127" s="225">
        <v>1</v>
      </c>
    </row>
    <row r="128" spans="2:11" ht="59.25" customHeight="1" x14ac:dyDescent="0.3">
      <c r="B128" s="390"/>
      <c r="C128" s="298" t="s">
        <v>627</v>
      </c>
      <c r="D128" s="299">
        <v>17188</v>
      </c>
      <c r="E128" s="221"/>
      <c r="F128" s="221"/>
      <c r="G128" s="222">
        <f t="shared" si="7"/>
        <v>17188</v>
      </c>
      <c r="H128" s="223"/>
      <c r="I128" s="221"/>
      <c r="J128" s="224"/>
      <c r="K128" s="225">
        <v>1</v>
      </c>
    </row>
    <row r="129" spans="2:11" ht="52.5" customHeight="1" x14ac:dyDescent="0.3">
      <c r="B129" s="390"/>
      <c r="C129" s="300" t="s">
        <v>630</v>
      </c>
      <c r="D129" s="299">
        <v>7188</v>
      </c>
      <c r="E129" s="221"/>
      <c r="F129" s="221"/>
      <c r="G129" s="222">
        <f t="shared" si="7"/>
        <v>7188</v>
      </c>
      <c r="H129" s="223"/>
      <c r="I129" s="221"/>
      <c r="J129" s="224"/>
      <c r="K129" s="225">
        <v>1</v>
      </c>
    </row>
    <row r="130" spans="2:11" ht="43.95" customHeight="1" x14ac:dyDescent="0.3">
      <c r="B130" s="390"/>
      <c r="C130" s="300" t="s">
        <v>618</v>
      </c>
      <c r="D130" s="299">
        <v>8177</v>
      </c>
      <c r="E130" s="221"/>
      <c r="F130" s="221"/>
      <c r="G130" s="222">
        <f t="shared" si="7"/>
        <v>8177</v>
      </c>
      <c r="H130" s="223"/>
      <c r="I130" s="221"/>
      <c r="J130" s="224"/>
      <c r="K130" s="225">
        <v>1</v>
      </c>
    </row>
    <row r="131" spans="2:11" ht="55.5" customHeight="1" x14ac:dyDescent="0.3">
      <c r="B131" s="390"/>
      <c r="C131" s="303" t="s">
        <v>626</v>
      </c>
      <c r="D131" s="299"/>
      <c r="E131" s="221">
        <v>19865.18</v>
      </c>
      <c r="F131" s="221"/>
      <c r="G131" s="222">
        <f t="shared" si="7"/>
        <v>19865.18</v>
      </c>
      <c r="H131" s="223"/>
      <c r="I131" s="221"/>
      <c r="J131" s="224"/>
      <c r="K131" s="225">
        <v>1</v>
      </c>
    </row>
    <row r="132" spans="2:11" ht="114.75" customHeight="1" x14ac:dyDescent="0.3">
      <c r="B132" s="391"/>
      <c r="C132" s="304" t="s">
        <v>625</v>
      </c>
      <c r="D132" s="301">
        <v>2550</v>
      </c>
      <c r="E132" s="221"/>
      <c r="F132" s="221"/>
      <c r="G132" s="222">
        <f t="shared" si="7"/>
        <v>2550</v>
      </c>
      <c r="H132" s="223"/>
      <c r="I132" s="221"/>
      <c r="J132" s="224"/>
      <c r="K132" s="225">
        <v>1</v>
      </c>
    </row>
    <row r="133" spans="2:11" ht="43.95" customHeight="1" x14ac:dyDescent="0.3">
      <c r="B133" s="391"/>
      <c r="C133" s="304" t="s">
        <v>620</v>
      </c>
      <c r="D133" s="301">
        <v>16321</v>
      </c>
      <c r="E133" s="221"/>
      <c r="F133" s="221"/>
      <c r="G133" s="222">
        <f t="shared" si="7"/>
        <v>16321</v>
      </c>
      <c r="H133" s="223">
        <v>0.4</v>
      </c>
      <c r="I133" s="221"/>
      <c r="J133" s="224"/>
      <c r="K133" s="225">
        <v>1</v>
      </c>
    </row>
    <row r="134" spans="2:11" ht="64.5" customHeight="1" x14ac:dyDescent="0.3">
      <c r="B134" s="391"/>
      <c r="C134" s="304" t="s">
        <v>621</v>
      </c>
      <c r="D134" s="301">
        <v>3092</v>
      </c>
      <c r="E134" s="221"/>
      <c r="F134" s="221"/>
      <c r="G134" s="222">
        <f t="shared" si="7"/>
        <v>3092</v>
      </c>
      <c r="H134" s="223">
        <v>0.4</v>
      </c>
      <c r="I134" s="221"/>
      <c r="J134" s="224"/>
      <c r="K134" s="225">
        <v>1</v>
      </c>
    </row>
    <row r="135" spans="2:11" ht="51.75" customHeight="1" x14ac:dyDescent="0.3">
      <c r="B135" s="391"/>
      <c r="C135" s="302" t="s">
        <v>624</v>
      </c>
      <c r="D135" s="301">
        <v>1836</v>
      </c>
      <c r="E135" s="221"/>
      <c r="F135" s="221"/>
      <c r="G135" s="222">
        <f t="shared" si="7"/>
        <v>1836</v>
      </c>
      <c r="H135" s="223"/>
      <c r="I135" s="221"/>
      <c r="J135" s="224"/>
      <c r="K135" s="225">
        <v>1</v>
      </c>
    </row>
    <row r="136" spans="2:11" ht="75" customHeight="1" x14ac:dyDescent="0.3">
      <c r="B136" s="391"/>
      <c r="C136" s="304" t="s">
        <v>623</v>
      </c>
      <c r="D136" s="301">
        <v>7344</v>
      </c>
      <c r="E136" s="221"/>
      <c r="F136" s="221"/>
      <c r="G136" s="222">
        <f t="shared" si="7"/>
        <v>7344</v>
      </c>
      <c r="H136" s="223">
        <v>0.1</v>
      </c>
      <c r="I136" s="221"/>
      <c r="J136" s="224"/>
      <c r="K136" s="225">
        <v>1</v>
      </c>
    </row>
    <row r="137" spans="2:11" ht="43.95" customHeight="1" x14ac:dyDescent="0.3">
      <c r="B137" s="392"/>
      <c r="C137" s="218" t="s">
        <v>622</v>
      </c>
      <c r="D137" s="301">
        <v>1500</v>
      </c>
      <c r="E137" s="221"/>
      <c r="F137" s="221"/>
      <c r="G137" s="222">
        <f t="shared" si="7"/>
        <v>1500</v>
      </c>
      <c r="H137" s="223"/>
      <c r="I137" s="221"/>
      <c r="J137" s="224"/>
      <c r="K137" s="225">
        <v>1</v>
      </c>
    </row>
    <row r="138" spans="2:11" ht="26.4" customHeight="1" x14ac:dyDescent="0.3">
      <c r="B138" s="381" t="s">
        <v>391</v>
      </c>
      <c r="C138" s="218" t="s">
        <v>498</v>
      </c>
      <c r="D138" s="221">
        <f>9200+12241</f>
        <v>21441</v>
      </c>
      <c r="E138" s="221">
        <v>7800</v>
      </c>
      <c r="F138" s="221"/>
      <c r="G138" s="222">
        <f>D138+E138+F138</f>
        <v>29241</v>
      </c>
      <c r="H138" s="223">
        <v>0.4</v>
      </c>
      <c r="I138" s="221"/>
      <c r="J138" s="224"/>
      <c r="K138" s="225">
        <v>7</v>
      </c>
    </row>
    <row r="139" spans="2:11" ht="24.6" customHeight="1" x14ac:dyDescent="0.3">
      <c r="B139" s="381"/>
      <c r="C139" s="218" t="s">
        <v>499</v>
      </c>
      <c r="D139" s="221">
        <f>1200+10090</f>
        <v>11290</v>
      </c>
      <c r="E139" s="221"/>
      <c r="F139" s="221"/>
      <c r="G139" s="222">
        <f t="shared" ref="G139:G146" si="8">D139+E139+F139</f>
        <v>11290</v>
      </c>
      <c r="H139" s="223">
        <v>0</v>
      </c>
      <c r="I139" s="221"/>
      <c r="J139" s="224"/>
      <c r="K139" s="225">
        <v>7</v>
      </c>
    </row>
    <row r="140" spans="2:11" ht="24.6" customHeight="1" x14ac:dyDescent="0.3">
      <c r="B140" s="381"/>
      <c r="C140" s="218" t="s">
        <v>508</v>
      </c>
      <c r="D140" s="221">
        <v>3905</v>
      </c>
      <c r="E140" s="221"/>
      <c r="F140" s="221"/>
      <c r="G140" s="222">
        <f t="shared" si="8"/>
        <v>3905</v>
      </c>
      <c r="H140" s="223"/>
      <c r="I140" s="221"/>
      <c r="J140" s="224"/>
      <c r="K140" s="225">
        <v>7</v>
      </c>
    </row>
    <row r="141" spans="2:11" ht="24.6" customHeight="1" x14ac:dyDescent="0.3">
      <c r="B141" s="381"/>
      <c r="C141" s="218" t="s">
        <v>506</v>
      </c>
      <c r="D141" s="221">
        <v>3000</v>
      </c>
      <c r="E141" s="221"/>
      <c r="F141" s="221"/>
      <c r="G141" s="222">
        <f t="shared" si="8"/>
        <v>3000</v>
      </c>
      <c r="H141" s="223"/>
      <c r="I141" s="221"/>
      <c r="J141" s="224"/>
      <c r="K141" s="225">
        <v>7</v>
      </c>
    </row>
    <row r="142" spans="2:11" ht="38.4" customHeight="1" x14ac:dyDescent="0.3">
      <c r="B142" s="381"/>
      <c r="C142" s="218" t="s">
        <v>502</v>
      </c>
      <c r="D142" s="221">
        <v>4800</v>
      </c>
      <c r="E142" s="221"/>
      <c r="F142" s="221"/>
      <c r="G142" s="222">
        <f t="shared" si="8"/>
        <v>4800</v>
      </c>
      <c r="H142" s="223">
        <v>0</v>
      </c>
      <c r="I142" s="221"/>
      <c r="J142" s="224"/>
      <c r="K142" s="225">
        <v>3</v>
      </c>
    </row>
    <row r="143" spans="2:11" ht="30.6" customHeight="1" x14ac:dyDescent="0.3">
      <c r="B143" s="381"/>
      <c r="C143" s="218" t="s">
        <v>501</v>
      </c>
      <c r="D143" s="221">
        <v>2440</v>
      </c>
      <c r="E143" s="221"/>
      <c r="F143" s="221"/>
      <c r="G143" s="222">
        <f t="shared" si="8"/>
        <v>2440</v>
      </c>
      <c r="H143" s="223">
        <v>0</v>
      </c>
      <c r="I143" s="221"/>
      <c r="J143" s="224"/>
      <c r="K143" s="225">
        <v>3</v>
      </c>
    </row>
    <row r="144" spans="2:11" ht="21.6" customHeight="1" x14ac:dyDescent="0.3">
      <c r="B144" s="381"/>
      <c r="C144" s="218" t="s">
        <v>500</v>
      </c>
      <c r="D144" s="221">
        <f>3200+6120</f>
        <v>9320</v>
      </c>
      <c r="E144" s="221"/>
      <c r="F144" s="221"/>
      <c r="G144" s="222">
        <f t="shared" si="8"/>
        <v>9320</v>
      </c>
      <c r="H144" s="223">
        <v>0</v>
      </c>
      <c r="I144" s="221"/>
      <c r="J144" s="224"/>
      <c r="K144" s="225">
        <v>7</v>
      </c>
    </row>
    <row r="145" spans="2:11" ht="45" customHeight="1" x14ac:dyDescent="0.3">
      <c r="B145" s="382" t="s">
        <v>392</v>
      </c>
      <c r="C145" s="218" t="s">
        <v>507</v>
      </c>
      <c r="D145" s="221">
        <f>15530+16250</f>
        <v>31780</v>
      </c>
      <c r="E145" s="221">
        <v>1750</v>
      </c>
      <c r="F145" s="221"/>
      <c r="G145" s="222">
        <f t="shared" si="8"/>
        <v>33530</v>
      </c>
      <c r="H145" s="223">
        <v>0</v>
      </c>
      <c r="I145" s="221"/>
      <c r="J145" s="224"/>
      <c r="K145" s="225">
        <v>5</v>
      </c>
    </row>
    <row r="146" spans="2:11" ht="44.4" customHeight="1" x14ac:dyDescent="0.3">
      <c r="B146" s="382"/>
      <c r="C146" s="218" t="s">
        <v>503</v>
      </c>
      <c r="D146" s="221">
        <v>29620</v>
      </c>
      <c r="E146" s="221"/>
      <c r="F146" s="221"/>
      <c r="G146" s="222">
        <f t="shared" si="8"/>
        <v>29620</v>
      </c>
      <c r="H146" s="223">
        <v>0</v>
      </c>
      <c r="I146" s="221"/>
      <c r="J146" s="224"/>
      <c r="K146" s="225">
        <v>5</v>
      </c>
    </row>
    <row r="147" spans="2:11" ht="42" customHeight="1" x14ac:dyDescent="0.3">
      <c r="B147" s="382"/>
      <c r="C147" s="169" t="s">
        <v>504</v>
      </c>
      <c r="D147" s="221">
        <v>15000</v>
      </c>
      <c r="E147" s="221"/>
      <c r="F147" s="221"/>
      <c r="G147" s="222">
        <f>D147+E147+F147</f>
        <v>15000</v>
      </c>
      <c r="H147" s="223">
        <v>0.4</v>
      </c>
      <c r="I147" s="221"/>
      <c r="J147" s="224"/>
      <c r="K147" s="225">
        <v>7</v>
      </c>
    </row>
    <row r="148" spans="2:11" ht="65.25" customHeight="1" x14ac:dyDescent="0.3">
      <c r="B148" s="167" t="s">
        <v>393</v>
      </c>
      <c r="C148" s="169" t="s">
        <v>493</v>
      </c>
      <c r="D148" s="221">
        <v>50000</v>
      </c>
      <c r="E148" s="221"/>
      <c r="F148" s="221"/>
      <c r="G148" s="222">
        <f>D148+E148+F148</f>
        <v>50000</v>
      </c>
      <c r="H148" s="223">
        <v>0.4</v>
      </c>
      <c r="I148" s="221"/>
      <c r="J148" s="224"/>
      <c r="K148" s="225">
        <v>4</v>
      </c>
    </row>
    <row r="149" spans="2:11" ht="42" customHeight="1" x14ac:dyDescent="0.3">
      <c r="B149" s="219"/>
      <c r="C149" s="170" t="s">
        <v>431</v>
      </c>
      <c r="D149" s="226">
        <f>SUM(D126:D148)</f>
        <v>345840</v>
      </c>
      <c r="E149" s="226">
        <f>SUM(E126:E148)</f>
        <v>29415.18</v>
      </c>
      <c r="F149" s="226">
        <f>SUM(F126:F148)</f>
        <v>0</v>
      </c>
      <c r="G149" s="226">
        <f>SUM(G126:G148)</f>
        <v>375255.18</v>
      </c>
      <c r="H149" s="215">
        <f>(G126*H126)+(G138*H138)+(G139*H139)+(H140*G140)+(H141*G141)+(H142*G142)+(H143*G143)+(H144*G144)+(H145*G145)+(G146*H146)+(H147*G147)+(H148*G148)</f>
        <v>72115.600000000006</v>
      </c>
      <c r="I149" s="215">
        <f>SUM(I126:I148)</f>
        <v>0</v>
      </c>
      <c r="J149" s="169"/>
      <c r="K149" s="227"/>
    </row>
    <row r="150" spans="2:11" ht="15.75" customHeight="1" x14ac:dyDescent="0.3">
      <c r="B150" s="219"/>
      <c r="C150" s="168"/>
      <c r="D150" s="220"/>
      <c r="E150" s="220"/>
      <c r="F150" s="220"/>
      <c r="G150" s="220"/>
      <c r="H150" s="220"/>
      <c r="I150" s="220"/>
      <c r="J150" s="168"/>
      <c r="K150" s="228"/>
    </row>
    <row r="151" spans="2:11" ht="15.75" customHeight="1" x14ac:dyDescent="0.3">
      <c r="B151" s="219"/>
      <c r="C151" s="168"/>
      <c r="D151" s="220"/>
      <c r="E151" s="220"/>
      <c r="F151" s="220"/>
      <c r="G151" s="220"/>
      <c r="H151" s="220"/>
      <c r="I151" s="220"/>
      <c r="J151" s="168"/>
      <c r="K151" s="228"/>
    </row>
    <row r="152" spans="2:11" ht="15.75" customHeight="1" x14ac:dyDescent="0.3">
      <c r="B152" s="219"/>
      <c r="C152" s="168"/>
      <c r="D152" s="220"/>
      <c r="E152" s="220"/>
      <c r="F152" s="220"/>
      <c r="G152" s="220"/>
      <c r="H152" s="220"/>
      <c r="I152" s="220"/>
      <c r="J152" s="168"/>
      <c r="K152" s="228"/>
    </row>
    <row r="153" spans="2:11" ht="15.75" customHeight="1" thickBot="1" x14ac:dyDescent="0.35">
      <c r="B153" s="219"/>
      <c r="C153" s="168"/>
      <c r="D153" s="220"/>
      <c r="E153" s="220"/>
      <c r="F153" s="220"/>
      <c r="G153" s="220"/>
      <c r="H153" s="220"/>
      <c r="I153" s="220"/>
      <c r="J153" s="168"/>
      <c r="K153" s="228"/>
    </row>
    <row r="154" spans="2:11" ht="15.6" x14ac:dyDescent="0.3">
      <c r="B154" s="219"/>
      <c r="C154" s="387" t="s">
        <v>402</v>
      </c>
      <c r="D154" s="388"/>
      <c r="E154" s="229"/>
      <c r="F154" s="229"/>
      <c r="G154" s="230"/>
      <c r="H154" s="231"/>
      <c r="I154" s="232"/>
      <c r="J154" s="231"/>
    </row>
    <row r="155" spans="2:11" ht="48" customHeight="1" x14ac:dyDescent="0.3">
      <c r="B155" s="219"/>
      <c r="C155" s="383"/>
      <c r="D155" s="234" t="s">
        <v>445</v>
      </c>
      <c r="E155" s="235" t="s">
        <v>446</v>
      </c>
      <c r="F155" s="215" t="s">
        <v>447</v>
      </c>
      <c r="G155" s="385" t="s">
        <v>12</v>
      </c>
      <c r="H155" s="236"/>
      <c r="I155" s="220"/>
      <c r="J155" s="231"/>
    </row>
    <row r="156" spans="2:11" ht="24.75" customHeight="1" x14ac:dyDescent="0.3">
      <c r="B156" s="219"/>
      <c r="C156" s="384"/>
      <c r="D156" s="237">
        <f>D13</f>
        <v>0</v>
      </c>
      <c r="E156" s="238">
        <f>E13</f>
        <v>0</v>
      </c>
      <c r="F156" s="239">
        <f>F13</f>
        <v>0</v>
      </c>
      <c r="G156" s="386"/>
      <c r="H156" s="168"/>
      <c r="I156" s="220"/>
      <c r="J156" s="231"/>
    </row>
    <row r="157" spans="2:11" ht="41.25" customHeight="1" x14ac:dyDescent="0.3">
      <c r="B157" s="240"/>
      <c r="C157" s="171" t="s">
        <v>394</v>
      </c>
      <c r="D157" s="241">
        <f>SUM(D149,D122,D110,D105,D97,D86,D78,D63,D42)</f>
        <v>1425233.65</v>
      </c>
      <c r="E157" s="241">
        <f>SUM(E97,E105,E110,E122,E149)</f>
        <v>915492.9571</v>
      </c>
      <c r="F157" s="241">
        <f>SUM(F78,F86,F149)</f>
        <v>0</v>
      </c>
      <c r="G157" s="241">
        <f>SUM(D157:F157)</f>
        <v>2340726.6070999997</v>
      </c>
      <c r="H157" s="236"/>
      <c r="I157" s="220"/>
      <c r="J157" s="242"/>
    </row>
    <row r="158" spans="2:11" ht="51.75" customHeight="1" x14ac:dyDescent="0.3">
      <c r="B158" s="243"/>
      <c r="C158" s="171" t="s">
        <v>644</v>
      </c>
      <c r="D158" s="244">
        <f>D157*0.07</f>
        <v>99766.355500000005</v>
      </c>
      <c r="E158" s="244">
        <f>E157*0.065</f>
        <v>59507.042211500004</v>
      </c>
      <c r="F158" s="244">
        <f t="shared" ref="F158" si="9">F157*0.07</f>
        <v>0</v>
      </c>
      <c r="G158" s="241">
        <f>SUM(D158:F158)</f>
        <v>159273.3977115</v>
      </c>
      <c r="H158" s="245"/>
      <c r="I158" s="246"/>
      <c r="J158" s="247"/>
    </row>
    <row r="159" spans="2:11" ht="51.75" customHeight="1" thickBot="1" x14ac:dyDescent="0.35">
      <c r="B159" s="243"/>
      <c r="C159" s="172" t="s">
        <v>12</v>
      </c>
      <c r="D159" s="248">
        <f>SUM(D157:D158)</f>
        <v>1525000.0055</v>
      </c>
      <c r="E159" s="320">
        <f>SUM(E157:E158)</f>
        <v>974999.9993115</v>
      </c>
      <c r="F159" s="249">
        <f>SUM(F157:F158)</f>
        <v>0</v>
      </c>
      <c r="G159" s="319">
        <f>SUM(G157:G158)</f>
        <v>2500000.0048114997</v>
      </c>
      <c r="H159" s="245"/>
      <c r="I159" s="246"/>
      <c r="J159" s="250"/>
    </row>
    <row r="160" spans="2:11" ht="42" customHeight="1" x14ac:dyDescent="0.3">
      <c r="B160" s="243"/>
      <c r="C160" s="195"/>
      <c r="D160" s="195"/>
      <c r="E160" s="195"/>
      <c r="F160" s="195"/>
      <c r="G160" s="195"/>
      <c r="H160" s="195"/>
      <c r="I160" s="246"/>
      <c r="J160" s="251"/>
      <c r="K160" s="252"/>
    </row>
    <row r="161" spans="2:11" s="210" customFormat="1" ht="29.25" customHeight="1" thickBot="1" x14ac:dyDescent="0.35">
      <c r="B161" s="168"/>
      <c r="C161" s="322"/>
      <c r="D161" s="253"/>
      <c r="E161" s="253"/>
      <c r="F161" s="253"/>
      <c r="G161" s="253"/>
      <c r="H161" s="253"/>
      <c r="I161" s="254"/>
      <c r="J161" s="231"/>
      <c r="K161" s="255"/>
    </row>
    <row r="162" spans="2:11" ht="23.25" customHeight="1" x14ac:dyDescent="0.3">
      <c r="B162" s="247"/>
      <c r="C162" s="375" t="s">
        <v>403</v>
      </c>
      <c r="D162" s="376"/>
      <c r="E162" s="377"/>
      <c r="F162" s="377"/>
      <c r="G162" s="377"/>
      <c r="H162" s="378"/>
      <c r="I162" s="256"/>
      <c r="J162" s="247"/>
      <c r="K162" s="257"/>
    </row>
    <row r="163" spans="2:11" ht="45.6" customHeight="1" x14ac:dyDescent="0.3">
      <c r="B163" s="247"/>
      <c r="C163" s="173"/>
      <c r="D163" s="234" t="s">
        <v>445</v>
      </c>
      <c r="E163" s="235" t="s">
        <v>446</v>
      </c>
      <c r="F163" s="215" t="s">
        <v>447</v>
      </c>
      <c r="G163" s="370" t="s">
        <v>12</v>
      </c>
      <c r="H163" s="372" t="s">
        <v>10</v>
      </c>
      <c r="I163" s="256"/>
      <c r="J163" s="247"/>
      <c r="K163" s="257"/>
    </row>
    <row r="164" spans="2:11" ht="27.75" customHeight="1" x14ac:dyDescent="0.3">
      <c r="B164" s="247"/>
      <c r="C164" s="173"/>
      <c r="D164" s="166">
        <f>D13</f>
        <v>0</v>
      </c>
      <c r="E164" s="166">
        <f>E13</f>
        <v>0</v>
      </c>
      <c r="F164" s="166">
        <f>F13</f>
        <v>0</v>
      </c>
      <c r="G164" s="371"/>
      <c r="H164" s="373"/>
      <c r="I164" s="256"/>
      <c r="J164" s="247"/>
      <c r="K164" s="257"/>
    </row>
    <row r="165" spans="2:11" ht="55.5" customHeight="1" x14ac:dyDescent="0.3">
      <c r="B165" s="247"/>
      <c r="C165" s="174" t="s">
        <v>396</v>
      </c>
      <c r="D165" s="258">
        <f>D159*H165</f>
        <v>533750.00192499999</v>
      </c>
      <c r="E165" s="259">
        <f>E159*H165</f>
        <v>341249.999759025</v>
      </c>
      <c r="F165" s="259">
        <f>F159*H165</f>
        <v>0</v>
      </c>
      <c r="G165" s="259">
        <f>G159*H165</f>
        <v>875000.00168402481</v>
      </c>
      <c r="H165" s="260">
        <v>0.35</v>
      </c>
      <c r="I165" s="232"/>
      <c r="J165" s="247"/>
      <c r="K165" s="257"/>
    </row>
    <row r="166" spans="2:11" ht="57.75" customHeight="1" x14ac:dyDescent="0.3">
      <c r="B166" s="374"/>
      <c r="C166" s="175" t="s">
        <v>397</v>
      </c>
      <c r="D166" s="261">
        <f>D159*H166</f>
        <v>533750.00192499999</v>
      </c>
      <c r="E166" s="261">
        <f>E159*H166</f>
        <v>341249.999759025</v>
      </c>
      <c r="F166" s="261">
        <f>F159*H166</f>
        <v>0</v>
      </c>
      <c r="G166" s="259">
        <f>G159*H166</f>
        <v>875000.00168402481</v>
      </c>
      <c r="H166" s="262">
        <v>0.35</v>
      </c>
      <c r="I166" s="232"/>
      <c r="J166" s="208"/>
      <c r="K166" s="257"/>
    </row>
    <row r="167" spans="2:11" ht="57.75" customHeight="1" x14ac:dyDescent="0.3">
      <c r="B167" s="374"/>
      <c r="C167" s="175" t="s">
        <v>398</v>
      </c>
      <c r="D167" s="261">
        <f>D159*H167</f>
        <v>457500.00164999999</v>
      </c>
      <c r="E167" s="259">
        <f>E159*H167</f>
        <v>292499.99979345</v>
      </c>
      <c r="F167" s="259">
        <f>F159*H167</f>
        <v>0</v>
      </c>
      <c r="G167" s="259">
        <f>G159*H167</f>
        <v>750000.00144344987</v>
      </c>
      <c r="H167" s="262">
        <v>0.3</v>
      </c>
      <c r="I167" s="232"/>
      <c r="J167" s="208"/>
      <c r="K167" s="257"/>
    </row>
    <row r="168" spans="2:11" ht="38.25" customHeight="1" thickBot="1" x14ac:dyDescent="0.35">
      <c r="B168" s="374"/>
      <c r="C168" s="172" t="s">
        <v>12</v>
      </c>
      <c r="D168" s="249">
        <f>SUM(D165:D167)</f>
        <v>1525000.0055</v>
      </c>
      <c r="E168" s="249">
        <f>SUM(E165:E167)</f>
        <v>974999.9993115</v>
      </c>
      <c r="F168" s="249">
        <f>SUM(F165:F167)</f>
        <v>0</v>
      </c>
      <c r="G168" s="249">
        <f>SUM(G165:G167)</f>
        <v>2500000.0048114993</v>
      </c>
      <c r="H168" s="263"/>
      <c r="I168" s="264"/>
      <c r="J168" s="208"/>
      <c r="K168" s="257"/>
    </row>
    <row r="169" spans="2:11" ht="21.75" customHeight="1" thickBot="1" x14ac:dyDescent="0.35">
      <c r="B169" s="374"/>
      <c r="C169" s="176"/>
      <c r="D169" s="265"/>
      <c r="E169" s="265"/>
      <c r="F169" s="265"/>
      <c r="G169" s="265"/>
      <c r="H169" s="265"/>
      <c r="I169" s="266"/>
      <c r="J169" s="208"/>
      <c r="K169" s="257"/>
    </row>
    <row r="170" spans="2:11" ht="49.5" customHeight="1" x14ac:dyDescent="0.3">
      <c r="B170" s="374"/>
      <c r="C170" s="177" t="s">
        <v>494</v>
      </c>
      <c r="D170" s="267">
        <f>SUM(H42,H63,H78,H86,H97,H105,H110,H122,H149)*1.07</f>
        <v>831033.39575000003</v>
      </c>
      <c r="E170" s="253"/>
      <c r="F170" s="253"/>
      <c r="G170" s="253"/>
      <c r="H170" s="295"/>
      <c r="J170" s="208"/>
      <c r="K170" s="257"/>
    </row>
    <row r="171" spans="2:11" ht="28.5" customHeight="1" x14ac:dyDescent="0.3">
      <c r="B171" s="374"/>
      <c r="C171" s="178" t="s">
        <v>400</v>
      </c>
      <c r="D171" s="268">
        <f>D170/G159</f>
        <v>0.33241335766023727</v>
      </c>
      <c r="E171" s="269"/>
      <c r="F171" s="269"/>
      <c r="G171" s="269"/>
      <c r="H171" s="296"/>
      <c r="I171" s="209"/>
      <c r="J171" s="208"/>
      <c r="K171" s="257"/>
    </row>
    <row r="172" spans="2:11" ht="28.5" customHeight="1" x14ac:dyDescent="0.3">
      <c r="B172" s="374"/>
      <c r="C172" s="178" t="s">
        <v>495</v>
      </c>
      <c r="D172" s="270">
        <f>G21+G34+G39+G52+G83+G145+G146+G148+G127+G126+G128+G129+G130+G121+G118+G113+G68+G66+G65</f>
        <v>310526</v>
      </c>
      <c r="E172" s="271"/>
      <c r="F172" s="271"/>
      <c r="G172" s="271"/>
      <c r="J172" s="208"/>
      <c r="K172" s="257"/>
    </row>
    <row r="173" spans="2:11" ht="23.25" customHeight="1" x14ac:dyDescent="0.3">
      <c r="B173" s="374"/>
      <c r="C173" s="178" t="s">
        <v>401</v>
      </c>
      <c r="D173" s="268">
        <f>D172/G159</f>
        <v>0.12421039976094468</v>
      </c>
      <c r="E173" s="271"/>
      <c r="F173" s="271"/>
      <c r="G173" s="271"/>
      <c r="J173" s="208"/>
      <c r="K173" s="257"/>
    </row>
    <row r="174" spans="2:11" ht="68.25" customHeight="1" thickBot="1" x14ac:dyDescent="0.35">
      <c r="B174" s="374"/>
      <c r="C174" s="379" t="s">
        <v>519</v>
      </c>
      <c r="D174" s="380"/>
      <c r="E174" s="272"/>
      <c r="F174" s="272"/>
      <c r="G174" s="272"/>
      <c r="H174" s="208"/>
      <c r="I174" s="209"/>
      <c r="J174" s="208"/>
      <c r="K174" s="257"/>
    </row>
    <row r="175" spans="2:11" ht="55.5" customHeight="1" x14ac:dyDescent="0.3">
      <c r="B175" s="374"/>
      <c r="K175" s="273"/>
    </row>
    <row r="176" spans="2:11" ht="42.75" customHeight="1" x14ac:dyDescent="0.3">
      <c r="B176" s="374"/>
      <c r="J176" s="208"/>
    </row>
    <row r="177" spans="1:11" ht="21.75" customHeight="1" x14ac:dyDescent="0.3">
      <c r="B177" s="374"/>
      <c r="J177" s="208"/>
    </row>
    <row r="178" spans="1:11" ht="21.75" customHeight="1" x14ac:dyDescent="0.3">
      <c r="A178" s="208"/>
      <c r="B178" s="374"/>
    </row>
    <row r="179" spans="1:11" s="208" customFormat="1" ht="23.25" customHeight="1" x14ac:dyDescent="0.3">
      <c r="A179" s="191"/>
      <c r="B179" s="374"/>
      <c r="C179" s="191"/>
      <c r="D179" s="191"/>
      <c r="E179" s="191"/>
      <c r="F179" s="191"/>
      <c r="G179" s="191"/>
      <c r="H179" s="191"/>
      <c r="I179" s="197"/>
      <c r="J179" s="191"/>
      <c r="K179" s="233"/>
    </row>
    <row r="180" spans="1:11" ht="23.25" customHeight="1" x14ac:dyDescent="0.3"/>
    <row r="181" spans="1:11" ht="21.75" customHeight="1" x14ac:dyDescent="0.3"/>
    <row r="182" spans="1:11" ht="16.5" customHeight="1" x14ac:dyDescent="0.3"/>
    <row r="183" spans="1:11" ht="29.25" customHeight="1" x14ac:dyDescent="0.3"/>
    <row r="184" spans="1:11" ht="24.75" customHeight="1" x14ac:dyDescent="0.3"/>
    <row r="185" spans="1:11" ht="33" customHeight="1" x14ac:dyDescent="0.3"/>
    <row r="187" spans="1:11" ht="15" customHeight="1" x14ac:dyDescent="0.3"/>
    <row r="188" spans="1:11" ht="25.5" customHeight="1" x14ac:dyDescent="0.3"/>
  </sheetData>
  <sheetProtection formatCells="0" formatColumns="0" formatRows="0"/>
  <mergeCells count="38">
    <mergeCell ref="B119:B121"/>
    <mergeCell ref="B126:B137"/>
    <mergeCell ref="B6:M6"/>
    <mergeCell ref="B2:E2"/>
    <mergeCell ref="B9:H9"/>
    <mergeCell ref="C87:J87"/>
    <mergeCell ref="C14:J14"/>
    <mergeCell ref="B15:B26"/>
    <mergeCell ref="B27:B32"/>
    <mergeCell ref="B33:B36"/>
    <mergeCell ref="B37:B40"/>
    <mergeCell ref="B83:B84"/>
    <mergeCell ref="C43:J43"/>
    <mergeCell ref="B44:B46"/>
    <mergeCell ref="B47:B55"/>
    <mergeCell ref="B56:B62"/>
    <mergeCell ref="C64:J64"/>
    <mergeCell ref="G163:G164"/>
    <mergeCell ref="H163:H164"/>
    <mergeCell ref="B166:B179"/>
    <mergeCell ref="C162:H162"/>
    <mergeCell ref="C174:D174"/>
    <mergeCell ref="B138:B144"/>
    <mergeCell ref="B145:B147"/>
    <mergeCell ref="C155:C156"/>
    <mergeCell ref="G155:G156"/>
    <mergeCell ref="C154:D154"/>
    <mergeCell ref="C88:J88"/>
    <mergeCell ref="B65:B70"/>
    <mergeCell ref="B71:B72"/>
    <mergeCell ref="B73:B74"/>
    <mergeCell ref="B112:B113"/>
    <mergeCell ref="B114:B118"/>
    <mergeCell ref="B75:B77"/>
    <mergeCell ref="C79:J79"/>
    <mergeCell ref="C98:J98"/>
    <mergeCell ref="C106:J106"/>
    <mergeCell ref="C111:J111"/>
  </mergeCells>
  <phoneticPr fontId="34" type="noConversion"/>
  <conditionalFormatting sqref="D171">
    <cfRule type="cellIs" dxfId="28" priority="45" operator="lessThan">
      <formula>0.15</formula>
    </cfRule>
  </conditionalFormatting>
  <conditionalFormatting sqref="D173">
    <cfRule type="cellIs" dxfId="27" priority="43" operator="lessThan">
      <formula>0.05</formula>
    </cfRule>
  </conditionalFormatting>
  <dataValidations xWindow="264" yWindow="567" count="6">
    <dataValidation allowBlank="1" showInputMessage="1" showErrorMessage="1" prompt="% Towards Gender Equality and Women's Empowerment Must be Higher than 15%_x000a_" sqref="D171:G171" xr:uid="{00000000-0002-0000-0100-000000000000}"/>
    <dataValidation allowBlank="1" showInputMessage="1" showErrorMessage="1" prompt="M&amp;E Budget Cannot be Less than 5%_x000a_" sqref="D173:G173" xr:uid="{00000000-0002-0000-0100-000001000000}"/>
    <dataValidation allowBlank="1" showInputMessage="1" showErrorMessage="1" prompt="Insert *text* description of Outcome here" sqref="C13:J13 C87:J87" xr:uid="{00000000-0002-0000-0100-000002000000}"/>
    <dataValidation allowBlank="1" showInputMessage="1" showErrorMessage="1" prompt="Insert *text* description of Output here" sqref="C88 C98 C106 C14 C43 C64 C79 C111" xr:uid="{00000000-0002-0000-0100-000003000000}"/>
    <dataValidation allowBlank="1" showInputMessage="1" showErrorMessage="1" prompt="Insert *text* description of Activity here" sqref="C89:C95 C99 C45:C46 C69:C70 C80:C85 C112" xr:uid="{00000000-0002-0000-0100-000004000000}"/>
    <dataValidation allowBlank="1" showErrorMessage="1" prompt="% Towards Gender Equality and Women's Empowerment Must be Higher than 15%_x000a_" sqref="D172:G172" xr:uid="{00000000-0002-0000-0100-000005000000}"/>
  </dataValidations>
  <pageMargins left="0.70866141732283472" right="0.70866141732283472" top="0.74803149606299213" bottom="0.74803149606299213" header="0.31496062992125984" footer="0.31496062992125984"/>
  <pageSetup paperSize="9" scale="59" fitToHeight="15" orientation="landscape" r:id="rId1"/>
  <rowBreaks count="1" manualBreakCount="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168"/>
  <sheetViews>
    <sheetView showGridLines="0" showZeros="0" topLeftCell="A116" zoomScale="70" zoomScaleNormal="70" workbookViewId="0">
      <selection activeCell="G128" sqref="G128"/>
    </sheetView>
  </sheetViews>
  <sheetFormatPr baseColWidth="10" defaultColWidth="9.109375" defaultRowHeight="15.6" x14ac:dyDescent="0.3"/>
  <cols>
    <col min="1" max="1" width="4.44140625" style="27" customWidth="1"/>
    <col min="2" max="2" width="3.44140625" style="27" customWidth="1"/>
    <col min="3" max="3" width="51.44140625" style="27" customWidth="1"/>
    <col min="4" max="4" width="34.44140625" style="29" customWidth="1"/>
    <col min="5" max="5" width="35" style="29" customWidth="1"/>
    <col min="6" max="6" width="34" style="29" hidden="1" customWidth="1"/>
    <col min="7" max="7" width="25.5546875" style="27" customWidth="1"/>
    <col min="8" max="8" width="21.44140625" style="27" customWidth="1"/>
    <col min="9" max="9" width="16.88671875" style="27" customWidth="1"/>
    <col min="10" max="10" width="19.44140625" style="27" customWidth="1"/>
    <col min="11" max="11" width="19" style="27" customWidth="1"/>
    <col min="12" max="12" width="26" style="27" customWidth="1"/>
    <col min="13" max="13" width="21.109375" style="27" customWidth="1"/>
    <col min="14" max="14" width="7" style="31" customWidth="1"/>
    <col min="15" max="15" width="24.44140625" style="27" customWidth="1"/>
    <col min="16" max="16" width="26.44140625" style="27" customWidth="1"/>
    <col min="17" max="17" width="30.109375" style="27" customWidth="1"/>
    <col min="18" max="18" width="33" style="27" customWidth="1"/>
    <col min="19" max="20" width="22.5546875" style="27" customWidth="1"/>
    <col min="21" max="21" width="23.44140625" style="27" customWidth="1"/>
    <col min="22" max="22" width="32.109375" style="27" customWidth="1"/>
    <col min="23" max="23" width="9.109375" style="27"/>
    <col min="24" max="24" width="17.5546875" style="27" customWidth="1"/>
    <col min="25" max="25" width="26.44140625" style="27" customWidth="1"/>
    <col min="26" max="26" width="22.44140625" style="27" customWidth="1"/>
    <col min="27" max="27" width="29.5546875" style="27" customWidth="1"/>
    <col min="28" max="28" width="23.44140625" style="27" customWidth="1"/>
    <col min="29" max="29" width="18.44140625" style="27" customWidth="1"/>
    <col min="30" max="30" width="17.44140625" style="27" customWidth="1"/>
    <col min="31" max="31" width="25.109375" style="27" customWidth="1"/>
    <col min="32" max="16384" width="9.109375" style="27"/>
  </cols>
  <sheetData>
    <row r="1" spans="2:14" ht="24" customHeight="1" x14ac:dyDescent="0.3">
      <c r="L1" s="8"/>
      <c r="M1" s="2"/>
      <c r="N1" s="27"/>
    </row>
    <row r="2" spans="2:14" ht="46.2" x14ac:dyDescent="0.85">
      <c r="C2" s="418" t="s">
        <v>404</v>
      </c>
      <c r="D2" s="418"/>
      <c r="E2" s="418"/>
      <c r="F2" s="418"/>
      <c r="G2" s="19"/>
      <c r="H2" s="20"/>
      <c r="I2" s="20"/>
      <c r="L2" s="8"/>
      <c r="M2" s="2"/>
      <c r="N2" s="27"/>
    </row>
    <row r="3" spans="2:14" ht="24" customHeight="1" x14ac:dyDescent="0.3">
      <c r="C3" s="22"/>
      <c r="D3" s="21"/>
      <c r="E3" s="21"/>
      <c r="F3" s="21"/>
      <c r="G3" s="21"/>
      <c r="H3" s="21"/>
      <c r="I3" s="21"/>
      <c r="L3" s="8"/>
      <c r="M3" s="2"/>
      <c r="N3" s="27"/>
    </row>
    <row r="4" spans="2:14" ht="24" customHeight="1" thickBot="1" x14ac:dyDescent="0.35">
      <c r="C4" s="22"/>
      <c r="D4" s="21"/>
      <c r="E4" s="21"/>
      <c r="F4" s="21"/>
      <c r="G4" s="21"/>
      <c r="H4" s="21"/>
      <c r="I4" s="21"/>
      <c r="L4" s="8"/>
      <c r="M4" s="2"/>
      <c r="N4" s="27"/>
    </row>
    <row r="5" spans="2:14" ht="41.25" customHeight="1" x14ac:dyDescent="0.7">
      <c r="C5" s="424" t="s">
        <v>411</v>
      </c>
      <c r="D5" s="425"/>
      <c r="E5" s="425"/>
      <c r="F5" s="425"/>
      <c r="G5" s="425"/>
      <c r="H5" s="88"/>
      <c r="I5" s="88"/>
      <c r="J5" s="89"/>
      <c r="K5" s="2"/>
      <c r="N5" s="27"/>
    </row>
    <row r="6" spans="2:14" ht="24" customHeight="1" x14ac:dyDescent="0.3">
      <c r="C6" s="408" t="s">
        <v>437</v>
      </c>
      <c r="D6" s="409"/>
      <c r="E6" s="409"/>
      <c r="F6" s="409"/>
      <c r="G6" s="409"/>
      <c r="H6" s="409"/>
      <c r="I6" s="409"/>
      <c r="J6" s="410"/>
      <c r="K6" s="2"/>
      <c r="N6" s="27"/>
    </row>
    <row r="7" spans="2:14" ht="24" customHeight="1" x14ac:dyDescent="0.3">
      <c r="C7" s="408"/>
      <c r="D7" s="409"/>
      <c r="E7" s="409"/>
      <c r="F7" s="409"/>
      <c r="G7" s="409"/>
      <c r="H7" s="409"/>
      <c r="I7" s="409"/>
      <c r="J7" s="410"/>
      <c r="K7" s="2"/>
      <c r="N7" s="27"/>
    </row>
    <row r="8" spans="2:14" ht="24" customHeight="1" x14ac:dyDescent="0.3">
      <c r="C8" s="408"/>
      <c r="D8" s="409"/>
      <c r="E8" s="409"/>
      <c r="F8" s="409"/>
      <c r="G8" s="409"/>
      <c r="H8" s="409"/>
      <c r="I8" s="409"/>
      <c r="J8" s="410"/>
      <c r="K8" s="2"/>
      <c r="N8" s="27"/>
    </row>
    <row r="9" spans="2:14" ht="10.5" customHeight="1" thickBot="1" x14ac:dyDescent="0.35">
      <c r="C9" s="411"/>
      <c r="D9" s="412"/>
      <c r="E9" s="412"/>
      <c r="F9" s="412"/>
      <c r="G9" s="412"/>
      <c r="H9" s="412"/>
      <c r="I9" s="412"/>
      <c r="J9" s="413"/>
      <c r="L9" s="8"/>
      <c r="M9" s="2"/>
      <c r="N9" s="27"/>
    </row>
    <row r="10" spans="2:14" ht="24" customHeight="1" thickBot="1" x14ac:dyDescent="0.35">
      <c r="C10" s="79"/>
      <c r="D10" s="77"/>
      <c r="E10" s="77"/>
      <c r="F10" s="77"/>
      <c r="G10" s="78"/>
      <c r="H10" s="78"/>
      <c r="I10" s="78"/>
      <c r="J10" s="78"/>
      <c r="L10" s="8"/>
      <c r="M10" s="2"/>
      <c r="N10" s="27"/>
    </row>
    <row r="11" spans="2:14" ht="59.25" customHeight="1" thickBot="1" x14ac:dyDescent="0.55000000000000004">
      <c r="C11" s="419" t="s">
        <v>438</v>
      </c>
      <c r="D11" s="420"/>
      <c r="E11" s="420"/>
      <c r="F11" s="421"/>
      <c r="L11" s="8"/>
      <c r="M11" s="2"/>
      <c r="N11" s="27"/>
    </row>
    <row r="12" spans="2:14" ht="24" customHeight="1" x14ac:dyDescent="0.3">
      <c r="C12" s="24"/>
      <c r="D12" s="24"/>
      <c r="E12" s="24"/>
      <c r="F12" s="24"/>
      <c r="L12" s="8"/>
      <c r="M12" s="2"/>
      <c r="N12" s="27"/>
    </row>
    <row r="13" spans="2:14" ht="40.5" customHeight="1" x14ac:dyDescent="0.3">
      <c r="C13" s="24"/>
      <c r="D13" s="70" t="s">
        <v>445</v>
      </c>
      <c r="E13" s="99" t="s">
        <v>448</v>
      </c>
      <c r="F13" s="99" t="s">
        <v>471</v>
      </c>
      <c r="G13" s="422" t="s">
        <v>12</v>
      </c>
      <c r="J13" s="179"/>
      <c r="L13" s="8"/>
      <c r="M13" s="2"/>
      <c r="N13" s="27"/>
    </row>
    <row r="14" spans="2:14" ht="24" customHeight="1" x14ac:dyDescent="0.3">
      <c r="C14" s="24"/>
      <c r="D14" s="71">
        <f>'1) Tableau budgétaire 1'!D13</f>
        <v>0</v>
      </c>
      <c r="E14" s="71">
        <f>'1) Tableau budgétaire 1'!E13</f>
        <v>0</v>
      </c>
      <c r="F14" s="71">
        <f>'1) Tableau budgétaire 1'!F13</f>
        <v>0</v>
      </c>
      <c r="G14" s="423"/>
      <c r="L14" s="8"/>
      <c r="M14" s="2"/>
      <c r="N14" s="27"/>
    </row>
    <row r="15" spans="2:14" ht="24" customHeight="1" x14ac:dyDescent="0.3">
      <c r="B15" s="405" t="s">
        <v>412</v>
      </c>
      <c r="C15" s="406"/>
      <c r="D15" s="406"/>
      <c r="E15" s="406"/>
      <c r="F15" s="406"/>
      <c r="G15" s="407"/>
      <c r="L15" s="8"/>
      <c r="M15" s="2"/>
      <c r="N15" s="27"/>
    </row>
    <row r="16" spans="2:14" ht="22.5" customHeight="1" x14ac:dyDescent="0.3">
      <c r="C16" s="405" t="s">
        <v>413</v>
      </c>
      <c r="D16" s="406"/>
      <c r="E16" s="406"/>
      <c r="F16" s="406"/>
      <c r="G16" s="407"/>
      <c r="L16" s="8"/>
      <c r="M16" s="2"/>
      <c r="N16" s="27"/>
    </row>
    <row r="17" spans="3:14" ht="24.75" customHeight="1" thickBot="1" x14ac:dyDescent="0.35">
      <c r="C17" s="90" t="s">
        <v>414</v>
      </c>
      <c r="D17" s="91">
        <f>'1) Tableau budgétaire 1'!D42</f>
        <v>321722.93</v>
      </c>
      <c r="E17" s="91">
        <f>'1) Tableau budgétaire 1'!E42</f>
        <v>0</v>
      </c>
      <c r="F17" s="91">
        <f>'1) Tableau budgétaire 1'!F42</f>
        <v>0</v>
      </c>
      <c r="G17" s="92">
        <f>SUM(D17:F17)</f>
        <v>321722.93</v>
      </c>
      <c r="K17" s="179"/>
      <c r="L17" s="8"/>
      <c r="M17" s="2"/>
      <c r="N17" s="27"/>
    </row>
    <row r="18" spans="3:14" ht="21.75" customHeight="1" x14ac:dyDescent="0.3">
      <c r="C18" s="37" t="s">
        <v>415</v>
      </c>
      <c r="D18" s="69">
        <f>SUMIF('1) Tableau budgétaire 1'!$K$15:$K$41,LEFT($C18,1),'1) Tableau budgétaire 1'!$D$15:$D$41)</f>
        <v>0</v>
      </c>
      <c r="E18" s="69">
        <f>SUMIF('1) Tableau budgétaire 1'!$K$15:$K$41,LEFT($C18,1),'1) Tableau budgétaire 1'!$E$15:$E$41)</f>
        <v>0</v>
      </c>
      <c r="F18" s="69">
        <f>SUMIF('1) Tableau budgétaire 1'!$K$15:$K$41,LEFT($C18,1),'1) Tableau budgétaire 1'!$F$15:$F$41)</f>
        <v>0</v>
      </c>
      <c r="G18" s="38">
        <f t="shared" ref="G18:G24" si="0">SUM(D18:F18)</f>
        <v>0</v>
      </c>
      <c r="N18" s="27"/>
    </row>
    <row r="19" spans="3:14" x14ac:dyDescent="0.3">
      <c r="C19" s="25" t="s">
        <v>416</v>
      </c>
      <c r="D19" s="69">
        <f>SUMIF('1) Tableau budgétaire 1'!$K$15:$K$41,LEFT($C19,1),'1) Tableau budgétaire 1'!$D$15:$D$41)</f>
        <v>59600</v>
      </c>
      <c r="E19" s="69">
        <f>SUMIF('1) Tableau budgétaire 1'!$K$15:$K$41,LEFT($C19,1),'1) Tableau budgétaire 1'!$E$15:$E$41)</f>
        <v>0</v>
      </c>
      <c r="F19" s="69">
        <f>SUMIF('1) Tableau budgétaire 1'!$K$15:$K$41,LEFT($C19,1),'1) Tableau budgétaire 1'!$F$15:$F$41)</f>
        <v>0</v>
      </c>
      <c r="G19" s="36">
        <f t="shared" si="0"/>
        <v>59600</v>
      </c>
      <c r="N19" s="27"/>
    </row>
    <row r="20" spans="3:14" ht="15.75" customHeight="1" x14ac:dyDescent="0.3">
      <c r="C20" s="25" t="s">
        <v>417</v>
      </c>
      <c r="D20" s="69">
        <f>SUMIF('1) Tableau budgétaire 1'!$K$15:$K$41,LEFT($C20,1),'1) Tableau budgétaire 1'!$D$15:$D$41)</f>
        <v>26300</v>
      </c>
      <c r="E20" s="69">
        <f>SUMIF('1) Tableau budgétaire 1'!$K$15:$K$41,LEFT($C20,1),'1) Tableau budgétaire 1'!$E$15:$E$41)</f>
        <v>0</v>
      </c>
      <c r="F20" s="69">
        <f>SUMIF('1) Tableau budgétaire 1'!$K$15:$K$41,LEFT($C20,1),'1) Tableau budgétaire 1'!$F$15:$F$41)</f>
        <v>0</v>
      </c>
      <c r="G20" s="36">
        <f t="shared" si="0"/>
        <v>26300</v>
      </c>
      <c r="N20" s="27"/>
    </row>
    <row r="21" spans="3:14" x14ac:dyDescent="0.3">
      <c r="C21" s="26" t="s">
        <v>418</v>
      </c>
      <c r="D21" s="69">
        <f>SUMIF('1) Tableau budgétaire 1'!$K$15:$K$41,LEFT($C21,1),'1) Tableau budgétaire 1'!$D$15:$D$41)</f>
        <v>215609.4</v>
      </c>
      <c r="E21" s="69">
        <f>SUMIF('1) Tableau budgétaire 1'!$K$15:$K$41,LEFT($C21,1),'1) Tableau budgétaire 1'!$E$15:$E$41)</f>
        <v>0</v>
      </c>
      <c r="F21" s="69">
        <f>SUMIF('1) Tableau budgétaire 1'!$K$15:$K$41,LEFT($C21,1),'1) Tableau budgétaire 1'!$F$15:$F$41)</f>
        <v>0</v>
      </c>
      <c r="G21" s="36">
        <f t="shared" si="0"/>
        <v>215609.4</v>
      </c>
      <c r="I21" s="179"/>
      <c r="N21" s="27"/>
    </row>
    <row r="22" spans="3:14" x14ac:dyDescent="0.3">
      <c r="C22" s="25" t="s">
        <v>419</v>
      </c>
      <c r="D22" s="69">
        <f>SUMIF('1) Tableau budgétaire 1'!$K$15:$K$41,LEFT($C22,1),'1) Tableau budgétaire 1'!$D$15:$D$41)</f>
        <v>20213.53</v>
      </c>
      <c r="E22" s="69">
        <f>SUMIF('1) Tableau budgétaire 1'!$K$15:$K$41,LEFT($C22,1),'1) Tableau budgétaire 1'!$E$15:$E$41)</f>
        <v>0</v>
      </c>
      <c r="F22" s="69">
        <f>SUMIF('1) Tableau budgétaire 1'!$K$15:$K$41,LEFT($C22,1),'1) Tableau budgétaire 1'!$F$15:$F$41)</f>
        <v>0</v>
      </c>
      <c r="G22" s="36">
        <f t="shared" si="0"/>
        <v>20213.53</v>
      </c>
      <c r="N22" s="27"/>
    </row>
    <row r="23" spans="3:14" ht="21.75" customHeight="1" x14ac:dyDescent="0.3">
      <c r="C23" s="25" t="s">
        <v>420</v>
      </c>
      <c r="D23" s="69">
        <f>SUMIF('1) Tableau budgétaire 1'!$K$15:$K$41,LEFT($C23,1),'1) Tableau budgétaire 1'!$D$15:$D$41)</f>
        <v>0</v>
      </c>
      <c r="E23" s="69">
        <f>SUMIF('1) Tableau budgétaire 1'!$K$15:$K$41,LEFT($C23,1),'1) Tableau budgétaire 1'!$E$15:$E$41)</f>
        <v>0</v>
      </c>
      <c r="F23" s="69">
        <f>SUMIF('1) Tableau budgétaire 1'!$K$15:$K$41,LEFT($C23,1),'1) Tableau budgétaire 1'!$F$15:$F$41)</f>
        <v>0</v>
      </c>
      <c r="G23" s="36">
        <f t="shared" si="0"/>
        <v>0</v>
      </c>
      <c r="N23" s="27"/>
    </row>
    <row r="24" spans="3:14" ht="36.75" customHeight="1" x14ac:dyDescent="0.3">
      <c r="C24" s="25" t="s">
        <v>421</v>
      </c>
      <c r="D24" s="69">
        <f>SUMIF('1) Tableau budgétaire 1'!$K$15:$K$41,LEFT($C24,1),'1) Tableau budgétaire 1'!$D$15:$D$41)</f>
        <v>0</v>
      </c>
      <c r="E24" s="69">
        <f>SUMIF('1) Tableau budgétaire 1'!$K$15:$K$41,LEFT($C24,1),'1) Tableau budgétaire 1'!$E$15:$E$41)</f>
        <v>0</v>
      </c>
      <c r="F24" s="69">
        <f>SUMIF('1) Tableau budgétaire 1'!$K$15:$K$41,LEFT($C24,1),'1) Tableau budgétaire 1'!$F$15:$F$41)</f>
        <v>0</v>
      </c>
      <c r="G24" s="36">
        <f t="shared" si="0"/>
        <v>0</v>
      </c>
      <c r="N24" s="27"/>
    </row>
    <row r="25" spans="3:14" ht="15.75" customHeight="1" x14ac:dyDescent="0.3">
      <c r="C25" s="30" t="s">
        <v>19</v>
      </c>
      <c r="D25" s="42">
        <f>SUM(D18:D24)</f>
        <v>321722.93000000005</v>
      </c>
      <c r="E25" s="42">
        <f>SUM(E18:E24)</f>
        <v>0</v>
      </c>
      <c r="F25" s="42">
        <f>SUM(F18:F24)</f>
        <v>0</v>
      </c>
      <c r="G25" s="75">
        <f>SUM(D25:F25)</f>
        <v>321722.93000000005</v>
      </c>
      <c r="N25" s="27"/>
    </row>
    <row r="26" spans="3:14" s="29" customFormat="1" x14ac:dyDescent="0.3">
      <c r="C26" s="43"/>
      <c r="D26" s="44"/>
      <c r="E26" s="44"/>
      <c r="F26" s="44"/>
      <c r="G26" s="76"/>
    </row>
    <row r="27" spans="3:14" x14ac:dyDescent="0.3">
      <c r="C27" s="405" t="s">
        <v>422</v>
      </c>
      <c r="D27" s="406"/>
      <c r="E27" s="406"/>
      <c r="F27" s="406"/>
      <c r="G27" s="407"/>
      <c r="N27" s="27"/>
    </row>
    <row r="28" spans="3:14" ht="27" customHeight="1" thickBot="1" x14ac:dyDescent="0.35">
      <c r="C28" s="39" t="s">
        <v>423</v>
      </c>
      <c r="D28" s="40">
        <f>'1) Tableau budgétaire 1'!D63</f>
        <v>177768.4</v>
      </c>
      <c r="E28" s="40">
        <f>'1) Tableau budgétaire 1'!E63</f>
        <v>0</v>
      </c>
      <c r="F28" s="40">
        <f>'1) Tableau budgétaire 1'!F63</f>
        <v>0</v>
      </c>
      <c r="G28" s="41">
        <f t="shared" ref="G28:G36" si="1">SUM(D28:F28)</f>
        <v>177768.4</v>
      </c>
      <c r="N28" s="27"/>
    </row>
    <row r="29" spans="3:14" x14ac:dyDescent="0.3">
      <c r="C29" s="37" t="s">
        <v>415</v>
      </c>
      <c r="D29" s="69">
        <f>SUMIF('1) Tableau budgétaire 1'!$K$44:$K$62,LEFT($C29,1),'1) Tableau budgétaire 1'!$D$44:$D$62)</f>
        <v>0</v>
      </c>
      <c r="E29" s="69">
        <f>SUMIF('1) Tableau budgétaire 1'!$K$44:$K$62,LEFT($C29,1),'1) Tableau budgétaire 1'!$E$44:$E$62)</f>
        <v>0</v>
      </c>
      <c r="F29" s="69">
        <f>SUMIF('1) Tableau budgétaire 1'!$K$44:$K$62,LEFT($C29,1),'1) Tableau budgétaire 1'!$F$44:$F$62)</f>
        <v>0</v>
      </c>
      <c r="G29" s="38">
        <f t="shared" si="1"/>
        <v>0</v>
      </c>
      <c r="N29" s="27"/>
    </row>
    <row r="30" spans="3:14" x14ac:dyDescent="0.3">
      <c r="C30" s="25" t="s">
        <v>416</v>
      </c>
      <c r="D30" s="69">
        <f>SUMIF('1) Tableau budgétaire 1'!$K$44:$K$62,LEFT($C30,1),'1) Tableau budgétaire 1'!$D$44:$D$62)</f>
        <v>13200</v>
      </c>
      <c r="E30" s="69">
        <f>SUMIF('1) Tableau budgétaire 1'!$K$44:$K$62,LEFT($C30,1),'1) Tableau budgétaire 1'!$E$44:$E$62)</f>
        <v>0</v>
      </c>
      <c r="F30" s="69">
        <f>SUMIF('1) Tableau budgétaire 1'!$K$44:$K$62,LEFT($C30,1),'1) Tableau budgétaire 1'!$F$44:$F$62)</f>
        <v>0</v>
      </c>
      <c r="G30" s="36">
        <f t="shared" si="1"/>
        <v>13200</v>
      </c>
      <c r="N30" s="27"/>
    </row>
    <row r="31" spans="3:14" ht="31.2" x14ac:dyDescent="0.3">
      <c r="C31" s="25" t="s">
        <v>417</v>
      </c>
      <c r="D31" s="69">
        <f>SUMIF('1) Tableau budgétaire 1'!$K$44:$K$62,LEFT($C31,1),'1) Tableau budgétaire 1'!$D$44:$D$62)</f>
        <v>40200</v>
      </c>
      <c r="E31" s="69">
        <f>SUMIF('1) Tableau budgétaire 1'!$K$44:$K$62,LEFT($C31,1),'1) Tableau budgétaire 1'!$E$44:$E$62)</f>
        <v>0</v>
      </c>
      <c r="F31" s="69">
        <f>SUMIF('1) Tableau budgétaire 1'!$K$44:$K$62,LEFT($C31,1),'1) Tableau budgétaire 1'!$F$44:$F$62)</f>
        <v>0</v>
      </c>
      <c r="G31" s="36">
        <f t="shared" si="1"/>
        <v>40200</v>
      </c>
      <c r="N31" s="27"/>
    </row>
    <row r="32" spans="3:14" x14ac:dyDescent="0.3">
      <c r="C32" s="26" t="s">
        <v>418</v>
      </c>
      <c r="D32" s="69">
        <f>SUMIF('1) Tableau budgétaire 1'!$K$44:$K$62,LEFT($C32,1),'1) Tableau budgétaire 1'!$D$44:$D$62)</f>
        <v>96150</v>
      </c>
      <c r="E32" s="69">
        <f>SUMIF('1) Tableau budgétaire 1'!$K$44:$K$62,LEFT($C32,1),'1) Tableau budgétaire 1'!$E$44:$E$62)</f>
        <v>0</v>
      </c>
      <c r="F32" s="69">
        <f>SUMIF('1) Tableau budgétaire 1'!$K$44:$K$62,LEFT($C32,1),'1) Tableau budgétaire 1'!$F$44:$F$62)</f>
        <v>0</v>
      </c>
      <c r="G32" s="36">
        <f t="shared" si="1"/>
        <v>96150</v>
      </c>
      <c r="N32" s="27"/>
    </row>
    <row r="33" spans="3:14" x14ac:dyDescent="0.3">
      <c r="C33" s="25" t="s">
        <v>419</v>
      </c>
      <c r="D33" s="69">
        <f>SUMIF('1) Tableau budgétaire 1'!$K$44:$K$62,LEFT($C33,1),'1) Tableau budgétaire 1'!$D$44:$D$62)</f>
        <v>27018.400000000001</v>
      </c>
      <c r="E33" s="69">
        <f>SUMIF('1) Tableau budgétaire 1'!$K$44:$K$62,LEFT($C33,1),'1) Tableau budgétaire 1'!$E$44:$E$62)</f>
        <v>0</v>
      </c>
      <c r="F33" s="69">
        <f>SUMIF('1) Tableau budgétaire 1'!$K$44:$K$62,LEFT($C33,1),'1) Tableau budgétaire 1'!$F$44:$F$62)</f>
        <v>0</v>
      </c>
      <c r="G33" s="36">
        <f t="shared" si="1"/>
        <v>27018.400000000001</v>
      </c>
      <c r="N33" s="27"/>
    </row>
    <row r="34" spans="3:14" x14ac:dyDescent="0.3">
      <c r="C34" s="25" t="s">
        <v>420</v>
      </c>
      <c r="D34" s="69">
        <f>SUMIF('1) Tableau budgétaire 1'!$K$44:$K$62,LEFT($C34,1),'1) Tableau budgétaire 1'!$D$44:$D$62)</f>
        <v>0</v>
      </c>
      <c r="E34" s="69">
        <f>SUMIF('1) Tableau budgétaire 1'!$K$44:$K$62,LEFT($C34,1),'1) Tableau budgétaire 1'!$E$44:$E$62)</f>
        <v>0</v>
      </c>
      <c r="F34" s="69">
        <f>SUMIF('1) Tableau budgétaire 1'!$K$44:$K$62,LEFT($C34,1),'1) Tableau budgétaire 1'!$F$44:$F$62)</f>
        <v>0</v>
      </c>
      <c r="G34" s="36">
        <f t="shared" si="1"/>
        <v>0</v>
      </c>
      <c r="N34" s="27"/>
    </row>
    <row r="35" spans="3:14" ht="31.2" x14ac:dyDescent="0.3">
      <c r="C35" s="25" t="s">
        <v>421</v>
      </c>
      <c r="D35" s="69">
        <f>SUMIF('1) Tableau budgétaire 1'!$K$44:$K$62,LEFT($C35,1),'1) Tableau budgétaire 1'!$D$44:$D$62)</f>
        <v>1200</v>
      </c>
      <c r="E35" s="69">
        <f>SUMIF('1) Tableau budgétaire 1'!$K$44:$K$62,LEFT($C35,1),'1) Tableau budgétaire 1'!$E$44:$E$62)</f>
        <v>0</v>
      </c>
      <c r="F35" s="69">
        <f>SUMIF('1) Tableau budgétaire 1'!$K$44:$K$62,LEFT($C35,1),'1) Tableau budgétaire 1'!$F$44:$F$62)</f>
        <v>0</v>
      </c>
      <c r="G35" s="36">
        <f t="shared" si="1"/>
        <v>1200</v>
      </c>
      <c r="N35" s="27"/>
    </row>
    <row r="36" spans="3:14" x14ac:dyDescent="0.3">
      <c r="C36" s="30" t="s">
        <v>19</v>
      </c>
      <c r="D36" s="42">
        <f>SUM(D29:D35)</f>
        <v>177768.4</v>
      </c>
      <c r="E36" s="42">
        <f>SUM(E29:E35)</f>
        <v>0</v>
      </c>
      <c r="F36" s="42">
        <f>SUM(F29:F35)</f>
        <v>0</v>
      </c>
      <c r="G36" s="36">
        <f t="shared" si="1"/>
        <v>177768.4</v>
      </c>
      <c r="N36" s="27"/>
    </row>
    <row r="37" spans="3:14" s="29" customFormat="1" x14ac:dyDescent="0.3">
      <c r="C37" s="43"/>
      <c r="D37" s="44"/>
      <c r="E37" s="44"/>
      <c r="F37" s="44"/>
      <c r="G37" s="45"/>
    </row>
    <row r="38" spans="3:14" x14ac:dyDescent="0.3">
      <c r="C38" s="405" t="s">
        <v>424</v>
      </c>
      <c r="D38" s="406"/>
      <c r="E38" s="406"/>
      <c r="F38" s="406"/>
      <c r="G38" s="407"/>
      <c r="N38" s="27"/>
    </row>
    <row r="39" spans="3:14" ht="21.75" customHeight="1" thickBot="1" x14ac:dyDescent="0.35">
      <c r="C39" s="39" t="s">
        <v>425</v>
      </c>
      <c r="D39" s="40">
        <f>'1) Tableau budgétaire 1'!D78</f>
        <v>114092</v>
      </c>
      <c r="E39" s="40">
        <f>'1) Tableau budgétaire 1'!E78</f>
        <v>0</v>
      </c>
      <c r="F39" s="40">
        <f>'1) Tableau budgétaire 1'!F78</f>
        <v>0</v>
      </c>
      <c r="G39" s="41">
        <f t="shared" ref="G39:G47" si="2">SUM(D39:F39)</f>
        <v>114092</v>
      </c>
      <c r="J39" s="179"/>
      <c r="N39" s="27"/>
    </row>
    <row r="40" spans="3:14" x14ac:dyDescent="0.3">
      <c r="C40" s="37" t="s">
        <v>415</v>
      </c>
      <c r="D40" s="69">
        <f>SUMIF('1) Tableau budgétaire 1'!$K$65:$K$77,LEFT($C40,1),'1) Tableau budgétaire 1'!$D$65:$D$77)</f>
        <v>0</v>
      </c>
      <c r="E40" s="69">
        <f>SUMIF('1) Tableau budgétaire 1'!$K$65:$K$77,LEFT($C40,1),'1) Tableau budgétaire 1'!$E$65:$E$77)</f>
        <v>0</v>
      </c>
      <c r="F40" s="69">
        <f>SUMIF('1) Tableau budgétaire 1'!$K$65:$K$77,LEFT($C40,1),'1) Tableau budgétaire 1'!$F$65:$F$77)</f>
        <v>0</v>
      </c>
      <c r="G40" s="38">
        <f t="shared" si="2"/>
        <v>0</v>
      </c>
      <c r="N40" s="27"/>
    </row>
    <row r="41" spans="3:14" s="29" customFormat="1" ht="15.75" customHeight="1" x14ac:dyDescent="0.3">
      <c r="C41" s="25" t="s">
        <v>416</v>
      </c>
      <c r="D41" s="69">
        <f>SUMIF('1) Tableau budgétaire 1'!$K$65:$K$77,LEFT($C41,1),'1) Tableau budgétaire 1'!$D$65:$D$77)</f>
        <v>0</v>
      </c>
      <c r="E41" s="69">
        <f>SUMIF('1) Tableau budgétaire 1'!$K$65:$K$77,LEFT($C41,1),'1) Tableau budgétaire 1'!$E$65:$E$77)</f>
        <v>0</v>
      </c>
      <c r="F41" s="69">
        <f>SUMIF('1) Tableau budgétaire 1'!$K$65:$K$77,LEFT($C41,1),'1) Tableau budgétaire 1'!$F$65:$F$77)</f>
        <v>0</v>
      </c>
      <c r="G41" s="36">
        <f t="shared" si="2"/>
        <v>0</v>
      </c>
    </row>
    <row r="42" spans="3:14" s="29" customFormat="1" ht="31.2" x14ac:dyDescent="0.3">
      <c r="C42" s="25" t="s">
        <v>417</v>
      </c>
      <c r="D42" s="69">
        <f>SUMIF('1) Tableau budgétaire 1'!$K$65:$K$77,LEFT($C42,1),'1) Tableau budgétaire 1'!$D$65:$D$77)</f>
        <v>0</v>
      </c>
      <c r="E42" s="69">
        <f>SUMIF('1) Tableau budgétaire 1'!$K$65:$K$77,LEFT($C42,1),'1) Tableau budgétaire 1'!$E$65:$E$77)</f>
        <v>0</v>
      </c>
      <c r="F42" s="69">
        <f>SUMIF('1) Tableau budgétaire 1'!$K$65:$K$77,LEFT($C42,1),'1) Tableau budgétaire 1'!$F$65:$F$77)</f>
        <v>0</v>
      </c>
      <c r="G42" s="36">
        <f t="shared" si="2"/>
        <v>0</v>
      </c>
    </row>
    <row r="43" spans="3:14" s="29" customFormat="1" x14ac:dyDescent="0.3">
      <c r="C43" s="26" t="s">
        <v>418</v>
      </c>
      <c r="D43" s="69">
        <f>SUMIF('1) Tableau budgétaire 1'!$K$65:$K$77,LEFT($C43,1),'1) Tableau budgétaire 1'!$D$65:$D$77)</f>
        <v>51994</v>
      </c>
      <c r="E43" s="69">
        <f>SUMIF('1) Tableau budgétaire 1'!$K$65:$K$77,LEFT($C43,1),'1) Tableau budgétaire 1'!$E$65:$E$77)</f>
        <v>0</v>
      </c>
      <c r="F43" s="190">
        <f>SUMIF('1) Tableau budgétaire 1'!$K$65:$K$77,LEFT($C43,1),'1) Tableau budgétaire 1'!$F$65:$F$77)</f>
        <v>0</v>
      </c>
      <c r="G43" s="36">
        <f t="shared" si="2"/>
        <v>51994</v>
      </c>
    </row>
    <row r="44" spans="3:14" x14ac:dyDescent="0.3">
      <c r="C44" s="25" t="s">
        <v>419</v>
      </c>
      <c r="D44" s="69">
        <f>SUMIF('1) Tableau budgétaire 1'!$K$65:$K$77,LEFT($C44,1),'1) Tableau budgétaire 1'!$D$65:$D$77)</f>
        <v>0</v>
      </c>
      <c r="E44" s="69">
        <f>SUMIF('1) Tableau budgétaire 1'!$K$65:$K$77,LEFT($C44,1),'1) Tableau budgétaire 1'!$E$65:$E$77)</f>
        <v>0</v>
      </c>
      <c r="F44" s="190">
        <f>SUMIF('1) Tableau budgétaire 1'!$K$65:$K$77,LEFT($C44,1),'1) Tableau budgétaire 1'!$F$65:$F$77)</f>
        <v>0</v>
      </c>
      <c r="G44" s="36">
        <f t="shared" si="2"/>
        <v>0</v>
      </c>
      <c r="N44" s="27"/>
    </row>
    <row r="45" spans="3:14" x14ac:dyDescent="0.3">
      <c r="C45" s="25" t="s">
        <v>420</v>
      </c>
      <c r="D45" s="69">
        <f>SUMIF('1) Tableau budgétaire 1'!$K$65:$K$77,LEFT($C45,1),'1) Tableau budgétaire 1'!$D$65:$D$77)</f>
        <v>62098</v>
      </c>
      <c r="E45" s="69">
        <f>SUMIF('1) Tableau budgétaire 1'!$K$65:$K$77,LEFT($C45,1),'1) Tableau budgétaire 1'!$E$65:$E$77)</f>
        <v>0</v>
      </c>
      <c r="F45" s="190">
        <f>SUMIF('1) Tableau budgétaire 1'!$K$65:$K$77,LEFT($C45,1),'1) Tableau budgétaire 1'!$F$65:$F$77)</f>
        <v>0</v>
      </c>
      <c r="G45" s="36">
        <f t="shared" si="2"/>
        <v>62098</v>
      </c>
      <c r="N45" s="27"/>
    </row>
    <row r="46" spans="3:14" ht="31.2" x14ac:dyDescent="0.3">
      <c r="C46" s="25" t="s">
        <v>421</v>
      </c>
      <c r="D46" s="69">
        <f>SUMIF('1) Tableau budgétaire 1'!$K$65:$K$77,LEFT($C46,1),'1) Tableau budgétaire 1'!$D$65:$D$77)</f>
        <v>0</v>
      </c>
      <c r="E46" s="69">
        <f>SUMIF('1) Tableau budgétaire 1'!$K$65:$K$77,LEFT($C46,1),'1) Tableau budgétaire 1'!$E$65:$E$77)</f>
        <v>0</v>
      </c>
      <c r="F46" s="190">
        <f>SUMIF('1) Tableau budgétaire 1'!$K$65:$K$77,LEFT($C46,1),'1) Tableau budgétaire 1'!$F$65:$F$77)</f>
        <v>0</v>
      </c>
      <c r="G46" s="36">
        <f t="shared" si="2"/>
        <v>0</v>
      </c>
      <c r="N46" s="27"/>
    </row>
    <row r="47" spans="3:14" x14ac:dyDescent="0.3">
      <c r="C47" s="30" t="s">
        <v>19</v>
      </c>
      <c r="D47" s="42">
        <f>SUM(D40:D46)</f>
        <v>114092</v>
      </c>
      <c r="E47" s="42">
        <f>SUM(E40:E46)</f>
        <v>0</v>
      </c>
      <c r="F47" s="42">
        <f>SUM(F40:F46)</f>
        <v>0</v>
      </c>
      <c r="G47" s="36">
        <f t="shared" si="2"/>
        <v>114092</v>
      </c>
      <c r="H47" s="179">
        <f>G39-G47</f>
        <v>0</v>
      </c>
      <c r="N47" s="27"/>
    </row>
    <row r="48" spans="3:14" s="29" customFormat="1" x14ac:dyDescent="0.3">
      <c r="C48" s="43"/>
      <c r="D48" s="44"/>
      <c r="E48" s="44"/>
      <c r="F48" s="44"/>
      <c r="G48" s="45"/>
    </row>
    <row r="49" spans="2:14" x14ac:dyDescent="0.3">
      <c r="C49" s="405" t="s">
        <v>607</v>
      </c>
      <c r="D49" s="406"/>
      <c r="E49" s="406"/>
      <c r="F49" s="406"/>
      <c r="G49" s="407"/>
      <c r="N49" s="27"/>
    </row>
    <row r="50" spans="2:14" ht="21.75" customHeight="1" thickBot="1" x14ac:dyDescent="0.35">
      <c r="C50" s="39" t="s">
        <v>425</v>
      </c>
      <c r="D50" s="136">
        <f>'1) Tableau budgétaire 1'!D86</f>
        <v>221150.32</v>
      </c>
      <c r="E50" s="136">
        <f>'1) Tableau budgétaire 1'!E86</f>
        <v>0</v>
      </c>
      <c r="F50" s="136">
        <f>'1) Tableau budgétaire 1'!F86</f>
        <v>0</v>
      </c>
      <c r="G50" s="41">
        <f t="shared" ref="G50:G58" si="3">SUM(D50:F50)</f>
        <v>221150.32</v>
      </c>
      <c r="J50" s="179"/>
      <c r="N50" s="27"/>
    </row>
    <row r="51" spans="2:14" x14ac:dyDescent="0.3">
      <c r="C51" s="37" t="s">
        <v>415</v>
      </c>
      <c r="D51" s="69">
        <f>SUMIF('1) Tableau budgétaire 1'!$K$80:$K$85,LEFT($C51,1),'1) Tableau budgétaire 1'!$D$80:$D$85)</f>
        <v>0</v>
      </c>
      <c r="E51" s="69">
        <f>SUMIF('1) Tableau budgétaire 1'!$K$80:$K$85,LEFT($C51,1),'1) Tableau budgétaire 1'!$E$80:$E$85)</f>
        <v>0</v>
      </c>
      <c r="F51" s="69">
        <f>SUMIF('1) Tableau budgétaire 1'!$K$80:$K$85,LEFT($C51,1),'1) Tableau budgétaire 1'!$F$80:$F$85)</f>
        <v>0</v>
      </c>
      <c r="G51" s="38">
        <f t="shared" si="3"/>
        <v>0</v>
      </c>
      <c r="I51" s="179"/>
      <c r="N51" s="27"/>
    </row>
    <row r="52" spans="2:14" s="29" customFormat="1" ht="15.75" customHeight="1" x14ac:dyDescent="0.3">
      <c r="C52" s="25" t="s">
        <v>416</v>
      </c>
      <c r="D52" s="69">
        <f>SUMIF('1) Tableau budgétaire 1'!$K$80:$K$85,LEFT($C52,1),'1) Tableau budgétaire 1'!$D$80:$D$85)</f>
        <v>0</v>
      </c>
      <c r="E52" s="69">
        <f>SUMIF('1) Tableau budgétaire 1'!$K$80:$K$85,LEFT($C52,1),'1) Tableau budgétaire 1'!$E$80:$E$85)</f>
        <v>0</v>
      </c>
      <c r="F52" s="69">
        <f>SUMIF('1) Tableau budgétaire 1'!$K$80:$K$85,LEFT($C52,1),'1) Tableau budgétaire 1'!$F$80:$F$85)</f>
        <v>0</v>
      </c>
      <c r="G52" s="36">
        <f t="shared" si="3"/>
        <v>0</v>
      </c>
    </row>
    <row r="53" spans="2:14" s="29" customFormat="1" ht="31.2" x14ac:dyDescent="0.3">
      <c r="C53" s="25" t="s">
        <v>417</v>
      </c>
      <c r="D53" s="69">
        <f>SUMIF('1) Tableau budgétaire 1'!$K$80:$K$85,LEFT($C53,1),'1) Tableau budgétaire 1'!$D$80:$D$85)</f>
        <v>0</v>
      </c>
      <c r="E53" s="69">
        <f>SUMIF('1) Tableau budgétaire 1'!$K$80:$K$85,LEFT($C53,1),'1) Tableau budgétaire 1'!$E$80:$E$85)</f>
        <v>0</v>
      </c>
      <c r="F53" s="69">
        <f>SUMIF('1) Tableau budgétaire 1'!$K$80:$K$85,LEFT($C53,1),'1) Tableau budgétaire 1'!$F$80:$F$85)</f>
        <v>0</v>
      </c>
      <c r="G53" s="36">
        <f t="shared" si="3"/>
        <v>0</v>
      </c>
    </row>
    <row r="54" spans="2:14" s="29" customFormat="1" x14ac:dyDescent="0.3">
      <c r="C54" s="26" t="s">
        <v>418</v>
      </c>
      <c r="D54" s="69">
        <f>SUMIF('1) Tableau budgétaire 1'!$K$80:$K$85,LEFT($C54,1),'1) Tableau budgétaire 1'!$D$80:$D$85)</f>
        <v>0</v>
      </c>
      <c r="E54" s="69">
        <f>SUMIF('1) Tableau budgétaire 1'!$K$80:$K$85,LEFT($C54,1),'1) Tableau budgétaire 1'!$E$80:$E$85)</f>
        <v>0</v>
      </c>
      <c r="F54" s="190">
        <f>SUMIF('1) Tableau budgétaire 1'!$K$80:$K$85,LEFT($C54,1),'1) Tableau budgétaire 1'!$F$80:$F$85)</f>
        <v>0</v>
      </c>
      <c r="G54" s="36">
        <f t="shared" si="3"/>
        <v>0</v>
      </c>
    </row>
    <row r="55" spans="2:14" x14ac:dyDescent="0.3">
      <c r="C55" s="25" t="s">
        <v>419</v>
      </c>
      <c r="D55" s="69">
        <f>SUMIF('1) Tableau budgétaire 1'!$K$80:$K$85,LEFT($C55,1),'1) Tableau budgétaire 1'!$D$80:$D$85)</f>
        <v>3100</v>
      </c>
      <c r="E55" s="69">
        <f>SUMIF('1) Tableau budgétaire 1'!$K$80:$K$85,LEFT($C55,1),'1) Tableau budgétaire 1'!$E$80:$E$85)</f>
        <v>0</v>
      </c>
      <c r="F55" s="190">
        <f>SUMIF('1) Tableau budgétaire 1'!$K$80:$K$85,LEFT($C55,1),'1) Tableau budgétaire 1'!$F$80:$F$85)</f>
        <v>0</v>
      </c>
      <c r="G55" s="36">
        <f t="shared" si="3"/>
        <v>3100</v>
      </c>
      <c r="N55" s="27"/>
    </row>
    <row r="56" spans="2:14" x14ac:dyDescent="0.3">
      <c r="C56" s="25" t="s">
        <v>420</v>
      </c>
      <c r="D56" s="69">
        <f>SUMIF('1) Tableau budgétaire 1'!$K$80:$K$85,LEFT($C56,1),'1) Tableau budgétaire 1'!$D$80:$D$85)</f>
        <v>218050.32</v>
      </c>
      <c r="E56" s="69">
        <f>SUMIF('1) Tableau budgétaire 1'!$K$80:$K$85,LEFT($C56,1),'1) Tableau budgétaire 1'!$E$80:$E$85)</f>
        <v>0</v>
      </c>
      <c r="F56" s="190">
        <f>SUMIF('1) Tableau budgétaire 1'!$K$80:$K$85,LEFT($C56,1),'1) Tableau budgétaire 1'!$F$80:$F$85)</f>
        <v>0</v>
      </c>
      <c r="G56" s="36">
        <f t="shared" si="3"/>
        <v>218050.32</v>
      </c>
      <c r="N56" s="27"/>
    </row>
    <row r="57" spans="2:14" ht="31.2" x14ac:dyDescent="0.3">
      <c r="C57" s="25" t="s">
        <v>421</v>
      </c>
      <c r="D57" s="69">
        <f>SUMIF('1) Tableau budgétaire 1'!$K$80:$K$85,LEFT($C57,1),'1) Tableau budgétaire 1'!$D$80:$D$85)</f>
        <v>0</v>
      </c>
      <c r="E57" s="69">
        <f>SUMIF('1) Tableau budgétaire 1'!$K$80:$K$85,LEFT($C57,1),'1) Tableau budgétaire 1'!$E$80:$E$85)</f>
        <v>0</v>
      </c>
      <c r="F57" s="190">
        <f>SUMIF('1) Tableau budgétaire 1'!$K$80:$K$85,LEFT($C57,1),'1) Tableau budgétaire 1'!$F$80:$F$85)</f>
        <v>0</v>
      </c>
      <c r="G57" s="36">
        <f t="shared" si="3"/>
        <v>0</v>
      </c>
      <c r="N57" s="27"/>
    </row>
    <row r="58" spans="2:14" x14ac:dyDescent="0.3">
      <c r="C58" s="30" t="s">
        <v>19</v>
      </c>
      <c r="D58" s="42">
        <f>SUM(D51:D57)</f>
        <v>221150.32</v>
      </c>
      <c r="E58" s="42">
        <f>SUM(E51:E57)</f>
        <v>0</v>
      </c>
      <c r="F58" s="42">
        <f>SUM(F51:F57)</f>
        <v>0</v>
      </c>
      <c r="G58" s="36">
        <f t="shared" si="3"/>
        <v>221150.32</v>
      </c>
      <c r="H58" s="179"/>
      <c r="N58" s="27"/>
    </row>
    <row r="59" spans="2:14" s="29" customFormat="1" x14ac:dyDescent="0.3">
      <c r="C59" s="46"/>
      <c r="D59" s="44"/>
      <c r="E59" s="44"/>
      <c r="F59" s="44"/>
      <c r="G59" s="45"/>
    </row>
    <row r="60" spans="2:14" x14ac:dyDescent="0.3">
      <c r="B60" s="405" t="s">
        <v>426</v>
      </c>
      <c r="C60" s="406"/>
      <c r="D60" s="406"/>
      <c r="E60" s="406"/>
      <c r="F60" s="406"/>
      <c r="G60" s="407"/>
      <c r="N60" s="27"/>
    </row>
    <row r="61" spans="2:14" x14ac:dyDescent="0.3">
      <c r="C61" s="405" t="s">
        <v>381</v>
      </c>
      <c r="D61" s="406"/>
      <c r="E61" s="406"/>
      <c r="F61" s="406"/>
      <c r="G61" s="407"/>
      <c r="N61" s="27"/>
    </row>
    <row r="62" spans="2:14" ht="24" customHeight="1" thickBot="1" x14ac:dyDescent="0.35">
      <c r="C62" s="39" t="s">
        <v>427</v>
      </c>
      <c r="D62" s="40">
        <f>'1) Tableau budgétaire 1'!D97</f>
        <v>0</v>
      </c>
      <c r="E62" s="40">
        <f>'1) Tableau budgétaire 1'!E97</f>
        <v>454150.77709999995</v>
      </c>
      <c r="F62" s="40">
        <f>'1) Tableau budgétaire 1'!F97</f>
        <v>0</v>
      </c>
      <c r="G62" s="41">
        <f>SUM(D62:F62)</f>
        <v>454150.77709999995</v>
      </c>
      <c r="N62" s="27"/>
    </row>
    <row r="63" spans="2:14" ht="15.75" customHeight="1" x14ac:dyDescent="0.3">
      <c r="C63" s="37" t="s">
        <v>415</v>
      </c>
      <c r="D63" s="69">
        <f>SUMIF('1) Tableau budgétaire 1'!$K$89:$K$96,LEFT($C63,1),'1) Tableau budgétaire 1'!$D$89:$D$96)</f>
        <v>0</v>
      </c>
      <c r="E63" s="69">
        <f>SUMIF('1) Tableau budgétaire 1'!$K$89:$K$96,LEFT($C63,1),'1) Tableau budgétaire 1'!$E$89:$E$96)</f>
        <v>0</v>
      </c>
      <c r="F63" s="69">
        <f>SUMIF('1) Tableau budgétaire 1'!$K$89:$K$96,LEFT($C63,1),'1) Tableau budgétaire 1'!$F$89:$F$96)</f>
        <v>0</v>
      </c>
      <c r="G63" s="38">
        <f t="shared" ref="G63:G69" si="4">SUM(D63:F63)</f>
        <v>0</v>
      </c>
      <c r="N63" s="27"/>
    </row>
    <row r="64" spans="2:14" ht="15.75" customHeight="1" x14ac:dyDescent="0.3">
      <c r="C64" s="25" t="s">
        <v>416</v>
      </c>
      <c r="D64" s="69">
        <f>SUMIF('1) Tableau budgétaire 1'!$K$89:$K$96,LEFT($C64,1),'1) Tableau budgétaire 1'!$D$89:$D$96)</f>
        <v>0</v>
      </c>
      <c r="E64" s="69">
        <f>SUMIF('1) Tableau budgétaire 1'!$K$89:$K$96,LEFT($C64,1),'1) Tableau budgétaire 1'!$E$89:$E$96)</f>
        <v>0</v>
      </c>
      <c r="F64" s="69">
        <f>SUMIF('1) Tableau budgétaire 1'!$K$89:$K$96,LEFT($C64,1),'1) Tableau budgétaire 1'!$F$89:$F$96)</f>
        <v>0</v>
      </c>
      <c r="G64" s="36">
        <f t="shared" si="4"/>
        <v>0</v>
      </c>
      <c r="N64" s="27"/>
    </row>
    <row r="65" spans="2:14" ht="15.75" customHeight="1" x14ac:dyDescent="0.3">
      <c r="C65" s="25" t="s">
        <v>417</v>
      </c>
      <c r="D65" s="69">
        <f>SUMIF('1) Tableau budgétaire 1'!$K$89:$K$96,LEFT($C65,1),'1) Tableau budgétaire 1'!$D$89:$D$96)</f>
        <v>0</v>
      </c>
      <c r="E65" s="69">
        <f>SUMIF('1) Tableau budgétaire 1'!$K$89:$K$96,LEFT($C65,1),'1) Tableau budgétaire 1'!$E$89:$E$96)</f>
        <v>0</v>
      </c>
      <c r="F65" s="69">
        <f>SUMIF('1) Tableau budgétaire 1'!$K$89:$K$96,LEFT($C65,1),'1) Tableau budgétaire 1'!$F$89:$F$96)</f>
        <v>0</v>
      </c>
      <c r="G65" s="36">
        <f t="shared" si="4"/>
        <v>0</v>
      </c>
      <c r="N65" s="27"/>
    </row>
    <row r="66" spans="2:14" ht="18.75" customHeight="1" x14ac:dyDescent="0.3">
      <c r="C66" s="26" t="s">
        <v>418</v>
      </c>
      <c r="D66" s="69">
        <f>SUMIF('1) Tableau budgétaire 1'!$K$89:$K$96,LEFT($C66,1),'1) Tableau budgétaire 1'!$D$89:$D$96)</f>
        <v>0</v>
      </c>
      <c r="E66" s="69">
        <f>SUMIF('1) Tableau budgétaire 1'!$K$89:$K$96,LEFT($C66,1),'1) Tableau budgétaire 1'!$E$89:$E$96)</f>
        <v>0</v>
      </c>
      <c r="F66" s="69">
        <f>SUMIF('1) Tableau budgétaire 1'!$K$89:$K$96,LEFT($C66,1),'1) Tableau budgétaire 1'!$F$89:$F$96)</f>
        <v>0</v>
      </c>
      <c r="G66" s="36">
        <f t="shared" si="4"/>
        <v>0</v>
      </c>
      <c r="N66" s="27"/>
    </row>
    <row r="67" spans="2:14" x14ac:dyDescent="0.3">
      <c r="C67" s="25" t="s">
        <v>419</v>
      </c>
      <c r="D67" s="69">
        <f>SUMIF('1) Tableau budgétaire 1'!$K$89:$K$96,LEFT($C67,1),'1) Tableau budgétaire 1'!$D$89:$D$96)</f>
        <v>0</v>
      </c>
      <c r="E67" s="69">
        <f>SUMIF('1) Tableau budgétaire 1'!$K$89:$K$96,LEFT($C67,1),'1) Tableau budgétaire 1'!$E$89:$E$96)</f>
        <v>0</v>
      </c>
      <c r="F67" s="69">
        <f>SUMIF('1) Tableau budgétaire 1'!$K$89:$K$96,LEFT($C67,1),'1) Tableau budgétaire 1'!$F$89:$F$96)</f>
        <v>0</v>
      </c>
      <c r="G67" s="36">
        <f t="shared" si="4"/>
        <v>0</v>
      </c>
      <c r="N67" s="27"/>
    </row>
    <row r="68" spans="2:14" s="29" customFormat="1" ht="21.75" customHeight="1" x14ac:dyDescent="0.3">
      <c r="B68" s="27"/>
      <c r="C68" s="25" t="s">
        <v>420</v>
      </c>
      <c r="D68" s="69">
        <f>SUMIF('1) Tableau budgétaire 1'!$K$89:$K$96,LEFT($C68,1),'1) Tableau budgétaire 1'!$D$89:$D$96)</f>
        <v>0</v>
      </c>
      <c r="E68" s="69">
        <f>SUMIF('1) Tableau budgétaire 1'!$K$89:$K$96,LEFT($C68,1),'1) Tableau budgétaire 1'!$E$89:$E$96)</f>
        <v>454150.77709999995</v>
      </c>
      <c r="F68" s="69">
        <f>SUMIF('1) Tableau budgétaire 1'!$K$89:$K$96,LEFT($C68,1),'1) Tableau budgétaire 1'!$F$89:$F$96)</f>
        <v>0</v>
      </c>
      <c r="G68" s="36">
        <f t="shared" si="4"/>
        <v>454150.77709999995</v>
      </c>
    </row>
    <row r="69" spans="2:14" s="29" customFormat="1" ht="31.2" x14ac:dyDescent="0.3">
      <c r="B69" s="27"/>
      <c r="C69" s="25" t="s">
        <v>421</v>
      </c>
      <c r="D69" s="69">
        <f>SUMIF('1) Tableau budgétaire 1'!$K$89:$K$96,LEFT($C69,1),'1) Tableau budgétaire 1'!$D$89:$D$96)</f>
        <v>0</v>
      </c>
      <c r="E69" s="69">
        <f>SUMIF('1) Tableau budgétaire 1'!$K$89:$K$96,LEFT($C69,1),'1) Tableau budgétaire 1'!$E$89:$E$96)</f>
        <v>0</v>
      </c>
      <c r="F69" s="69">
        <f>SUMIF('1) Tableau budgétaire 1'!$K$89:$K$96,LEFT($C69,1),'1) Tableau budgétaire 1'!$F$89:$F$96)</f>
        <v>0</v>
      </c>
      <c r="G69" s="36">
        <f t="shared" si="4"/>
        <v>0</v>
      </c>
    </row>
    <row r="70" spans="2:14" x14ac:dyDescent="0.3">
      <c r="C70" s="30" t="s">
        <v>19</v>
      </c>
      <c r="D70" s="42">
        <f>SUM(D63:D69)</f>
        <v>0</v>
      </c>
      <c r="E70" s="42">
        <f>SUM(E63:E69)</f>
        <v>454150.77709999995</v>
      </c>
      <c r="F70" s="42">
        <f>SUM(F63:F69)</f>
        <v>0</v>
      </c>
      <c r="G70" s="36">
        <f>SUM(D70:F70)</f>
        <v>454150.77709999995</v>
      </c>
      <c r="H70" s="179"/>
      <c r="I70" s="179"/>
      <c r="N70" s="27"/>
    </row>
    <row r="71" spans="2:14" s="29" customFormat="1" x14ac:dyDescent="0.3">
      <c r="C71" s="43"/>
      <c r="D71" s="44"/>
      <c r="E71" s="44"/>
      <c r="F71" s="44"/>
      <c r="G71" s="45"/>
    </row>
    <row r="72" spans="2:14" x14ac:dyDescent="0.3">
      <c r="B72" s="29"/>
      <c r="C72" s="405" t="s">
        <v>382</v>
      </c>
      <c r="D72" s="406"/>
      <c r="E72" s="406"/>
      <c r="F72" s="406"/>
      <c r="G72" s="407"/>
      <c r="N72" s="27"/>
    </row>
    <row r="73" spans="2:14" ht="21.75" customHeight="1" thickBot="1" x14ac:dyDescent="0.35">
      <c r="C73" s="39" t="s">
        <v>428</v>
      </c>
      <c r="D73" s="40">
        <f>'1) Tableau budgétaire 1'!D105</f>
        <v>0</v>
      </c>
      <c r="E73" s="40">
        <f>'1) Tableau budgétaire 1'!E105</f>
        <v>220851</v>
      </c>
      <c r="F73" s="40">
        <f>'1) Tableau budgétaire 1'!F105</f>
        <v>0</v>
      </c>
      <c r="G73" s="41">
        <f t="shared" ref="G73:G81" si="5">SUM(D73:F73)</f>
        <v>220851</v>
      </c>
      <c r="N73" s="27"/>
    </row>
    <row r="74" spans="2:14" ht="15.75" customHeight="1" x14ac:dyDescent="0.3">
      <c r="C74" s="37" t="s">
        <v>415</v>
      </c>
      <c r="D74" s="69">
        <f>SUMIF('1) Tableau budgétaire 1'!$K$99:$K$104,LEFT($C74,1),'1) Tableau budgétaire 1'!$D$99:$D$104)</f>
        <v>0</v>
      </c>
      <c r="E74" s="69">
        <f>SUMIF('1) Tableau budgétaire 1'!$K$99:$K$104,LEFT($C74,1),'1) Tableau budgétaire 1'!$E$99:$E$104)</f>
        <v>0</v>
      </c>
      <c r="F74" s="69">
        <f>SUMIF('1) Tableau budgétaire 1'!$K$99:$K$104,LEFT($C74,1),'1) Tableau budgétaire 1'!$F$99:$F$104)</f>
        <v>0</v>
      </c>
      <c r="G74" s="38">
        <f t="shared" si="5"/>
        <v>0</v>
      </c>
      <c r="N74" s="27"/>
    </row>
    <row r="75" spans="2:14" ht="15.75" customHeight="1" x14ac:dyDescent="0.3">
      <c r="C75" s="25" t="s">
        <v>416</v>
      </c>
      <c r="D75" s="69">
        <f>SUMIF('1) Tableau budgétaire 1'!$K$99:$K$104,LEFT($C75,1),'1) Tableau budgétaire 1'!$D$99:$D$104)</f>
        <v>0</v>
      </c>
      <c r="E75" s="69">
        <f>SUMIF('1) Tableau budgétaire 1'!$K$99:$K$104,LEFT($C75,1),'1) Tableau budgétaire 1'!$E$99:$E$104)</f>
        <v>0</v>
      </c>
      <c r="F75" s="69">
        <f>SUMIF('1) Tableau budgétaire 1'!$K$99:$K$104,LEFT($C75,1),'1) Tableau budgétaire 1'!$F$99:$F$104)</f>
        <v>0</v>
      </c>
      <c r="G75" s="36">
        <f t="shared" si="5"/>
        <v>0</v>
      </c>
      <c r="N75" s="27"/>
    </row>
    <row r="76" spans="2:14" ht="15.75" customHeight="1" x14ac:dyDescent="0.3">
      <c r="C76" s="25" t="s">
        <v>417</v>
      </c>
      <c r="D76" s="69">
        <f>SUMIF('1) Tableau budgétaire 1'!$K$99:$K$104,LEFT($C76,1),'1) Tableau budgétaire 1'!$D$99:$D$104)</f>
        <v>0</v>
      </c>
      <c r="E76" s="69">
        <f>SUMIF('1) Tableau budgétaire 1'!$K$99:$K$104,LEFT($C76,1),'1) Tableau budgétaire 1'!$E$99:$E$104)</f>
        <v>0</v>
      </c>
      <c r="F76" s="69">
        <f>SUMIF('1) Tableau budgétaire 1'!$K$99:$K$104,LEFT($C76,1),'1) Tableau budgétaire 1'!$F$99:$F$104)</f>
        <v>0</v>
      </c>
      <c r="G76" s="36">
        <f t="shared" si="5"/>
        <v>0</v>
      </c>
      <c r="N76" s="27"/>
    </row>
    <row r="77" spans="2:14" x14ac:dyDescent="0.3">
      <c r="C77" s="26" t="s">
        <v>418</v>
      </c>
      <c r="D77" s="69">
        <f>SUMIF('1) Tableau budgétaire 1'!$K$99:$K$104,LEFT($C77,1),'1) Tableau budgétaire 1'!$D$99:$D$104)</f>
        <v>0</v>
      </c>
      <c r="E77" s="69">
        <f>SUMIF('1) Tableau budgétaire 1'!$K$99:$K$104,LEFT($C77,1),'1) Tableau budgétaire 1'!$E$99:$E$104)</f>
        <v>0</v>
      </c>
      <c r="F77" s="69">
        <f>SUMIF('1) Tableau budgétaire 1'!$K$99:$K$104,LEFT($C77,1),'1) Tableau budgétaire 1'!$F$99:$F$104)</f>
        <v>0</v>
      </c>
      <c r="G77" s="36">
        <f t="shared" si="5"/>
        <v>0</v>
      </c>
      <c r="N77" s="27"/>
    </row>
    <row r="78" spans="2:14" x14ac:dyDescent="0.3">
      <c r="C78" s="25" t="s">
        <v>419</v>
      </c>
      <c r="D78" s="69">
        <f>SUMIF('1) Tableau budgétaire 1'!$K$99:$K$104,LEFT($C78,1),'1) Tableau budgétaire 1'!$D$99:$D$104)</f>
        <v>0</v>
      </c>
      <c r="E78" s="69">
        <f>SUMIF('1) Tableau budgétaire 1'!$K$99:$K$104,LEFT($C78,1),'1) Tableau budgétaire 1'!$E$99:$E$104)</f>
        <v>0</v>
      </c>
      <c r="F78" s="69">
        <f>SUMIF('1) Tableau budgétaire 1'!$K$99:$K$104,LEFT($C78,1),'1) Tableau budgétaire 1'!$F$99:$F$104)</f>
        <v>0</v>
      </c>
      <c r="G78" s="36">
        <f t="shared" si="5"/>
        <v>0</v>
      </c>
      <c r="H78" s="179">
        <f>G73-E79</f>
        <v>0</v>
      </c>
      <c r="N78" s="27"/>
    </row>
    <row r="79" spans="2:14" x14ac:dyDescent="0.3">
      <c r="C79" s="25" t="s">
        <v>420</v>
      </c>
      <c r="D79" s="69">
        <f>SUMIF('1) Tableau budgétaire 1'!$K$99:$K$104,LEFT($C79,1),'1) Tableau budgétaire 1'!$D$99:$D$104)</f>
        <v>0</v>
      </c>
      <c r="E79" s="69">
        <f>SUMIF('1) Tableau budgétaire 1'!$K$99:$K$104,LEFT($C79,1),'1) Tableau budgétaire 1'!$E$99:$E$104)</f>
        <v>220851</v>
      </c>
      <c r="F79" s="69">
        <f>SUMIF('1) Tableau budgétaire 1'!$K$99:$K$104,LEFT($C79,1),'1) Tableau budgétaire 1'!$F$99:$F$104)</f>
        <v>0</v>
      </c>
      <c r="G79" s="36">
        <f t="shared" si="5"/>
        <v>220851</v>
      </c>
      <c r="N79" s="27"/>
    </row>
    <row r="80" spans="2:14" ht="31.2" x14ac:dyDescent="0.3">
      <c r="C80" s="25" t="s">
        <v>421</v>
      </c>
      <c r="D80" s="69">
        <f>SUMIF('1) Tableau budgétaire 1'!$K$99:$K$104,LEFT($C80,1),'1) Tableau budgétaire 1'!$D$99:$D$104)</f>
        <v>0</v>
      </c>
      <c r="E80" s="69">
        <f>SUMIF('1) Tableau budgétaire 1'!$K$99:$K$104,LEFT($C80,1),'1) Tableau budgétaire 1'!$E$99:$E$104)</f>
        <v>0</v>
      </c>
      <c r="F80" s="69">
        <f>SUMIF('1) Tableau budgétaire 1'!$K$99:$K$104,LEFT($C80,1),'1) Tableau budgétaire 1'!$F$99:$F$104)</f>
        <v>0</v>
      </c>
      <c r="G80" s="36">
        <f t="shared" si="5"/>
        <v>0</v>
      </c>
      <c r="N80" s="27"/>
    </row>
    <row r="81" spans="2:14" x14ac:dyDescent="0.3">
      <c r="C81" s="30" t="s">
        <v>19</v>
      </c>
      <c r="D81" s="42">
        <f>SUM(D74:D80)</f>
        <v>0</v>
      </c>
      <c r="E81" s="42">
        <f>SUM(E74:E80)</f>
        <v>220851</v>
      </c>
      <c r="F81" s="42">
        <f>SUM(F74:F80)</f>
        <v>0</v>
      </c>
      <c r="G81" s="36">
        <f t="shared" si="5"/>
        <v>220851</v>
      </c>
      <c r="N81" s="27"/>
    </row>
    <row r="82" spans="2:14" s="29" customFormat="1" x14ac:dyDescent="0.3">
      <c r="C82" s="43"/>
      <c r="D82" s="44"/>
      <c r="E82" s="44"/>
      <c r="F82" s="44"/>
      <c r="G82" s="45"/>
    </row>
    <row r="83" spans="2:14" x14ac:dyDescent="0.3">
      <c r="C83" s="405" t="s">
        <v>385</v>
      </c>
      <c r="D83" s="406"/>
      <c r="E83" s="406"/>
      <c r="F83" s="406"/>
      <c r="G83" s="407"/>
      <c r="N83" s="27"/>
    </row>
    <row r="84" spans="2:14" ht="21.75" customHeight="1" thickBot="1" x14ac:dyDescent="0.35">
      <c r="B84" s="29"/>
      <c r="C84" s="39" t="s">
        <v>429</v>
      </c>
      <c r="D84" s="40">
        <f>'1) Tableau budgétaire 1'!D110</f>
        <v>0</v>
      </c>
      <c r="E84" s="40">
        <f>'1) Tableau budgétaire 1'!E110</f>
        <v>211076</v>
      </c>
      <c r="F84" s="40">
        <f>'1) Tableau budgétaire 1'!F110</f>
        <v>0</v>
      </c>
      <c r="G84" s="41">
        <f t="shared" ref="G84:G91" si="6">SUM(D84:F84)</f>
        <v>211076</v>
      </c>
      <c r="N84" s="27"/>
    </row>
    <row r="85" spans="2:14" ht="18" customHeight="1" x14ac:dyDescent="0.3">
      <c r="C85" s="37" t="s">
        <v>415</v>
      </c>
      <c r="D85" s="69">
        <f>SUMIF('1) Tableau budgétaire 1'!$K$107:$K$109,LEFT($C85,1),'1) Tableau budgétaire 1'!$D$107:$D$109)</f>
        <v>0</v>
      </c>
      <c r="E85" s="69">
        <f>SUMIF('1) Tableau budgétaire 1'!$K$107:$K$109,LEFT($C85,1),'1) Tableau budgétaire 1'!$E$107:$E$109)</f>
        <v>0</v>
      </c>
      <c r="F85" s="69">
        <f>SUMIF('1) Tableau budgétaire 1'!$K$107:$K$109,LEFT($C85,1),'1) Tableau budgétaire 1'!$F$107:$F$109)</f>
        <v>0</v>
      </c>
      <c r="G85" s="38">
        <f t="shared" si="6"/>
        <v>0</v>
      </c>
      <c r="N85" s="27"/>
    </row>
    <row r="86" spans="2:14" ht="15.75" customHeight="1" x14ac:dyDescent="0.3">
      <c r="C86" s="25" t="s">
        <v>416</v>
      </c>
      <c r="D86" s="69">
        <f>SUMIF('1) Tableau budgétaire 1'!$K$107:$K$109,LEFT($C86,1),'1) Tableau budgétaire 1'!$D$107:$D$109)</f>
        <v>0</v>
      </c>
      <c r="E86" s="69">
        <f>SUMIF('1) Tableau budgétaire 1'!$K$107:$K$109,LEFT($C86,1),'1) Tableau budgétaire 1'!$E$107:$E$109)</f>
        <v>0</v>
      </c>
      <c r="F86" s="69">
        <f>SUMIF('1) Tableau budgétaire 1'!$K$107:$K$109,LEFT($C86,1),'1) Tableau budgétaire 1'!$F$107:$F$109)</f>
        <v>0</v>
      </c>
      <c r="G86" s="36">
        <f t="shared" si="6"/>
        <v>0</v>
      </c>
      <c r="N86" s="27"/>
    </row>
    <row r="87" spans="2:14" s="29" customFormat="1" ht="15.75" customHeight="1" x14ac:dyDescent="0.3">
      <c r="B87" s="27"/>
      <c r="C87" s="25" t="s">
        <v>417</v>
      </c>
      <c r="D87" s="69">
        <f>SUMIF('1) Tableau budgétaire 1'!$K$107:$K$109,LEFT($C87,1),'1) Tableau budgétaire 1'!$D$107:$D$109)</f>
        <v>0</v>
      </c>
      <c r="E87" s="69">
        <f>SUMIF('1) Tableau budgétaire 1'!$K$107:$K$109,LEFT($C87,1),'1) Tableau budgétaire 1'!$E$107:$E$109)</f>
        <v>0</v>
      </c>
      <c r="F87" s="69">
        <f>SUMIF('1) Tableau budgétaire 1'!$K$107:$K$109,LEFT($C87,1),'1) Tableau budgétaire 1'!$F$107:$F$109)</f>
        <v>0</v>
      </c>
      <c r="G87" s="36">
        <f t="shared" si="6"/>
        <v>0</v>
      </c>
    </row>
    <row r="88" spans="2:14" x14ac:dyDescent="0.3">
      <c r="B88" s="29"/>
      <c r="C88" s="26" t="s">
        <v>418</v>
      </c>
      <c r="D88" s="69">
        <f>SUMIF('1) Tableau budgétaire 1'!$K$107:$K$109,LEFT($C88,1),'1) Tableau budgétaire 1'!$D$107:$D$109)</f>
        <v>0</v>
      </c>
      <c r="E88" s="69">
        <f>SUMIF('1) Tableau budgétaire 1'!$K$107:$K$109,LEFT($C88,1),'1) Tableau budgétaire 1'!$E$107:$E$109)</f>
        <v>0</v>
      </c>
      <c r="F88" s="69">
        <f>SUMIF('1) Tableau budgétaire 1'!$K$107:$K$109,LEFT($C88,1),'1) Tableau budgétaire 1'!$F$107:$F$109)</f>
        <v>0</v>
      </c>
      <c r="G88" s="36">
        <f t="shared" si="6"/>
        <v>0</v>
      </c>
      <c r="N88" s="27"/>
    </row>
    <row r="89" spans="2:14" x14ac:dyDescent="0.3">
      <c r="B89" s="29"/>
      <c r="C89" s="25" t="s">
        <v>419</v>
      </c>
      <c r="D89" s="69">
        <f>SUMIF('1) Tableau budgétaire 1'!$K$107:$K$109,LEFT($C89,1),'1) Tableau budgétaire 1'!$D$107:$D$109)</f>
        <v>0</v>
      </c>
      <c r="E89" s="69">
        <f>SUMIF('1) Tableau budgétaire 1'!$K$107:$K$109,LEFT($C89,1),'1) Tableau budgétaire 1'!$E$107:$E$109)</f>
        <v>0</v>
      </c>
      <c r="F89" s="69">
        <f>SUMIF('1) Tableau budgétaire 1'!$K$107:$K$109,LEFT($C89,1),'1) Tableau budgétaire 1'!$F$107:$F$109)</f>
        <v>0</v>
      </c>
      <c r="G89" s="36">
        <f t="shared" si="6"/>
        <v>0</v>
      </c>
      <c r="N89" s="27"/>
    </row>
    <row r="90" spans="2:14" x14ac:dyDescent="0.3">
      <c r="B90" s="29"/>
      <c r="C90" s="25" t="s">
        <v>420</v>
      </c>
      <c r="D90" s="69">
        <f>SUMIF('1) Tableau budgétaire 1'!$K$107:$K$109,LEFT($C90,1),'1) Tableau budgétaire 1'!$D$107:$D$109)</f>
        <v>0</v>
      </c>
      <c r="E90" s="69">
        <f>SUMIF('1) Tableau budgétaire 1'!$K$107:$K$109,LEFT($C90,1),'1) Tableau budgétaire 1'!$E$107:$E$109)</f>
        <v>211076</v>
      </c>
      <c r="F90" s="69">
        <f>SUMIF('1) Tableau budgétaire 1'!$K$107:$K$109,LEFT($C90,1),'1) Tableau budgétaire 1'!$F$107:$F$109)</f>
        <v>0</v>
      </c>
      <c r="G90" s="36">
        <f t="shared" si="6"/>
        <v>211076</v>
      </c>
      <c r="N90" s="27"/>
    </row>
    <row r="91" spans="2:14" ht="31.2" x14ac:dyDescent="0.3">
      <c r="C91" s="25" t="s">
        <v>421</v>
      </c>
      <c r="D91" s="69">
        <f>SUMIF('1) Tableau budgétaire 1'!$K$107:$K$109,LEFT($C91,1),'1) Tableau budgétaire 1'!$D$107:$D$109)</f>
        <v>0</v>
      </c>
      <c r="E91" s="69">
        <f>SUMIF('1) Tableau budgétaire 1'!$K$107:$K$109,LEFT($C91,1),'1) Tableau budgétaire 1'!$E$107:$E$109)</f>
        <v>0</v>
      </c>
      <c r="F91" s="69">
        <f>SUMIF('1) Tableau budgétaire 1'!$K$107:$K$109,LEFT($C91,1),'1) Tableau budgétaire 1'!$F$107:$F$109)</f>
        <v>0</v>
      </c>
      <c r="G91" s="36">
        <f t="shared" si="6"/>
        <v>0</v>
      </c>
      <c r="N91" s="27"/>
    </row>
    <row r="92" spans="2:14" x14ac:dyDescent="0.3">
      <c r="C92" s="30" t="s">
        <v>19</v>
      </c>
      <c r="D92" s="42">
        <f>SUM(D85:D91)</f>
        <v>0</v>
      </c>
      <c r="E92" s="42">
        <f>SUM(E85:E91)</f>
        <v>211076</v>
      </c>
      <c r="F92" s="42">
        <f>SUM(F85:F91)</f>
        <v>0</v>
      </c>
      <c r="G92" s="36">
        <f>SUM(D92:F92)</f>
        <v>211076</v>
      </c>
      <c r="N92" s="27"/>
    </row>
    <row r="93" spans="2:14" s="29" customFormat="1" x14ac:dyDescent="0.3">
      <c r="C93" s="43"/>
      <c r="D93" s="44"/>
      <c r="E93" s="44"/>
      <c r="F93" s="44"/>
      <c r="G93" s="45"/>
    </row>
    <row r="94" spans="2:14" x14ac:dyDescent="0.3">
      <c r="C94" s="405" t="s">
        <v>387</v>
      </c>
      <c r="D94" s="406"/>
      <c r="E94" s="406"/>
      <c r="F94" s="406"/>
      <c r="G94" s="407"/>
      <c r="N94" s="27"/>
    </row>
    <row r="95" spans="2:14" ht="21.75" customHeight="1" thickBot="1" x14ac:dyDescent="0.35">
      <c r="C95" s="39" t="s">
        <v>430</v>
      </c>
      <c r="D95" s="40">
        <f>'1) Tableau budgétaire 1'!D122</f>
        <v>244660</v>
      </c>
      <c r="E95" s="40">
        <f>'1) Tableau budgétaire 1'!E122</f>
        <v>0</v>
      </c>
      <c r="F95" s="40">
        <f>'1) Tableau budgétaire 1'!F122</f>
        <v>0</v>
      </c>
      <c r="G95" s="41">
        <f t="shared" ref="G95:G103" si="7">SUM(D95:F95)</f>
        <v>244660</v>
      </c>
      <c r="N95" s="27"/>
    </row>
    <row r="96" spans="2:14" ht="15.75" customHeight="1" x14ac:dyDescent="0.3">
      <c r="C96" s="37" t="s">
        <v>415</v>
      </c>
      <c r="D96" s="69">
        <f>SUMIF('1) Tableau budgétaire 1'!$K$112:$K$121,LEFT($C96,1),'1) Tableau budgétaire 1'!$D$112:$D$121)</f>
        <v>0</v>
      </c>
      <c r="E96" s="69">
        <f>SUMIF('1) Tableau budgétaire 1'!$K$112:$K$121,LEFT($C96,1),'1) Tableau budgétaire 1'!$E$112:$E$121)</f>
        <v>0</v>
      </c>
      <c r="F96" s="69">
        <f>SUMIF('1) Tableau budgétaire 1'!$K$112:$K$121,LEFT($C96,1),'1) Tableau budgétaire 1'!$F$112:$F$121)</f>
        <v>0</v>
      </c>
      <c r="G96" s="38">
        <f t="shared" si="7"/>
        <v>0</v>
      </c>
      <c r="N96" s="27"/>
    </row>
    <row r="97" spans="2:14" ht="15.75" customHeight="1" x14ac:dyDescent="0.3">
      <c r="B97" s="29"/>
      <c r="C97" s="25" t="s">
        <v>416</v>
      </c>
      <c r="D97" s="69">
        <f>SUMIF('1) Tableau budgétaire 1'!$K$112:$K$121,LEFT($C97,1),'1) Tableau budgétaire 1'!$D$112:$D$121)</f>
        <v>46960</v>
      </c>
      <c r="E97" s="69">
        <f>SUMIF('1) Tableau budgétaire 1'!$K$112:$K$121,LEFT($C97,1),'1) Tableau budgétaire 1'!$E$112:$E$121)</f>
        <v>0</v>
      </c>
      <c r="F97" s="69">
        <f>SUMIF('1) Tableau budgétaire 1'!$K$112:$K$121,LEFT($C97,1),'1) Tableau budgétaire 1'!$F$112:$F$121)</f>
        <v>0</v>
      </c>
      <c r="G97" s="36">
        <f t="shared" si="7"/>
        <v>46960</v>
      </c>
      <c r="N97" s="27"/>
    </row>
    <row r="98" spans="2:14" ht="15.75" customHeight="1" x14ac:dyDescent="0.3">
      <c r="C98" s="25" t="s">
        <v>417</v>
      </c>
      <c r="D98" s="69">
        <f>SUMIF('1) Tableau budgétaire 1'!$K$112:$K$121,LEFT($C98,1),'1) Tableau budgétaire 1'!$D$112:$D$121)</f>
        <v>0</v>
      </c>
      <c r="E98" s="69">
        <f>SUMIF('1) Tableau budgétaire 1'!$K$112:$K$121,LEFT($C98,1),'1) Tableau budgétaire 1'!$E$112:$E$121)</f>
        <v>0</v>
      </c>
      <c r="F98" s="69">
        <f>SUMIF('1) Tableau budgétaire 1'!$K$112:$K$121,LEFT($C98,1),'1) Tableau budgétaire 1'!$F$112:$F$121)</f>
        <v>0</v>
      </c>
      <c r="G98" s="36">
        <f t="shared" si="7"/>
        <v>0</v>
      </c>
      <c r="N98" s="27"/>
    </row>
    <row r="99" spans="2:14" x14ac:dyDescent="0.3">
      <c r="C99" s="26" t="s">
        <v>418</v>
      </c>
      <c r="D99" s="69">
        <f>SUMIF('1) Tableau budgétaire 1'!$K$112:$K$121,LEFT($C99,1),'1) Tableau budgétaire 1'!$D$112:$D$121)</f>
        <v>152700</v>
      </c>
      <c r="E99" s="69">
        <f>SUMIF('1) Tableau budgétaire 1'!$K$112:$K$121,LEFT($C99,1),'1) Tableau budgétaire 1'!$E$112:$E$121)</f>
        <v>0</v>
      </c>
      <c r="F99" s="69">
        <f>SUMIF('1) Tableau budgétaire 1'!$K$112:$K$121,LEFT($C99,1),'1) Tableau budgétaire 1'!$F$112:$F$121)</f>
        <v>0</v>
      </c>
      <c r="G99" s="36">
        <f t="shared" si="7"/>
        <v>152700</v>
      </c>
      <c r="N99" s="27"/>
    </row>
    <row r="100" spans="2:14" x14ac:dyDescent="0.3">
      <c r="C100" s="25" t="s">
        <v>419</v>
      </c>
      <c r="D100" s="69">
        <f>SUMIF('1) Tableau budgétaire 1'!$K$112:$K$121,LEFT($C100,1),'1) Tableau budgétaire 1'!$D$112:$D$121)</f>
        <v>0</v>
      </c>
      <c r="E100" s="69">
        <f>SUMIF('1) Tableau budgétaire 1'!$K$112:$K$121,LEFT($C100,1),'1) Tableau budgétaire 1'!$E$112:$E$121)</f>
        <v>0</v>
      </c>
      <c r="F100" s="69">
        <f>SUMIF('1) Tableau budgétaire 1'!$K$112:$K$121,LEFT($C100,1),'1) Tableau budgétaire 1'!$F$112:$F$121)</f>
        <v>0</v>
      </c>
      <c r="G100" s="36">
        <f t="shared" si="7"/>
        <v>0</v>
      </c>
      <c r="N100" s="27"/>
    </row>
    <row r="101" spans="2:14" ht="25.5" customHeight="1" x14ac:dyDescent="0.3">
      <c r="C101" s="25" t="s">
        <v>420</v>
      </c>
      <c r="D101" s="69">
        <f>SUMIF('1) Tableau budgétaire 1'!$K$112:$K$121,LEFT($C101,1),'1) Tableau budgétaire 1'!$D$112:$D$121)</f>
        <v>45000</v>
      </c>
      <c r="E101" s="69">
        <f>SUMIF('1) Tableau budgétaire 1'!$K$112:$K$121,LEFT($C101,1),'1) Tableau budgétaire 1'!$E$112:$E$121)</f>
        <v>0</v>
      </c>
      <c r="F101" s="69">
        <f>SUMIF('1) Tableau budgétaire 1'!$K$112:$K$121,LEFT($C101,1),'1) Tableau budgétaire 1'!$F$112:$F$121)</f>
        <v>0</v>
      </c>
      <c r="G101" s="36">
        <f t="shared" si="7"/>
        <v>45000</v>
      </c>
      <c r="N101" s="27"/>
    </row>
    <row r="102" spans="2:14" ht="31.2" x14ac:dyDescent="0.3">
      <c r="B102" s="29"/>
      <c r="C102" s="25" t="s">
        <v>421</v>
      </c>
      <c r="D102" s="69">
        <f>SUMIF('1) Tableau budgétaire 1'!$K$112:$K$121,LEFT($C102,1),'1) Tableau budgétaire 1'!$D$112:$D$121)</f>
        <v>0</v>
      </c>
      <c r="E102" s="69">
        <f>SUMIF('1) Tableau budgétaire 1'!$K$112:$K$121,LEFT($C102,1),'1) Tableau budgétaire 1'!$E$112:$E$121)</f>
        <v>0</v>
      </c>
      <c r="F102" s="69">
        <f>SUMIF('1) Tableau budgétaire 1'!$K$112:$K$121,LEFT($C102,1),'1) Tableau budgétaire 1'!$F$112:$F$121)</f>
        <v>0</v>
      </c>
      <c r="G102" s="36">
        <f t="shared" si="7"/>
        <v>0</v>
      </c>
      <c r="N102" s="27"/>
    </row>
    <row r="103" spans="2:14" ht="15.75" customHeight="1" x14ac:dyDescent="0.3">
      <c r="C103" s="30" t="s">
        <v>19</v>
      </c>
      <c r="D103" s="42">
        <f>SUM(D96:D102)</f>
        <v>244660</v>
      </c>
      <c r="E103" s="42">
        <f>SUM(E96:E102)</f>
        <v>0</v>
      </c>
      <c r="F103" s="42">
        <f>SUM(F96:F102)</f>
        <v>0</v>
      </c>
      <c r="G103" s="36">
        <f t="shared" si="7"/>
        <v>244660</v>
      </c>
      <c r="N103" s="27"/>
    </row>
    <row r="104" spans="2:14" ht="25.5" customHeight="1" x14ac:dyDescent="0.3">
      <c r="D104" s="31"/>
      <c r="E104" s="31"/>
      <c r="F104" s="31"/>
      <c r="G104" s="31"/>
      <c r="N104" s="27"/>
    </row>
    <row r="105" spans="2:14" s="31" customFormat="1" ht="15.75" customHeight="1" x14ac:dyDescent="0.3">
      <c r="C105" s="27"/>
      <c r="D105" s="29"/>
      <c r="E105" s="29"/>
      <c r="F105" s="29"/>
      <c r="G105" s="27"/>
    </row>
    <row r="106" spans="2:14" s="31" customFormat="1" ht="18" customHeight="1" x14ac:dyDescent="0.3">
      <c r="C106" s="405" t="s">
        <v>432</v>
      </c>
      <c r="D106" s="406"/>
      <c r="E106" s="406"/>
      <c r="F106" s="406"/>
      <c r="G106" s="407"/>
    </row>
    <row r="107" spans="2:14" s="31" customFormat="1" ht="40.5" customHeight="1" thickBot="1" x14ac:dyDescent="0.35">
      <c r="C107" s="39" t="s">
        <v>433</v>
      </c>
      <c r="D107" s="40">
        <f>'1) Tableau budgétaire 1'!D149</f>
        <v>345840</v>
      </c>
      <c r="E107" s="40">
        <f>'1) Tableau budgétaire 1'!E149</f>
        <v>29415.18</v>
      </c>
      <c r="F107" s="40">
        <f>'1) Tableau budgétaire 1'!F149</f>
        <v>0</v>
      </c>
      <c r="G107" s="41">
        <f t="shared" ref="G107:G115" si="8">SUM(D107:F107)</f>
        <v>375255.18</v>
      </c>
    </row>
    <row r="108" spans="2:14" s="31" customFormat="1" ht="15.75" customHeight="1" x14ac:dyDescent="0.3">
      <c r="C108" s="37" t="s">
        <v>415</v>
      </c>
      <c r="D108" s="69">
        <f>SUMIF('1) Tableau budgétaire 1'!$K$126:$K$148,LEFT($C108,1),'1) Tableau budgétaire 1'!$D$126:$D$148)</f>
        <v>163244</v>
      </c>
      <c r="E108" s="69">
        <f>SUMIF('1) Tableau budgétaire 1'!$K$126:$K$148,LEFT($C108,1),'1) Tableau budgétaire 1'!$E$126:$E$148)</f>
        <v>19865.18</v>
      </c>
      <c r="F108" s="69">
        <f>SUMIF('1) Tableau budgétaire 1'!$K$126:$K$148,LEFT($C108,1),'1) Tableau budgétaire 1'!$F$126:$F$148)</f>
        <v>0</v>
      </c>
      <c r="G108" s="38">
        <f t="shared" si="8"/>
        <v>183109.18</v>
      </c>
    </row>
    <row r="109" spans="2:14" s="31" customFormat="1" ht="15.75" customHeight="1" x14ac:dyDescent="0.3">
      <c r="C109" s="25" t="s">
        <v>416</v>
      </c>
      <c r="D109" s="69">
        <f>SUMIF('1) Tableau budgétaire 1'!$K$126:$K$148,LEFT($C109,1),'1) Tableau budgétaire 1'!$D$126:$D$148)</f>
        <v>0</v>
      </c>
      <c r="E109" s="69">
        <f>SUMIF('1) Tableau budgétaire 1'!$K$126:$K$148,LEFT($C109,1),'1) Tableau budgétaire 1'!$E$126:$E$148)</f>
        <v>0</v>
      </c>
      <c r="F109" s="69">
        <f>SUMIF('1) Tableau budgétaire 1'!$K$126:$K$148,LEFT($C109,1),'1) Tableau budgétaire 1'!$F$126:$F$148)</f>
        <v>0</v>
      </c>
      <c r="G109" s="36">
        <f t="shared" si="8"/>
        <v>0</v>
      </c>
    </row>
    <row r="110" spans="2:14" s="31" customFormat="1" ht="15.75" customHeight="1" x14ac:dyDescent="0.3">
      <c r="C110" s="25" t="s">
        <v>417</v>
      </c>
      <c r="D110" s="69">
        <f>SUMIF('1) Tableau budgétaire 1'!$K$126:$K$148,LEFT($C110,1),'1) Tableau budgétaire 1'!$D$126:$D$148)</f>
        <v>7240</v>
      </c>
      <c r="E110" s="69">
        <f>SUMIF('1) Tableau budgétaire 1'!$K$126:$K$148,LEFT($C110,1),'1) Tableau budgétaire 1'!$E$126:$E$148)</f>
        <v>0</v>
      </c>
      <c r="F110" s="69">
        <f>SUMIF('1) Tableau budgétaire 1'!$K$126:$K$148,LEFT($C110,1),'1) Tableau budgétaire 1'!$F$126:$F$148)</f>
        <v>0</v>
      </c>
      <c r="G110" s="36">
        <f t="shared" si="8"/>
        <v>7240</v>
      </c>
    </row>
    <row r="111" spans="2:14" s="31" customFormat="1" ht="15.75" customHeight="1" x14ac:dyDescent="0.3">
      <c r="C111" s="26" t="s">
        <v>418</v>
      </c>
      <c r="D111" s="69">
        <f>SUMIF('1) Tableau budgétaire 1'!$K$126:$K$148,LEFT($C111,1),'1) Tableau budgétaire 1'!$D$126:$D$148)</f>
        <v>50000</v>
      </c>
      <c r="E111" s="69">
        <f>SUMIF('1) Tableau budgétaire 1'!$K$126:$K$148,LEFT($C111,1),'1) Tableau budgétaire 1'!$E$126:$E$148)</f>
        <v>0</v>
      </c>
      <c r="F111" s="69">
        <f>SUMIF('1) Tableau budgétaire 1'!$K$126:$K$148,LEFT($C111,1),'1) Tableau budgétaire 1'!$F$126:$F$148)</f>
        <v>0</v>
      </c>
      <c r="G111" s="36">
        <f t="shared" si="8"/>
        <v>50000</v>
      </c>
    </row>
    <row r="112" spans="2:14" s="31" customFormat="1" ht="15.75" customHeight="1" x14ac:dyDescent="0.3">
      <c r="C112" s="25" t="s">
        <v>419</v>
      </c>
      <c r="D112" s="69">
        <f>SUMIF('1) Tableau budgétaire 1'!$K$126:$K$148,LEFT($C112,1),'1) Tableau budgétaire 1'!$D$126:$D$148)</f>
        <v>61400</v>
      </c>
      <c r="E112" s="69">
        <f>SUMIF('1) Tableau budgétaire 1'!$K$126:$K$148,LEFT($C112,1),'1) Tableau budgétaire 1'!$E$126:$E$148)</f>
        <v>1750</v>
      </c>
      <c r="F112" s="69">
        <f>SUMIF('1) Tableau budgétaire 1'!$K$126:$K$148,LEFT($C112,1),'1) Tableau budgétaire 1'!$F$126:$F$148)</f>
        <v>0</v>
      </c>
      <c r="G112" s="36">
        <f t="shared" si="8"/>
        <v>63150</v>
      </c>
    </row>
    <row r="113" spans="3:13" s="31" customFormat="1" ht="15.75" customHeight="1" x14ac:dyDescent="0.3">
      <c r="C113" s="25" t="s">
        <v>420</v>
      </c>
      <c r="D113" s="69">
        <f>SUMIF('1) Tableau budgétaire 1'!$K$126:$K$148,LEFT($C113,1),'1) Tableau budgétaire 1'!$D$126:$D$148)</f>
        <v>0</v>
      </c>
      <c r="E113" s="69">
        <f>SUMIF('1) Tableau budgétaire 1'!$K$126:$K$148,LEFT($C113,1),'1) Tableau budgétaire 1'!$E$126:$E$148)</f>
        <v>0</v>
      </c>
      <c r="F113" s="69">
        <f>SUMIF('1) Tableau budgétaire 1'!$K$126:$K$148,LEFT($C113,1),'1) Tableau budgétaire 1'!$F$126:$F$148)</f>
        <v>0</v>
      </c>
      <c r="G113" s="36">
        <f t="shared" si="8"/>
        <v>0</v>
      </c>
    </row>
    <row r="114" spans="3:13" s="31" customFormat="1" ht="15.75" customHeight="1" x14ac:dyDescent="0.3">
      <c r="C114" s="25" t="s">
        <v>421</v>
      </c>
      <c r="D114" s="69">
        <f>SUMIF('1) Tableau budgétaire 1'!$K$126:$K$148,LEFT($C114,1),'1) Tableau budgétaire 1'!$D$126:$D$148)</f>
        <v>63956</v>
      </c>
      <c r="E114" s="69">
        <f>SUMIF('1) Tableau budgétaire 1'!$K$126:$K$148,LEFT($C114,1),'1) Tableau budgétaire 1'!$E$126:$E$148)</f>
        <v>7800</v>
      </c>
      <c r="F114" s="69">
        <f>SUMIF('1) Tableau budgétaire 1'!$K$126:$K$148,LEFT($C114,1),'1) Tableau budgétaire 1'!$F$126:$F$148)</f>
        <v>0</v>
      </c>
      <c r="G114" s="36">
        <f t="shared" si="8"/>
        <v>71756</v>
      </c>
    </row>
    <row r="115" spans="3:13" s="31" customFormat="1" ht="15.75" customHeight="1" x14ac:dyDescent="0.3">
      <c r="C115" s="30" t="s">
        <v>19</v>
      </c>
      <c r="D115" s="42">
        <f>SUM(D108:D114)</f>
        <v>345840</v>
      </c>
      <c r="E115" s="42">
        <f>SUM(E108:E114)</f>
        <v>29415.18</v>
      </c>
      <c r="F115" s="42">
        <f>SUM(F108:F114)</f>
        <v>0</v>
      </c>
      <c r="G115" s="36">
        <f t="shared" si="8"/>
        <v>375255.18</v>
      </c>
    </row>
    <row r="116" spans="3:13" s="31" customFormat="1" ht="15.75" customHeight="1" thickBot="1" x14ac:dyDescent="0.35">
      <c r="C116" s="27"/>
      <c r="D116" s="29"/>
      <c r="E116" s="29"/>
      <c r="F116" s="29"/>
      <c r="G116" s="27"/>
    </row>
    <row r="117" spans="3:13" s="31" customFormat="1" ht="19.5" customHeight="1" thickBot="1" x14ac:dyDescent="0.35">
      <c r="C117" s="348" t="s">
        <v>402</v>
      </c>
      <c r="D117" s="416"/>
      <c r="E117" s="416"/>
      <c r="F117" s="416"/>
      <c r="G117" s="417"/>
    </row>
    <row r="118" spans="3:13" s="31" customFormat="1" ht="43.5" customHeight="1" thickBot="1" x14ac:dyDescent="0.35">
      <c r="C118" s="196"/>
      <c r="D118" s="157" t="s">
        <v>469</v>
      </c>
      <c r="E118" s="158" t="s">
        <v>470</v>
      </c>
      <c r="F118" s="158" t="s">
        <v>471</v>
      </c>
      <c r="G118" s="414" t="s">
        <v>7</v>
      </c>
    </row>
    <row r="119" spans="3:13" s="31" customFormat="1" ht="19.5" customHeight="1" thickBot="1" x14ac:dyDescent="0.35">
      <c r="C119" s="139"/>
      <c r="D119" s="161" t="s">
        <v>473</v>
      </c>
      <c r="E119" s="136" t="s">
        <v>474</v>
      </c>
      <c r="F119" s="136"/>
      <c r="G119" s="415"/>
    </row>
    <row r="120" spans="3:13" s="31" customFormat="1" ht="19.5" customHeight="1" x14ac:dyDescent="0.3">
      <c r="C120" s="132" t="s">
        <v>415</v>
      </c>
      <c r="D120" s="160">
        <f>SUM(D108,D96,D85,D74,D63,D51,D40,D29,D18)</f>
        <v>163244</v>
      </c>
      <c r="E120" s="160">
        <f>SUM(E108,E96,E85,E74,E63,E51,E40,E29,E18)</f>
        <v>19865.18</v>
      </c>
      <c r="F120" s="160">
        <f>SUM(F108,F96,F85,F74,F63,F51,F40,F29,F18)</f>
        <v>0</v>
      </c>
      <c r="G120" s="137">
        <f>SUM(D120:F120)</f>
        <v>183109.18</v>
      </c>
    </row>
    <row r="121" spans="3:13" s="31" customFormat="1" ht="34.5" customHeight="1" x14ac:dyDescent="0.3">
      <c r="C121" s="133" t="s">
        <v>416</v>
      </c>
      <c r="D121" s="160">
        <f t="shared" ref="D121:D126" si="9">SUM(D109,D97,D86,D75,D64,D52,D41,D30,D19)</f>
        <v>119760</v>
      </c>
      <c r="E121" s="160">
        <f t="shared" ref="E121:F126" si="10">SUM(E109,E97,E86,E75,E64,E52,E41,E30,E19)</f>
        <v>0</v>
      </c>
      <c r="F121" s="160">
        <f t="shared" si="10"/>
        <v>0</v>
      </c>
      <c r="G121" s="138">
        <f>SUM(D121:F121)</f>
        <v>119760</v>
      </c>
    </row>
    <row r="122" spans="3:13" s="31" customFormat="1" ht="48" customHeight="1" x14ac:dyDescent="0.3">
      <c r="C122" s="133" t="s">
        <v>417</v>
      </c>
      <c r="D122" s="160">
        <f t="shared" si="9"/>
        <v>73740</v>
      </c>
      <c r="E122" s="160">
        <f t="shared" si="10"/>
        <v>0</v>
      </c>
      <c r="F122" s="160">
        <f t="shared" si="10"/>
        <v>0</v>
      </c>
      <c r="G122" s="138">
        <f>SUM(D122:F122)</f>
        <v>73740</v>
      </c>
    </row>
    <row r="123" spans="3:13" s="31" customFormat="1" ht="33" customHeight="1" x14ac:dyDescent="0.3">
      <c r="C123" s="131" t="s">
        <v>418</v>
      </c>
      <c r="D123" s="160">
        <f t="shared" si="9"/>
        <v>566453.4</v>
      </c>
      <c r="E123" s="160">
        <f t="shared" si="10"/>
        <v>0</v>
      </c>
      <c r="F123" s="160">
        <f t="shared" si="10"/>
        <v>0</v>
      </c>
      <c r="G123" s="138">
        <f>SUM(D123:F123)</f>
        <v>566453.4</v>
      </c>
    </row>
    <row r="124" spans="3:13" s="31" customFormat="1" ht="21" customHeight="1" x14ac:dyDescent="0.3">
      <c r="C124" s="133" t="s">
        <v>419</v>
      </c>
      <c r="D124" s="160">
        <f t="shared" si="9"/>
        <v>111731.93</v>
      </c>
      <c r="E124" s="160">
        <f t="shared" si="10"/>
        <v>1750</v>
      </c>
      <c r="F124" s="160">
        <f t="shared" si="10"/>
        <v>0</v>
      </c>
      <c r="G124" s="138">
        <f>SUM(D124:F124)</f>
        <v>113481.93</v>
      </c>
      <c r="H124" s="10"/>
      <c r="I124" s="10"/>
      <c r="J124" s="10"/>
      <c r="K124" s="10"/>
      <c r="L124" s="10"/>
      <c r="M124" s="9"/>
    </row>
    <row r="125" spans="3:13" s="31" customFormat="1" ht="39.75" customHeight="1" x14ac:dyDescent="0.3">
      <c r="C125" s="133" t="s">
        <v>420</v>
      </c>
      <c r="D125" s="160">
        <f t="shared" si="9"/>
        <v>325148.32</v>
      </c>
      <c r="E125" s="160">
        <f t="shared" si="10"/>
        <v>886077.77709999995</v>
      </c>
      <c r="F125" s="160">
        <f t="shared" si="10"/>
        <v>0</v>
      </c>
      <c r="G125" s="138">
        <f t="shared" ref="G125:G126" si="11">SUM(D125:F125)</f>
        <v>1211226.0970999999</v>
      </c>
      <c r="H125" s="10"/>
      <c r="I125" s="10"/>
      <c r="J125" s="10"/>
      <c r="K125" s="10"/>
      <c r="L125" s="10"/>
      <c r="M125" s="9"/>
    </row>
    <row r="126" spans="3:13" s="31" customFormat="1" ht="34.5" customHeight="1" x14ac:dyDescent="0.3">
      <c r="C126" s="133" t="s">
        <v>421</v>
      </c>
      <c r="D126" s="160">
        <f t="shared" si="9"/>
        <v>65156</v>
      </c>
      <c r="E126" s="160">
        <f t="shared" si="10"/>
        <v>7800</v>
      </c>
      <c r="F126" s="160">
        <f t="shared" si="10"/>
        <v>0</v>
      </c>
      <c r="G126" s="138">
        <f t="shared" si="11"/>
        <v>72956</v>
      </c>
      <c r="H126" s="10"/>
      <c r="I126" s="10"/>
      <c r="J126" s="10"/>
      <c r="K126" s="10"/>
      <c r="L126" s="10"/>
      <c r="M126" s="9"/>
    </row>
    <row r="127" spans="3:13" s="31" customFormat="1" ht="22.5" customHeight="1" x14ac:dyDescent="0.3">
      <c r="C127" s="134" t="s">
        <v>394</v>
      </c>
      <c r="D127" s="181">
        <f>SUM(D120:D126)</f>
        <v>1425233.6500000001</v>
      </c>
      <c r="E127" s="150">
        <f>SUM(E120:E126)</f>
        <v>915492.9571</v>
      </c>
      <c r="F127" s="150">
        <f>SUM(F120:F126)</f>
        <v>0</v>
      </c>
      <c r="G127" s="138">
        <f>SUM(D127:F127)</f>
        <v>2340726.6071000001</v>
      </c>
      <c r="H127" s="10"/>
      <c r="I127" s="10"/>
      <c r="J127" s="10"/>
      <c r="K127" s="10"/>
      <c r="L127" s="10"/>
      <c r="M127" s="9"/>
    </row>
    <row r="128" spans="3:13" s="31" customFormat="1" ht="22.5" customHeight="1" x14ac:dyDescent="0.3">
      <c r="C128" s="324" t="s">
        <v>644</v>
      </c>
      <c r="D128" s="151">
        <f>D127*0.07</f>
        <v>99766.35550000002</v>
      </c>
      <c r="E128" s="149">
        <f>E127*0.065</f>
        <v>59507.042211500004</v>
      </c>
      <c r="F128" s="149">
        <f>F127*0.07</f>
        <v>0</v>
      </c>
      <c r="G128" s="152">
        <f>SUM(D128:F128)</f>
        <v>159273.39771150003</v>
      </c>
      <c r="H128" s="10"/>
      <c r="I128" s="10"/>
      <c r="J128" s="10"/>
      <c r="K128" s="10"/>
      <c r="L128" s="10"/>
      <c r="M128" s="9"/>
    </row>
    <row r="129" spans="3:14" s="31" customFormat="1" ht="22.5" customHeight="1" thickBot="1" x14ac:dyDescent="0.35">
      <c r="C129" s="148" t="s">
        <v>371</v>
      </c>
      <c r="D129" s="153">
        <f>SUM(D127:D128)</f>
        <v>1525000.0055000002</v>
      </c>
      <c r="E129" s="146">
        <f>SUM(E127:E128)</f>
        <v>974999.9993115</v>
      </c>
      <c r="F129" s="146">
        <f>SUM(F127:F128)</f>
        <v>0</v>
      </c>
      <c r="G129" s="147">
        <f>SUM(G127:G128)</f>
        <v>2500000.0048115002</v>
      </c>
      <c r="H129" s="10"/>
      <c r="I129" s="10"/>
      <c r="J129" s="10"/>
      <c r="K129" s="10"/>
      <c r="L129" s="10"/>
      <c r="M129" s="9"/>
    </row>
    <row r="130" spans="3:14" s="31" customFormat="1" ht="15.75" customHeight="1" x14ac:dyDescent="0.3">
      <c r="C130" s="27"/>
      <c r="D130" s="29"/>
      <c r="E130" s="29"/>
      <c r="F130" s="29"/>
      <c r="G130" s="27"/>
      <c r="H130" s="18"/>
      <c r="I130" s="18"/>
      <c r="J130" s="18"/>
      <c r="K130" s="18"/>
      <c r="L130" s="32"/>
      <c r="M130" s="29"/>
    </row>
    <row r="131" spans="3:14" s="31" customFormat="1" ht="15.75" customHeight="1" x14ac:dyDescent="0.3">
      <c r="C131" s="27"/>
      <c r="D131" s="29"/>
      <c r="E131" s="29"/>
      <c r="F131" s="29"/>
      <c r="G131" s="27"/>
      <c r="H131" s="18"/>
      <c r="I131" s="18"/>
      <c r="J131" s="18"/>
      <c r="K131" s="18"/>
      <c r="L131" s="32"/>
      <c r="M131" s="29"/>
    </row>
    <row r="132" spans="3:14" ht="15.75" customHeight="1" x14ac:dyDescent="0.3">
      <c r="L132" s="33"/>
    </row>
    <row r="133" spans="3:14" ht="15.75" customHeight="1" x14ac:dyDescent="0.3">
      <c r="D133" s="180"/>
      <c r="H133" s="23"/>
      <c r="I133" s="23"/>
      <c r="L133" s="33"/>
    </row>
    <row r="134" spans="3:14" ht="15.75" customHeight="1" x14ac:dyDescent="0.3">
      <c r="H134" s="23"/>
      <c r="I134" s="23"/>
      <c r="L134" s="31"/>
    </row>
    <row r="135" spans="3:14" ht="40.5" customHeight="1" x14ac:dyDescent="0.3">
      <c r="H135" s="23"/>
      <c r="I135" s="23"/>
      <c r="L135" s="34"/>
    </row>
    <row r="136" spans="3:14" ht="24.75" customHeight="1" x14ac:dyDescent="0.3">
      <c r="H136" s="23"/>
      <c r="I136" s="23"/>
      <c r="L136" s="34"/>
    </row>
    <row r="137" spans="3:14" ht="41.25" customHeight="1" x14ac:dyDescent="0.3">
      <c r="H137" s="6"/>
      <c r="I137" s="23"/>
      <c r="L137" s="34"/>
    </row>
    <row r="138" spans="3:14" ht="51.75" customHeight="1" x14ac:dyDescent="0.3">
      <c r="H138" s="6"/>
      <c r="I138" s="23"/>
      <c r="L138" s="34"/>
      <c r="N138" s="27"/>
    </row>
    <row r="139" spans="3:14" ht="42" customHeight="1" x14ac:dyDescent="0.3">
      <c r="H139" s="23"/>
      <c r="I139" s="23"/>
      <c r="L139" s="34"/>
      <c r="N139" s="27"/>
    </row>
    <row r="140" spans="3:14" s="29" customFormat="1" ht="42" customHeight="1" x14ac:dyDescent="0.3">
      <c r="C140" s="27"/>
      <c r="G140" s="27"/>
      <c r="H140" s="31"/>
      <c r="I140" s="23"/>
      <c r="J140" s="27"/>
      <c r="K140" s="27"/>
      <c r="L140" s="34"/>
      <c r="M140" s="27"/>
    </row>
    <row r="141" spans="3:14" s="29" customFormat="1" ht="42" customHeight="1" x14ac:dyDescent="0.3">
      <c r="C141" s="27"/>
      <c r="G141" s="27"/>
      <c r="H141" s="27"/>
      <c r="I141" s="23"/>
      <c r="J141" s="27"/>
      <c r="K141" s="27"/>
      <c r="L141" s="27"/>
      <c r="M141" s="27"/>
    </row>
    <row r="142" spans="3:14" s="29" customFormat="1" ht="63.75" customHeight="1" x14ac:dyDescent="0.3">
      <c r="C142" s="27"/>
      <c r="G142" s="27"/>
      <c r="H142" s="27"/>
      <c r="I142" s="33"/>
      <c r="J142" s="31"/>
      <c r="K142" s="31"/>
      <c r="L142" s="27"/>
      <c r="M142" s="27"/>
    </row>
    <row r="143" spans="3:14" s="29" customFormat="1" ht="42" customHeight="1" x14ac:dyDescent="0.3">
      <c r="C143" s="27"/>
      <c r="G143" s="27"/>
      <c r="H143" s="27"/>
      <c r="I143" s="27"/>
      <c r="J143" s="27"/>
      <c r="K143" s="27"/>
      <c r="L143" s="27"/>
      <c r="M143" s="33"/>
    </row>
    <row r="144" spans="3:14" ht="23.25" customHeight="1" x14ac:dyDescent="0.3">
      <c r="N144" s="27"/>
    </row>
    <row r="145" spans="3:14" ht="27.75" customHeight="1" x14ac:dyDescent="0.3">
      <c r="L145" s="31"/>
      <c r="N145" s="27"/>
    </row>
    <row r="146" spans="3:14" ht="55.5" customHeight="1" x14ac:dyDescent="0.3">
      <c r="N146" s="27"/>
    </row>
    <row r="147" spans="3:14" ht="57.75" customHeight="1" x14ac:dyDescent="0.3">
      <c r="M147" s="31"/>
      <c r="N147" s="27"/>
    </row>
    <row r="148" spans="3:14" ht="21.75" customHeight="1" x14ac:dyDescent="0.3">
      <c r="N148" s="27"/>
    </row>
    <row r="149" spans="3:14" ht="49.5" customHeight="1" x14ac:dyDescent="0.3">
      <c r="N149" s="27"/>
    </row>
    <row r="150" spans="3:14" ht="28.5" customHeight="1" x14ac:dyDescent="0.3">
      <c r="N150" s="27"/>
    </row>
    <row r="151" spans="3:14" ht="28.5" customHeight="1" x14ac:dyDescent="0.3">
      <c r="N151" s="27"/>
    </row>
    <row r="152" spans="3:14" ht="28.5" customHeight="1" x14ac:dyDescent="0.3">
      <c r="N152" s="27"/>
    </row>
    <row r="153" spans="3:14" ht="23.25" customHeight="1" x14ac:dyDescent="0.3">
      <c r="N153" s="33"/>
    </row>
    <row r="154" spans="3:14" ht="43.5" customHeight="1" x14ac:dyDescent="0.3">
      <c r="N154" s="33"/>
    </row>
    <row r="155" spans="3:14" ht="55.5" customHeight="1" x14ac:dyDescent="0.3">
      <c r="N155" s="27"/>
    </row>
    <row r="156" spans="3:14" ht="42.75" customHeight="1" x14ac:dyDescent="0.3">
      <c r="N156" s="33"/>
    </row>
    <row r="157" spans="3:14" ht="21.75" customHeight="1" x14ac:dyDescent="0.3">
      <c r="N157" s="33"/>
    </row>
    <row r="158" spans="3:14" ht="21.75" customHeight="1" x14ac:dyDescent="0.3">
      <c r="N158" s="33"/>
    </row>
    <row r="159" spans="3:14" s="31" customFormat="1" ht="23.25" customHeight="1" x14ac:dyDescent="0.3">
      <c r="C159" s="27"/>
      <c r="D159" s="29"/>
      <c r="E159" s="29"/>
      <c r="F159" s="29"/>
      <c r="G159" s="27"/>
      <c r="H159" s="27"/>
      <c r="I159" s="27"/>
      <c r="J159" s="27"/>
      <c r="K159" s="27"/>
      <c r="L159" s="27"/>
      <c r="M159" s="27"/>
    </row>
    <row r="160" spans="3:14" ht="23.25" customHeight="1" x14ac:dyDescent="0.3"/>
    <row r="161" ht="21.75" customHeight="1" x14ac:dyDescent="0.3"/>
    <row r="162" ht="16.5" customHeight="1" x14ac:dyDescent="0.3"/>
    <row r="163" ht="29.25" customHeight="1" x14ac:dyDescent="0.3"/>
    <row r="164" ht="24.75" customHeight="1" x14ac:dyDescent="0.3"/>
    <row r="165" ht="33" customHeight="1" x14ac:dyDescent="0.3"/>
    <row r="167" ht="15" customHeight="1" x14ac:dyDescent="0.3"/>
    <row r="168" ht="25.5" customHeight="1" x14ac:dyDescent="0.3"/>
  </sheetData>
  <sheetProtection formatCells="0" formatColumns="0" formatRows="0"/>
  <mergeCells count="18">
    <mergeCell ref="C2:F2"/>
    <mergeCell ref="C11:F11"/>
    <mergeCell ref="B15:G15"/>
    <mergeCell ref="C16:G16"/>
    <mergeCell ref="B60:G60"/>
    <mergeCell ref="G13:G14"/>
    <mergeCell ref="C5:G5"/>
    <mergeCell ref="C27:G27"/>
    <mergeCell ref="C38:G38"/>
    <mergeCell ref="C106:G106"/>
    <mergeCell ref="C6:J9"/>
    <mergeCell ref="G118:G119"/>
    <mergeCell ref="C61:G61"/>
    <mergeCell ref="C117:G117"/>
    <mergeCell ref="C72:G72"/>
    <mergeCell ref="C83:G83"/>
    <mergeCell ref="C94:G94"/>
    <mergeCell ref="C49:G49"/>
  </mergeCells>
  <conditionalFormatting sqref="G25">
    <cfRule type="cellIs" dxfId="26" priority="40" operator="notEqual">
      <formula>$G$17</formula>
    </cfRule>
  </conditionalFormatting>
  <conditionalFormatting sqref="G36">
    <cfRule type="cellIs" dxfId="25" priority="39" operator="notEqual">
      <formula>$G$28</formula>
    </cfRule>
  </conditionalFormatting>
  <conditionalFormatting sqref="G47">
    <cfRule type="cellIs" dxfId="24" priority="38" operator="notEqual">
      <formula>$G$39</formula>
    </cfRule>
  </conditionalFormatting>
  <conditionalFormatting sqref="G70">
    <cfRule type="cellIs" dxfId="23" priority="36" operator="notEqual">
      <formula>$G$62</formula>
    </cfRule>
  </conditionalFormatting>
  <conditionalFormatting sqref="G81">
    <cfRule type="cellIs" dxfId="22" priority="35" operator="notEqual">
      <formula>$G$73</formula>
    </cfRule>
  </conditionalFormatting>
  <conditionalFormatting sqref="G92">
    <cfRule type="cellIs" dxfId="21" priority="34" operator="notEqual">
      <formula>$G$84</formula>
    </cfRule>
  </conditionalFormatting>
  <conditionalFormatting sqref="G103">
    <cfRule type="cellIs" dxfId="20" priority="33" operator="notEqual">
      <formula>$G$95</formula>
    </cfRule>
  </conditionalFormatting>
  <conditionalFormatting sqref="G115">
    <cfRule type="cellIs" dxfId="19" priority="24" operator="notEqual">
      <formula>$G$107</formula>
    </cfRule>
  </conditionalFormatting>
  <conditionalFormatting sqref="D25">
    <cfRule type="cellIs" dxfId="18" priority="23" operator="notEqual">
      <formula>$D$17</formula>
    </cfRule>
  </conditionalFormatting>
  <conditionalFormatting sqref="D36">
    <cfRule type="cellIs" dxfId="17" priority="22" operator="notEqual">
      <formula>$D$28</formula>
    </cfRule>
  </conditionalFormatting>
  <conditionalFormatting sqref="D47">
    <cfRule type="cellIs" dxfId="16" priority="21" operator="notEqual">
      <formula>$D$39</formula>
    </cfRule>
  </conditionalFormatting>
  <conditionalFormatting sqref="D70">
    <cfRule type="cellIs" dxfId="15" priority="19" operator="notEqual">
      <formula>$D$62</formula>
    </cfRule>
  </conditionalFormatting>
  <conditionalFormatting sqref="D81">
    <cfRule type="cellIs" dxfId="14" priority="18" operator="notEqual">
      <formula>$D$73</formula>
    </cfRule>
  </conditionalFormatting>
  <conditionalFormatting sqref="D92">
    <cfRule type="cellIs" dxfId="13" priority="17" operator="notEqual">
      <formula>$D$84</formula>
    </cfRule>
  </conditionalFormatting>
  <conditionalFormatting sqref="D103">
    <cfRule type="cellIs" dxfId="12" priority="16" operator="notEqual">
      <formula>$D$95</formula>
    </cfRule>
  </conditionalFormatting>
  <conditionalFormatting sqref="D115">
    <cfRule type="cellIs" dxfId="11" priority="7" operator="notEqual">
      <formula>$D$107</formula>
    </cfRule>
  </conditionalFormatting>
  <conditionalFormatting sqref="E47">
    <cfRule type="cellIs" dxfId="10" priority="6" operator="notEqual">
      <formula>$E$39</formula>
    </cfRule>
  </conditionalFormatting>
  <conditionalFormatting sqref="F47">
    <cfRule type="cellIs" dxfId="9" priority="5" operator="notEqual">
      <formula>$F$39</formula>
    </cfRule>
  </conditionalFormatting>
  <conditionalFormatting sqref="G58">
    <cfRule type="cellIs" dxfId="8" priority="4" operator="notEqual">
      <formula>$G$50</formula>
    </cfRule>
  </conditionalFormatting>
  <conditionalFormatting sqref="D58">
    <cfRule type="cellIs" dxfId="7" priority="3" operator="notEqual">
      <formula>$D$50</formula>
    </cfRule>
  </conditionalFormatting>
  <conditionalFormatting sqref="E58">
    <cfRule type="cellIs" dxfId="6" priority="2" operator="notEqual">
      <formula>$E$39</formula>
    </cfRule>
  </conditionalFormatting>
  <conditionalFormatting sqref="F58">
    <cfRule type="cellIs" dxfId="5" priority="1" operator="notEqual">
      <formula>$F$50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69 C80 C91 C102 C114 C126 C57"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68 C79 C90 C101 C113 C125 C56" xr:uid="{00000000-0002-0000-0200-000001000000}"/>
    <dataValidation allowBlank="1" showInputMessage="1" showErrorMessage="1" prompt="Services contracted by an organization which follow the normal procurement processes." sqref="C21 C32 C43 C66 C77 C88 C99 C111 C123 C54" xr:uid="{00000000-0002-0000-0200-000002000000}"/>
    <dataValidation allowBlank="1" showInputMessage="1" showErrorMessage="1" prompt="Includes staff and non-staff travel paid for by the organization directly related to a project." sqref="C22 C33 C44 C67 C78 C89 C100 C112 C124 C55"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65 C76 C87 C98 C110 C122 C53"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64 C75 C86 C97 C109 C121 C52" xr:uid="{00000000-0002-0000-0200-000005000000}"/>
    <dataValidation allowBlank="1" showInputMessage="1" showErrorMessage="1" prompt="Includes all related staff and temporary staff costs including base salary, post adjustment and all staff entitlements." sqref="C18 C29 C40 C63 C74 C85 C96 C108 C120 C51"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18"/>
  <sheetViews>
    <sheetView showGridLines="0" topLeftCell="A8" workbookViewId="0">
      <selection activeCell="G12" sqref="G12"/>
    </sheetView>
  </sheetViews>
  <sheetFormatPr baseColWidth="10" defaultColWidth="8.88671875" defaultRowHeight="14.4" x14ac:dyDescent="0.3"/>
  <cols>
    <col min="1" max="1" width="9" customWidth="1"/>
    <col min="2" max="2" width="73.44140625" customWidth="1"/>
  </cols>
  <sheetData>
    <row r="1" spans="1:6" x14ac:dyDescent="0.3">
      <c r="A1" s="1"/>
      <c r="B1" s="1"/>
      <c r="C1" s="1"/>
      <c r="D1" s="1"/>
    </row>
    <row r="2" spans="1:6" ht="15" thickBot="1" x14ac:dyDescent="0.35">
      <c r="A2" s="1"/>
      <c r="B2" s="1"/>
      <c r="C2" s="1"/>
      <c r="D2" s="1"/>
      <c r="E2" s="1"/>
      <c r="F2" s="1"/>
    </row>
    <row r="3" spans="1:6" ht="15" thickBot="1" x14ac:dyDescent="0.35">
      <c r="A3" s="1"/>
      <c r="B3" s="96" t="s">
        <v>406</v>
      </c>
      <c r="C3" s="1"/>
      <c r="D3" s="1"/>
    </row>
    <row r="4" spans="1:6" ht="54" customHeight="1" x14ac:dyDescent="0.3">
      <c r="A4" s="1"/>
      <c r="B4" s="97" t="s">
        <v>434</v>
      </c>
      <c r="C4" s="1"/>
      <c r="D4" s="1"/>
    </row>
    <row r="5" spans="1:6" ht="63.75" customHeight="1" x14ac:dyDescent="0.3">
      <c r="A5" s="1"/>
      <c r="B5" s="94" t="s">
        <v>410</v>
      </c>
      <c r="C5" s="1"/>
      <c r="D5" s="1"/>
    </row>
    <row r="6" spans="1:6" x14ac:dyDescent="0.3">
      <c r="A6" s="1"/>
      <c r="B6" s="94"/>
      <c r="C6" s="1"/>
      <c r="D6" s="1"/>
    </row>
    <row r="7" spans="1:6" ht="57.6" x14ac:dyDescent="0.3">
      <c r="A7" s="1"/>
      <c r="B7" s="93" t="s">
        <v>407</v>
      </c>
      <c r="C7" s="1"/>
      <c r="D7" s="1"/>
    </row>
    <row r="8" spans="1:6" x14ac:dyDescent="0.3">
      <c r="A8" s="1"/>
      <c r="B8" s="94"/>
      <c r="C8" s="1"/>
      <c r="D8" s="1"/>
    </row>
    <row r="9" spans="1:6" ht="57.6" x14ac:dyDescent="0.3">
      <c r="A9" s="1"/>
      <c r="B9" s="93" t="s">
        <v>435</v>
      </c>
      <c r="C9" s="1"/>
      <c r="D9" s="1"/>
    </row>
    <row r="10" spans="1:6" x14ac:dyDescent="0.3">
      <c r="A10" s="1"/>
      <c r="B10" s="94"/>
      <c r="C10" s="1"/>
      <c r="D10" s="1"/>
    </row>
    <row r="11" spans="1:6" ht="28.8" x14ac:dyDescent="0.3">
      <c r="A11" s="1"/>
      <c r="B11" s="94" t="s">
        <v>408</v>
      </c>
      <c r="C11" s="1"/>
      <c r="D11" s="1"/>
    </row>
    <row r="12" spans="1:6" x14ac:dyDescent="0.3">
      <c r="A12" s="1"/>
      <c r="B12" s="94"/>
      <c r="C12" s="1"/>
      <c r="D12" s="1"/>
    </row>
    <row r="13" spans="1:6" ht="72" x14ac:dyDescent="0.3">
      <c r="A13" s="1"/>
      <c r="B13" s="93" t="s">
        <v>436</v>
      </c>
      <c r="C13" s="1"/>
      <c r="D13" s="1"/>
    </row>
    <row r="14" spans="1:6" x14ac:dyDescent="0.3">
      <c r="A14" s="1"/>
      <c r="B14" s="94"/>
      <c r="C14" s="1"/>
      <c r="D14" s="1"/>
    </row>
    <row r="15" spans="1:6" ht="58.2" thickBot="1" x14ac:dyDescent="0.35">
      <c r="A15" s="1"/>
      <c r="B15" s="95" t="s">
        <v>409</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J43" sqref="J43"/>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26" t="s">
        <v>372</v>
      </c>
      <c r="C2" s="427"/>
      <c r="D2" s="428"/>
    </row>
    <row r="3" spans="2:4" ht="15" thickBot="1" x14ac:dyDescent="0.35">
      <c r="B3" s="429"/>
      <c r="C3" s="430"/>
      <c r="D3" s="431"/>
    </row>
    <row r="4" spans="2:4" ht="15" thickBot="1" x14ac:dyDescent="0.35"/>
    <row r="5" spans="2:4" x14ac:dyDescent="0.3">
      <c r="B5" s="437" t="s">
        <v>20</v>
      </c>
      <c r="C5" s="438"/>
      <c r="D5" s="439"/>
    </row>
    <row r="6" spans="2:4" ht="15" thickBot="1" x14ac:dyDescent="0.35">
      <c r="B6" s="434"/>
      <c r="C6" s="435"/>
      <c r="D6" s="436"/>
    </row>
    <row r="7" spans="2:4" x14ac:dyDescent="0.3">
      <c r="B7" s="57" t="s">
        <v>21</v>
      </c>
      <c r="C7" s="432">
        <f>SUM('1) Tableau budgétaire 1'!G42,'1) Tableau budgétaire 1'!G63,'1) Tableau budgétaire 1'!G78,'1) Tableau budgétaire 1'!G86)</f>
        <v>834733.64999999991</v>
      </c>
      <c r="D7" s="433"/>
    </row>
    <row r="8" spans="2:4" x14ac:dyDescent="0.3">
      <c r="B8" s="57" t="s">
        <v>368</v>
      </c>
      <c r="C8" s="440">
        <f>SUM(D10:D14)</f>
        <v>0</v>
      </c>
      <c r="D8" s="441"/>
    </row>
    <row r="9" spans="2:4" x14ac:dyDescent="0.3">
      <c r="B9" s="58" t="s">
        <v>362</v>
      </c>
      <c r="C9" s="59" t="s">
        <v>363</v>
      </c>
      <c r="D9" s="60" t="s">
        <v>364</v>
      </c>
    </row>
    <row r="10" spans="2:4" ht="35.1" customHeight="1" x14ac:dyDescent="0.3">
      <c r="B10" s="72"/>
      <c r="C10" s="62"/>
      <c r="D10" s="63">
        <f>$C$7*C10</f>
        <v>0</v>
      </c>
    </row>
    <row r="11" spans="2:4" ht="35.1" customHeight="1" x14ac:dyDescent="0.3">
      <c r="B11" s="72"/>
      <c r="C11" s="62"/>
      <c r="D11" s="63">
        <f>C7*C11</f>
        <v>0</v>
      </c>
    </row>
    <row r="12" spans="2:4" ht="35.1" customHeight="1" x14ac:dyDescent="0.3">
      <c r="B12" s="73"/>
      <c r="C12" s="62"/>
      <c r="D12" s="63">
        <f>C7*C12</f>
        <v>0</v>
      </c>
    </row>
    <row r="13" spans="2:4" ht="35.1" customHeight="1" x14ac:dyDescent="0.3">
      <c r="B13" s="73"/>
      <c r="C13" s="62"/>
      <c r="D13" s="63">
        <f>C7*C13</f>
        <v>0</v>
      </c>
    </row>
    <row r="14" spans="2:4" ht="35.1" customHeight="1" thickBot="1" x14ac:dyDescent="0.35">
      <c r="B14" s="74"/>
      <c r="C14" s="67"/>
      <c r="D14" s="68">
        <f>C7*C14</f>
        <v>0</v>
      </c>
    </row>
    <row r="15" spans="2:4" ht="15" thickBot="1" x14ac:dyDescent="0.35"/>
    <row r="16" spans="2:4" x14ac:dyDescent="0.3">
      <c r="B16" s="437" t="s">
        <v>365</v>
      </c>
      <c r="C16" s="438"/>
      <c r="D16" s="439"/>
    </row>
    <row r="17" spans="2:4" ht="15" thickBot="1" x14ac:dyDescent="0.35">
      <c r="B17" s="442"/>
      <c r="C17" s="443"/>
      <c r="D17" s="444"/>
    </row>
    <row r="18" spans="2:4" x14ac:dyDescent="0.3">
      <c r="B18" s="57" t="s">
        <v>21</v>
      </c>
      <c r="C18" s="432">
        <f>SUM('1) Tableau budgétaire 1'!D97:F97,'1) Tableau budgétaire 1'!D105:F105,'1) Tableau budgétaire 1'!D110:F110,'1) Tableau budgétaire 1'!D122:F122)</f>
        <v>1130737.7771000001</v>
      </c>
      <c r="D18" s="433"/>
    </row>
    <row r="19" spans="2:4" x14ac:dyDescent="0.3">
      <c r="B19" s="57" t="s">
        <v>368</v>
      </c>
      <c r="C19" s="440">
        <f>SUM(D21:D25)</f>
        <v>0</v>
      </c>
      <c r="D19" s="441"/>
    </row>
    <row r="20" spans="2:4" x14ac:dyDescent="0.3">
      <c r="B20" s="58" t="s">
        <v>362</v>
      </c>
      <c r="C20" s="59" t="s">
        <v>363</v>
      </c>
      <c r="D20" s="60" t="s">
        <v>364</v>
      </c>
    </row>
    <row r="21" spans="2:4" ht="35.1" customHeight="1" x14ac:dyDescent="0.3">
      <c r="B21" s="61"/>
      <c r="C21" s="62"/>
      <c r="D21" s="63">
        <f>$C$18*C21</f>
        <v>0</v>
      </c>
    </row>
    <row r="22" spans="2:4" ht="35.1" customHeight="1" x14ac:dyDescent="0.3">
      <c r="B22" s="64"/>
      <c r="C22" s="62"/>
      <c r="D22" s="63">
        <f>$C$18*C22</f>
        <v>0</v>
      </c>
    </row>
    <row r="23" spans="2:4" ht="35.1" customHeight="1" x14ac:dyDescent="0.3">
      <c r="B23" s="65"/>
      <c r="C23" s="62"/>
      <c r="D23" s="63">
        <f>$C$18*C23</f>
        <v>0</v>
      </c>
    </row>
    <row r="24" spans="2:4" ht="35.1" customHeight="1" x14ac:dyDescent="0.3">
      <c r="B24" s="65"/>
      <c r="C24" s="62"/>
      <c r="D24" s="63">
        <f>$C$18*C24</f>
        <v>0</v>
      </c>
    </row>
    <row r="25" spans="2:4" ht="35.1" customHeight="1" thickBot="1" x14ac:dyDescent="0.35">
      <c r="B25" s="66"/>
      <c r="C25" s="67"/>
      <c r="D25" s="63">
        <f>$C$18*C25</f>
        <v>0</v>
      </c>
    </row>
    <row r="26" spans="2:4" ht="15" thickBot="1" x14ac:dyDescent="0.35"/>
    <row r="27" spans="2:4" x14ac:dyDescent="0.3">
      <c r="B27" s="437" t="s">
        <v>366</v>
      </c>
      <c r="C27" s="438"/>
      <c r="D27" s="439"/>
    </row>
    <row r="28" spans="2:4" ht="15" thickBot="1" x14ac:dyDescent="0.35">
      <c r="B28" s="434"/>
      <c r="C28" s="435"/>
      <c r="D28" s="436"/>
    </row>
    <row r="29" spans="2:4" x14ac:dyDescent="0.3">
      <c r="B29" s="57" t="s">
        <v>21</v>
      </c>
      <c r="C29" s="432">
        <f>SUM('1) Tableau budgétaire 1'!G125)</f>
        <v>0</v>
      </c>
      <c r="D29" s="433"/>
    </row>
    <row r="30" spans="2:4" x14ac:dyDescent="0.3">
      <c r="B30" s="57" t="s">
        <v>368</v>
      </c>
      <c r="C30" s="440">
        <f>SUM(D32:D36)</f>
        <v>0</v>
      </c>
      <c r="D30" s="441"/>
    </row>
    <row r="31" spans="2:4" x14ac:dyDescent="0.3">
      <c r="B31" s="58" t="s">
        <v>362</v>
      </c>
      <c r="C31" s="59" t="s">
        <v>363</v>
      </c>
      <c r="D31" s="60" t="s">
        <v>364</v>
      </c>
    </row>
    <row r="32" spans="2:4" ht="35.1" customHeight="1" x14ac:dyDescent="0.3">
      <c r="B32" s="61"/>
      <c r="C32" s="62"/>
      <c r="D32" s="63">
        <f>$C$29*C32</f>
        <v>0</v>
      </c>
    </row>
    <row r="33" spans="2:4" ht="35.1" customHeight="1" x14ac:dyDescent="0.3">
      <c r="B33" s="64"/>
      <c r="C33" s="62"/>
      <c r="D33" s="63">
        <f>$C$29*C33</f>
        <v>0</v>
      </c>
    </row>
    <row r="34" spans="2:4" ht="35.1" customHeight="1" x14ac:dyDescent="0.3">
      <c r="B34" s="65"/>
      <c r="C34" s="62"/>
      <c r="D34" s="63">
        <f>$C$29*C34</f>
        <v>0</v>
      </c>
    </row>
    <row r="35" spans="2:4" ht="35.1" customHeight="1" x14ac:dyDescent="0.3">
      <c r="B35" s="65"/>
      <c r="C35" s="62"/>
      <c r="D35" s="63">
        <f>$C$29*C35</f>
        <v>0</v>
      </c>
    </row>
    <row r="36" spans="2:4" ht="35.1" customHeight="1" thickBot="1" x14ac:dyDescent="0.35">
      <c r="B36" s="66"/>
      <c r="C36" s="67"/>
      <c r="D36" s="63">
        <f>$C$29*C36</f>
        <v>0</v>
      </c>
    </row>
    <row r="37" spans="2:4" ht="15" thickBot="1" x14ac:dyDescent="0.35"/>
    <row r="38" spans="2:4" x14ac:dyDescent="0.3">
      <c r="B38" s="437" t="s">
        <v>367</v>
      </c>
      <c r="C38" s="438"/>
      <c r="D38" s="439"/>
    </row>
    <row r="39" spans="2:4" ht="15" thickBot="1" x14ac:dyDescent="0.35">
      <c r="B39" s="434"/>
      <c r="C39" s="435"/>
      <c r="D39" s="436"/>
    </row>
    <row r="40" spans="2:4" x14ac:dyDescent="0.3">
      <c r="B40" s="57" t="s">
        <v>21</v>
      </c>
      <c r="C40" s="432">
        <f>SUM('1) Tableau budgétaire 1'!G149)</f>
        <v>375255.18</v>
      </c>
      <c r="D40" s="433"/>
    </row>
    <row r="41" spans="2:4" x14ac:dyDescent="0.3">
      <c r="B41" s="57" t="s">
        <v>368</v>
      </c>
      <c r="C41" s="440">
        <f>SUM(D43:D47)</f>
        <v>0</v>
      </c>
      <c r="D41" s="441"/>
    </row>
    <row r="42" spans="2:4" x14ac:dyDescent="0.3">
      <c r="B42" s="58" t="s">
        <v>362</v>
      </c>
      <c r="C42" s="59" t="s">
        <v>363</v>
      </c>
      <c r="D42" s="60" t="s">
        <v>364</v>
      </c>
    </row>
    <row r="43" spans="2:4" ht="35.1" customHeight="1" x14ac:dyDescent="0.3">
      <c r="B43" s="61"/>
      <c r="C43" s="62"/>
      <c r="D43" s="63">
        <f>$C$40*C43</f>
        <v>0</v>
      </c>
    </row>
    <row r="44" spans="2:4" ht="35.1" customHeight="1" x14ac:dyDescent="0.3">
      <c r="B44" s="64"/>
      <c r="C44" s="62"/>
      <c r="D44" s="63">
        <f>$C$40*C44</f>
        <v>0</v>
      </c>
    </row>
    <row r="45" spans="2:4" ht="35.1" customHeight="1" x14ac:dyDescent="0.3">
      <c r="B45" s="65"/>
      <c r="C45" s="62"/>
      <c r="D45" s="63">
        <f>$C$40*C45</f>
        <v>0</v>
      </c>
    </row>
    <row r="46" spans="2:4" ht="35.1" customHeight="1" x14ac:dyDescent="0.3">
      <c r="B46" s="65"/>
      <c r="C46" s="62"/>
      <c r="D46" s="63">
        <f>$C$40*C46</f>
        <v>0</v>
      </c>
    </row>
    <row r="47" spans="2:4" ht="35.1" customHeight="1" thickBot="1" x14ac:dyDescent="0.35">
      <c r="B47" s="66"/>
      <c r="C47" s="67"/>
      <c r="D47" s="6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B1:F24"/>
  <sheetViews>
    <sheetView showGridLines="0" showZeros="0" zoomScale="70" zoomScaleNormal="70" workbookViewId="0">
      <selection activeCell="C30" sqref="C30"/>
    </sheetView>
  </sheetViews>
  <sheetFormatPr baseColWidth="10" defaultColWidth="8.88671875" defaultRowHeight="14.4" x14ac:dyDescent="0.3"/>
  <cols>
    <col min="1" max="1" width="12.44140625" customWidth="1"/>
    <col min="2" max="2" width="20.44140625" customWidth="1"/>
    <col min="3" max="4" width="25.44140625" customWidth="1"/>
    <col min="5" max="5" width="25.44140625" hidden="1"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50" customFormat="1" ht="15.6" x14ac:dyDescent="0.3">
      <c r="B2" s="447" t="s">
        <v>13</v>
      </c>
      <c r="C2" s="448"/>
      <c r="D2" s="448"/>
      <c r="E2" s="448"/>
      <c r="F2" s="449"/>
    </row>
    <row r="3" spans="2:6" s="50" customFormat="1" ht="16.2" thickBot="1" x14ac:dyDescent="0.35">
      <c r="B3" s="450"/>
      <c r="C3" s="451"/>
      <c r="D3" s="451"/>
      <c r="E3" s="451"/>
      <c r="F3" s="452"/>
    </row>
    <row r="4" spans="2:6" s="50" customFormat="1" ht="16.2" thickBot="1" x14ac:dyDescent="0.35"/>
    <row r="5" spans="2:6" s="50" customFormat="1" ht="16.2" thickBot="1" x14ac:dyDescent="0.35">
      <c r="B5" s="348" t="s">
        <v>7</v>
      </c>
      <c r="C5" s="349"/>
      <c r="D5" s="349"/>
      <c r="E5" s="349"/>
      <c r="F5" s="350"/>
    </row>
    <row r="6" spans="2:6" s="50" customFormat="1" ht="15.6" x14ac:dyDescent="0.3">
      <c r="B6" s="47"/>
      <c r="C6" s="84" t="s">
        <v>645</v>
      </c>
      <c r="D6" s="82" t="s">
        <v>14</v>
      </c>
      <c r="E6" s="35" t="s">
        <v>15</v>
      </c>
      <c r="F6" s="453" t="s">
        <v>7</v>
      </c>
    </row>
    <row r="7" spans="2:6" s="50" customFormat="1" ht="15.6" x14ac:dyDescent="0.3">
      <c r="B7" s="47"/>
      <c r="C7" s="85" t="s">
        <v>473</v>
      </c>
      <c r="D7" s="83" t="s">
        <v>474</v>
      </c>
      <c r="E7" s="28"/>
      <c r="F7" s="352"/>
    </row>
    <row r="8" spans="2:6" s="50" customFormat="1" ht="31.2" x14ac:dyDescent="0.3">
      <c r="B8" s="7" t="s">
        <v>0</v>
      </c>
      <c r="C8" s="86">
        <f>'2) Tableau budgétaire 2'!D120</f>
        <v>163244</v>
      </c>
      <c r="D8" s="80">
        <f>'2) Tableau budgétaire 2'!E120</f>
        <v>19865.18</v>
      </c>
      <c r="E8" s="48">
        <f>'2) Tableau budgétaire 2'!F120</f>
        <v>0</v>
      </c>
      <c r="F8" s="137">
        <f t="shared" ref="F8:F13" si="0">SUM(C8:E8)</f>
        <v>183109.18</v>
      </c>
    </row>
    <row r="9" spans="2:6" s="50" customFormat="1" ht="46.8" x14ac:dyDescent="0.3">
      <c r="B9" s="7" t="s">
        <v>1</v>
      </c>
      <c r="C9" s="86">
        <f>'2) Tableau budgétaire 2'!D121</f>
        <v>119760</v>
      </c>
      <c r="D9" s="80">
        <f>'2) Tableau budgétaire 2'!E121</f>
        <v>0</v>
      </c>
      <c r="E9" s="48">
        <f>'2) Tableau budgétaire 2'!F121</f>
        <v>0</v>
      </c>
      <c r="F9" s="138">
        <f t="shared" si="0"/>
        <v>119760</v>
      </c>
    </row>
    <row r="10" spans="2:6" s="50" customFormat="1" ht="62.4" x14ac:dyDescent="0.3">
      <c r="B10" s="7" t="s">
        <v>2</v>
      </c>
      <c r="C10" s="86">
        <f>'2) Tableau budgétaire 2'!D122</f>
        <v>73740</v>
      </c>
      <c r="D10" s="80">
        <f>'2) Tableau budgétaire 2'!E122</f>
        <v>0</v>
      </c>
      <c r="E10" s="48">
        <f>'2) Tableau budgétaire 2'!F122</f>
        <v>0</v>
      </c>
      <c r="F10" s="138">
        <f t="shared" si="0"/>
        <v>73740</v>
      </c>
    </row>
    <row r="11" spans="2:6" s="50" customFormat="1" ht="31.2" x14ac:dyDescent="0.3">
      <c r="B11" s="17" t="s">
        <v>3</v>
      </c>
      <c r="C11" s="86">
        <f>'2) Tableau budgétaire 2'!D123</f>
        <v>566453.4</v>
      </c>
      <c r="D11" s="80">
        <f>'2) Tableau budgétaire 2'!E123</f>
        <v>0</v>
      </c>
      <c r="E11" s="48">
        <f>'2) Tableau budgétaire 2'!F123</f>
        <v>0</v>
      </c>
      <c r="F11" s="138">
        <f t="shared" si="0"/>
        <v>566453.4</v>
      </c>
    </row>
    <row r="12" spans="2:6" s="50" customFormat="1" ht="15.6" x14ac:dyDescent="0.3">
      <c r="B12" s="7" t="s">
        <v>6</v>
      </c>
      <c r="C12" s="86">
        <f>'2) Tableau budgétaire 2'!D124</f>
        <v>111731.93</v>
      </c>
      <c r="D12" s="80">
        <f>'2) Tableau budgétaire 2'!E124</f>
        <v>1750</v>
      </c>
      <c r="E12" s="48">
        <f>'2) Tableau budgétaire 2'!F124</f>
        <v>0</v>
      </c>
      <c r="F12" s="138">
        <f t="shared" si="0"/>
        <v>113481.93</v>
      </c>
    </row>
    <row r="13" spans="2:6" s="50" customFormat="1" ht="46.8" x14ac:dyDescent="0.3">
      <c r="B13" s="7" t="s">
        <v>4</v>
      </c>
      <c r="C13" s="86">
        <f>'2) Tableau budgétaire 2'!D125</f>
        <v>325148.32</v>
      </c>
      <c r="D13" s="80">
        <f>'2) Tableau budgétaire 2'!E125</f>
        <v>886077.77709999995</v>
      </c>
      <c r="E13" s="48">
        <f>'2) Tableau budgétaire 2'!F125</f>
        <v>0</v>
      </c>
      <c r="F13" s="138">
        <f t="shared" si="0"/>
        <v>1211226.0970999999</v>
      </c>
    </row>
    <row r="14" spans="2:6" s="50" customFormat="1" ht="47.4" thickBot="1" x14ac:dyDescent="0.35">
      <c r="B14" s="16" t="s">
        <v>18</v>
      </c>
      <c r="C14" s="87">
        <f>'2) Tableau budgétaire 2'!D126</f>
        <v>65156</v>
      </c>
      <c r="D14" s="81">
        <f>'2) Tableau budgétaire 2'!E126</f>
        <v>7800</v>
      </c>
      <c r="E14" s="49">
        <f>'2) Tableau budgétaire 2'!F126</f>
        <v>0</v>
      </c>
      <c r="F14" s="315">
        <f>SUM(C14:E14)</f>
        <v>72956</v>
      </c>
    </row>
    <row r="15" spans="2:6" s="50" customFormat="1" ht="30" customHeight="1" x14ac:dyDescent="0.3">
      <c r="B15" s="307" t="s">
        <v>440</v>
      </c>
      <c r="C15" s="308">
        <f>SUM(C8:C14)</f>
        <v>1425233.6500000001</v>
      </c>
      <c r="D15" s="308">
        <f>SUM(D8:D14)</f>
        <v>915492.9571</v>
      </c>
      <c r="E15" s="308">
        <f t="shared" ref="E15" si="1">SUM(E8:E14)</f>
        <v>0</v>
      </c>
      <c r="F15" s="309">
        <f>SUM(C15:E15)</f>
        <v>2340726.6071000001</v>
      </c>
    </row>
    <row r="16" spans="2:6" s="50" customFormat="1" ht="21" customHeight="1" thickBot="1" x14ac:dyDescent="0.35">
      <c r="B16" s="310" t="s">
        <v>439</v>
      </c>
      <c r="C16" s="311">
        <f>C15*0.07</f>
        <v>99766.35550000002</v>
      </c>
      <c r="D16" s="311">
        <f>D15*0.065</f>
        <v>59507.042211500004</v>
      </c>
      <c r="E16" s="311">
        <f>E15*0.07</f>
        <v>0</v>
      </c>
      <c r="F16" s="312">
        <f>SUM(C16:E16)</f>
        <v>159273.39771150003</v>
      </c>
    </row>
    <row r="17" spans="2:6" s="50" customFormat="1" ht="20.25" customHeight="1" thickBot="1" x14ac:dyDescent="0.35">
      <c r="B17" s="98" t="s">
        <v>12</v>
      </c>
      <c r="C17" s="313">
        <f>SUM(C15:C16)</f>
        <v>1525000.0055000002</v>
      </c>
      <c r="D17" s="313">
        <f>SUM(D15:D16)</f>
        <v>974999.9993115</v>
      </c>
      <c r="E17" s="313">
        <f>SUM(E15:E16)</f>
        <v>0</v>
      </c>
      <c r="F17" s="314">
        <f>F15+F16</f>
        <v>2500000.0048115002</v>
      </c>
    </row>
    <row r="18" spans="2:6" s="50" customFormat="1" ht="16.2" thickBot="1" x14ac:dyDescent="0.35"/>
    <row r="19" spans="2:6" s="50" customFormat="1" ht="15.6" x14ac:dyDescent="0.3">
      <c r="B19" s="445" t="s">
        <v>8</v>
      </c>
      <c r="C19" s="446"/>
      <c r="D19" s="446"/>
      <c r="E19" s="446"/>
      <c r="F19" s="414"/>
    </row>
    <row r="20" spans="2:6" ht="15.6" x14ac:dyDescent="0.3">
      <c r="B20" s="14"/>
      <c r="C20" s="12" t="s">
        <v>369</v>
      </c>
      <c r="D20" s="12" t="s">
        <v>16</v>
      </c>
      <c r="E20" s="12" t="s">
        <v>17</v>
      </c>
      <c r="F20" s="454" t="s">
        <v>10</v>
      </c>
    </row>
    <row r="21" spans="2:6" ht="15.6" x14ac:dyDescent="0.3">
      <c r="B21" s="14"/>
      <c r="C21" s="85" t="s">
        <v>473</v>
      </c>
      <c r="D21" s="83" t="s">
        <v>474</v>
      </c>
      <c r="E21" s="135"/>
      <c r="F21" s="352"/>
    </row>
    <row r="22" spans="2:6" ht="23.25" customHeight="1" x14ac:dyDescent="0.3">
      <c r="B22" s="13" t="s">
        <v>9</v>
      </c>
      <c r="C22" s="11">
        <f>'1) Tableau budgétaire 1'!D165</f>
        <v>533750.00192499999</v>
      </c>
      <c r="D22" s="11">
        <f>'1) Tableau budgétaire 1'!E165</f>
        <v>341249.999759025</v>
      </c>
      <c r="E22" s="11">
        <f>'1) Tableau budgétaire 1'!F165</f>
        <v>0</v>
      </c>
      <c r="F22" s="3">
        <f>'1) Tableau budgétaire 1'!H165</f>
        <v>0.35</v>
      </c>
    </row>
    <row r="23" spans="2:6" ht="24.75" customHeight="1" x14ac:dyDescent="0.3">
      <c r="B23" s="13" t="s">
        <v>11</v>
      </c>
      <c r="C23" s="11">
        <f>'1) Tableau budgétaire 1'!D166</f>
        <v>533750.00192499999</v>
      </c>
      <c r="D23" s="11">
        <f>'1) Tableau budgétaire 1'!E166</f>
        <v>341249.999759025</v>
      </c>
      <c r="E23" s="11">
        <f>'1) Tableau budgétaire 1'!F166</f>
        <v>0</v>
      </c>
      <c r="F23" s="3">
        <f>'1) Tableau budgétaire 1'!H166</f>
        <v>0.35</v>
      </c>
    </row>
    <row r="24" spans="2:6" ht="24.75" customHeight="1" thickBot="1" x14ac:dyDescent="0.35">
      <c r="B24" s="4" t="s">
        <v>370</v>
      </c>
      <c r="C24" s="15">
        <f>'1) Tableau budgétaire 1'!D167</f>
        <v>457500.00164999999</v>
      </c>
      <c r="D24" s="15">
        <f>'1) Tableau budgétaire 1'!E167</f>
        <v>292499.99979345</v>
      </c>
      <c r="E24" s="15">
        <f>'1) Tableau budgétaire 1'!F167</f>
        <v>0</v>
      </c>
      <c r="F24" s="5">
        <f>'1) Tableau budgétaire 1'!H167</f>
        <v>0.3</v>
      </c>
    </row>
  </sheetData>
  <sheetProtection formatCells="0" formatColumns="0" formatRows="0"/>
  <mergeCells count="5">
    <mergeCell ref="B19:F19"/>
    <mergeCell ref="B2:F3"/>
    <mergeCell ref="B5:F5"/>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51" t="s">
        <v>22</v>
      </c>
      <c r="B1" s="52" t="s">
        <v>23</v>
      </c>
    </row>
    <row r="2" spans="1:2" x14ac:dyDescent="0.3">
      <c r="A2" s="53" t="s">
        <v>24</v>
      </c>
      <c r="B2" s="54" t="s">
        <v>25</v>
      </c>
    </row>
    <row r="3" spans="1:2" x14ac:dyDescent="0.3">
      <c r="A3" s="53" t="s">
        <v>26</v>
      </c>
      <c r="B3" s="54" t="s">
        <v>27</v>
      </c>
    </row>
    <row r="4" spans="1:2" x14ac:dyDescent="0.3">
      <c r="A4" s="53" t="s">
        <v>28</v>
      </c>
      <c r="B4" s="54" t="s">
        <v>29</v>
      </c>
    </row>
    <row r="5" spans="1:2" x14ac:dyDescent="0.3">
      <c r="A5" s="53" t="s">
        <v>30</v>
      </c>
      <c r="B5" s="54" t="s">
        <v>31</v>
      </c>
    </row>
    <row r="6" spans="1:2" x14ac:dyDescent="0.3">
      <c r="A6" s="53" t="s">
        <v>32</v>
      </c>
      <c r="B6" s="54" t="s">
        <v>33</v>
      </c>
    </row>
    <row r="7" spans="1:2" x14ac:dyDescent="0.3">
      <c r="A7" s="53" t="s">
        <v>34</v>
      </c>
      <c r="B7" s="54" t="s">
        <v>35</v>
      </c>
    </row>
    <row r="8" spans="1:2" x14ac:dyDescent="0.3">
      <c r="A8" s="53" t="s">
        <v>36</v>
      </c>
      <c r="B8" s="54" t="s">
        <v>37</v>
      </c>
    </row>
    <row r="9" spans="1:2" x14ac:dyDescent="0.3">
      <c r="A9" s="53" t="s">
        <v>38</v>
      </c>
      <c r="B9" s="54" t="s">
        <v>39</v>
      </c>
    </row>
    <row r="10" spans="1:2" x14ac:dyDescent="0.3">
      <c r="A10" s="53" t="s">
        <v>40</v>
      </c>
      <c r="B10" s="54" t="s">
        <v>41</v>
      </c>
    </row>
    <row r="11" spans="1:2" x14ac:dyDescent="0.3">
      <c r="A11" s="53" t="s">
        <v>42</v>
      </c>
      <c r="B11" s="54" t="s">
        <v>43</v>
      </c>
    </row>
    <row r="12" spans="1:2" x14ac:dyDescent="0.3">
      <c r="A12" s="53" t="s">
        <v>44</v>
      </c>
      <c r="B12" s="54" t="s">
        <v>45</v>
      </c>
    </row>
    <row r="13" spans="1:2" x14ac:dyDescent="0.3">
      <c r="A13" s="53" t="s">
        <v>46</v>
      </c>
      <c r="B13" s="54" t="s">
        <v>47</v>
      </c>
    </row>
    <row r="14" spans="1:2" x14ac:dyDescent="0.3">
      <c r="A14" s="53" t="s">
        <v>48</v>
      </c>
      <c r="B14" s="54" t="s">
        <v>49</v>
      </c>
    </row>
    <row r="15" spans="1:2" x14ac:dyDescent="0.3">
      <c r="A15" s="53" t="s">
        <v>50</v>
      </c>
      <c r="B15" s="54" t="s">
        <v>51</v>
      </c>
    </row>
    <row r="16" spans="1:2" x14ac:dyDescent="0.3">
      <c r="A16" s="53" t="s">
        <v>52</v>
      </c>
      <c r="B16" s="54" t="s">
        <v>53</v>
      </c>
    </row>
    <row r="17" spans="1:2" x14ac:dyDescent="0.3">
      <c r="A17" s="53" t="s">
        <v>54</v>
      </c>
      <c r="B17" s="54" t="s">
        <v>55</v>
      </c>
    </row>
    <row r="18" spans="1:2" x14ac:dyDescent="0.3">
      <c r="A18" s="53" t="s">
        <v>56</v>
      </c>
      <c r="B18" s="54" t="s">
        <v>57</v>
      </c>
    </row>
    <row r="19" spans="1:2" x14ac:dyDescent="0.3">
      <c r="A19" s="53" t="s">
        <v>58</v>
      </c>
      <c r="B19" s="54" t="s">
        <v>59</v>
      </c>
    </row>
    <row r="20" spans="1:2" x14ac:dyDescent="0.3">
      <c r="A20" s="53" t="s">
        <v>60</v>
      </c>
      <c r="B20" s="54" t="s">
        <v>61</v>
      </c>
    </row>
    <row r="21" spans="1:2" x14ac:dyDescent="0.3">
      <c r="A21" s="53" t="s">
        <v>62</v>
      </c>
      <c r="B21" s="54" t="s">
        <v>63</v>
      </c>
    </row>
    <row r="22" spans="1:2" x14ac:dyDescent="0.3">
      <c r="A22" s="53" t="s">
        <v>64</v>
      </c>
      <c r="B22" s="54" t="s">
        <v>65</v>
      </c>
    </row>
    <row r="23" spans="1:2" x14ac:dyDescent="0.3">
      <c r="A23" s="53" t="s">
        <v>66</v>
      </c>
      <c r="B23" s="54" t="s">
        <v>67</v>
      </c>
    </row>
    <row r="24" spans="1:2" x14ac:dyDescent="0.3">
      <c r="A24" s="53" t="s">
        <v>68</v>
      </c>
      <c r="B24" s="54" t="s">
        <v>69</v>
      </c>
    </row>
    <row r="25" spans="1:2" x14ac:dyDescent="0.3">
      <c r="A25" s="53" t="s">
        <v>70</v>
      </c>
      <c r="B25" s="54" t="s">
        <v>71</v>
      </c>
    </row>
    <row r="26" spans="1:2" x14ac:dyDescent="0.3">
      <c r="A26" s="53" t="s">
        <v>72</v>
      </c>
      <c r="B26" s="54" t="s">
        <v>73</v>
      </c>
    </row>
    <row r="27" spans="1:2" x14ac:dyDescent="0.3">
      <c r="A27" s="53" t="s">
        <v>74</v>
      </c>
      <c r="B27" s="54" t="s">
        <v>75</v>
      </c>
    </row>
    <row r="28" spans="1:2" x14ac:dyDescent="0.3">
      <c r="A28" s="53" t="s">
        <v>76</v>
      </c>
      <c r="B28" s="54" t="s">
        <v>77</v>
      </c>
    </row>
    <row r="29" spans="1:2" x14ac:dyDescent="0.3">
      <c r="A29" s="53" t="s">
        <v>78</v>
      </c>
      <c r="B29" s="54" t="s">
        <v>79</v>
      </c>
    </row>
    <row r="30" spans="1:2" x14ac:dyDescent="0.3">
      <c r="A30" s="53" t="s">
        <v>80</v>
      </c>
      <c r="B30" s="54" t="s">
        <v>81</v>
      </c>
    </row>
    <row r="31" spans="1:2" x14ac:dyDescent="0.3">
      <c r="A31" s="53" t="s">
        <v>82</v>
      </c>
      <c r="B31" s="54" t="s">
        <v>83</v>
      </c>
    </row>
    <row r="32" spans="1:2" x14ac:dyDescent="0.3">
      <c r="A32" s="53" t="s">
        <v>84</v>
      </c>
      <c r="B32" s="54" t="s">
        <v>85</v>
      </c>
    </row>
    <row r="33" spans="1:2" x14ac:dyDescent="0.3">
      <c r="A33" s="53" t="s">
        <v>86</v>
      </c>
      <c r="B33" s="54" t="s">
        <v>87</v>
      </c>
    </row>
    <row r="34" spans="1:2" x14ac:dyDescent="0.3">
      <c r="A34" s="53" t="s">
        <v>88</v>
      </c>
      <c r="B34" s="54" t="s">
        <v>89</v>
      </c>
    </row>
    <row r="35" spans="1:2" x14ac:dyDescent="0.3">
      <c r="A35" s="53" t="s">
        <v>90</v>
      </c>
      <c r="B35" s="54" t="s">
        <v>91</v>
      </c>
    </row>
    <row r="36" spans="1:2" x14ac:dyDescent="0.3">
      <c r="A36" s="53" t="s">
        <v>92</v>
      </c>
      <c r="B36" s="54" t="s">
        <v>93</v>
      </c>
    </row>
    <row r="37" spans="1:2" x14ac:dyDescent="0.3">
      <c r="A37" s="53" t="s">
        <v>94</v>
      </c>
      <c r="B37" s="54" t="s">
        <v>95</v>
      </c>
    </row>
    <row r="38" spans="1:2" x14ac:dyDescent="0.3">
      <c r="A38" s="53" t="s">
        <v>96</v>
      </c>
      <c r="B38" s="54" t="s">
        <v>97</v>
      </c>
    </row>
    <row r="39" spans="1:2" x14ac:dyDescent="0.3">
      <c r="A39" s="53" t="s">
        <v>98</v>
      </c>
      <c r="B39" s="54" t="s">
        <v>99</v>
      </c>
    </row>
    <row r="40" spans="1:2" x14ac:dyDescent="0.3">
      <c r="A40" s="53" t="s">
        <v>100</v>
      </c>
      <c r="B40" s="54" t="s">
        <v>101</v>
      </c>
    </row>
    <row r="41" spans="1:2" x14ac:dyDescent="0.3">
      <c r="A41" s="53" t="s">
        <v>102</v>
      </c>
      <c r="B41" s="54" t="s">
        <v>103</v>
      </c>
    </row>
    <row r="42" spans="1:2" x14ac:dyDescent="0.3">
      <c r="A42" s="53" t="s">
        <v>104</v>
      </c>
      <c r="B42" s="54" t="s">
        <v>105</v>
      </c>
    </row>
    <row r="43" spans="1:2" x14ac:dyDescent="0.3">
      <c r="A43" s="53" t="s">
        <v>106</v>
      </c>
      <c r="B43" s="54" t="s">
        <v>107</v>
      </c>
    </row>
    <row r="44" spans="1:2" x14ac:dyDescent="0.3">
      <c r="A44" s="53" t="s">
        <v>108</v>
      </c>
      <c r="B44" s="54" t="s">
        <v>109</v>
      </c>
    </row>
    <row r="45" spans="1:2" x14ac:dyDescent="0.3">
      <c r="A45" s="53" t="s">
        <v>110</v>
      </c>
      <c r="B45" s="54" t="s">
        <v>111</v>
      </c>
    </row>
    <row r="46" spans="1:2" x14ac:dyDescent="0.3">
      <c r="A46" s="53" t="s">
        <v>112</v>
      </c>
      <c r="B46" s="54" t="s">
        <v>113</v>
      </c>
    </row>
    <row r="47" spans="1:2" x14ac:dyDescent="0.3">
      <c r="A47" s="53" t="s">
        <v>114</v>
      </c>
      <c r="B47" s="54" t="s">
        <v>115</v>
      </c>
    </row>
    <row r="48" spans="1:2" x14ac:dyDescent="0.3">
      <c r="A48" s="53" t="s">
        <v>116</v>
      </c>
      <c r="B48" s="54" t="s">
        <v>117</v>
      </c>
    </row>
    <row r="49" spans="1:2" x14ac:dyDescent="0.3">
      <c r="A49" s="53" t="s">
        <v>118</v>
      </c>
      <c r="B49" s="54" t="s">
        <v>119</v>
      </c>
    </row>
    <row r="50" spans="1:2" x14ac:dyDescent="0.3">
      <c r="A50" s="53" t="s">
        <v>120</v>
      </c>
      <c r="B50" s="54" t="s">
        <v>121</v>
      </c>
    </row>
    <row r="51" spans="1:2" x14ac:dyDescent="0.3">
      <c r="A51" s="53" t="s">
        <v>122</v>
      </c>
      <c r="B51" s="54" t="s">
        <v>123</v>
      </c>
    </row>
    <row r="52" spans="1:2" x14ac:dyDescent="0.3">
      <c r="A52" s="53" t="s">
        <v>124</v>
      </c>
      <c r="B52" s="54" t="s">
        <v>125</v>
      </c>
    </row>
    <row r="53" spans="1:2" x14ac:dyDescent="0.3">
      <c r="A53" s="53" t="s">
        <v>126</v>
      </c>
      <c r="B53" s="54" t="s">
        <v>127</v>
      </c>
    </row>
    <row r="54" spans="1:2" x14ac:dyDescent="0.3">
      <c r="A54" s="53" t="s">
        <v>128</v>
      </c>
      <c r="B54" s="54" t="s">
        <v>129</v>
      </c>
    </row>
    <row r="55" spans="1:2" x14ac:dyDescent="0.3">
      <c r="A55" s="53" t="s">
        <v>130</v>
      </c>
      <c r="B55" s="54" t="s">
        <v>131</v>
      </c>
    </row>
    <row r="56" spans="1:2" x14ac:dyDescent="0.3">
      <c r="A56" s="53" t="s">
        <v>132</v>
      </c>
      <c r="B56" s="54" t="s">
        <v>133</v>
      </c>
    </row>
    <row r="57" spans="1:2" x14ac:dyDescent="0.3">
      <c r="A57" s="53" t="s">
        <v>134</v>
      </c>
      <c r="B57" s="54" t="s">
        <v>135</v>
      </c>
    </row>
    <row r="58" spans="1:2" x14ac:dyDescent="0.3">
      <c r="A58" s="53" t="s">
        <v>136</v>
      </c>
      <c r="B58" s="54" t="s">
        <v>137</v>
      </c>
    </row>
    <row r="59" spans="1:2" x14ac:dyDescent="0.3">
      <c r="A59" s="53" t="s">
        <v>138</v>
      </c>
      <c r="B59" s="54" t="s">
        <v>139</v>
      </c>
    </row>
    <row r="60" spans="1:2" x14ac:dyDescent="0.3">
      <c r="A60" s="53" t="s">
        <v>140</v>
      </c>
      <c r="B60" s="54" t="s">
        <v>141</v>
      </c>
    </row>
    <row r="61" spans="1:2" x14ac:dyDescent="0.3">
      <c r="A61" s="53" t="s">
        <v>142</v>
      </c>
      <c r="B61" s="54" t="s">
        <v>143</v>
      </c>
    </row>
    <row r="62" spans="1:2" x14ac:dyDescent="0.3">
      <c r="A62" s="53" t="s">
        <v>144</v>
      </c>
      <c r="B62" s="54" t="s">
        <v>145</v>
      </c>
    </row>
    <row r="63" spans="1:2" x14ac:dyDescent="0.3">
      <c r="A63" s="53" t="s">
        <v>146</v>
      </c>
      <c r="B63" s="54" t="s">
        <v>147</v>
      </c>
    </row>
    <row r="64" spans="1:2" x14ac:dyDescent="0.3">
      <c r="A64" s="53" t="s">
        <v>148</v>
      </c>
      <c r="B64" s="54" t="s">
        <v>149</v>
      </c>
    </row>
    <row r="65" spans="1:2" x14ac:dyDescent="0.3">
      <c r="A65" s="53" t="s">
        <v>150</v>
      </c>
      <c r="B65" s="54" t="s">
        <v>151</v>
      </c>
    </row>
    <row r="66" spans="1:2" x14ac:dyDescent="0.3">
      <c r="A66" s="53" t="s">
        <v>152</v>
      </c>
      <c r="B66" s="54" t="s">
        <v>153</v>
      </c>
    </row>
    <row r="67" spans="1:2" x14ac:dyDescent="0.3">
      <c r="A67" s="53" t="s">
        <v>154</v>
      </c>
      <c r="B67" s="54" t="s">
        <v>155</v>
      </c>
    </row>
    <row r="68" spans="1:2" x14ac:dyDescent="0.3">
      <c r="A68" s="53" t="s">
        <v>156</v>
      </c>
      <c r="B68" s="54" t="s">
        <v>157</v>
      </c>
    </row>
    <row r="69" spans="1:2" x14ac:dyDescent="0.3">
      <c r="A69" s="53" t="s">
        <v>158</v>
      </c>
      <c r="B69" s="54" t="s">
        <v>159</v>
      </c>
    </row>
    <row r="70" spans="1:2" x14ac:dyDescent="0.3">
      <c r="A70" s="53" t="s">
        <v>160</v>
      </c>
      <c r="B70" s="54" t="s">
        <v>161</v>
      </c>
    </row>
    <row r="71" spans="1:2" x14ac:dyDescent="0.3">
      <c r="A71" s="53" t="s">
        <v>162</v>
      </c>
      <c r="B71" s="54" t="s">
        <v>163</v>
      </c>
    </row>
    <row r="72" spans="1:2" x14ac:dyDescent="0.3">
      <c r="A72" s="53" t="s">
        <v>164</v>
      </c>
      <c r="B72" s="54" t="s">
        <v>165</v>
      </c>
    </row>
    <row r="73" spans="1:2" x14ac:dyDescent="0.3">
      <c r="A73" s="53" t="s">
        <v>166</v>
      </c>
      <c r="B73" s="54" t="s">
        <v>167</v>
      </c>
    </row>
    <row r="74" spans="1:2" x14ac:dyDescent="0.3">
      <c r="A74" s="53" t="s">
        <v>168</v>
      </c>
      <c r="B74" s="54" t="s">
        <v>169</v>
      </c>
    </row>
    <row r="75" spans="1:2" x14ac:dyDescent="0.3">
      <c r="A75" s="53" t="s">
        <v>170</v>
      </c>
      <c r="B75" s="55" t="s">
        <v>171</v>
      </c>
    </row>
    <row r="76" spans="1:2" x14ac:dyDescent="0.3">
      <c r="A76" s="53" t="s">
        <v>172</v>
      </c>
      <c r="B76" s="55" t="s">
        <v>173</v>
      </c>
    </row>
    <row r="77" spans="1:2" x14ac:dyDescent="0.3">
      <c r="A77" s="53" t="s">
        <v>174</v>
      </c>
      <c r="B77" s="55" t="s">
        <v>175</v>
      </c>
    </row>
    <row r="78" spans="1:2" x14ac:dyDescent="0.3">
      <c r="A78" s="53" t="s">
        <v>176</v>
      </c>
      <c r="B78" s="55" t="s">
        <v>177</v>
      </c>
    </row>
    <row r="79" spans="1:2" x14ac:dyDescent="0.3">
      <c r="A79" s="53" t="s">
        <v>178</v>
      </c>
      <c r="B79" s="55" t="s">
        <v>179</v>
      </c>
    </row>
    <row r="80" spans="1:2" x14ac:dyDescent="0.3">
      <c r="A80" s="53" t="s">
        <v>180</v>
      </c>
      <c r="B80" s="55" t="s">
        <v>181</v>
      </c>
    </row>
    <row r="81" spans="1:2" x14ac:dyDescent="0.3">
      <c r="A81" s="53" t="s">
        <v>182</v>
      </c>
      <c r="B81" s="55" t="s">
        <v>183</v>
      </c>
    </row>
    <row r="82" spans="1:2" x14ac:dyDescent="0.3">
      <c r="A82" s="53" t="s">
        <v>184</v>
      </c>
      <c r="B82" s="55" t="s">
        <v>185</v>
      </c>
    </row>
    <row r="83" spans="1:2" x14ac:dyDescent="0.3">
      <c r="A83" s="53" t="s">
        <v>186</v>
      </c>
      <c r="B83" s="55" t="s">
        <v>187</v>
      </c>
    </row>
    <row r="84" spans="1:2" x14ac:dyDescent="0.3">
      <c r="A84" s="53" t="s">
        <v>188</v>
      </c>
      <c r="B84" s="55" t="s">
        <v>189</v>
      </c>
    </row>
    <row r="85" spans="1:2" x14ac:dyDescent="0.3">
      <c r="A85" s="53" t="s">
        <v>190</v>
      </c>
      <c r="B85" s="55" t="s">
        <v>191</v>
      </c>
    </row>
    <row r="86" spans="1:2" x14ac:dyDescent="0.3">
      <c r="A86" s="53" t="s">
        <v>192</v>
      </c>
      <c r="B86" s="55" t="s">
        <v>193</v>
      </c>
    </row>
    <row r="87" spans="1:2" x14ac:dyDescent="0.3">
      <c r="A87" s="53" t="s">
        <v>194</v>
      </c>
      <c r="B87" s="55" t="s">
        <v>195</v>
      </c>
    </row>
    <row r="88" spans="1:2" x14ac:dyDescent="0.3">
      <c r="A88" s="53" t="s">
        <v>196</v>
      </c>
      <c r="B88" s="55" t="s">
        <v>197</v>
      </c>
    </row>
    <row r="89" spans="1:2" x14ac:dyDescent="0.3">
      <c r="A89" s="53" t="s">
        <v>198</v>
      </c>
      <c r="B89" s="55" t="s">
        <v>199</v>
      </c>
    </row>
    <row r="90" spans="1:2" x14ac:dyDescent="0.3">
      <c r="A90" s="53" t="s">
        <v>200</v>
      </c>
      <c r="B90" s="55" t="s">
        <v>201</v>
      </c>
    </row>
    <row r="91" spans="1:2" x14ac:dyDescent="0.3">
      <c r="A91" s="53" t="s">
        <v>202</v>
      </c>
      <c r="B91" s="55" t="s">
        <v>203</v>
      </c>
    </row>
    <row r="92" spans="1:2" x14ac:dyDescent="0.3">
      <c r="A92" s="53" t="s">
        <v>204</v>
      </c>
      <c r="B92" s="55" t="s">
        <v>205</v>
      </c>
    </row>
    <row r="93" spans="1:2" x14ac:dyDescent="0.3">
      <c r="A93" s="53" t="s">
        <v>206</v>
      </c>
      <c r="B93" s="55" t="s">
        <v>207</v>
      </c>
    </row>
    <row r="94" spans="1:2" x14ac:dyDescent="0.3">
      <c r="A94" s="53" t="s">
        <v>208</v>
      </c>
      <c r="B94" s="55" t="s">
        <v>209</v>
      </c>
    </row>
    <row r="95" spans="1:2" x14ac:dyDescent="0.3">
      <c r="A95" s="53" t="s">
        <v>210</v>
      </c>
      <c r="B95" s="55" t="s">
        <v>211</v>
      </c>
    </row>
    <row r="96" spans="1:2" x14ac:dyDescent="0.3">
      <c r="A96" s="53" t="s">
        <v>212</v>
      </c>
      <c r="B96" s="55" t="s">
        <v>213</v>
      </c>
    </row>
    <row r="97" spans="1:2" x14ac:dyDescent="0.3">
      <c r="A97" s="53" t="s">
        <v>214</v>
      </c>
      <c r="B97" s="55" t="s">
        <v>215</v>
      </c>
    </row>
    <row r="98" spans="1:2" x14ac:dyDescent="0.3">
      <c r="A98" s="53" t="s">
        <v>216</v>
      </c>
      <c r="B98" s="55" t="s">
        <v>217</v>
      </c>
    </row>
    <row r="99" spans="1:2" x14ac:dyDescent="0.3">
      <c r="A99" s="53" t="s">
        <v>218</v>
      </c>
      <c r="B99" s="55" t="s">
        <v>219</v>
      </c>
    </row>
    <row r="100" spans="1:2" x14ac:dyDescent="0.3">
      <c r="A100" s="53" t="s">
        <v>220</v>
      </c>
      <c r="B100" s="55" t="s">
        <v>221</v>
      </c>
    </row>
    <row r="101" spans="1:2" x14ac:dyDescent="0.3">
      <c r="A101" s="53" t="s">
        <v>222</v>
      </c>
      <c r="B101" s="55" t="s">
        <v>223</v>
      </c>
    </row>
    <row r="102" spans="1:2" x14ac:dyDescent="0.3">
      <c r="A102" s="53" t="s">
        <v>224</v>
      </c>
      <c r="B102" s="55" t="s">
        <v>225</v>
      </c>
    </row>
    <row r="103" spans="1:2" x14ac:dyDescent="0.3">
      <c r="A103" s="53" t="s">
        <v>226</v>
      </c>
      <c r="B103" s="55" t="s">
        <v>227</v>
      </c>
    </row>
    <row r="104" spans="1:2" x14ac:dyDescent="0.3">
      <c r="A104" s="53" t="s">
        <v>228</v>
      </c>
      <c r="B104" s="55" t="s">
        <v>229</v>
      </c>
    </row>
    <row r="105" spans="1:2" x14ac:dyDescent="0.3">
      <c r="A105" s="53" t="s">
        <v>230</v>
      </c>
      <c r="B105" s="55" t="s">
        <v>231</v>
      </c>
    </row>
    <row r="106" spans="1:2" x14ac:dyDescent="0.3">
      <c r="A106" s="53" t="s">
        <v>232</v>
      </c>
      <c r="B106" s="55" t="s">
        <v>233</v>
      </c>
    </row>
    <row r="107" spans="1:2" x14ac:dyDescent="0.3">
      <c r="A107" s="53" t="s">
        <v>234</v>
      </c>
      <c r="B107" s="55" t="s">
        <v>235</v>
      </c>
    </row>
    <row r="108" spans="1:2" x14ac:dyDescent="0.3">
      <c r="A108" s="53" t="s">
        <v>236</v>
      </c>
      <c r="B108" s="55" t="s">
        <v>237</v>
      </c>
    </row>
    <row r="109" spans="1:2" x14ac:dyDescent="0.3">
      <c r="A109" s="53" t="s">
        <v>238</v>
      </c>
      <c r="B109" s="55" t="s">
        <v>239</v>
      </c>
    </row>
    <row r="110" spans="1:2" x14ac:dyDescent="0.3">
      <c r="A110" s="53" t="s">
        <v>240</v>
      </c>
      <c r="B110" s="55" t="s">
        <v>241</v>
      </c>
    </row>
    <row r="111" spans="1:2" x14ac:dyDescent="0.3">
      <c r="A111" s="53" t="s">
        <v>242</v>
      </c>
      <c r="B111" s="55" t="s">
        <v>243</v>
      </c>
    </row>
    <row r="112" spans="1:2" x14ac:dyDescent="0.3">
      <c r="A112" s="53" t="s">
        <v>244</v>
      </c>
      <c r="B112" s="55" t="s">
        <v>245</v>
      </c>
    </row>
    <row r="113" spans="1:2" x14ac:dyDescent="0.3">
      <c r="A113" s="53" t="s">
        <v>246</v>
      </c>
      <c r="B113" s="55" t="s">
        <v>247</v>
      </c>
    </row>
    <row r="114" spans="1:2" x14ac:dyDescent="0.3">
      <c r="A114" s="53" t="s">
        <v>248</v>
      </c>
      <c r="B114" s="55" t="s">
        <v>249</v>
      </c>
    </row>
    <row r="115" spans="1:2" x14ac:dyDescent="0.3">
      <c r="A115" s="53" t="s">
        <v>250</v>
      </c>
      <c r="B115" s="55" t="s">
        <v>251</v>
      </c>
    </row>
    <row r="116" spans="1:2" x14ac:dyDescent="0.3">
      <c r="A116" s="53" t="s">
        <v>252</v>
      </c>
      <c r="B116" s="55" t="s">
        <v>253</v>
      </c>
    </row>
    <row r="117" spans="1:2" x14ac:dyDescent="0.3">
      <c r="A117" s="53" t="s">
        <v>254</v>
      </c>
      <c r="B117" s="55" t="s">
        <v>255</v>
      </c>
    </row>
    <row r="118" spans="1:2" x14ac:dyDescent="0.3">
      <c r="A118" s="53" t="s">
        <v>256</v>
      </c>
      <c r="B118" s="55" t="s">
        <v>257</v>
      </c>
    </row>
    <row r="119" spans="1:2" x14ac:dyDescent="0.3">
      <c r="A119" s="53" t="s">
        <v>258</v>
      </c>
      <c r="B119" s="55" t="s">
        <v>259</v>
      </c>
    </row>
    <row r="120" spans="1:2" x14ac:dyDescent="0.3">
      <c r="A120" s="53" t="s">
        <v>260</v>
      </c>
      <c r="B120" s="55" t="s">
        <v>261</v>
      </c>
    </row>
    <row r="121" spans="1:2" x14ac:dyDescent="0.3">
      <c r="A121" s="53" t="s">
        <v>262</v>
      </c>
      <c r="B121" s="55" t="s">
        <v>263</v>
      </c>
    </row>
    <row r="122" spans="1:2" x14ac:dyDescent="0.3">
      <c r="A122" s="53" t="s">
        <v>264</v>
      </c>
      <c r="B122" s="55" t="s">
        <v>265</v>
      </c>
    </row>
    <row r="123" spans="1:2" x14ac:dyDescent="0.3">
      <c r="A123" s="53" t="s">
        <v>266</v>
      </c>
      <c r="B123" s="55" t="s">
        <v>267</v>
      </c>
    </row>
    <row r="124" spans="1:2" x14ac:dyDescent="0.3">
      <c r="A124" s="53" t="s">
        <v>268</v>
      </c>
      <c r="B124" s="55" t="s">
        <v>269</v>
      </c>
    </row>
    <row r="125" spans="1:2" x14ac:dyDescent="0.3">
      <c r="A125" s="53" t="s">
        <v>270</v>
      </c>
      <c r="B125" s="55" t="s">
        <v>271</v>
      </c>
    </row>
    <row r="126" spans="1:2" x14ac:dyDescent="0.3">
      <c r="A126" s="53" t="s">
        <v>272</v>
      </c>
      <c r="B126" s="55" t="s">
        <v>273</v>
      </c>
    </row>
    <row r="127" spans="1:2" x14ac:dyDescent="0.3">
      <c r="A127" s="53" t="s">
        <v>274</v>
      </c>
      <c r="B127" s="55" t="s">
        <v>275</v>
      </c>
    </row>
    <row r="128" spans="1:2" x14ac:dyDescent="0.3">
      <c r="A128" s="53" t="s">
        <v>276</v>
      </c>
      <c r="B128" s="55" t="s">
        <v>277</v>
      </c>
    </row>
    <row r="129" spans="1:2" x14ac:dyDescent="0.3">
      <c r="A129" s="53" t="s">
        <v>278</v>
      </c>
      <c r="B129" s="55" t="s">
        <v>279</v>
      </c>
    </row>
    <row r="130" spans="1:2" x14ac:dyDescent="0.3">
      <c r="A130" s="53" t="s">
        <v>280</v>
      </c>
      <c r="B130" s="55" t="s">
        <v>281</v>
      </c>
    </row>
    <row r="131" spans="1:2" x14ac:dyDescent="0.3">
      <c r="A131" s="53" t="s">
        <v>282</v>
      </c>
      <c r="B131" s="55" t="s">
        <v>283</v>
      </c>
    </row>
    <row r="132" spans="1:2" x14ac:dyDescent="0.3">
      <c r="A132" s="53" t="s">
        <v>284</v>
      </c>
      <c r="B132" s="55" t="s">
        <v>285</v>
      </c>
    </row>
    <row r="133" spans="1:2" x14ac:dyDescent="0.3">
      <c r="A133" s="53" t="s">
        <v>286</v>
      </c>
      <c r="B133" s="55" t="s">
        <v>287</v>
      </c>
    </row>
    <row r="134" spans="1:2" x14ac:dyDescent="0.3">
      <c r="A134" s="53" t="s">
        <v>288</v>
      </c>
      <c r="B134" s="55" t="s">
        <v>289</v>
      </c>
    </row>
    <row r="135" spans="1:2" x14ac:dyDescent="0.3">
      <c r="A135" s="53" t="s">
        <v>290</v>
      </c>
      <c r="B135" s="55" t="s">
        <v>291</v>
      </c>
    </row>
    <row r="136" spans="1:2" x14ac:dyDescent="0.3">
      <c r="A136" s="53" t="s">
        <v>292</v>
      </c>
      <c r="B136" s="55" t="s">
        <v>293</v>
      </c>
    </row>
    <row r="137" spans="1:2" x14ac:dyDescent="0.3">
      <c r="A137" s="53" t="s">
        <v>294</v>
      </c>
      <c r="B137" s="55" t="s">
        <v>295</v>
      </c>
    </row>
    <row r="138" spans="1:2" x14ac:dyDescent="0.3">
      <c r="A138" s="53" t="s">
        <v>296</v>
      </c>
      <c r="B138" s="55" t="s">
        <v>297</v>
      </c>
    </row>
    <row r="139" spans="1:2" x14ac:dyDescent="0.3">
      <c r="A139" s="53" t="s">
        <v>298</v>
      </c>
      <c r="B139" s="55" t="s">
        <v>299</v>
      </c>
    </row>
    <row r="140" spans="1:2" x14ac:dyDescent="0.3">
      <c r="A140" s="53" t="s">
        <v>300</v>
      </c>
      <c r="B140" s="55" t="s">
        <v>301</v>
      </c>
    </row>
    <row r="141" spans="1:2" x14ac:dyDescent="0.3">
      <c r="A141" s="53" t="s">
        <v>302</v>
      </c>
      <c r="B141" s="55" t="s">
        <v>303</v>
      </c>
    </row>
    <row r="142" spans="1:2" x14ac:dyDescent="0.3">
      <c r="A142" s="53" t="s">
        <v>304</v>
      </c>
      <c r="B142" s="55" t="s">
        <v>305</v>
      </c>
    </row>
    <row r="143" spans="1:2" x14ac:dyDescent="0.3">
      <c r="A143" s="53" t="s">
        <v>306</v>
      </c>
      <c r="B143" s="55" t="s">
        <v>307</v>
      </c>
    </row>
    <row r="144" spans="1:2" x14ac:dyDescent="0.3">
      <c r="A144" s="53" t="s">
        <v>308</v>
      </c>
      <c r="B144" s="56" t="s">
        <v>309</v>
      </c>
    </row>
    <row r="145" spans="1:2" x14ac:dyDescent="0.3">
      <c r="A145" s="53" t="s">
        <v>310</v>
      </c>
      <c r="B145" s="55" t="s">
        <v>311</v>
      </c>
    </row>
    <row r="146" spans="1:2" x14ac:dyDescent="0.3">
      <c r="A146" s="53" t="s">
        <v>312</v>
      </c>
      <c r="B146" s="55" t="s">
        <v>313</v>
      </c>
    </row>
    <row r="147" spans="1:2" x14ac:dyDescent="0.3">
      <c r="A147" s="53" t="s">
        <v>314</v>
      </c>
      <c r="B147" s="55" t="s">
        <v>315</v>
      </c>
    </row>
    <row r="148" spans="1:2" x14ac:dyDescent="0.3">
      <c r="A148" s="53" t="s">
        <v>316</v>
      </c>
      <c r="B148" s="55" t="s">
        <v>317</v>
      </c>
    </row>
    <row r="149" spans="1:2" x14ac:dyDescent="0.3">
      <c r="A149" s="53" t="s">
        <v>318</v>
      </c>
      <c r="B149" s="55" t="s">
        <v>319</v>
      </c>
    </row>
    <row r="150" spans="1:2" x14ac:dyDescent="0.3">
      <c r="A150" s="53" t="s">
        <v>320</v>
      </c>
      <c r="B150" s="55" t="s">
        <v>321</v>
      </c>
    </row>
    <row r="151" spans="1:2" x14ac:dyDescent="0.3">
      <c r="A151" s="53" t="s">
        <v>322</v>
      </c>
      <c r="B151" s="55" t="s">
        <v>323</v>
      </c>
    </row>
    <row r="152" spans="1:2" x14ac:dyDescent="0.3">
      <c r="A152" s="53" t="s">
        <v>324</v>
      </c>
      <c r="B152" s="55" t="s">
        <v>325</v>
      </c>
    </row>
    <row r="153" spans="1:2" x14ac:dyDescent="0.3">
      <c r="A153" s="53" t="s">
        <v>326</v>
      </c>
      <c r="B153" s="55" t="s">
        <v>327</v>
      </c>
    </row>
    <row r="154" spans="1:2" x14ac:dyDescent="0.3">
      <c r="A154" s="53" t="s">
        <v>328</v>
      </c>
      <c r="B154" s="55" t="s">
        <v>329</v>
      </c>
    </row>
    <row r="155" spans="1:2" x14ac:dyDescent="0.3">
      <c r="A155" s="53" t="s">
        <v>330</v>
      </c>
      <c r="B155" s="55" t="s">
        <v>331</v>
      </c>
    </row>
    <row r="156" spans="1:2" x14ac:dyDescent="0.3">
      <c r="A156" s="53" t="s">
        <v>332</v>
      </c>
      <c r="B156" s="55" t="s">
        <v>333</v>
      </c>
    </row>
    <row r="157" spans="1:2" x14ac:dyDescent="0.3">
      <c r="A157" s="53" t="s">
        <v>334</v>
      </c>
      <c r="B157" s="55" t="s">
        <v>335</v>
      </c>
    </row>
    <row r="158" spans="1:2" x14ac:dyDescent="0.3">
      <c r="A158" s="53" t="s">
        <v>336</v>
      </c>
      <c r="B158" s="55" t="s">
        <v>337</v>
      </c>
    </row>
    <row r="159" spans="1:2" x14ac:dyDescent="0.3">
      <c r="A159" s="53" t="s">
        <v>338</v>
      </c>
      <c r="B159" s="55" t="s">
        <v>339</v>
      </c>
    </row>
    <row r="160" spans="1:2" x14ac:dyDescent="0.3">
      <c r="A160" s="53" t="s">
        <v>340</v>
      </c>
      <c r="B160" s="55" t="s">
        <v>341</v>
      </c>
    </row>
    <row r="161" spans="1:2" x14ac:dyDescent="0.3">
      <c r="A161" s="53" t="s">
        <v>342</v>
      </c>
      <c r="B161" s="55" t="s">
        <v>343</v>
      </c>
    </row>
    <row r="162" spans="1:2" x14ac:dyDescent="0.3">
      <c r="A162" s="53" t="s">
        <v>344</v>
      </c>
      <c r="B162" s="55" t="s">
        <v>345</v>
      </c>
    </row>
    <row r="163" spans="1:2" x14ac:dyDescent="0.3">
      <c r="A163" s="53" t="s">
        <v>346</v>
      </c>
      <c r="B163" s="55" t="s">
        <v>347</v>
      </c>
    </row>
    <row r="164" spans="1:2" x14ac:dyDescent="0.3">
      <c r="A164" s="53" t="s">
        <v>348</v>
      </c>
      <c r="B164" s="55" t="s">
        <v>349</v>
      </c>
    </row>
    <row r="165" spans="1:2" x14ac:dyDescent="0.3">
      <c r="A165" s="53" t="s">
        <v>350</v>
      </c>
      <c r="B165" s="55" t="s">
        <v>351</v>
      </c>
    </row>
    <row r="166" spans="1:2" x14ac:dyDescent="0.3">
      <c r="A166" s="53" t="s">
        <v>352</v>
      </c>
      <c r="B166" s="55" t="s">
        <v>353</v>
      </c>
    </row>
    <row r="167" spans="1:2" x14ac:dyDescent="0.3">
      <c r="A167" s="53" t="s">
        <v>354</v>
      </c>
      <c r="B167" s="55" t="s">
        <v>355</v>
      </c>
    </row>
    <row r="168" spans="1:2" x14ac:dyDescent="0.3">
      <c r="A168" s="53" t="s">
        <v>356</v>
      </c>
      <c r="B168" s="55" t="s">
        <v>357</v>
      </c>
    </row>
    <row r="169" spans="1:2" x14ac:dyDescent="0.3">
      <c r="A169" s="53" t="s">
        <v>358</v>
      </c>
      <c r="B169" s="55" t="s">
        <v>359</v>
      </c>
    </row>
    <row r="170" spans="1:2" x14ac:dyDescent="0.3">
      <c r="A170" s="53" t="s">
        <v>360</v>
      </c>
      <c r="B170" s="55" t="s">
        <v>361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e927224200ca10cd15ac7cc7207c004d">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b24d6c585b5418f0cf7482fdd077fc37"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7E6BA-E2BA-46A8-B18D-443A0D1B8EFA}">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d8ebf77-cd33-4f18-bb2b-d077fe339d9a"/>
    <ds:schemaRef ds:uri="6df68d03-0d94-44b1-a9a2-765e7690f201"/>
    <ds:schemaRef ds:uri="http://purl.org/dc/dcmitype/"/>
  </ds:schemaRefs>
</ds:datastoreItem>
</file>

<file path=customXml/itemProps2.xml><?xml version="1.0" encoding="utf-8"?>
<ds:datastoreItem xmlns:ds="http://schemas.openxmlformats.org/officeDocument/2006/customXml" ds:itemID="{86D04E09-C68C-4A10-BAD4-8BBECFFA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67A3D7-A103-4F57-85FE-CCC320931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Recap</vt:lpstr>
      <vt:lpstr>1) Tableau budgétaire 1</vt:lpstr>
      <vt:lpstr>2) Tableau budgétaire 2</vt:lpstr>
      <vt:lpstr>3) Notes d'explication</vt:lpstr>
      <vt:lpstr>4) Pour utilisation par PBSO</vt:lpstr>
      <vt:lpstr>5) Pour utilisation par MPTFO</vt:lpstr>
      <vt:lpstr>Sheet2</vt:lpstr>
      <vt:lpstr>'1) Tableau budgétaire 1'!Impression_des_titres</vt:lpstr>
      <vt:lpstr>'1) Tableau budgétaire 1'!Zone_d_impression</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2020-12-08T10:51:39Z</cp:lastPrinted>
  <dcterms:created xsi:type="dcterms:W3CDTF">2017-11-15T21:17:43Z</dcterms:created>
  <dcterms:modified xsi:type="dcterms:W3CDTF">2020-12-08T11:17:52Z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