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50"/>
  </bookViews>
  <sheets>
    <sheet name="ANNEXE D" sheetId="1" r:id="rId1"/>
    <sheet name="Tableau 2" sheetId="2" r:id="rId2"/>
  </sheets>
  <externalReferences>
    <externalReference r:id="rId3"/>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23" i="2" l="1"/>
  <c r="K73" i="1"/>
  <c r="J73" i="1"/>
  <c r="J74" i="1" s="1"/>
  <c r="I73" i="1"/>
  <c r="H73" i="1"/>
  <c r="H74" i="1" s="1"/>
  <c r="H75" i="1" s="1"/>
  <c r="I74" i="1"/>
  <c r="I75" i="1"/>
  <c r="J75" i="1" l="1"/>
  <c r="K74" i="1"/>
  <c r="K75" i="1" s="1"/>
  <c r="S202" i="2" l="1"/>
  <c r="S215" i="2"/>
  <c r="M221" i="2"/>
  <c r="M220" i="2"/>
  <c r="M219" i="2"/>
  <c r="M218" i="2"/>
  <c r="M217" i="2"/>
  <c r="M216" i="2"/>
  <c r="M215" i="2"/>
  <c r="L215" i="2"/>
  <c r="L216" i="2"/>
  <c r="L217" i="2"/>
  <c r="L218" i="2"/>
  <c r="L219" i="2"/>
  <c r="L221" i="2"/>
  <c r="L220" i="2"/>
  <c r="K35" i="1" l="1"/>
  <c r="U221" i="2" l="1"/>
  <c r="U220" i="2"/>
  <c r="U219" i="2"/>
  <c r="U218" i="2"/>
  <c r="U217" i="2"/>
  <c r="U216" i="2"/>
  <c r="U215" i="2"/>
  <c r="T221" i="2"/>
  <c r="T220" i="2"/>
  <c r="T219" i="2"/>
  <c r="T218" i="2"/>
  <c r="T217" i="2"/>
  <c r="T216" i="2"/>
  <c r="T215" i="2"/>
  <c r="S220" i="2"/>
  <c r="S219" i="2"/>
  <c r="S217" i="2"/>
  <c r="S216" i="2"/>
  <c r="S21" i="1"/>
  <c r="R21" i="1"/>
  <c r="Q21" i="1"/>
  <c r="S65" i="1" l="1"/>
  <c r="R65" i="1"/>
  <c r="Q63" i="1"/>
  <c r="Q62" i="1"/>
  <c r="Q61" i="1"/>
  <c r="Q65" i="1" s="1"/>
  <c r="S58" i="1"/>
  <c r="R58" i="1"/>
  <c r="Q56" i="1"/>
  <c r="Q58" i="1" s="1"/>
  <c r="S51" i="1"/>
  <c r="R51" i="1"/>
  <c r="Q50" i="1"/>
  <c r="Q51" i="1" s="1"/>
  <c r="S46" i="1"/>
  <c r="R46" i="1"/>
  <c r="Q46" i="1"/>
  <c r="S38" i="1"/>
  <c r="R38" i="1"/>
  <c r="Q35" i="1"/>
  <c r="Q38" i="1" s="1"/>
  <c r="S31" i="1"/>
  <c r="Q31" i="1"/>
  <c r="S39" i="1" l="1"/>
  <c r="S59" i="1"/>
  <c r="Q59" i="1"/>
  <c r="R59" i="1"/>
  <c r="Q39" i="1"/>
  <c r="R26" i="1"/>
  <c r="R31" i="1" s="1"/>
  <c r="R39" i="1" s="1"/>
  <c r="S15" i="1" l="1"/>
  <c r="S22" i="1" s="1"/>
  <c r="S67" i="1" s="1"/>
  <c r="R15" i="1"/>
  <c r="R22" i="1" s="1"/>
  <c r="R67" i="1" s="1"/>
  <c r="Q15" i="1"/>
  <c r="Q22" i="1" s="1"/>
  <c r="Q67" i="1" s="1"/>
  <c r="V162" i="2" l="1"/>
  <c r="V158" i="2"/>
  <c r="V118" i="2"/>
  <c r="V117" i="2"/>
  <c r="V116" i="2"/>
  <c r="V115" i="2"/>
  <c r="V114" i="2"/>
  <c r="V113" i="2"/>
  <c r="T165" i="2"/>
  <c r="T157" i="2" s="1"/>
  <c r="V157" i="2" s="1"/>
  <c r="T142" i="2"/>
  <c r="T134" i="2" s="1"/>
  <c r="T120" i="2"/>
  <c r="T112" i="2" s="1"/>
  <c r="T86" i="2"/>
  <c r="T78" i="2" s="1"/>
  <c r="T75" i="2"/>
  <c r="T67" i="2" s="1"/>
  <c r="V52" i="2"/>
  <c r="T52" i="2"/>
  <c r="T44" i="2" s="1"/>
  <c r="V44" i="2" s="1"/>
  <c r="V40" i="2"/>
  <c r="V39" i="2"/>
  <c r="V38" i="2"/>
  <c r="V37" i="2"/>
  <c r="V36" i="2"/>
  <c r="V35" i="2"/>
  <c r="V34" i="2"/>
  <c r="T41" i="2"/>
  <c r="V41" i="2" s="1"/>
  <c r="T30" i="2"/>
  <c r="T22" i="2" s="1"/>
  <c r="V165" i="2" l="1"/>
  <c r="T33" i="2"/>
  <c r="V33" i="2" s="1"/>
  <c r="T222" i="2"/>
  <c r="T223" i="2" s="1"/>
  <c r="T224" i="2" s="1"/>
  <c r="V119" i="2" l="1"/>
  <c r="U209" i="2"/>
  <c r="U201" i="2" s="1"/>
  <c r="U131" i="2"/>
  <c r="U123" i="2" s="1"/>
  <c r="U120" i="2"/>
  <c r="V120" i="2" s="1"/>
  <c r="U86" i="2"/>
  <c r="U78" i="2" s="1"/>
  <c r="U75" i="2"/>
  <c r="U67" i="2" s="1"/>
  <c r="U30" i="2"/>
  <c r="U22" i="2" s="1"/>
  <c r="U112" i="2" l="1"/>
  <c r="V112" i="2" s="1"/>
  <c r="V203" i="2"/>
  <c r="V204" i="2"/>
  <c r="V206" i="2"/>
  <c r="V207" i="2"/>
  <c r="T209" i="2"/>
  <c r="T201" i="2" s="1"/>
  <c r="V136" i="2"/>
  <c r="V137" i="2"/>
  <c r="V139" i="2"/>
  <c r="V140" i="2"/>
  <c r="V141" i="2"/>
  <c r="U142" i="2"/>
  <c r="U134" i="2" s="1"/>
  <c r="V135" i="2"/>
  <c r="V125" i="2"/>
  <c r="V126" i="2"/>
  <c r="V128" i="2"/>
  <c r="V129" i="2"/>
  <c r="V130" i="2"/>
  <c r="V124" i="2"/>
  <c r="T131" i="2"/>
  <c r="T123" i="2" s="1"/>
  <c r="V69" i="2"/>
  <c r="V70" i="2"/>
  <c r="V72" i="2"/>
  <c r="V73" i="2"/>
  <c r="V74" i="2"/>
  <c r="V68" i="2"/>
  <c r="V80" i="2"/>
  <c r="V81" i="2"/>
  <c r="V83" i="2"/>
  <c r="V84" i="2"/>
  <c r="V85" i="2"/>
  <c r="V79" i="2"/>
  <c r="V24" i="2"/>
  <c r="V25" i="2"/>
  <c r="V27" i="2"/>
  <c r="V28" i="2"/>
  <c r="V29" i="2"/>
  <c r="V23" i="2"/>
  <c r="S208" i="2" l="1"/>
  <c r="S205" i="2"/>
  <c r="V205" i="2" s="1"/>
  <c r="S138" i="2"/>
  <c r="S127" i="2"/>
  <c r="S82" i="2"/>
  <c r="S71" i="2"/>
  <c r="S26" i="2"/>
  <c r="S218" i="2" s="1"/>
  <c r="V208" i="2" l="1"/>
  <c r="S221" i="2"/>
  <c r="S209" i="2"/>
  <c r="S201" i="2" s="1"/>
  <c r="V201" i="2" s="1"/>
  <c r="V202" i="2"/>
  <c r="V209" i="2" s="1"/>
  <c r="S75" i="2"/>
  <c r="S67" i="2" s="1"/>
  <c r="V67" i="2" s="1"/>
  <c r="V71" i="2"/>
  <c r="V75" i="2" s="1"/>
  <c r="S86" i="2"/>
  <c r="S78" i="2" s="1"/>
  <c r="V78" i="2" s="1"/>
  <c r="V82" i="2"/>
  <c r="V86" i="2" s="1"/>
  <c r="S131" i="2"/>
  <c r="S123" i="2" s="1"/>
  <c r="V123" i="2" s="1"/>
  <c r="V127" i="2"/>
  <c r="V131" i="2" s="1"/>
  <c r="S30" i="2"/>
  <c r="S22" i="2" s="1"/>
  <c r="V22" i="2" s="1"/>
  <c r="V26" i="2"/>
  <c r="S142" i="2"/>
  <c r="S134" i="2" s="1"/>
  <c r="V134" i="2" s="1"/>
  <c r="V138" i="2"/>
  <c r="V142" i="2" s="1"/>
  <c r="V217" i="2" l="1"/>
  <c r="V216" i="2"/>
  <c r="V215" i="2"/>
  <c r="V218" i="2"/>
  <c r="U222" i="2"/>
  <c r="V219" i="2"/>
  <c r="V220" i="2"/>
  <c r="V221" i="2"/>
  <c r="S222" i="2"/>
  <c r="U223" i="2" l="1"/>
  <c r="U224" i="2" s="1"/>
  <c r="V222" i="2"/>
  <c r="S223" i="2"/>
  <c r="V224" i="2" l="1"/>
  <c r="S224" i="2"/>
  <c r="N14" i="1" l="1"/>
  <c r="N226" i="2" l="1"/>
  <c r="D215" i="2"/>
  <c r="D190" i="2"/>
  <c r="E190" i="2"/>
  <c r="F190" i="2"/>
  <c r="G191" i="2"/>
  <c r="K191" i="2"/>
  <c r="N191" i="2"/>
  <c r="Q191" i="2"/>
  <c r="G192" i="2"/>
  <c r="K192" i="2"/>
  <c r="N192" i="2"/>
  <c r="Q192" i="2"/>
  <c r="G193" i="2"/>
  <c r="N193" i="2"/>
  <c r="Q193" i="2"/>
  <c r="G194" i="2"/>
  <c r="K194" i="2"/>
  <c r="N194" i="2"/>
  <c r="Q194" i="2"/>
  <c r="G195" i="2"/>
  <c r="K195" i="2"/>
  <c r="N195" i="2"/>
  <c r="Q195" i="2"/>
  <c r="G196" i="2"/>
  <c r="K196" i="2"/>
  <c r="N196" i="2"/>
  <c r="Q196" i="2"/>
  <c r="G197" i="2"/>
  <c r="K197" i="2"/>
  <c r="N197" i="2"/>
  <c r="Q197" i="2"/>
  <c r="D198" i="2"/>
  <c r="E198" i="2"/>
  <c r="F198" i="2"/>
  <c r="I198" i="2"/>
  <c r="I190" i="2" s="1"/>
  <c r="J198" i="2"/>
  <c r="J190" i="2" s="1"/>
  <c r="L198" i="2"/>
  <c r="L190" i="2" s="1"/>
  <c r="M198" i="2"/>
  <c r="M190" i="2" s="1"/>
  <c r="O198" i="2"/>
  <c r="O190" i="2" s="1"/>
  <c r="P198" i="2"/>
  <c r="P190" i="2" s="1"/>
  <c r="D157" i="2"/>
  <c r="E157" i="2"/>
  <c r="F157" i="2"/>
  <c r="G158" i="2"/>
  <c r="K158" i="2"/>
  <c r="N158" i="2"/>
  <c r="Q158" i="2"/>
  <c r="G159" i="2"/>
  <c r="K159" i="2"/>
  <c r="N159" i="2"/>
  <c r="Q159" i="2"/>
  <c r="G160" i="2"/>
  <c r="N160" i="2"/>
  <c r="Q160" i="2"/>
  <c r="G161" i="2"/>
  <c r="K161" i="2"/>
  <c r="N161" i="2"/>
  <c r="Q161" i="2"/>
  <c r="G162" i="2"/>
  <c r="K162" i="2"/>
  <c r="N162" i="2"/>
  <c r="Q162" i="2"/>
  <c r="G163" i="2"/>
  <c r="K163" i="2"/>
  <c r="N163" i="2"/>
  <c r="Q163" i="2"/>
  <c r="G164" i="2"/>
  <c r="K164" i="2"/>
  <c r="N164" i="2"/>
  <c r="Q164" i="2"/>
  <c r="D165" i="2"/>
  <c r="E165" i="2"/>
  <c r="F165" i="2"/>
  <c r="I165" i="2"/>
  <c r="I157" i="2" s="1"/>
  <c r="J165" i="2"/>
  <c r="J157" i="2" s="1"/>
  <c r="L165" i="2"/>
  <c r="L157" i="2" s="1"/>
  <c r="M165" i="2"/>
  <c r="M157" i="2" s="1"/>
  <c r="O165" i="2"/>
  <c r="O157" i="2" s="1"/>
  <c r="P165" i="2"/>
  <c r="P157" i="2" s="1"/>
  <c r="D168" i="2"/>
  <c r="E168" i="2"/>
  <c r="F168" i="2"/>
  <c r="G169" i="2"/>
  <c r="K169" i="2"/>
  <c r="N169" i="2"/>
  <c r="Q169" i="2"/>
  <c r="G170" i="2"/>
  <c r="K170" i="2"/>
  <c r="N170" i="2"/>
  <c r="Q170" i="2"/>
  <c r="G171" i="2"/>
  <c r="N171" i="2"/>
  <c r="Q171" i="2"/>
  <c r="G172" i="2"/>
  <c r="K172" i="2"/>
  <c r="N172" i="2"/>
  <c r="Q172" i="2"/>
  <c r="G173" i="2"/>
  <c r="K173" i="2"/>
  <c r="N173" i="2"/>
  <c r="Q173" i="2"/>
  <c r="G174" i="2"/>
  <c r="K174" i="2"/>
  <c r="N174" i="2"/>
  <c r="Q174" i="2"/>
  <c r="G175" i="2"/>
  <c r="K175" i="2"/>
  <c r="N175" i="2"/>
  <c r="Q175" i="2"/>
  <c r="D176" i="2"/>
  <c r="E176" i="2"/>
  <c r="F176" i="2"/>
  <c r="I176" i="2"/>
  <c r="I168" i="2" s="1"/>
  <c r="J176" i="2"/>
  <c r="J168" i="2" s="1"/>
  <c r="L176" i="2"/>
  <c r="L168" i="2" s="1"/>
  <c r="M176" i="2"/>
  <c r="M168" i="2" s="1"/>
  <c r="O176" i="2"/>
  <c r="O168" i="2" s="1"/>
  <c r="P176" i="2"/>
  <c r="P168" i="2" s="1"/>
  <c r="D179" i="2"/>
  <c r="E179" i="2"/>
  <c r="F179" i="2"/>
  <c r="G180" i="2"/>
  <c r="K180" i="2"/>
  <c r="N180" i="2"/>
  <c r="Q180" i="2"/>
  <c r="G181" i="2"/>
  <c r="K181" i="2"/>
  <c r="N181" i="2"/>
  <c r="Q181" i="2"/>
  <c r="G182" i="2"/>
  <c r="N182" i="2"/>
  <c r="Q182" i="2"/>
  <c r="G183" i="2"/>
  <c r="K183" i="2"/>
  <c r="N183" i="2"/>
  <c r="Q183" i="2"/>
  <c r="G184" i="2"/>
  <c r="K184" i="2"/>
  <c r="N184" i="2"/>
  <c r="Q184" i="2"/>
  <c r="G185" i="2"/>
  <c r="K185" i="2"/>
  <c r="N185" i="2"/>
  <c r="Q185" i="2"/>
  <c r="G186" i="2"/>
  <c r="K186" i="2"/>
  <c r="N186" i="2"/>
  <c r="Q186" i="2"/>
  <c r="D187" i="2"/>
  <c r="E187" i="2"/>
  <c r="F187" i="2"/>
  <c r="I187" i="2"/>
  <c r="I179" i="2" s="1"/>
  <c r="J187" i="2"/>
  <c r="J179" i="2" s="1"/>
  <c r="L187" i="2"/>
  <c r="L179" i="2" s="1"/>
  <c r="M187" i="2"/>
  <c r="M179" i="2" s="1"/>
  <c r="O187" i="2"/>
  <c r="O179" i="2" s="1"/>
  <c r="P187" i="2"/>
  <c r="P179" i="2" s="1"/>
  <c r="D145" i="2"/>
  <c r="E145" i="2"/>
  <c r="F145" i="2"/>
  <c r="G146" i="2"/>
  <c r="K146" i="2"/>
  <c r="N146" i="2"/>
  <c r="Q146" i="2"/>
  <c r="G147" i="2"/>
  <c r="K147" i="2"/>
  <c r="N147" i="2"/>
  <c r="Q147" i="2"/>
  <c r="G148" i="2"/>
  <c r="N148" i="2"/>
  <c r="Q148" i="2"/>
  <c r="G149" i="2"/>
  <c r="K149" i="2"/>
  <c r="N149" i="2"/>
  <c r="Q149" i="2"/>
  <c r="G150" i="2"/>
  <c r="K150" i="2"/>
  <c r="N150" i="2"/>
  <c r="Q150" i="2"/>
  <c r="G151" i="2"/>
  <c r="K151" i="2"/>
  <c r="N151" i="2"/>
  <c r="Q151" i="2"/>
  <c r="G152" i="2"/>
  <c r="K152" i="2"/>
  <c r="N152" i="2"/>
  <c r="Q152" i="2"/>
  <c r="D153" i="2"/>
  <c r="E153" i="2"/>
  <c r="F153" i="2"/>
  <c r="I153" i="2"/>
  <c r="I145" i="2" s="1"/>
  <c r="J153" i="2"/>
  <c r="J145" i="2" s="1"/>
  <c r="L153" i="2"/>
  <c r="L145" i="2" s="1"/>
  <c r="M153" i="2"/>
  <c r="M145" i="2" s="1"/>
  <c r="O153" i="2"/>
  <c r="O145" i="2" s="1"/>
  <c r="P153" i="2"/>
  <c r="P145" i="2" s="1"/>
  <c r="R195" i="2" l="1"/>
  <c r="K187" i="2"/>
  <c r="K179" i="2" s="1"/>
  <c r="R163" i="2"/>
  <c r="N198" i="2"/>
  <c r="N190" i="2" s="1"/>
  <c r="R193" i="2"/>
  <c r="R158" i="2"/>
  <c r="R185" i="2"/>
  <c r="Q176" i="2"/>
  <c r="Q168" i="2" s="1"/>
  <c r="K176" i="2"/>
  <c r="K168" i="2" s="1"/>
  <c r="R171" i="2"/>
  <c r="R170" i="2"/>
  <c r="R169" i="2"/>
  <c r="N165" i="2"/>
  <c r="N157" i="2" s="1"/>
  <c r="Q198" i="2"/>
  <c r="Q190" i="2" s="1"/>
  <c r="G198" i="2"/>
  <c r="R194" i="2"/>
  <c r="R146" i="2"/>
  <c r="Q187" i="2"/>
  <c r="Q179" i="2" s="1"/>
  <c r="R180" i="2"/>
  <c r="R172" i="2"/>
  <c r="R197" i="2"/>
  <c r="R196" i="2"/>
  <c r="R192" i="2"/>
  <c r="R191" i="2"/>
  <c r="G190" i="2"/>
  <c r="G168" i="2"/>
  <c r="G145" i="2"/>
  <c r="R150" i="2"/>
  <c r="R184" i="2"/>
  <c r="R159" i="2"/>
  <c r="R175" i="2"/>
  <c r="R173" i="2"/>
  <c r="G165" i="2"/>
  <c r="R161" i="2"/>
  <c r="G157" i="2"/>
  <c r="K198" i="2"/>
  <c r="R151" i="2"/>
  <c r="R181" i="2"/>
  <c r="G153" i="2"/>
  <c r="G179" i="2"/>
  <c r="K165" i="2"/>
  <c r="K157" i="2" s="1"/>
  <c r="R164" i="2"/>
  <c r="R160" i="2"/>
  <c r="N187" i="2"/>
  <c r="N179" i="2" s="1"/>
  <c r="G187" i="2"/>
  <c r="R183" i="2"/>
  <c r="R174" i="2"/>
  <c r="R162" i="2"/>
  <c r="R186" i="2"/>
  <c r="R182" i="2"/>
  <c r="Q165" i="2"/>
  <c r="Q157" i="2" s="1"/>
  <c r="G176" i="2"/>
  <c r="K153" i="2"/>
  <c r="K145" i="2" s="1"/>
  <c r="R152" i="2"/>
  <c r="R148" i="2"/>
  <c r="N176" i="2"/>
  <c r="N168" i="2" s="1"/>
  <c r="R147" i="2"/>
  <c r="Q153" i="2"/>
  <c r="Q145" i="2" s="1"/>
  <c r="N153" i="2"/>
  <c r="N145" i="2" s="1"/>
  <c r="R149" i="2"/>
  <c r="J62" i="1"/>
  <c r="J63" i="1"/>
  <c r="J64" i="1"/>
  <c r="I62" i="1"/>
  <c r="I63" i="1"/>
  <c r="I64" i="1"/>
  <c r="I61" i="1"/>
  <c r="J61" i="1"/>
  <c r="H63" i="1"/>
  <c r="J54" i="1"/>
  <c r="J55" i="1"/>
  <c r="J56" i="1"/>
  <c r="J57" i="1"/>
  <c r="I54" i="1"/>
  <c r="I55" i="1"/>
  <c r="I56" i="1"/>
  <c r="I57" i="1"/>
  <c r="H54" i="1"/>
  <c r="H55" i="1"/>
  <c r="H56" i="1"/>
  <c r="H57" i="1"/>
  <c r="I53" i="1"/>
  <c r="J53" i="1"/>
  <c r="H53" i="1"/>
  <c r="J49" i="1"/>
  <c r="J50" i="1"/>
  <c r="I49" i="1"/>
  <c r="I50" i="1"/>
  <c r="I48" i="1"/>
  <c r="J48" i="1"/>
  <c r="H49" i="1"/>
  <c r="H48" i="1"/>
  <c r="J44" i="1"/>
  <c r="J45" i="1"/>
  <c r="I44" i="1"/>
  <c r="I45" i="1"/>
  <c r="H44" i="1"/>
  <c r="H45" i="1"/>
  <c r="I43" i="1"/>
  <c r="J43" i="1"/>
  <c r="H43" i="1"/>
  <c r="I37" i="1"/>
  <c r="J34" i="1"/>
  <c r="J35" i="1"/>
  <c r="J36" i="1"/>
  <c r="J37" i="1"/>
  <c r="I34" i="1"/>
  <c r="I35" i="1"/>
  <c r="I36" i="1"/>
  <c r="H34" i="1"/>
  <c r="H35" i="1"/>
  <c r="H36" i="1"/>
  <c r="H37" i="1"/>
  <c r="I33" i="1"/>
  <c r="J33" i="1"/>
  <c r="H33" i="1"/>
  <c r="N28" i="1"/>
  <c r="J27" i="1"/>
  <c r="J28" i="1"/>
  <c r="J29" i="1"/>
  <c r="J30" i="1"/>
  <c r="I27" i="1"/>
  <c r="I28" i="1"/>
  <c r="H27" i="1"/>
  <c r="H28" i="1"/>
  <c r="H29" i="1"/>
  <c r="H30" i="1"/>
  <c r="I26" i="1"/>
  <c r="J26" i="1"/>
  <c r="H26" i="1"/>
  <c r="I19" i="1"/>
  <c r="H19" i="1"/>
  <c r="I17" i="1"/>
  <c r="H17" i="1"/>
  <c r="H14" i="1"/>
  <c r="H12" i="1"/>
  <c r="H13" i="1"/>
  <c r="H11" i="1"/>
  <c r="R187" i="2" l="1"/>
  <c r="R179" i="2" s="1"/>
  <c r="R165" i="2"/>
  <c r="R157" i="2" s="1"/>
  <c r="R176" i="2"/>
  <c r="R168" i="2" s="1"/>
  <c r="R198" i="2"/>
  <c r="R190" i="2" s="1"/>
  <c r="K190" i="2"/>
  <c r="R153" i="2"/>
  <c r="R145" i="2" s="1"/>
  <c r="I127" i="2"/>
  <c r="K50" i="1"/>
  <c r="H50" i="1" s="1"/>
  <c r="I204" i="2"/>
  <c r="I205" i="2"/>
  <c r="K62" i="1"/>
  <c r="H62" i="1" s="1"/>
  <c r="K64" i="1"/>
  <c r="H64" i="1" s="1"/>
  <c r="M222" i="2" l="1"/>
  <c r="P221" i="2"/>
  <c r="O221" i="2"/>
  <c r="J221" i="2"/>
  <c r="I221" i="2"/>
  <c r="F221" i="2"/>
  <c r="E221" i="2"/>
  <c r="D221" i="2"/>
  <c r="P220" i="2"/>
  <c r="O220" i="2"/>
  <c r="J220" i="2"/>
  <c r="I220" i="2"/>
  <c r="F220" i="2"/>
  <c r="E220" i="2"/>
  <c r="D220" i="2"/>
  <c r="P219" i="2"/>
  <c r="O219" i="2"/>
  <c r="J219" i="2"/>
  <c r="I219" i="2"/>
  <c r="F219" i="2"/>
  <c r="E219" i="2"/>
  <c r="D219" i="2"/>
  <c r="P218" i="2"/>
  <c r="O218" i="2"/>
  <c r="J218" i="2"/>
  <c r="I218" i="2"/>
  <c r="F218" i="2"/>
  <c r="E218" i="2"/>
  <c r="D218" i="2"/>
  <c r="P217" i="2"/>
  <c r="O217" i="2"/>
  <c r="J217" i="2"/>
  <c r="I217" i="2"/>
  <c r="F217" i="2"/>
  <c r="E217" i="2"/>
  <c r="D217" i="2"/>
  <c r="P216" i="2"/>
  <c r="O216" i="2"/>
  <c r="J216" i="2"/>
  <c r="I216" i="2"/>
  <c r="F216" i="2"/>
  <c r="E216" i="2"/>
  <c r="D216" i="2"/>
  <c r="P215" i="2"/>
  <c r="O215" i="2"/>
  <c r="J215" i="2"/>
  <c r="I215" i="2"/>
  <c r="F215" i="2"/>
  <c r="E215" i="2"/>
  <c r="F214" i="2"/>
  <c r="E214" i="2"/>
  <c r="D214" i="2"/>
  <c r="P209" i="2"/>
  <c r="P201" i="2" s="1"/>
  <c r="O209" i="2"/>
  <c r="O201" i="2" s="1"/>
  <c r="M209" i="2"/>
  <c r="M201" i="2" s="1"/>
  <c r="L209" i="2"/>
  <c r="L201" i="2" s="1"/>
  <c r="J209" i="2"/>
  <c r="J201" i="2" s="1"/>
  <c r="I209" i="2"/>
  <c r="I201" i="2" s="1"/>
  <c r="F209" i="2"/>
  <c r="E209" i="2"/>
  <c r="E201" i="2" s="1"/>
  <c r="D209" i="2"/>
  <c r="D201" i="2" s="1"/>
  <c r="Q208" i="2"/>
  <c r="N208" i="2"/>
  <c r="K208" i="2"/>
  <c r="G208" i="2"/>
  <c r="Q207" i="2"/>
  <c r="N207" i="2"/>
  <c r="K207" i="2"/>
  <c r="G207" i="2"/>
  <c r="Q206" i="2"/>
  <c r="N206" i="2"/>
  <c r="K206" i="2"/>
  <c r="G206" i="2"/>
  <c r="Q205" i="2"/>
  <c r="N205" i="2"/>
  <c r="K205" i="2"/>
  <c r="G205" i="2"/>
  <c r="Q204" i="2"/>
  <c r="N204" i="2"/>
  <c r="K204" i="2"/>
  <c r="G204" i="2"/>
  <c r="Q203" i="2"/>
  <c r="N203" i="2"/>
  <c r="K203" i="2"/>
  <c r="G203" i="2"/>
  <c r="Q202" i="2"/>
  <c r="N202" i="2"/>
  <c r="K202" i="2"/>
  <c r="G202" i="2"/>
  <c r="P142" i="2"/>
  <c r="P134" i="2" s="1"/>
  <c r="O142" i="2"/>
  <c r="O134" i="2" s="1"/>
  <c r="M142" i="2"/>
  <c r="M134" i="2" s="1"/>
  <c r="L142" i="2"/>
  <c r="L134" i="2" s="1"/>
  <c r="J142" i="2"/>
  <c r="I142" i="2"/>
  <c r="I134" i="2" s="1"/>
  <c r="F142" i="2"/>
  <c r="F134" i="2" s="1"/>
  <c r="E142" i="2"/>
  <c r="E134" i="2" s="1"/>
  <c r="D142" i="2"/>
  <c r="D134" i="2" s="1"/>
  <c r="Q141" i="2"/>
  <c r="N141" i="2"/>
  <c r="K141" i="2"/>
  <c r="G141" i="2"/>
  <c r="Q140" i="2"/>
  <c r="N140" i="2"/>
  <c r="K140" i="2"/>
  <c r="G140" i="2"/>
  <c r="Q139" i="2"/>
  <c r="N139" i="2"/>
  <c r="K139" i="2"/>
  <c r="G139" i="2"/>
  <c r="Q138" i="2"/>
  <c r="N138" i="2"/>
  <c r="K138" i="2"/>
  <c r="G138" i="2"/>
  <c r="Q137" i="2"/>
  <c r="N137" i="2"/>
  <c r="G137" i="2"/>
  <c r="Q136" i="2"/>
  <c r="N136" i="2"/>
  <c r="K136" i="2"/>
  <c r="G136" i="2"/>
  <c r="Q135" i="2"/>
  <c r="N135" i="2"/>
  <c r="K135" i="2"/>
  <c r="G135" i="2"/>
  <c r="J134" i="2"/>
  <c r="P131" i="2"/>
  <c r="P123" i="2" s="1"/>
  <c r="O131" i="2"/>
  <c r="O123" i="2" s="1"/>
  <c r="M131" i="2"/>
  <c r="M123" i="2" s="1"/>
  <c r="L131" i="2"/>
  <c r="L123" i="2" s="1"/>
  <c r="J131" i="2"/>
  <c r="J123" i="2" s="1"/>
  <c r="I131" i="2"/>
  <c r="F131" i="2"/>
  <c r="E131" i="2"/>
  <c r="E123" i="2" s="1"/>
  <c r="D131" i="2"/>
  <c r="D123" i="2" s="1"/>
  <c r="Q130" i="2"/>
  <c r="N130" i="2"/>
  <c r="K130" i="2"/>
  <c r="G130" i="2"/>
  <c r="Q129" i="2"/>
  <c r="N129" i="2"/>
  <c r="K129" i="2"/>
  <c r="G129" i="2"/>
  <c r="Q128" i="2"/>
  <c r="N128" i="2"/>
  <c r="K128" i="2"/>
  <c r="G128" i="2"/>
  <c r="Q127" i="2"/>
  <c r="N127" i="2"/>
  <c r="K127" i="2"/>
  <c r="G127" i="2"/>
  <c r="Q126" i="2"/>
  <c r="N126" i="2"/>
  <c r="G126" i="2"/>
  <c r="Q125" i="2"/>
  <c r="N125" i="2"/>
  <c r="K125" i="2"/>
  <c r="G125" i="2"/>
  <c r="Q124" i="2"/>
  <c r="N124" i="2"/>
  <c r="K124" i="2"/>
  <c r="G124" i="2"/>
  <c r="P120" i="2"/>
  <c r="P112" i="2" s="1"/>
  <c r="O120" i="2"/>
  <c r="O112" i="2" s="1"/>
  <c r="M120" i="2"/>
  <c r="M112" i="2" s="1"/>
  <c r="L120" i="2"/>
  <c r="L112" i="2" s="1"/>
  <c r="J120" i="2"/>
  <c r="I120" i="2"/>
  <c r="I112" i="2" s="1"/>
  <c r="F120" i="2"/>
  <c r="F112" i="2" s="1"/>
  <c r="E120" i="2"/>
  <c r="D120" i="2"/>
  <c r="Q119" i="2"/>
  <c r="N119" i="2"/>
  <c r="K119" i="2"/>
  <c r="G119" i="2"/>
  <c r="Q118" i="2"/>
  <c r="N118" i="2"/>
  <c r="K118" i="2"/>
  <c r="G118" i="2"/>
  <c r="Q117" i="2"/>
  <c r="N117" i="2"/>
  <c r="K117" i="2"/>
  <c r="G117" i="2"/>
  <c r="Q116" i="2"/>
  <c r="N116" i="2"/>
  <c r="K116" i="2"/>
  <c r="G116" i="2"/>
  <c r="Q115" i="2"/>
  <c r="N115" i="2"/>
  <c r="G115" i="2"/>
  <c r="Q114" i="2"/>
  <c r="N114" i="2"/>
  <c r="K114" i="2"/>
  <c r="G114" i="2"/>
  <c r="Q113" i="2"/>
  <c r="N113" i="2"/>
  <c r="K113" i="2"/>
  <c r="G113" i="2"/>
  <c r="J112" i="2"/>
  <c r="P108" i="2"/>
  <c r="P100" i="2" s="1"/>
  <c r="O108" i="2"/>
  <c r="O100" i="2" s="1"/>
  <c r="M108" i="2"/>
  <c r="M100" i="2" s="1"/>
  <c r="L108" i="2"/>
  <c r="L100" i="2" s="1"/>
  <c r="J108" i="2"/>
  <c r="I108" i="2"/>
  <c r="F108" i="2"/>
  <c r="E108" i="2"/>
  <c r="D108" i="2"/>
  <c r="Q107" i="2"/>
  <c r="N107" i="2"/>
  <c r="K107" i="2"/>
  <c r="G107" i="2"/>
  <c r="Q106" i="2"/>
  <c r="N106" i="2"/>
  <c r="K106" i="2"/>
  <c r="G106" i="2"/>
  <c r="Q105" i="2"/>
  <c r="N105" i="2"/>
  <c r="K105" i="2"/>
  <c r="G105" i="2"/>
  <c r="Q104" i="2"/>
  <c r="N104" i="2"/>
  <c r="K104" i="2"/>
  <c r="G104" i="2"/>
  <c r="Q103" i="2"/>
  <c r="N103" i="2"/>
  <c r="G103" i="2"/>
  <c r="Q102" i="2"/>
  <c r="N102" i="2"/>
  <c r="K102" i="2"/>
  <c r="G102" i="2"/>
  <c r="Q101" i="2"/>
  <c r="N101" i="2"/>
  <c r="K101" i="2"/>
  <c r="G101" i="2"/>
  <c r="J100" i="2"/>
  <c r="I100" i="2"/>
  <c r="F100" i="2"/>
  <c r="E100" i="2"/>
  <c r="D100" i="2"/>
  <c r="P97" i="2"/>
  <c r="P89" i="2" s="1"/>
  <c r="O97" i="2"/>
  <c r="O89" i="2" s="1"/>
  <c r="M97" i="2"/>
  <c r="M89" i="2" s="1"/>
  <c r="L97" i="2"/>
  <c r="L89" i="2" s="1"/>
  <c r="J97" i="2"/>
  <c r="I97" i="2"/>
  <c r="I89" i="2" s="1"/>
  <c r="F97" i="2"/>
  <c r="E97" i="2"/>
  <c r="D97" i="2"/>
  <c r="Q96" i="2"/>
  <c r="N96" i="2"/>
  <c r="K96" i="2"/>
  <c r="G96" i="2"/>
  <c r="Q95" i="2"/>
  <c r="N95" i="2"/>
  <c r="K95" i="2"/>
  <c r="G95" i="2"/>
  <c r="Q94" i="2"/>
  <c r="N94" i="2"/>
  <c r="K94" i="2"/>
  <c r="G94" i="2"/>
  <c r="Q93" i="2"/>
  <c r="N93" i="2"/>
  <c r="K93" i="2"/>
  <c r="G93" i="2"/>
  <c r="Q92" i="2"/>
  <c r="N92" i="2"/>
  <c r="G92" i="2"/>
  <c r="Q91" i="2"/>
  <c r="N91" i="2"/>
  <c r="K91" i="2"/>
  <c r="G91" i="2"/>
  <c r="Q90" i="2"/>
  <c r="N90" i="2"/>
  <c r="K90" i="2"/>
  <c r="G90" i="2"/>
  <c r="F89" i="2"/>
  <c r="E89" i="2"/>
  <c r="D89" i="2"/>
  <c r="P86" i="2"/>
  <c r="P78" i="2" s="1"/>
  <c r="O86" i="2"/>
  <c r="O78" i="2" s="1"/>
  <c r="M86" i="2"/>
  <c r="M78" i="2" s="1"/>
  <c r="L86" i="2"/>
  <c r="L78" i="2" s="1"/>
  <c r="J86" i="2"/>
  <c r="J78" i="2" s="1"/>
  <c r="I86" i="2"/>
  <c r="F86" i="2"/>
  <c r="E86" i="2"/>
  <c r="E78" i="2" s="1"/>
  <c r="D86" i="2"/>
  <c r="D78" i="2" s="1"/>
  <c r="Q85" i="2"/>
  <c r="N85" i="2"/>
  <c r="K85" i="2"/>
  <c r="G85" i="2"/>
  <c r="Q84" i="2"/>
  <c r="N84" i="2"/>
  <c r="K84" i="2"/>
  <c r="G84" i="2"/>
  <c r="Q83" i="2"/>
  <c r="N83" i="2"/>
  <c r="K83" i="2"/>
  <c r="G83" i="2"/>
  <c r="Q82" i="2"/>
  <c r="N82" i="2"/>
  <c r="K82" i="2"/>
  <c r="G82" i="2"/>
  <c r="Q81" i="2"/>
  <c r="N81" i="2"/>
  <c r="G81" i="2"/>
  <c r="Q80" i="2"/>
  <c r="N80" i="2"/>
  <c r="K80" i="2"/>
  <c r="G80" i="2"/>
  <c r="Q79" i="2"/>
  <c r="N79" i="2"/>
  <c r="K79" i="2"/>
  <c r="G79" i="2"/>
  <c r="P75" i="2"/>
  <c r="P67" i="2" s="1"/>
  <c r="O75" i="2"/>
  <c r="O67" i="2" s="1"/>
  <c r="M75" i="2"/>
  <c r="M67" i="2" s="1"/>
  <c r="L75" i="2"/>
  <c r="L67" i="2" s="1"/>
  <c r="J75" i="2"/>
  <c r="J67" i="2" s="1"/>
  <c r="I75" i="2"/>
  <c r="F75" i="2"/>
  <c r="F67" i="2" s="1"/>
  <c r="E75" i="2"/>
  <c r="D75" i="2"/>
  <c r="Q74" i="2"/>
  <c r="N74" i="2"/>
  <c r="K74" i="2"/>
  <c r="G74" i="2"/>
  <c r="Q73" i="2"/>
  <c r="N73" i="2"/>
  <c r="K73" i="2"/>
  <c r="G73" i="2"/>
  <c r="Q72" i="2"/>
  <c r="N72" i="2"/>
  <c r="K72" i="2"/>
  <c r="G72" i="2"/>
  <c r="Q71" i="2"/>
  <c r="N71" i="2"/>
  <c r="K71" i="2"/>
  <c r="G71" i="2"/>
  <c r="Q70" i="2"/>
  <c r="N70" i="2"/>
  <c r="G70" i="2"/>
  <c r="Q69" i="2"/>
  <c r="N69" i="2"/>
  <c r="K69" i="2"/>
  <c r="G69" i="2"/>
  <c r="Q68" i="2"/>
  <c r="N68" i="2"/>
  <c r="K68" i="2"/>
  <c r="G68" i="2"/>
  <c r="P63" i="2"/>
  <c r="P55" i="2" s="1"/>
  <c r="O63" i="2"/>
  <c r="O55" i="2" s="1"/>
  <c r="M63" i="2"/>
  <c r="M55" i="2" s="1"/>
  <c r="L63" i="2"/>
  <c r="L55" i="2" s="1"/>
  <c r="J63" i="2"/>
  <c r="I63" i="2"/>
  <c r="F63" i="2"/>
  <c r="E63" i="2"/>
  <c r="D63" i="2"/>
  <c r="Q62" i="2"/>
  <c r="N62" i="2"/>
  <c r="K62" i="2"/>
  <c r="G62" i="2"/>
  <c r="Q61" i="2"/>
  <c r="N61" i="2"/>
  <c r="K61" i="2"/>
  <c r="G61" i="2"/>
  <c r="Q60" i="2"/>
  <c r="N60" i="2"/>
  <c r="K60" i="2"/>
  <c r="G60" i="2"/>
  <c r="Q59" i="2"/>
  <c r="N59" i="2"/>
  <c r="K59" i="2"/>
  <c r="G59" i="2"/>
  <c r="Q58" i="2"/>
  <c r="N58" i="2"/>
  <c r="G58" i="2"/>
  <c r="Q57" i="2"/>
  <c r="N57" i="2"/>
  <c r="K57" i="2"/>
  <c r="G57" i="2"/>
  <c r="Q56" i="2"/>
  <c r="N56" i="2"/>
  <c r="K56" i="2"/>
  <c r="G56" i="2"/>
  <c r="J55" i="2"/>
  <c r="I55" i="2"/>
  <c r="F55" i="2"/>
  <c r="E55" i="2"/>
  <c r="D55" i="2"/>
  <c r="P52" i="2"/>
  <c r="P44" i="2" s="1"/>
  <c r="O52" i="2"/>
  <c r="O44" i="2" s="1"/>
  <c r="M52" i="2"/>
  <c r="M44" i="2" s="1"/>
  <c r="L52" i="2"/>
  <c r="L44" i="2" s="1"/>
  <c r="J52" i="2"/>
  <c r="J44" i="2" s="1"/>
  <c r="I52" i="2"/>
  <c r="I44" i="2" s="1"/>
  <c r="F52" i="2"/>
  <c r="E52" i="2"/>
  <c r="D52" i="2"/>
  <c r="Q51" i="2"/>
  <c r="N51" i="2"/>
  <c r="K51" i="2"/>
  <c r="G51" i="2"/>
  <c r="Q50" i="2"/>
  <c r="N50" i="2"/>
  <c r="K50" i="2"/>
  <c r="G50" i="2"/>
  <c r="Q49" i="2"/>
  <c r="N49" i="2"/>
  <c r="K49" i="2"/>
  <c r="G49" i="2"/>
  <c r="Q48" i="2"/>
  <c r="N48" i="2"/>
  <c r="K48" i="2"/>
  <c r="G48" i="2"/>
  <c r="Q47" i="2"/>
  <c r="N47" i="2"/>
  <c r="G47" i="2"/>
  <c r="Q46" i="2"/>
  <c r="N46" i="2"/>
  <c r="K46" i="2"/>
  <c r="G46" i="2"/>
  <c r="Q45" i="2"/>
  <c r="N45" i="2"/>
  <c r="K45" i="2"/>
  <c r="G45" i="2"/>
  <c r="F44" i="2"/>
  <c r="E44" i="2"/>
  <c r="D44" i="2"/>
  <c r="P41" i="2"/>
  <c r="O41" i="2"/>
  <c r="O33" i="2" s="1"/>
  <c r="M41" i="2"/>
  <c r="M33" i="2" s="1"/>
  <c r="L41" i="2"/>
  <c r="L33" i="2" s="1"/>
  <c r="J41" i="2"/>
  <c r="J33" i="2" s="1"/>
  <c r="I41" i="2"/>
  <c r="F41" i="2"/>
  <c r="F33" i="2" s="1"/>
  <c r="E41" i="2"/>
  <c r="E33" i="2" s="1"/>
  <c r="D41" i="2"/>
  <c r="D33" i="2" s="1"/>
  <c r="Q40" i="2"/>
  <c r="N40" i="2"/>
  <c r="K40" i="2"/>
  <c r="G40" i="2"/>
  <c r="Q39" i="2"/>
  <c r="N39" i="2"/>
  <c r="K39" i="2"/>
  <c r="G39" i="2"/>
  <c r="Q38" i="2"/>
  <c r="N38" i="2"/>
  <c r="K38" i="2"/>
  <c r="G38" i="2"/>
  <c r="Q37" i="2"/>
  <c r="N37" i="2"/>
  <c r="K37" i="2"/>
  <c r="G37" i="2"/>
  <c r="Q36" i="2"/>
  <c r="N36" i="2"/>
  <c r="G36" i="2"/>
  <c r="Q35" i="2"/>
  <c r="N35" i="2"/>
  <c r="K35" i="2"/>
  <c r="G35" i="2"/>
  <c r="Q34" i="2"/>
  <c r="N34" i="2"/>
  <c r="K34" i="2"/>
  <c r="G34" i="2"/>
  <c r="P30" i="2"/>
  <c r="P22" i="2" s="1"/>
  <c r="O30" i="2"/>
  <c r="O22" i="2" s="1"/>
  <c r="M30" i="2"/>
  <c r="M22" i="2" s="1"/>
  <c r="L30" i="2"/>
  <c r="L22" i="2" s="1"/>
  <c r="J30" i="2"/>
  <c r="J22" i="2" s="1"/>
  <c r="I30" i="2"/>
  <c r="I22" i="2" s="1"/>
  <c r="F30" i="2"/>
  <c r="E30" i="2"/>
  <c r="E22" i="2" s="1"/>
  <c r="D30" i="2"/>
  <c r="D22" i="2" s="1"/>
  <c r="Q29" i="2"/>
  <c r="N29" i="2"/>
  <c r="K29" i="2"/>
  <c r="G29" i="2"/>
  <c r="Q28" i="2"/>
  <c r="N28" i="2"/>
  <c r="K28" i="2"/>
  <c r="G28" i="2"/>
  <c r="Q27" i="2"/>
  <c r="N27" i="2"/>
  <c r="K27" i="2"/>
  <c r="G27" i="2"/>
  <c r="Q26" i="2"/>
  <c r="N26" i="2"/>
  <c r="K26" i="2"/>
  <c r="G26" i="2"/>
  <c r="Q25" i="2"/>
  <c r="N25" i="2"/>
  <c r="G25" i="2"/>
  <c r="Q24" i="2"/>
  <c r="N24" i="2"/>
  <c r="K24" i="2"/>
  <c r="G24" i="2"/>
  <c r="Q23" i="2"/>
  <c r="N23" i="2"/>
  <c r="K23" i="2"/>
  <c r="G23" i="2"/>
  <c r="P222" i="2" l="1"/>
  <c r="L222" i="2"/>
  <c r="L223" i="2" s="1"/>
  <c r="L224" i="2" s="1"/>
  <c r="E222" i="2"/>
  <c r="O222" i="2"/>
  <c r="D67" i="2"/>
  <c r="K75" i="2"/>
  <c r="K67" i="2" s="1"/>
  <c r="R47" i="2"/>
  <c r="K86" i="2"/>
  <c r="K78" i="2" s="1"/>
  <c r="K41" i="2"/>
  <c r="K33" i="2" s="1"/>
  <c r="R202" i="2"/>
  <c r="R206" i="2"/>
  <c r="R208" i="2"/>
  <c r="R45" i="2"/>
  <c r="R62" i="2"/>
  <c r="R60" i="2"/>
  <c r="R58" i="2"/>
  <c r="R137" i="2"/>
  <c r="N221" i="2"/>
  <c r="Q86" i="2"/>
  <c r="Q78" i="2" s="1"/>
  <c r="Q216" i="2"/>
  <c r="Q217" i="2"/>
  <c r="Q218" i="2"/>
  <c r="Q219" i="2"/>
  <c r="Q220" i="2"/>
  <c r="Q221" i="2"/>
  <c r="N75" i="2"/>
  <c r="N67" i="2" s="1"/>
  <c r="R85" i="2"/>
  <c r="R113" i="2"/>
  <c r="K120" i="2"/>
  <c r="K112" i="2" s="1"/>
  <c r="R50" i="2"/>
  <c r="K63" i="2"/>
  <c r="K55" i="2" s="1"/>
  <c r="R103" i="2"/>
  <c r="R116" i="2"/>
  <c r="R118" i="2"/>
  <c r="R59" i="2"/>
  <c r="G33" i="2"/>
  <c r="Q41" i="2"/>
  <c r="Q33" i="2" s="1"/>
  <c r="R71" i="2"/>
  <c r="R73" i="2"/>
  <c r="R69" i="2"/>
  <c r="N218" i="2"/>
  <c r="N219" i="2"/>
  <c r="N220" i="2"/>
  <c r="Q215" i="2"/>
  <c r="P33" i="2"/>
  <c r="R72" i="2"/>
  <c r="R68" i="2"/>
  <c r="G134" i="2"/>
  <c r="R106" i="2"/>
  <c r="R26" i="2"/>
  <c r="Q30" i="2"/>
  <c r="Q22" i="2" s="1"/>
  <c r="R90" i="2"/>
  <c r="R92" i="2"/>
  <c r="R105" i="2"/>
  <c r="R107" i="2"/>
  <c r="R115" i="2"/>
  <c r="R61" i="2"/>
  <c r="R95" i="2"/>
  <c r="K108" i="2"/>
  <c r="K100" i="2" s="1"/>
  <c r="R114" i="2"/>
  <c r="R125" i="2"/>
  <c r="Q131" i="2"/>
  <c r="Q123" i="2" s="1"/>
  <c r="R40" i="2"/>
  <c r="R23" i="2"/>
  <c r="R34" i="2"/>
  <c r="R46" i="2"/>
  <c r="R104" i="2"/>
  <c r="R49" i="2"/>
  <c r="G86" i="2"/>
  <c r="R79" i="2"/>
  <c r="R81" i="2"/>
  <c r="R91" i="2"/>
  <c r="K97" i="2"/>
  <c r="K89" i="2" s="1"/>
  <c r="G120" i="2"/>
  <c r="R130" i="2"/>
  <c r="G142" i="2"/>
  <c r="R139" i="2"/>
  <c r="R203" i="2"/>
  <c r="R205" i="2"/>
  <c r="G30" i="2"/>
  <c r="R24" i="2"/>
  <c r="R94" i="2"/>
  <c r="R135" i="2"/>
  <c r="Q209" i="2"/>
  <c r="Q201" i="2" s="1"/>
  <c r="G75" i="2"/>
  <c r="R101" i="2"/>
  <c r="R51" i="2"/>
  <c r="R96" i="2"/>
  <c r="N120" i="2"/>
  <c r="N112" i="2" s="1"/>
  <c r="R29" i="2"/>
  <c r="R36" i="2"/>
  <c r="R38" i="2"/>
  <c r="G52" i="2"/>
  <c r="R57" i="2"/>
  <c r="N63" i="2"/>
  <c r="N55" i="2" s="1"/>
  <c r="F78" i="2"/>
  <c r="G78" i="2" s="1"/>
  <c r="J89" i="2"/>
  <c r="G97" i="2"/>
  <c r="R102" i="2"/>
  <c r="N108" i="2"/>
  <c r="N100" i="2" s="1"/>
  <c r="D112" i="2"/>
  <c r="Q120" i="2"/>
  <c r="Q112" i="2" s="1"/>
  <c r="R124" i="2"/>
  <c r="R126" i="2"/>
  <c r="R140" i="2"/>
  <c r="N142" i="2"/>
  <c r="N134" i="2" s="1"/>
  <c r="G215" i="2"/>
  <c r="G216" i="2"/>
  <c r="R56" i="2"/>
  <c r="I33" i="2"/>
  <c r="N52" i="2"/>
  <c r="N44" i="2" s="1"/>
  <c r="Q63" i="2"/>
  <c r="Q55" i="2" s="1"/>
  <c r="E67" i="2"/>
  <c r="G67" i="2" s="1"/>
  <c r="R83" i="2"/>
  <c r="N97" i="2"/>
  <c r="N89" i="2" s="1"/>
  <c r="Q108" i="2"/>
  <c r="Q100" i="2" s="1"/>
  <c r="E112" i="2"/>
  <c r="G112" i="2" s="1"/>
  <c r="Q142" i="2"/>
  <c r="Q134" i="2" s="1"/>
  <c r="R37" i="2"/>
  <c r="R39" i="2"/>
  <c r="N41" i="2"/>
  <c r="N33" i="2" s="1"/>
  <c r="R48" i="2"/>
  <c r="Q52" i="2"/>
  <c r="Q44" i="2" s="1"/>
  <c r="R74" i="2"/>
  <c r="R93" i="2"/>
  <c r="Q97" i="2"/>
  <c r="Q89" i="2" s="1"/>
  <c r="R117" i="2"/>
  <c r="F123" i="2"/>
  <c r="G123" i="2" s="1"/>
  <c r="R204" i="2"/>
  <c r="K218" i="2"/>
  <c r="F22" i="2"/>
  <c r="G22" i="2" s="1"/>
  <c r="R25" i="2"/>
  <c r="R35" i="2"/>
  <c r="G44" i="2"/>
  <c r="R70" i="2"/>
  <c r="R80" i="2"/>
  <c r="R82" i="2"/>
  <c r="R84" i="2"/>
  <c r="N86" i="2"/>
  <c r="N78" i="2" s="1"/>
  <c r="R119" i="2"/>
  <c r="R127" i="2"/>
  <c r="R129" i="2"/>
  <c r="N131" i="2"/>
  <c r="N123" i="2" s="1"/>
  <c r="R136" i="2"/>
  <c r="F201" i="2"/>
  <c r="G201" i="2" s="1"/>
  <c r="G209" i="2"/>
  <c r="N217" i="2"/>
  <c r="G41" i="2"/>
  <c r="R141" i="2"/>
  <c r="K52" i="2"/>
  <c r="K44" i="2" s="1"/>
  <c r="Q75" i="2"/>
  <c r="Q67" i="2" s="1"/>
  <c r="G131" i="2"/>
  <c r="R207" i="2"/>
  <c r="G219" i="2"/>
  <c r="G220" i="2"/>
  <c r="K209" i="2"/>
  <c r="K201" i="2" s="1"/>
  <c r="R138" i="2"/>
  <c r="R28" i="2"/>
  <c r="R27" i="2"/>
  <c r="N30" i="2"/>
  <c r="N22" i="2" s="1"/>
  <c r="K217" i="2"/>
  <c r="K219" i="2"/>
  <c r="K221" i="2"/>
  <c r="K142" i="2"/>
  <c r="R128" i="2"/>
  <c r="K131" i="2"/>
  <c r="I123" i="2"/>
  <c r="I78" i="2"/>
  <c r="I67" i="2"/>
  <c r="I222" i="2"/>
  <c r="J222" i="2"/>
  <c r="K30" i="2"/>
  <c r="K216" i="2"/>
  <c r="G89" i="2"/>
  <c r="G55" i="2"/>
  <c r="G100" i="2"/>
  <c r="E223" i="2"/>
  <c r="N209" i="2"/>
  <c r="N201" i="2" s="1"/>
  <c r="N216" i="2"/>
  <c r="G217" i="2"/>
  <c r="F222" i="2"/>
  <c r="G218" i="2"/>
  <c r="G63" i="2"/>
  <c r="G108" i="2"/>
  <c r="K215" i="2"/>
  <c r="K220" i="2"/>
  <c r="M223" i="2"/>
  <c r="M224" i="2" s="1"/>
  <c r="N215" i="2"/>
  <c r="G221" i="2"/>
  <c r="D222" i="2"/>
  <c r="N222" i="2" l="1"/>
  <c r="N223" i="2" s="1"/>
  <c r="N224" i="2" s="1"/>
  <c r="E224" i="2"/>
  <c r="R219" i="2"/>
  <c r="R218" i="2"/>
  <c r="R220" i="2"/>
  <c r="R86" i="2"/>
  <c r="R78" i="2" s="1"/>
  <c r="R52" i="2"/>
  <c r="R44" i="2" s="1"/>
  <c r="R131" i="2"/>
  <c r="R123" i="2" s="1"/>
  <c r="R63" i="2"/>
  <c r="R55" i="2" s="1"/>
  <c r="R221" i="2"/>
  <c r="R97" i="2"/>
  <c r="R89" i="2" s="1"/>
  <c r="R41" i="2"/>
  <c r="R33" i="2" s="1"/>
  <c r="R75" i="2"/>
  <c r="R67" i="2" s="1"/>
  <c r="R217" i="2"/>
  <c r="R108" i="2"/>
  <c r="R100" i="2" s="1"/>
  <c r="R30" i="2"/>
  <c r="R22" i="2" s="1"/>
  <c r="R120" i="2"/>
  <c r="R112" i="2" s="1"/>
  <c r="R142" i="2"/>
  <c r="R134" i="2" s="1"/>
  <c r="K134" i="2"/>
  <c r="K123" i="2"/>
  <c r="R216" i="2"/>
  <c r="K22" i="2"/>
  <c r="R209" i="2"/>
  <c r="R201" i="2" s="1"/>
  <c r="D223" i="2"/>
  <c r="K222" i="2"/>
  <c r="G222" i="2"/>
  <c r="F223" i="2"/>
  <c r="Q222" i="2"/>
  <c r="R215" i="2"/>
  <c r="F224" i="2" l="1"/>
  <c r="D224" i="2"/>
  <c r="R222" i="2"/>
  <c r="R223" i="2" s="1"/>
  <c r="R224" i="2" s="1"/>
  <c r="G223" i="2"/>
  <c r="G224" i="2" s="1"/>
  <c r="K223" i="2"/>
  <c r="K224" i="2" s="1"/>
  <c r="Q223" i="2"/>
  <c r="Q224" i="2" s="1"/>
  <c r="M65" i="1" l="1"/>
  <c r="L65" i="1"/>
  <c r="J65" i="1"/>
  <c r="I65" i="1"/>
  <c r="F65" i="1"/>
  <c r="E65" i="1"/>
  <c r="D65" i="1"/>
  <c r="N64" i="1"/>
  <c r="G64" i="1"/>
  <c r="N63" i="1"/>
  <c r="G63" i="1"/>
  <c r="N62" i="1"/>
  <c r="G62" i="1"/>
  <c r="K61" i="1"/>
  <c r="G61" i="1"/>
  <c r="M58" i="1"/>
  <c r="L58" i="1"/>
  <c r="I58" i="1"/>
  <c r="H58" i="1"/>
  <c r="F58" i="1"/>
  <c r="E58" i="1"/>
  <c r="D58" i="1"/>
  <c r="N57" i="1"/>
  <c r="K58" i="1"/>
  <c r="G56" i="1"/>
  <c r="N55" i="1"/>
  <c r="G55" i="1"/>
  <c r="N54" i="1"/>
  <c r="G54" i="1"/>
  <c r="N53" i="1"/>
  <c r="G53" i="1"/>
  <c r="M51" i="1"/>
  <c r="L51" i="1"/>
  <c r="K51" i="1"/>
  <c r="J51" i="1"/>
  <c r="I51" i="1"/>
  <c r="H51" i="1"/>
  <c r="F51" i="1"/>
  <c r="E51" i="1"/>
  <c r="D51" i="1"/>
  <c r="N50" i="1"/>
  <c r="G50" i="1"/>
  <c r="N49" i="1"/>
  <c r="G49" i="1"/>
  <c r="N48" i="1"/>
  <c r="G48" i="1"/>
  <c r="M46" i="1"/>
  <c r="L46" i="1"/>
  <c r="K46" i="1"/>
  <c r="I46" i="1"/>
  <c r="H46" i="1"/>
  <c r="F46" i="1"/>
  <c r="E46" i="1"/>
  <c r="D46" i="1"/>
  <c r="N45" i="1"/>
  <c r="G45" i="1"/>
  <c r="N44" i="1"/>
  <c r="G44" i="1"/>
  <c r="N43" i="1"/>
  <c r="O46" i="1" s="1"/>
  <c r="G43" i="1"/>
  <c r="M38" i="1"/>
  <c r="L38" i="1"/>
  <c r="K38" i="1"/>
  <c r="I38" i="1"/>
  <c r="H38" i="1"/>
  <c r="F38" i="1"/>
  <c r="E38" i="1"/>
  <c r="D38" i="1"/>
  <c r="N37" i="1"/>
  <c r="G37" i="1"/>
  <c r="N36" i="1"/>
  <c r="G36" i="1"/>
  <c r="N35" i="1"/>
  <c r="N34" i="1"/>
  <c r="N33" i="1"/>
  <c r="G33" i="1"/>
  <c r="M31" i="1"/>
  <c r="K31" i="1"/>
  <c r="H31" i="1"/>
  <c r="F31" i="1"/>
  <c r="E31" i="1"/>
  <c r="D31" i="1"/>
  <c r="L30" i="1"/>
  <c r="G30" i="1"/>
  <c r="L29" i="1"/>
  <c r="I29" i="1" s="1"/>
  <c r="G28" i="1"/>
  <c r="N27" i="1"/>
  <c r="G27" i="1"/>
  <c r="N26" i="1"/>
  <c r="G26" i="1"/>
  <c r="M21" i="1"/>
  <c r="L21" i="1"/>
  <c r="K21" i="1"/>
  <c r="I21" i="1"/>
  <c r="H21" i="1"/>
  <c r="F21" i="1"/>
  <c r="E21" i="1"/>
  <c r="D21" i="1"/>
  <c r="N20" i="1"/>
  <c r="G20" i="1"/>
  <c r="N19" i="1"/>
  <c r="G19" i="1"/>
  <c r="N17" i="1"/>
  <c r="G17" i="1"/>
  <c r="M15" i="1"/>
  <c r="L15" i="1"/>
  <c r="K15" i="1"/>
  <c r="J15" i="1"/>
  <c r="I15" i="1"/>
  <c r="H15" i="1"/>
  <c r="F15" i="1"/>
  <c r="E15" i="1"/>
  <c r="D15" i="1"/>
  <c r="G14" i="1"/>
  <c r="N13" i="1"/>
  <c r="G13" i="1"/>
  <c r="N12" i="1"/>
  <c r="G12" i="1"/>
  <c r="N11" i="1"/>
  <c r="G11" i="1"/>
  <c r="O38" i="1" l="1"/>
  <c r="O39" i="1" s="1"/>
  <c r="O15" i="1"/>
  <c r="O21" i="1"/>
  <c r="O51" i="1"/>
  <c r="O59" i="1" s="1"/>
  <c r="G85" i="1"/>
  <c r="E59" i="1"/>
  <c r="F59" i="1"/>
  <c r="H59" i="1"/>
  <c r="I59" i="1"/>
  <c r="L59" i="1"/>
  <c r="K59" i="1"/>
  <c r="M59" i="1"/>
  <c r="D59" i="1"/>
  <c r="K65" i="1"/>
  <c r="H61" i="1"/>
  <c r="H65" i="1" s="1"/>
  <c r="H39" i="1"/>
  <c r="E39" i="1"/>
  <c r="D39" i="1"/>
  <c r="J58" i="1"/>
  <c r="F39" i="1"/>
  <c r="K39" i="1"/>
  <c r="M39" i="1"/>
  <c r="K22" i="1"/>
  <c r="H22" i="1"/>
  <c r="D22" i="1"/>
  <c r="E22" i="1"/>
  <c r="F22" i="1"/>
  <c r="I22" i="1"/>
  <c r="L22" i="1"/>
  <c r="M22" i="1"/>
  <c r="N30" i="1"/>
  <c r="I30" i="1"/>
  <c r="I31" i="1" s="1"/>
  <c r="N46" i="1"/>
  <c r="G15" i="1"/>
  <c r="L31" i="1"/>
  <c r="L39" i="1" s="1"/>
  <c r="J38" i="1"/>
  <c r="G65" i="1"/>
  <c r="N21" i="1"/>
  <c r="G51" i="1"/>
  <c r="G31" i="1"/>
  <c r="J31" i="1"/>
  <c r="G46" i="1"/>
  <c r="G21" i="1"/>
  <c r="N38" i="1"/>
  <c r="G58" i="1"/>
  <c r="G38" i="1"/>
  <c r="N29" i="1"/>
  <c r="N51" i="1"/>
  <c r="J21" i="1"/>
  <c r="J22" i="1" s="1"/>
  <c r="N61" i="1"/>
  <c r="O65" i="1" s="1"/>
  <c r="N56" i="1"/>
  <c r="O58" i="1" s="1"/>
  <c r="J46" i="1"/>
  <c r="N15" i="1"/>
  <c r="F67" i="1" l="1"/>
  <c r="F73" i="1" s="1"/>
  <c r="F74" i="1" s="1"/>
  <c r="F75" i="1" s="1"/>
  <c r="M67" i="1"/>
  <c r="O22" i="1"/>
  <c r="O67" i="1" s="1"/>
  <c r="N65" i="1"/>
  <c r="T65" i="1" s="1"/>
  <c r="E67" i="1"/>
  <c r="E73" i="1" s="1"/>
  <c r="E74" i="1" s="1"/>
  <c r="E75" i="1" s="1"/>
  <c r="D67" i="1"/>
  <c r="D73" i="1" s="1"/>
  <c r="D74" i="1" s="1"/>
  <c r="D75" i="1" s="1"/>
  <c r="L67" i="1"/>
  <c r="H67" i="1"/>
  <c r="K67" i="1"/>
  <c r="J59" i="1"/>
  <c r="G59" i="1"/>
  <c r="G39" i="1"/>
  <c r="J39" i="1"/>
  <c r="I39" i="1"/>
  <c r="I67" i="1" s="1"/>
  <c r="N31" i="1"/>
  <c r="N39" i="1" s="1"/>
  <c r="N22" i="1"/>
  <c r="G22" i="1"/>
  <c r="N58" i="1"/>
  <c r="N59" i="1" s="1"/>
  <c r="D81" i="1" l="1"/>
  <c r="D82" i="1"/>
  <c r="E82" i="1"/>
  <c r="E81" i="1"/>
  <c r="F82" i="1"/>
  <c r="F81" i="1"/>
  <c r="G67" i="1"/>
  <c r="G73" i="1" s="1"/>
  <c r="N67" i="1"/>
  <c r="J67" i="1"/>
  <c r="T59" i="1"/>
  <c r="T39" i="1"/>
  <c r="E83" i="1"/>
  <c r="T22" i="1"/>
  <c r="G82" i="1" l="1"/>
  <c r="G81" i="1"/>
  <c r="F83" i="1"/>
  <c r="D83" i="1"/>
  <c r="G74" i="1"/>
  <c r="G75" i="1" s="1"/>
  <c r="G86" i="1" s="1"/>
  <c r="G83" i="1" l="1"/>
  <c r="V30" i="2"/>
</calcChain>
</file>

<file path=xl/sharedStrings.xml><?xml version="1.0" encoding="utf-8"?>
<sst xmlns="http://schemas.openxmlformats.org/spreadsheetml/2006/main" count="580" uniqueCount="205">
  <si>
    <t xml:space="preserve">Annexe D - Révision budgétaire </t>
  </si>
  <si>
    <t>Nombre de resultat/ produit</t>
  </si>
  <si>
    <t>Formulation du resultat/ produit/activite</t>
  </si>
  <si>
    <t>Budget initial (en USD)</t>
  </si>
  <si>
    <t xml:space="preserve">Total Budget initial du projet </t>
  </si>
  <si>
    <t>Total</t>
  </si>
  <si>
    <t xml:space="preserve">Budget revisé (en USD) </t>
  </si>
  <si>
    <t xml:space="preserve">Total nouveau budget revisé du projet </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</si>
  <si>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</si>
  <si>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</si>
  <si>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ILO</t>
  </si>
  <si>
    <t>UNICEF</t>
  </si>
  <si>
    <t>UNFPA</t>
  </si>
  <si>
    <t xml:space="preserve">RESULTAT 1: </t>
  </si>
  <si>
    <t>Les autorités institutionnelles locales, régionales et nationales, les partenaires sociaux et la société civile, promeuvent plus de transparence et d’inclusion dans les décisions autour de la chaine d’approvisionnement de la filière vanille et les enjeux de la violence et de l’insécurité y afférents</t>
  </si>
  <si>
    <t>Produit 1.1:</t>
  </si>
  <si>
    <t>Un processus de concertation et de prise de décision (dialogue social) inclusif des acteurs clefs concernant la chaîne d’approvisionnement de la filière vanille est facilité</t>
  </si>
  <si>
    <t>Activite 1.1.1:</t>
  </si>
  <si>
    <t>Réaliser une cartographie des acteurs et des interventions autour de la chaîne d’approvisionnement de la filière vanille</t>
  </si>
  <si>
    <t>Activite 1.1.2:</t>
  </si>
  <si>
    <t xml:space="preserve">Mener des activités de renforcement de capacités des structures et groupes d’acteurs clefs (OSC, partenaires sociaux, producteurs, secteur privé, etc) pour une meilleure inclusivité </t>
  </si>
  <si>
    <t>Activite 1.1.3:</t>
  </si>
  <si>
    <t>Organiser des séries de dialogue social inclusif sur les questions clés de la filière vanille, notamment les questions de réglementation du secteur (Etat, opérateurs économiques, producteurs, collectivités, société civile)</t>
  </si>
  <si>
    <t xml:space="preserve"> </t>
  </si>
  <si>
    <t>Activite 1.1.4</t>
  </si>
  <si>
    <t>Produit total</t>
  </si>
  <si>
    <t>Produit 1.2:</t>
  </si>
  <si>
    <t>Les institutions locales veillent plus aux risques de corruption dans le système de la chaîne d’approvisionnement de la filière vanil</t>
  </si>
  <si>
    <t>Activite 1.2.1</t>
  </si>
  <si>
    <t>Mener des actions de plaidoyer auprès des autorités régionales et nationales pour la révision des normes et politiques plus inclusives, transparentes et respectueuses des Droits de l’Homme sur les enjeux de la cohésion sociale dans les régions-cible.</t>
  </si>
  <si>
    <t>Mener des interventions pour soutenir la lutte anti-corruption dans la filière vanille</t>
  </si>
  <si>
    <t>Activite 1.2.2</t>
  </si>
  <si>
    <t>Mener des interventions pour soutenir la lutte anti-corruption (appui au BIANCO en partenariat avec le projet Gouvernance financé par PBF, appui technique et renforcement de capacités des autorités, des Forces de Défense et de Sécurité (FDS) et des Tribunaux de Première Instance des zones d’intervention en matière de lutte anti-corruption) dans la filière vanille</t>
  </si>
  <si>
    <t>Activite 1.2.3</t>
  </si>
  <si>
    <t>Appuyer les FDS pour renforcer leur contrôle dans les trois points de passage principaux de la vanille volée (Sava)</t>
  </si>
  <si>
    <t xml:space="preserve">RESULTAT 2: </t>
  </si>
  <si>
    <t>Les communautés affectées par la violence et l’insécurité liées au secteur de la vanille cherchent des réponses communes et collaborent avec les forces de défense et de sécurité</t>
  </si>
  <si>
    <t>Produit 2.1</t>
  </si>
  <si>
    <t>Les populations ont une compréhension et un rapprochement communautaire de qualité sur les questions de prévention de la violence dans le secteur de la vanille et les enjeux y afférents</t>
  </si>
  <si>
    <t>Activite 2.1.1</t>
  </si>
  <si>
    <t>Sensibiliser les communautés et le secteur privé sur les causes et les conséquences de la violence dans le secteur de la vanille, le respect mutuel, la solidarité et l’entraide, à travers les médias de proximité, les réseaux sociaux, les plateformes numériques et les pairs éducateurs</t>
  </si>
  <si>
    <t>Activite 2.1.2</t>
  </si>
  <si>
    <t>Organiser des dialogues communautaires et intergénérationnels sur les thématiques de la prévention de la délinquance, la violence, l’insécurité et la promotion de la cohésion sociale</t>
  </si>
  <si>
    <t>Activite 2.1.3</t>
  </si>
  <si>
    <t>Appuyer le renforcement des mécanismes de coordination et renforcement des capacités  des différents structures et acteurs communautaires dans la prévention de la délinquance des jeunes à travers la création d’un système de référencement, la dotation d’outils de travail, la formation sur le suivi et l’évaluation, y compris le suivi des « dinam-paritra » (convention collective locale)</t>
  </si>
  <si>
    <t>Appuyer le renforcement des mécanismes de coordination des différentes structures et acteurs communautaires dans la prévention de la délinquance des jeunes à travers la création d’un système de référencement au niveau des sites d’interventions.</t>
  </si>
  <si>
    <t>Activite 2.1.4</t>
  </si>
  <si>
    <t>Renforcer les capacités des structures mises en place par la dotation d’outils de travail, la formation sur le suivi et l’évaluation, y compris le suivi des « dinam-paritra » (convention collective locale).</t>
  </si>
  <si>
    <t>Produit 2.2</t>
  </si>
  <si>
    <t>Les communautés et les forces de défense et de sécurité collaborent dans la prévention de la violence dans le secteur de la vanille</t>
  </si>
  <si>
    <t>Activite 2.2.1</t>
  </si>
  <si>
    <t xml:space="preserve">Appuyer la mise en place de plateformes d’échanges, l’élaboration et la mise en œuvre de plan d’action pour la prévention et les réponses à la violence dans les communautés </t>
  </si>
  <si>
    <t>Appuyer la mise en place de plateformes d’échanges regroupant tous les acteurs (comités communautaires de vigilance, FDS, représentants des communautés et de la société civile, représentants des institutions étatiques clefs, secteur privé)</t>
  </si>
  <si>
    <t>Activite 2.2.2</t>
  </si>
  <si>
    <t xml:space="preserve">Appuyer l’élaboration et la mise en œuvre de plan d’action pour la prévention et les réponses à la violence dans les communautés par les plateformes d’échanges mises en place. </t>
  </si>
  <si>
    <t>Activite' 2.2.3</t>
  </si>
  <si>
    <t>Renforcer la collaboration entre les comités de vigilance et les FDS (dont par la mise en place des procédures opérationnelles standards)</t>
  </si>
  <si>
    <t>Activite 2.2.4</t>
  </si>
  <si>
    <t>Appuyer les associations de femmes et de jeunes pour une planification et un suivi de qualité de la mise en œuvre du plan d’actions pour la prévention et les réponses à la violence au sein des communautés</t>
  </si>
  <si>
    <t>Produit 2.3</t>
  </si>
  <si>
    <t>Produit 2.4</t>
  </si>
  <si>
    <t xml:space="preserve">RESULTAT 3: </t>
  </si>
  <si>
    <t xml:space="preserve">Les jeunes filles et garçons vulnérables sont encouragés et soutenus pour prévenir leur enrôlement dans la délinquance et la violence </t>
  </si>
  <si>
    <t>Produit 3.1</t>
  </si>
  <si>
    <t xml:space="preserve">L’expansion du phénomène « foroche » vers les zones de production de vanille est mieux connue et appréhendée par les acteurs locaux et nationaux </t>
  </si>
  <si>
    <t>Activite 3.1.1</t>
  </si>
  <si>
    <t>Mener une étude anthropologique sur le phénomène « Foroches », ses manifestations actuelles, ses mutations et son flux migratoire</t>
  </si>
  <si>
    <t>Activite 3.1.2</t>
  </si>
  <si>
    <t>Organiser des dialogues avec les jeunes membres des groupes « Foroches » en vue de véhiculer des messages liés à la non-violence, à la culture du vivre ensemble, etc,</t>
  </si>
  <si>
    <t>Activite 3.1.3</t>
  </si>
  <si>
    <t>Organiser des activités culturelles et sportives à destination des jeunes, en particulier les membres des différents groupes « Foroches »</t>
  </si>
  <si>
    <t>Produit 3.2:</t>
  </si>
  <si>
    <t xml:space="preserve">La résilience des jeunes vulnérables et à risque de s’engager dans la criminalité et violence liée à la filière vanille est renforcée </t>
  </si>
  <si>
    <t>Activite 3.2.1</t>
  </si>
  <si>
    <t>Renforcer les capacités des jeunes en matière de compétences pour la vie, de culture de non-violence et de vivre ensemble</t>
  </si>
  <si>
    <t>Activite 3.2.2</t>
  </si>
  <si>
    <t xml:space="preserve">Soutenir les jeunes vulnérables à travers le renforcement des capacités des structures et associations de jeunesse (ceci comprendra les activités culturelles et sportives) </t>
  </si>
  <si>
    <t>Activite 3.2.3</t>
  </si>
  <si>
    <t>Organiser des formations professionnelles sur mesure et mener un suivi-accompagnement post formation pour les jeunes vulnérables et à risque</t>
  </si>
  <si>
    <t>Produit 3.3</t>
  </si>
  <si>
    <t>Les jeunes en conflit avec la loi sont accompagnés pour prévenir leur récidive</t>
  </si>
  <si>
    <t>Activite 3.3.1</t>
  </si>
  <si>
    <t xml:space="preserve">Appuyer l’application des mesures alternatives à la détention pour les enfants en conflit avec la loi (exemple, liberté surveillée) </t>
  </si>
  <si>
    <t>Activite 3.3.2</t>
  </si>
  <si>
    <t>Soutenir les programmes d’accompagnement psychosocial pour les jeunes en conflit avec la loi et leurs familles pendant et après la détention ou les mesures alternatives à la détention, pour éviter la récidive</t>
  </si>
  <si>
    <t>Activite 3.3.3</t>
  </si>
  <si>
    <t>Renforcer les capacités des jeunes en conflit avec la loi en matière de compétences pour la vie, de culture de non-violence et de vivre ensemble</t>
  </si>
  <si>
    <t>Activite 3.3.4</t>
  </si>
  <si>
    <t>Organiser des formations professionnelles sur mesure et mener un suivi-accompagnement post formation pour les jeunes en conflit avec la loi</t>
  </si>
  <si>
    <t>Activite 3.3.5</t>
  </si>
  <si>
    <t>Mener des actions de plaidoyer auprès des autorités nationales pour l'application des mesures alternatives à la détention</t>
  </si>
  <si>
    <t>Produit 3.4</t>
  </si>
  <si>
    <t>Produit 4.1</t>
  </si>
  <si>
    <t>Produit 4.2</t>
  </si>
  <si>
    <t>Produit 4.3</t>
  </si>
  <si>
    <t>Produit 4.4</t>
  </si>
  <si>
    <t>Cout de personnel du projet si pas inclus dans les activites si-dessus</t>
  </si>
  <si>
    <t>OIT : Coordonnateur, Assitant Administratif et financier
UNICEF : Field Officer Protection de l'enfant Sava, Field Officer Protection de l'enfant Diana, Spécialiste communication, Spécialiste suivi et évaluation
UNFPA : Spécialiste jeune et consolidation de la paix, Chargé de programme adolescents, jeunes et VIH/SIDA</t>
  </si>
  <si>
    <t>Couts operationnels si pas inclus dans les activites si-dessus</t>
  </si>
  <si>
    <t>Budget de suivi</t>
  </si>
  <si>
    <t>Enquêtes de référence et de perception, Missions de suivi de terrain, Communication</t>
  </si>
  <si>
    <t>Budget pour l'évaluation finale indépendante</t>
  </si>
  <si>
    <t>Evaluation finale à la fin du projet</t>
  </si>
  <si>
    <t>Coûts supplémentaires total</t>
  </si>
  <si>
    <t xml:space="preserve">COUT TOTAL DU PROJET </t>
  </si>
  <si>
    <t>Totaux</t>
  </si>
  <si>
    <t>Agence recipendaire 1</t>
  </si>
  <si>
    <t>Agence recipiendaire 2</t>
  </si>
  <si>
    <t>Agence recipiendaire 3</t>
  </si>
  <si>
    <t>TOTAL</t>
  </si>
  <si>
    <t>Sous-budget total du projet</t>
  </si>
  <si>
    <t>Coûts indirects (7%):</t>
  </si>
  <si>
    <t>Répartition des tranches basée sur la performance</t>
  </si>
  <si>
    <t>Tranche %</t>
  </si>
  <si>
    <t>Première tranche</t>
  </si>
  <si>
    <t>Deuxième tranche</t>
  </si>
  <si>
    <t>$ alloué à S&amp;E</t>
  </si>
  <si>
    <t>% alloué à S&amp;E</t>
  </si>
  <si>
    <r>
      <t xml:space="preserve">Note: Le PBF n'accepte pas les projets avec moins de 5% pour le S&amp;E et moins 15% pour le GEWE. Ces chiffres apparaîtront </t>
    </r>
    <r>
      <rPr>
        <sz val="12"/>
        <color rgb="FFFF0000"/>
        <rFont val="Arial Narrow"/>
        <family val="2"/>
      </rPr>
      <t>en rouge</t>
    </r>
    <r>
      <rPr>
        <sz val="12"/>
        <color theme="1"/>
        <rFont val="Arial Narrow"/>
        <family val="2"/>
      </rPr>
      <t xml:space="preserve"> si ce seuil minimum n'est pas atteint.</t>
    </r>
  </si>
  <si>
    <t>Annexe D - REVISION BUDGETAIRE DU PROJET VANILLE</t>
  </si>
  <si>
    <t>Titre du Projet</t>
  </si>
  <si>
    <t>Prévention de la violence, de la délinquance juvénile et de l'insécurité dans les Régions DIANA et SAVA du Nord de Madagascar</t>
  </si>
  <si>
    <t xml:space="preserve">Agences de mise en œuvre </t>
  </si>
  <si>
    <t>OIT, UNICEF, UNFPA</t>
  </si>
  <si>
    <t xml:space="preserve">Zones d’intervention </t>
  </si>
  <si>
    <t>Brève description du projet:</t>
  </si>
  <si>
    <t xml:space="preserve">Contribuant à la consolidation d’un environnement favorable à la cohésion sociale, à la sécurité et au maintien de la performance de la filière vanille, l'intervention du projet porte sur la promotion du dialogue social et de la prise de décision transparente et inclusive ; la responsabilisation et l’appui à la participation et la coopération communautaire ainsi que l’appui à la résilience des enfants et des jeunes. </t>
  </si>
  <si>
    <t>Instructions:</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</si>
  <si>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2"/>
        <color rgb="FFFF0000"/>
        <rFont val="Arial Narrow"/>
        <family val="2"/>
      </rPr>
      <t xml:space="preserve"> en rouge</t>
    </r>
    <r>
      <rPr>
        <b/>
        <sz val="12"/>
        <color theme="1"/>
        <rFont val="Arial Narrow"/>
        <family val="2"/>
      </rPr>
      <t>.</t>
    </r>
  </si>
  <si>
    <t>Tableau 2 - Répartition des produits par catégories de budget de l’ONU</t>
  </si>
  <si>
    <t>Budget revisé (en USD)</t>
  </si>
  <si>
    <t>Organisation recipiendiaire 1</t>
  </si>
  <si>
    <t>Organisation recipiendiaire 2</t>
  </si>
  <si>
    <t>Organisation recipiendiaire 3</t>
  </si>
  <si>
    <t>Total nouveau budget du projet</t>
  </si>
  <si>
    <t>RESULTAT 1</t>
  </si>
  <si>
    <t>En plus (+)</t>
  </si>
  <si>
    <t>En moins (-)</t>
  </si>
  <si>
    <t>Budget revisé</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</si>
  <si>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</si>
  <si>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</si>
  <si>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</si>
  <si>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</si>
  <si>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</si>
  <si>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</si>
  <si>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</si>
  <si>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</si>
  <si>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</si>
  <si>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</si>
  <si>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</si>
  <si>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 xml:space="preserve">Budget revisé </t>
  </si>
  <si>
    <t>Total nouveau budget</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</si>
  <si>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</si>
  <si>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</si>
  <si>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</si>
  <si>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</si>
  <si>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</si>
  <si>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</si>
  <si>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</si>
  <si>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</si>
  <si>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</si>
  <si>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</si>
  <si>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</si>
  <si>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</si>
  <si>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</si>
  <si>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</si>
  <si>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</si>
  <si>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</si>
  <si>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</si>
  <si>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</si>
  <si>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</si>
  <si>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</si>
  <si>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</si>
  <si>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</si>
  <si>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</si>
  <si>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Totaux budget initial (en USD)</t>
  </si>
  <si>
    <t>Totaux budget revisé (en USD)</t>
  </si>
  <si>
    <t>Budget revisé ILO</t>
  </si>
  <si>
    <t>Total nouveau budget ILO</t>
  </si>
  <si>
    <t>Budget revisé UNICEF</t>
  </si>
  <si>
    <t>Total nouveau budget UNICEF</t>
  </si>
  <si>
    <t>Budget revisé UNFPA</t>
  </si>
  <si>
    <t>Total nouveau budget UNFPA</t>
  </si>
  <si>
    <t>Totaux nouveaux budget</t>
  </si>
  <si>
    <r>
      <t>Mener un plaidoyer au niveau national pour la révision de la politique pénale de la vanille,</t>
    </r>
    <r>
      <rPr>
        <strike/>
        <sz val="12"/>
        <color theme="1"/>
        <rFont val="Arial Narrow"/>
        <family val="2"/>
      </rPr>
      <t xml:space="preserve"> et au niveau régional pour une gouvernance plus transparente et inclusive des ristournes de la vanille  </t>
    </r>
  </si>
  <si>
    <t xml:space="preserve">Variation du budget </t>
  </si>
  <si>
    <t>TOTAL RESULTAT 1</t>
  </si>
  <si>
    <t xml:space="preserve">VARIATION </t>
  </si>
  <si>
    <t>Total pour résultat 2</t>
  </si>
  <si>
    <t>Variation</t>
  </si>
  <si>
    <t>Total Résultat 3</t>
  </si>
  <si>
    <t xml:space="preserve">Variation </t>
  </si>
  <si>
    <t xml:space="preserve">variation </t>
  </si>
  <si>
    <t>Totaux (inchangés)</t>
  </si>
  <si>
    <t>Tableau 1 - Révision budgétaire du Projet Vanille par résultat, produit et activité</t>
  </si>
  <si>
    <t>Dépenses (en USD)</t>
  </si>
  <si>
    <t>Organisation recipiendaire 1</t>
  </si>
  <si>
    <t>Organisation recipiendaire 2</t>
  </si>
  <si>
    <t>TOTAL DEPENSES</t>
  </si>
  <si>
    <t>Organisation recipiendaire 3</t>
  </si>
  <si>
    <t>Totaux des dépenses (en USD)</t>
  </si>
  <si>
    <t>Région DIANA : Commune Urbaine d'Antsiranana, Commune urbaine d'Ambanja et Communes Rurale d'Ambohimena
Région SAVA : Communes Urbaines de Sambava et Antalaha, Communes Rurales de Bemanevika et Ampohibe</t>
  </si>
  <si>
    <t>variation %</t>
  </si>
  <si>
    <r>
      <t>Niveau de depense/ engagement actuel en USD (a remplir au moment des rapports de projet)</t>
    </r>
    <r>
      <rPr>
        <b/>
        <sz val="10"/>
        <rFont val="Calibri"/>
        <family val="2"/>
      </rPr>
      <t xml:space="preserve"> </t>
    </r>
  </si>
  <si>
    <t>DEPENSE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</si>
</sst>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_-* #,##0\ _€_-;\-* #,##0\ _€_-;_-* &quot;-&quot;\ _€_-;_-@_-"/>
    <numFmt numFmtId="165" formatCode="_-* #,##0.00\ &quot;€&quot;_-;\-* #,##0.00\ &quot;€&quot;_-;_-* &quot;-&quot;??\ &quot;€&quot;_-;_-@_-"/>
    <numFmt numFmtId="166" formatCode="_-* #,##0.00\ _€_-;\-* #,##0.00\ _€_-;_-* &quot;-&quot;??\ _€_-;_-@_-"/>
    <numFmt numFmtId="167" formatCode="_-* #,##0.00_-;\-* #,##0.00_-;_-* &quot;-&quot;??_-;_-@_-"/>
    <numFmt numFmtId="168" formatCode="_-[$$-409]* #,##0.00_ ;_-[$$-409]* \-#,##0.00\ ;_-[$$-409]* &quot;-&quot;??_ ;_-@_ "/>
    <numFmt numFmtId="169" formatCode="_-&quot;$&quot;* #,##0.00_-;\-&quot;$&quot;* #,##0.00_-;_-&quot;$&quot;* &quot;-&quot;??_-;_-@_-"/>
    <numFmt numFmtId="170" formatCode="[$$-409]#,##0.00"/>
    <numFmt numFmtId="171" formatCode="_-[$$-C09]* #,##0.00_-;\-[$$-C09]* #,##0.00_-;_-[$$-C09]* &quot;-&quot;??_-;_-@_-"/>
    <numFmt numFmtId="172" formatCode="_-* #,##0.00_-;\-* #,##0.00_-;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2"/>
      <color rgb="FF00B0F0"/>
      <name val="Arial Narrow"/>
      <family val="2"/>
    </font>
    <font>
      <sz val="12"/>
      <color theme="1"/>
      <name val="Arial Narrow"/>
      <family val="2"/>
    </font>
    <font>
      <b/>
      <sz val="12"/>
      <color theme="1"/>
      <name val="Arial Narrow"/>
      <family val="2"/>
    </font>
    <font>
      <b/>
      <sz val="12"/>
      <color rgb="FFFF0000"/>
      <name val="Arial Narrow"/>
      <family val="2"/>
    </font>
    <font>
      <sz val="12"/>
      <color rgb="FFFF0000"/>
      <name val="Arial Narrow"/>
      <family val="2"/>
    </font>
    <font>
      <sz val="12"/>
      <name val="Arial Narrow"/>
      <family val="2"/>
    </font>
    <font>
      <sz val="12"/>
      <color theme="1"/>
      <name val="Calibri"/>
      <family val="2"/>
      <scheme val="minor"/>
    </font>
    <font>
      <b/>
      <sz val="12"/>
      <name val="Arial Narrow"/>
      <family val="2"/>
    </font>
    <font>
      <b/>
      <sz val="12"/>
      <color theme="1"/>
      <name val="Calibri"/>
      <family val="2"/>
      <scheme val="minor"/>
    </font>
    <font>
      <strike/>
      <sz val="12"/>
      <color theme="1"/>
      <name val="Arial Narrow"/>
      <family val="2"/>
    </font>
    <font>
      <b/>
      <sz val="16"/>
      <color rgb="FF00B0F0"/>
      <name val="Arial Narrow"/>
      <family val="2"/>
    </font>
    <font>
      <b/>
      <sz val="14"/>
      <color theme="1"/>
      <name val="Arial Narrow"/>
      <family val="2"/>
    </font>
    <font>
      <sz val="14"/>
      <color theme="1"/>
      <name val="Arial Narrow"/>
      <family val="2"/>
    </font>
    <font>
      <b/>
      <sz val="12"/>
      <name val="Calibri"/>
      <family val="2"/>
      <scheme val="minor"/>
    </font>
    <font>
      <sz val="12"/>
      <name val="Calibri"/>
      <family val="2"/>
      <scheme val="minor"/>
    </font>
    <font>
      <i/>
      <sz val="12"/>
      <color theme="1"/>
      <name val="Arial Narrow"/>
      <family val="2"/>
    </font>
    <font>
      <i/>
      <sz val="12"/>
      <name val="Calibri"/>
      <family val="2"/>
      <scheme val="minor"/>
    </font>
    <font>
      <b/>
      <sz val="12"/>
      <color theme="1"/>
      <name val="Tahoma"/>
      <family val="2"/>
    </font>
    <font>
      <b/>
      <sz val="14"/>
      <color theme="1"/>
      <name val="Tahoma"/>
      <family val="2"/>
    </font>
    <font>
      <sz val="14"/>
      <color theme="1"/>
      <name val="Calibri"/>
      <family val="2"/>
      <scheme val="minor"/>
    </font>
    <font>
      <sz val="10"/>
      <name val="Calibri"/>
      <family val="2"/>
    </font>
    <font>
      <b/>
      <sz val="10"/>
      <name val="Calibri"/>
      <family val="2"/>
    </font>
    <font>
      <sz val="10"/>
      <color theme="1"/>
      <name val="Calibri"/>
      <family val="2"/>
      <scheme val="minor"/>
    </font>
    <font>
      <sz val="12"/>
      <color theme="0"/>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medium">
        <color indexed="64"/>
      </top>
      <bottom style="thin">
        <color indexed="64"/>
      </bottom>
      <diagonal/>
    </border>
    <border>
      <left/>
      <right/>
      <top style="thin">
        <color indexed="64"/>
      </top>
      <bottom/>
      <diagonal/>
    </border>
    <border>
      <left/>
      <right style="medium">
        <color auto="1"/>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indexed="64"/>
      </bottom>
      <diagonal/>
    </border>
    <border>
      <left style="medium">
        <color auto="1"/>
      </left>
      <right style="medium">
        <color auto="1"/>
      </right>
      <top style="thin">
        <color auto="1"/>
      </top>
      <bottom style="medium">
        <color auto="1"/>
      </bottom>
      <diagonal/>
    </border>
    <border>
      <left/>
      <right style="medium">
        <color indexed="64"/>
      </right>
      <top style="medium">
        <color indexed="64"/>
      </top>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bottom/>
      <diagonal/>
    </border>
    <border>
      <left/>
      <right/>
      <top/>
      <bottom style="thin">
        <color indexed="64"/>
      </bottom>
      <diagonal/>
    </border>
    <border>
      <left/>
      <right style="medium">
        <color auto="1"/>
      </right>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right style="thin">
        <color auto="1"/>
      </right>
      <top style="medium">
        <color auto="1"/>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auto="1"/>
      </left>
      <right style="medium">
        <color auto="1"/>
      </right>
      <top/>
      <bottom style="medium">
        <color auto="1"/>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cellStyleXfs>
  <cellXfs count="508">
    <xf numFmtId="0" fontId="0" fillId="0" borderId="0" xfId="0"/>
    <xf numFmtId="0" fontId="4" fillId="0" borderId="0" xfId="0" applyFont="1" applyBorder="1" applyAlignment="1">
      <alignment wrapText="1"/>
    </xf>
    <xf numFmtId="0" fontId="3" fillId="0" borderId="0" xfId="0" applyFont="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4" fillId="3" borderId="0" xfId="0" applyFont="1" applyFill="1" applyBorder="1" applyAlignment="1">
      <alignment wrapText="1"/>
    </xf>
    <xf numFmtId="0" fontId="5" fillId="4" borderId="8"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6" borderId="8" xfId="0" applyFont="1" applyFill="1" applyBorder="1" applyAlignment="1" applyProtection="1">
      <alignment vertical="center" wrapText="1"/>
    </xf>
    <xf numFmtId="165" fontId="5" fillId="0" borderId="0" xfId="2" applyFont="1" applyFill="1" applyBorder="1" applyAlignment="1" applyProtection="1">
      <alignment vertical="center" wrapText="1"/>
    </xf>
    <xf numFmtId="0" fontId="4" fillId="6" borderId="8" xfId="0" applyFont="1" applyFill="1" applyBorder="1" applyAlignment="1" applyProtection="1">
      <alignment vertical="center" wrapText="1"/>
    </xf>
    <xf numFmtId="0" fontId="4" fillId="0" borderId="8" xfId="0" applyFont="1" applyBorder="1" applyAlignment="1" applyProtection="1">
      <alignment vertical="center" wrapText="1"/>
      <protection locked="0"/>
    </xf>
    <xf numFmtId="44" fontId="4" fillId="0" borderId="8" xfId="4" applyNumberFormat="1" applyFont="1" applyBorder="1" applyAlignment="1" applyProtection="1">
      <alignment horizontal="center" vertical="center" wrapText="1"/>
      <protection locked="0"/>
    </xf>
    <xf numFmtId="44" fontId="4" fillId="4" borderId="8" xfId="4" applyNumberFormat="1" applyFont="1" applyFill="1" applyBorder="1" applyAlignment="1" applyProtection="1">
      <alignment horizontal="center" vertical="center" wrapText="1"/>
    </xf>
    <xf numFmtId="44" fontId="4" fillId="0" borderId="8" xfId="2" applyNumberFormat="1" applyFont="1" applyBorder="1" applyAlignment="1" applyProtection="1">
      <alignment horizontal="center" vertical="center" wrapText="1"/>
      <protection locked="0"/>
    </xf>
    <xf numFmtId="44" fontId="4" fillId="4" borderId="8" xfId="2" applyNumberFormat="1" applyFont="1" applyFill="1" applyBorder="1" applyAlignment="1" applyProtection="1">
      <alignment horizontal="center" vertical="center" wrapText="1"/>
    </xf>
    <xf numFmtId="44" fontId="8" fillId="5" borderId="8" xfId="2" applyNumberFormat="1" applyFont="1" applyFill="1" applyBorder="1" applyAlignment="1" applyProtection="1">
      <alignment horizontal="center" vertical="center" wrapText="1"/>
    </xf>
    <xf numFmtId="49" fontId="4" fillId="0" borderId="8" xfId="2" applyNumberFormat="1"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horizontal="left" vertical="top" wrapText="1"/>
      <protection locked="0"/>
    </xf>
    <xf numFmtId="44" fontId="4" fillId="3" borderId="8" xfId="4" applyNumberFormat="1" applyFont="1" applyFill="1" applyBorder="1" applyAlignment="1" applyProtection="1">
      <alignment horizontal="center" vertical="center" wrapText="1"/>
      <protection locked="0"/>
    </xf>
    <xf numFmtId="44" fontId="4" fillId="3" borderId="8" xfId="2" applyNumberFormat="1" applyFont="1" applyFill="1" applyBorder="1" applyAlignment="1" applyProtection="1">
      <alignment horizontal="center" vertical="center" wrapText="1"/>
      <protection locked="0"/>
    </xf>
    <xf numFmtId="49" fontId="4" fillId="3" borderId="8" xfId="2" applyNumberFormat="1" applyFont="1" applyFill="1" applyBorder="1" applyAlignment="1" applyProtection="1">
      <alignment horizontal="left" wrapText="1"/>
      <protection locked="0"/>
    </xf>
    <xf numFmtId="0" fontId="5" fillId="4" borderId="8" xfId="0" applyFont="1" applyFill="1" applyBorder="1" applyAlignment="1" applyProtection="1">
      <alignment vertical="center" wrapText="1"/>
    </xf>
    <xf numFmtId="44" fontId="5" fillId="4" borderId="8" xfId="4" applyNumberFormat="1" applyFont="1" applyFill="1" applyBorder="1" applyAlignment="1" applyProtection="1">
      <alignment horizontal="center" vertical="center" wrapText="1"/>
    </xf>
    <xf numFmtId="44" fontId="5" fillId="4" borderId="8" xfId="2" applyNumberFormat="1" applyFont="1" applyFill="1" applyBorder="1" applyAlignment="1" applyProtection="1">
      <alignment horizontal="center" vertical="center" wrapText="1"/>
    </xf>
    <xf numFmtId="44" fontId="10" fillId="5" borderId="8" xfId="2" applyNumberFormat="1" applyFont="1" applyFill="1" applyBorder="1" applyAlignment="1" applyProtection="1">
      <alignment horizontal="center" vertical="center" wrapText="1"/>
    </xf>
    <xf numFmtId="44" fontId="11" fillId="4" borderId="8" xfId="4" applyFont="1" applyFill="1" applyBorder="1" applyAlignment="1" applyProtection="1">
      <alignment horizontal="center" vertical="center" wrapText="1"/>
    </xf>
    <xf numFmtId="165" fontId="5" fillId="4" borderId="8" xfId="2" applyFont="1" applyFill="1" applyBorder="1" applyAlignment="1" applyProtection="1">
      <alignment horizontal="center" vertical="center" wrapText="1"/>
    </xf>
    <xf numFmtId="165" fontId="5" fillId="0" borderId="0" xfId="2" applyFont="1" applyFill="1" applyBorder="1" applyAlignment="1" applyProtection="1">
      <alignment horizontal="center" vertical="center" wrapText="1"/>
    </xf>
    <xf numFmtId="0" fontId="12" fillId="0" borderId="8" xfId="0" applyFont="1" applyBorder="1" applyAlignment="1" applyProtection="1">
      <alignment horizontal="left" vertical="top" wrapText="1"/>
      <protection locked="0"/>
    </xf>
    <xf numFmtId="0" fontId="0" fillId="3" borderId="0" xfId="0" applyFont="1" applyFill="1" applyBorder="1" applyAlignment="1">
      <alignment wrapText="1"/>
    </xf>
    <xf numFmtId="0" fontId="2" fillId="0" borderId="8" xfId="0" applyFont="1" applyBorder="1" applyAlignment="1" applyProtection="1">
      <alignment horizontal="left" vertical="top" wrapText="1"/>
      <protection locked="0"/>
    </xf>
    <xf numFmtId="0" fontId="0" fillId="0" borderId="0" xfId="0" applyFont="1" applyBorder="1" applyAlignment="1">
      <alignment wrapText="1"/>
    </xf>
    <xf numFmtId="44" fontId="5" fillId="4" borderId="4" xfId="4" applyNumberFormat="1" applyFont="1" applyFill="1" applyBorder="1" applyAlignment="1" applyProtection="1">
      <alignment horizontal="center" vertical="center" wrapText="1"/>
    </xf>
    <xf numFmtId="44" fontId="5" fillId="4" borderId="4" xfId="2" applyNumberFormat="1" applyFont="1" applyFill="1" applyBorder="1" applyAlignment="1" applyProtection="1">
      <alignment horizontal="center" vertical="center" wrapText="1"/>
    </xf>
    <xf numFmtId="44" fontId="10" fillId="5" borderId="4" xfId="2" applyNumberFormat="1" applyFont="1" applyFill="1" applyBorder="1" applyAlignment="1" applyProtection="1">
      <alignment horizontal="center" vertical="center" wrapText="1"/>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left" vertical="top" wrapText="1"/>
      <protection locked="0"/>
    </xf>
    <xf numFmtId="165" fontId="4" fillId="3" borderId="0" xfId="2" applyFont="1" applyFill="1" applyBorder="1" applyAlignment="1" applyProtection="1">
      <alignment horizontal="center" vertical="center" wrapText="1"/>
      <protection locked="0"/>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5" fillId="3" borderId="0" xfId="0" applyFont="1" applyFill="1" applyBorder="1" applyAlignment="1" applyProtection="1">
      <alignment vertical="center" wrapText="1"/>
    </xf>
    <xf numFmtId="165" fontId="4" fillId="3" borderId="0" xfId="2"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4" fillId="0" borderId="8" xfId="0" applyFont="1" applyBorder="1" applyAlignment="1" applyProtection="1">
      <alignment horizontal="left" vertical="top" wrapText="1"/>
    </xf>
    <xf numFmtId="44" fontId="4" fillId="3" borderId="8" xfId="4" applyNumberFormat="1" applyFont="1" applyFill="1" applyBorder="1" applyAlignment="1" applyProtection="1">
      <alignment horizontal="center" vertical="center" wrapText="1"/>
    </xf>
    <xf numFmtId="0" fontId="4" fillId="3" borderId="6" xfId="0" applyFont="1" applyFill="1" applyBorder="1" applyAlignment="1" applyProtection="1">
      <alignment vertical="center" wrapText="1"/>
      <protection locked="0"/>
    </xf>
    <xf numFmtId="0" fontId="4" fillId="3" borderId="8" xfId="0" applyFont="1" applyFill="1" applyBorder="1" applyAlignment="1" applyProtection="1">
      <alignment vertical="center" wrapText="1"/>
      <protection locked="0"/>
    </xf>
    <xf numFmtId="44" fontId="4" fillId="0" borderId="8" xfId="4" applyFont="1" applyBorder="1" applyAlignment="1" applyProtection="1">
      <alignment vertical="center" wrapText="1"/>
      <protection locked="0"/>
    </xf>
    <xf numFmtId="44" fontId="4" fillId="4" borderId="8" xfId="4" applyFont="1" applyFill="1" applyBorder="1" applyAlignment="1" applyProtection="1">
      <alignment vertical="center" wrapText="1"/>
    </xf>
    <xf numFmtId="165" fontId="4" fillId="0" borderId="8" xfId="2" applyFont="1" applyBorder="1" applyAlignment="1" applyProtection="1">
      <alignment vertical="center" wrapText="1"/>
      <protection locked="0"/>
    </xf>
    <xf numFmtId="168" fontId="8" fillId="5" borderId="8" xfId="2" applyNumberFormat="1" applyFont="1" applyFill="1" applyBorder="1" applyAlignment="1" applyProtection="1">
      <alignment vertical="center" wrapText="1"/>
    </xf>
    <xf numFmtId="169" fontId="8" fillId="5" borderId="8" xfId="2" applyNumberFormat="1" applyFont="1" applyFill="1" applyBorder="1" applyAlignment="1" applyProtection="1">
      <alignment vertical="center" wrapText="1"/>
    </xf>
    <xf numFmtId="49" fontId="4" fillId="0" borderId="8" xfId="0" applyNumberFormat="1" applyFont="1" applyBorder="1" applyAlignment="1" applyProtection="1">
      <alignment horizontal="left" wrapText="1"/>
      <protection locked="0"/>
    </xf>
    <xf numFmtId="0" fontId="4" fillId="3" borderId="7" xfId="0" applyFont="1" applyFill="1" applyBorder="1" applyAlignment="1" applyProtection="1">
      <alignment vertical="center" wrapText="1"/>
      <protection locked="0"/>
    </xf>
    <xf numFmtId="0" fontId="5" fillId="4" borderId="9" xfId="0" applyFont="1" applyFill="1" applyBorder="1" applyAlignment="1" applyProtection="1">
      <alignment vertical="center" wrapText="1"/>
    </xf>
    <xf numFmtId="0" fontId="5" fillId="7" borderId="8" xfId="0" applyFont="1" applyFill="1" applyBorder="1" applyAlignment="1" applyProtection="1">
      <alignment vertical="center" wrapText="1"/>
      <protection locked="0"/>
    </xf>
    <xf numFmtId="44" fontId="5" fillId="7" borderId="8" xfId="4" applyFont="1" applyFill="1" applyBorder="1" applyAlignment="1" applyProtection="1">
      <alignment vertical="center" wrapText="1"/>
    </xf>
    <xf numFmtId="165" fontId="5" fillId="7" borderId="8" xfId="2" applyFont="1" applyFill="1" applyBorder="1" applyAlignment="1" applyProtection="1">
      <alignment vertical="center" wrapText="1"/>
    </xf>
    <xf numFmtId="44" fontId="10" fillId="5" borderId="10" xfId="2" applyNumberFormat="1" applyFont="1" applyFill="1" applyBorder="1" applyAlignment="1" applyProtection="1">
      <alignment horizontal="center" vertical="center" wrapText="1"/>
    </xf>
    <xf numFmtId="0" fontId="5" fillId="3" borderId="0" xfId="0" applyFont="1" applyFill="1" applyBorder="1" applyAlignment="1" applyProtection="1">
      <alignment vertical="center" wrapText="1"/>
      <protection locked="0"/>
    </xf>
    <xf numFmtId="165" fontId="8" fillId="3" borderId="0" xfId="2" applyFont="1" applyFill="1" applyBorder="1" applyAlignment="1" applyProtection="1">
      <alignment vertical="center" wrapText="1"/>
      <protection locked="0"/>
    </xf>
    <xf numFmtId="0" fontId="5" fillId="5" borderId="11" xfId="0" applyFont="1" applyFill="1" applyBorder="1" applyAlignment="1" applyProtection="1">
      <alignment vertical="center" wrapText="1"/>
      <protection locked="0"/>
    </xf>
    <xf numFmtId="44" fontId="5" fillId="5" borderId="10" xfId="2" applyNumberFormat="1" applyFont="1" applyFill="1" applyBorder="1" applyAlignment="1" applyProtection="1">
      <alignment horizontal="center" vertical="center" wrapText="1"/>
    </xf>
    <xf numFmtId="0" fontId="5" fillId="5" borderId="12" xfId="0" applyFont="1" applyFill="1" applyBorder="1" applyAlignment="1" applyProtection="1">
      <alignment vertical="center" wrapText="1"/>
      <protection locked="0"/>
    </xf>
    <xf numFmtId="0" fontId="9" fillId="4" borderId="8"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4" fillId="4" borderId="20" xfId="0" applyFont="1" applyFill="1" applyBorder="1" applyAlignment="1" applyProtection="1">
      <alignment vertical="center" wrapText="1"/>
    </xf>
    <xf numFmtId="170" fontId="9" fillId="4" borderId="8" xfId="0" applyNumberFormat="1" applyFont="1" applyFill="1" applyBorder="1" applyAlignment="1" applyProtection="1">
      <alignment vertical="center" wrapText="1"/>
    </xf>
    <xf numFmtId="44" fontId="4" fillId="4" borderId="21" xfId="0" applyNumberFormat="1" applyFont="1" applyFill="1" applyBorder="1" applyAlignment="1" applyProtection="1">
      <alignment vertical="center" wrapText="1"/>
    </xf>
    <xf numFmtId="44" fontId="4" fillId="4" borderId="8" xfId="0" applyNumberFormat="1" applyFont="1" applyFill="1" applyBorder="1" applyAlignment="1" applyProtection="1">
      <alignment vertical="center" wrapText="1"/>
    </xf>
    <xf numFmtId="0" fontId="4" fillId="3"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5" fillId="4" borderId="22" xfId="0" applyFont="1" applyFill="1" applyBorder="1" applyAlignment="1" applyProtection="1">
      <alignment vertical="center" wrapText="1"/>
    </xf>
    <xf numFmtId="170" fontId="11" fillId="4" borderId="23" xfId="0" applyNumberFormat="1" applyFont="1" applyFill="1" applyBorder="1" applyAlignment="1" applyProtection="1">
      <alignment vertical="center" wrapText="1"/>
    </xf>
    <xf numFmtId="171" fontId="5" fillId="4" borderId="24" xfId="2" applyNumberFormat="1" applyFont="1" applyFill="1" applyBorder="1" applyAlignment="1" applyProtection="1">
      <alignment vertical="center" wrapText="1"/>
    </xf>
    <xf numFmtId="170" fontId="4" fillId="0" borderId="0" xfId="0" applyNumberFormat="1" applyFont="1" applyBorder="1" applyAlignment="1">
      <alignment wrapText="1"/>
    </xf>
    <xf numFmtId="0" fontId="5" fillId="3" borderId="0" xfId="0" applyFont="1" applyFill="1" applyBorder="1" applyAlignment="1">
      <alignment vertical="center" wrapText="1"/>
    </xf>
    <xf numFmtId="44" fontId="5" fillId="3" borderId="0" xfId="0" applyNumberFormat="1" applyFont="1" applyFill="1" applyBorder="1" applyAlignment="1">
      <alignment vertical="center" wrapText="1"/>
    </xf>
    <xf numFmtId="0" fontId="5" fillId="4" borderId="20" xfId="0" applyFont="1" applyFill="1" applyBorder="1" applyAlignment="1" applyProtection="1">
      <alignment horizontal="center" vertical="center" wrapText="1"/>
    </xf>
    <xf numFmtId="0" fontId="5" fillId="4" borderId="20" xfId="0" applyFont="1" applyFill="1" applyBorder="1" applyAlignment="1" applyProtection="1">
      <alignment vertical="center" wrapText="1"/>
    </xf>
    <xf numFmtId="171" fontId="5" fillId="4" borderId="8" xfId="2" applyNumberFormat="1" applyFont="1" applyFill="1" applyBorder="1" applyAlignment="1" applyProtection="1">
      <alignment vertical="center" wrapText="1"/>
    </xf>
    <xf numFmtId="9" fontId="5" fillId="3" borderId="21" xfId="3" applyFont="1" applyFill="1" applyBorder="1" applyAlignment="1" applyProtection="1">
      <alignment vertical="center" wrapText="1"/>
      <protection locked="0"/>
    </xf>
    <xf numFmtId="171" fontId="5" fillId="4" borderId="23" xfId="2" applyNumberFormat="1" applyFont="1" applyFill="1" applyBorder="1" applyAlignment="1" applyProtection="1">
      <alignment vertical="center" wrapText="1"/>
    </xf>
    <xf numFmtId="9" fontId="5" fillId="4" borderId="24" xfId="3" applyFont="1" applyFill="1" applyBorder="1" applyAlignment="1" applyProtection="1">
      <alignment vertical="center" wrapText="1"/>
    </xf>
    <xf numFmtId="0" fontId="5" fillId="4" borderId="20"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10" fontId="5" fillId="4" borderId="21" xfId="3" applyNumberFormat="1" applyFont="1" applyFill="1" applyBorder="1" applyAlignment="1" applyProtection="1">
      <alignment wrapText="1"/>
    </xf>
    <xf numFmtId="0" fontId="5" fillId="3" borderId="0" xfId="0" applyFont="1" applyFill="1" applyBorder="1" applyAlignment="1">
      <alignment horizontal="center" vertical="center" wrapText="1"/>
    </xf>
    <xf numFmtId="44" fontId="5" fillId="4" borderId="21" xfId="3" applyNumberFormat="1" applyFont="1" applyFill="1" applyBorder="1" applyAlignment="1" applyProtection="1">
      <alignment wrapText="1"/>
    </xf>
    <xf numFmtId="44" fontId="5" fillId="3" borderId="0" xfId="3" applyNumberFormat="1" applyFont="1" applyFill="1" applyBorder="1" applyAlignment="1">
      <alignment wrapText="1"/>
    </xf>
    <xf numFmtId="0" fontId="4" fillId="3" borderId="0" xfId="0" applyFont="1" applyFill="1" applyBorder="1" applyAlignment="1">
      <alignment horizontal="center" vertical="center" wrapText="1"/>
    </xf>
    <xf numFmtId="0" fontId="14" fillId="3" borderId="26" xfId="0" applyFont="1" applyFill="1" applyBorder="1" applyAlignment="1">
      <alignment horizontal="justify" vertical="center" wrapText="1"/>
    </xf>
    <xf numFmtId="0" fontId="14" fillId="3" borderId="20" xfId="0" applyFont="1" applyFill="1" applyBorder="1" applyAlignment="1">
      <alignment horizontal="left" vertical="center" wrapText="1"/>
    </xf>
    <xf numFmtId="0" fontId="5" fillId="0" borderId="0" xfId="0" applyFont="1" applyBorder="1" applyAlignment="1">
      <alignment wrapText="1"/>
    </xf>
    <xf numFmtId="0" fontId="5" fillId="3" borderId="0" xfId="0" applyFont="1" applyFill="1" applyBorder="1" applyAlignment="1">
      <alignment horizontal="left" wrapText="1"/>
    </xf>
    <xf numFmtId="0" fontId="5" fillId="0" borderId="0" xfId="0" applyFont="1" applyFill="1" applyBorder="1" applyAlignment="1">
      <alignment horizontal="left" wrapText="1"/>
    </xf>
    <xf numFmtId="0" fontId="5" fillId="3"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4" borderId="20" xfId="0" applyFont="1" applyFill="1" applyBorder="1" applyAlignment="1" applyProtection="1">
      <alignment horizontal="center" vertical="center" wrapText="1"/>
    </xf>
    <xf numFmtId="165" fontId="5" fillId="4" borderId="20" xfId="2" applyFont="1" applyFill="1" applyBorder="1" applyAlignment="1" applyProtection="1">
      <alignment horizontal="center" vertical="center" wrapText="1"/>
    </xf>
    <xf numFmtId="0" fontId="5" fillId="4" borderId="30" xfId="0" applyFont="1" applyFill="1" applyBorder="1" applyAlignment="1">
      <alignment horizontal="left" wrapText="1"/>
    </xf>
    <xf numFmtId="44" fontId="5" fillId="4" borderId="20" xfId="0" applyNumberFormat="1" applyFont="1" applyFill="1" applyBorder="1" applyAlignment="1">
      <alignment horizontal="center" wrapText="1"/>
    </xf>
    <xf numFmtId="44" fontId="5" fillId="4" borderId="21" xfId="0" applyNumberFormat="1" applyFont="1" applyFill="1" applyBorder="1" applyAlignment="1">
      <alignment wrapText="1"/>
    </xf>
    <xf numFmtId="44" fontId="16" fillId="10" borderId="20" xfId="0" applyNumberFormat="1" applyFont="1" applyFill="1" applyBorder="1" applyAlignment="1">
      <alignment horizontal="center" wrapText="1"/>
    </xf>
    <xf numFmtId="44" fontId="16" fillId="10" borderId="8" xfId="0" applyNumberFormat="1" applyFont="1" applyFill="1" applyBorder="1" applyAlignment="1">
      <alignment horizontal="center" wrapText="1"/>
    </xf>
    <xf numFmtId="44" fontId="16" fillId="13" borderId="21" xfId="0" applyNumberFormat="1" applyFont="1" applyFill="1" applyBorder="1" applyAlignment="1">
      <alignment horizontal="center" wrapText="1"/>
    </xf>
    <xf numFmtId="44" fontId="11" fillId="11" borderId="20" xfId="0" applyNumberFormat="1" applyFont="1" applyFill="1" applyBorder="1" applyAlignment="1">
      <alignment horizontal="center" wrapText="1"/>
    </xf>
    <xf numFmtId="44" fontId="11" fillId="11" borderId="8" xfId="0" applyNumberFormat="1" applyFont="1" applyFill="1" applyBorder="1" applyAlignment="1">
      <alignment horizontal="center" wrapText="1"/>
    </xf>
    <xf numFmtId="44" fontId="11" fillId="14" borderId="21" xfId="0" applyNumberFormat="1" applyFont="1" applyFill="1" applyBorder="1" applyAlignment="1">
      <alignment horizontal="center" wrapText="1"/>
    </xf>
    <xf numFmtId="44" fontId="11" fillId="12" borderId="20" xfId="0" applyNumberFormat="1" applyFont="1" applyFill="1" applyBorder="1" applyAlignment="1">
      <alignment horizontal="center" wrapText="1"/>
    </xf>
    <xf numFmtId="44" fontId="11" fillId="12" borderId="8" xfId="0" applyNumberFormat="1" applyFont="1" applyFill="1" applyBorder="1" applyAlignment="1">
      <alignment horizontal="center" wrapText="1"/>
    </xf>
    <xf numFmtId="44" fontId="11" fillId="12" borderId="21" xfId="0" applyNumberFormat="1" applyFont="1" applyFill="1" applyBorder="1" applyAlignment="1">
      <alignment horizontal="center" wrapText="1"/>
    </xf>
    <xf numFmtId="44" fontId="11" fillId="5" borderId="50" xfId="0" applyNumberFormat="1" applyFont="1" applyFill="1" applyBorder="1" applyAlignment="1">
      <alignment wrapText="1"/>
    </xf>
    <xf numFmtId="0" fontId="4" fillId="4" borderId="51" xfId="0" applyFont="1" applyFill="1" applyBorder="1" applyAlignment="1" applyProtection="1">
      <alignment vertical="center" wrapText="1"/>
    </xf>
    <xf numFmtId="44" fontId="4" fillId="0" borderId="20" xfId="0" applyNumberFormat="1" applyFont="1" applyBorder="1" applyAlignment="1" applyProtection="1">
      <alignment wrapText="1"/>
      <protection locked="0"/>
    </xf>
    <xf numFmtId="44" fontId="4" fillId="3" borderId="9" xfId="4" applyNumberFormat="1" applyFont="1" applyFill="1" applyBorder="1" applyAlignment="1" applyProtection="1">
      <alignment horizontal="center" vertical="center" wrapText="1"/>
      <protection locked="0"/>
    </xf>
    <xf numFmtId="44" fontId="17" fillId="0" borderId="20" xfId="0" applyNumberFormat="1" applyFont="1" applyFill="1" applyBorder="1" applyAlignment="1" applyProtection="1">
      <alignment wrapText="1"/>
      <protection locked="0"/>
    </xf>
    <xf numFmtId="44" fontId="17" fillId="0" borderId="8" xfId="0" applyNumberFormat="1" applyFont="1" applyFill="1" applyBorder="1" applyAlignment="1" applyProtection="1">
      <alignment wrapText="1"/>
      <protection locked="0"/>
    </xf>
    <xf numFmtId="44" fontId="9" fillId="0" borderId="20" xfId="0" applyNumberFormat="1" applyFont="1" applyFill="1" applyBorder="1" applyAlignment="1" applyProtection="1">
      <alignment wrapText="1"/>
      <protection locked="0"/>
    </xf>
    <xf numFmtId="44" fontId="9" fillId="0" borderId="8" xfId="0" applyNumberFormat="1" applyFont="1" applyFill="1" applyBorder="1" applyAlignment="1" applyProtection="1">
      <alignment wrapText="1"/>
      <protection locked="0"/>
    </xf>
    <xf numFmtId="44" fontId="9" fillId="0" borderId="20" xfId="2" applyNumberFormat="1" applyFont="1" applyFill="1" applyBorder="1" applyAlignment="1" applyProtection="1">
      <alignment horizontal="center" vertical="center" wrapText="1"/>
      <protection locked="0"/>
    </xf>
    <xf numFmtId="44" fontId="9" fillId="0" borderId="8" xfId="2" applyNumberFormat="1" applyFont="1" applyFill="1" applyBorder="1" applyAlignment="1" applyProtection="1">
      <alignment horizontal="center" vertical="center" wrapText="1"/>
      <protection locked="0"/>
    </xf>
    <xf numFmtId="44" fontId="9" fillId="12" borderId="21" xfId="2" applyNumberFormat="1" applyFont="1" applyFill="1" applyBorder="1" applyAlignment="1" applyProtection="1">
      <alignment horizontal="center" vertical="center" wrapText="1"/>
      <protection locked="0"/>
    </xf>
    <xf numFmtId="0" fontId="4" fillId="4" borderId="28" xfId="0" applyFont="1" applyFill="1" applyBorder="1" applyAlignment="1" applyProtection="1">
      <alignment vertical="center" wrapText="1"/>
    </xf>
    <xf numFmtId="44" fontId="4" fillId="0" borderId="8" xfId="0" applyNumberFormat="1" applyFont="1" applyBorder="1" applyAlignment="1" applyProtection="1">
      <alignment wrapText="1"/>
      <protection locked="0"/>
    </xf>
    <xf numFmtId="0" fontId="4" fillId="4" borderId="28" xfId="0" applyFont="1" applyFill="1" applyBorder="1" applyAlignment="1" applyProtection="1">
      <alignment vertical="center" wrapText="1"/>
      <protection locked="0"/>
    </xf>
    <xf numFmtId="165" fontId="5" fillId="7" borderId="30" xfId="2" applyFont="1" applyFill="1" applyBorder="1" applyAlignment="1" applyProtection="1">
      <alignment wrapText="1"/>
    </xf>
    <xf numFmtId="44" fontId="5" fillId="7" borderId="22" xfId="2" applyNumberFormat="1" applyFont="1" applyFill="1" applyBorder="1" applyAlignment="1">
      <alignment wrapText="1"/>
    </xf>
    <xf numFmtId="44" fontId="5" fillId="7" borderId="23" xfId="2" applyNumberFormat="1" applyFont="1" applyFill="1" applyBorder="1" applyAlignment="1">
      <alignment wrapText="1"/>
    </xf>
    <xf numFmtId="44" fontId="5" fillId="7" borderId="24" xfId="2" applyNumberFormat="1" applyFont="1" applyFill="1" applyBorder="1" applyAlignment="1">
      <alignment wrapText="1"/>
    </xf>
    <xf numFmtId="44" fontId="16" fillId="10" borderId="22" xfId="2" applyNumberFormat="1" applyFont="1" applyFill="1" applyBorder="1" applyAlignment="1">
      <alignment wrapText="1"/>
    </xf>
    <xf numFmtId="44" fontId="16" fillId="10" borderId="23" xfId="2" applyNumberFormat="1" applyFont="1" applyFill="1" applyBorder="1" applyAlignment="1">
      <alignment wrapText="1"/>
    </xf>
    <xf numFmtId="44" fontId="16" fillId="10" borderId="24" xfId="2" applyNumberFormat="1" applyFont="1" applyFill="1" applyBorder="1" applyAlignment="1">
      <alignment wrapText="1"/>
    </xf>
    <xf numFmtId="44" fontId="11" fillId="11" borderId="22" xfId="2" applyNumberFormat="1" applyFont="1" applyFill="1" applyBorder="1" applyAlignment="1">
      <alignment wrapText="1"/>
    </xf>
    <xf numFmtId="44" fontId="11" fillId="11" borderId="23" xfId="2" applyNumberFormat="1" applyFont="1" applyFill="1" applyBorder="1" applyAlignment="1">
      <alignment wrapText="1"/>
    </xf>
    <xf numFmtId="44" fontId="11" fillId="14" borderId="24" xfId="2" applyNumberFormat="1" applyFont="1" applyFill="1" applyBorder="1" applyAlignment="1">
      <alignment wrapText="1"/>
    </xf>
    <xf numFmtId="44" fontId="11" fillId="12" borderId="22" xfId="2" applyNumberFormat="1" applyFont="1" applyFill="1" applyBorder="1" applyAlignment="1">
      <alignment wrapText="1"/>
    </xf>
    <xf numFmtId="44" fontId="11" fillId="12" borderId="23" xfId="2" applyNumberFormat="1" applyFont="1" applyFill="1" applyBorder="1" applyAlignment="1">
      <alignment wrapText="1"/>
    </xf>
    <xf numFmtId="44" fontId="11" fillId="12" borderId="24" xfId="2" applyNumberFormat="1" applyFont="1" applyFill="1" applyBorder="1" applyAlignment="1">
      <alignment wrapText="1"/>
    </xf>
    <xf numFmtId="44" fontId="16" fillId="5" borderId="52" xfId="2" applyNumberFormat="1" applyFont="1" applyFill="1" applyBorder="1" applyAlignment="1">
      <alignment wrapText="1"/>
    </xf>
    <xf numFmtId="0" fontId="4" fillId="0" borderId="0" xfId="0" applyFont="1" applyBorder="1" applyAlignment="1">
      <alignment vertical="center" wrapText="1"/>
    </xf>
    <xf numFmtId="0" fontId="5" fillId="4" borderId="40" xfId="0" applyFont="1" applyFill="1" applyBorder="1" applyAlignment="1">
      <alignment vertical="center" wrapText="1"/>
    </xf>
    <xf numFmtId="0" fontId="5" fillId="4" borderId="41" xfId="0" applyFont="1" applyFill="1" applyBorder="1" applyAlignment="1">
      <alignment vertical="center" wrapText="1"/>
    </xf>
    <xf numFmtId="0" fontId="5" fillId="4" borderId="53" xfId="0" applyFont="1" applyFill="1" applyBorder="1" applyAlignment="1">
      <alignment vertical="center" wrapText="1"/>
    </xf>
    <xf numFmtId="44" fontId="16" fillId="10" borderId="26" xfId="0" applyNumberFormat="1" applyFont="1" applyFill="1" applyBorder="1" applyAlignment="1">
      <alignment horizontal="center" vertical="center" wrapText="1"/>
    </xf>
    <xf numFmtId="44" fontId="16" fillId="10" borderId="54" xfId="0" applyNumberFormat="1" applyFont="1" applyFill="1" applyBorder="1" applyAlignment="1">
      <alignment horizontal="center" vertical="center" wrapText="1"/>
    </xf>
    <xf numFmtId="44" fontId="16" fillId="13" borderId="27" xfId="0" applyNumberFormat="1" applyFont="1" applyFill="1" applyBorder="1" applyAlignment="1">
      <alignment horizontal="center" vertical="center" wrapText="1"/>
    </xf>
    <xf numFmtId="44" fontId="11" fillId="11" borderId="26" xfId="0" applyNumberFormat="1" applyFont="1" applyFill="1" applyBorder="1" applyAlignment="1">
      <alignment horizontal="center" vertical="center" wrapText="1"/>
    </xf>
    <xf numFmtId="44" fontId="11" fillId="11" borderId="54" xfId="0" applyNumberFormat="1" applyFont="1" applyFill="1" applyBorder="1" applyAlignment="1">
      <alignment horizontal="center" vertical="center" wrapText="1"/>
    </xf>
    <xf numFmtId="44" fontId="11" fillId="14" borderId="27" xfId="0" applyNumberFormat="1" applyFont="1" applyFill="1" applyBorder="1" applyAlignment="1">
      <alignment horizontal="center" vertical="center" wrapText="1"/>
    </xf>
    <xf numFmtId="44" fontId="11" fillId="12" borderId="26" xfId="0" applyNumberFormat="1" applyFont="1" applyFill="1" applyBorder="1" applyAlignment="1">
      <alignment horizontal="center" vertical="center" wrapText="1"/>
    </xf>
    <xf numFmtId="44" fontId="11" fillId="12" borderId="54" xfId="0" applyNumberFormat="1" applyFont="1" applyFill="1" applyBorder="1" applyAlignment="1">
      <alignment horizontal="center" vertical="center" wrapText="1"/>
    </xf>
    <xf numFmtId="44" fontId="11" fillId="12" borderId="27" xfId="0" applyNumberFormat="1" applyFont="1" applyFill="1" applyBorder="1" applyAlignment="1">
      <alignment horizontal="center" vertical="center" wrapText="1"/>
    </xf>
    <xf numFmtId="44" fontId="11" fillId="5" borderId="55" xfId="0" applyNumberFormat="1" applyFont="1" applyFill="1" applyBorder="1" applyAlignment="1">
      <alignment horizontal="center" vertical="center" wrapText="1"/>
    </xf>
    <xf numFmtId="0" fontId="5" fillId="4" borderId="30" xfId="0" applyFont="1" applyFill="1" applyBorder="1" applyAlignment="1">
      <alignment horizontal="left" vertical="center" wrapText="1"/>
    </xf>
    <xf numFmtId="44" fontId="5" fillId="4" borderId="20" xfId="0" applyNumberFormat="1" applyFont="1" applyFill="1" applyBorder="1" applyAlignment="1">
      <alignment horizontal="center" vertical="center" wrapText="1"/>
    </xf>
    <xf numFmtId="44" fontId="5" fillId="4" borderId="21" xfId="0" applyNumberFormat="1" applyFont="1" applyFill="1" applyBorder="1" applyAlignment="1">
      <alignment vertical="center" wrapText="1"/>
    </xf>
    <xf numFmtId="44" fontId="11" fillId="5" borderId="55" xfId="0" applyNumberFormat="1" applyFont="1" applyFill="1" applyBorder="1" applyAlignment="1">
      <alignment vertical="center" wrapText="1"/>
    </xf>
    <xf numFmtId="44" fontId="4" fillId="0" borderId="20" xfId="0" applyNumberFormat="1" applyFont="1" applyBorder="1" applyAlignment="1" applyProtection="1">
      <alignment vertical="center" wrapText="1"/>
      <protection locked="0"/>
    </xf>
    <xf numFmtId="44" fontId="17" fillId="0" borderId="20" xfId="0" applyNumberFormat="1" applyFont="1" applyFill="1" applyBorder="1" applyAlignment="1" applyProtection="1">
      <alignment vertical="center" wrapText="1"/>
      <protection locked="0"/>
    </xf>
    <xf numFmtId="44" fontId="17" fillId="0" borderId="8" xfId="0" applyNumberFormat="1" applyFont="1" applyFill="1" applyBorder="1" applyAlignment="1" applyProtection="1">
      <alignment vertical="center" wrapText="1"/>
      <protection locked="0"/>
    </xf>
    <xf numFmtId="44" fontId="16" fillId="13" borderId="21" xfId="0" applyNumberFormat="1" applyFont="1" applyFill="1" applyBorder="1" applyAlignment="1">
      <alignment horizontal="center" vertical="center" wrapText="1"/>
    </xf>
    <xf numFmtId="44" fontId="9" fillId="0" borderId="20" xfId="0" applyNumberFormat="1" applyFont="1" applyFill="1" applyBorder="1" applyAlignment="1" applyProtection="1">
      <alignment vertical="center" wrapText="1"/>
      <protection locked="0"/>
    </xf>
    <xf numFmtId="44" fontId="9" fillId="0" borderId="8" xfId="0" applyNumberFormat="1" applyFont="1" applyFill="1" applyBorder="1" applyAlignment="1" applyProtection="1">
      <alignment vertical="center" wrapText="1"/>
      <protection locked="0"/>
    </xf>
    <xf numFmtId="44" fontId="11" fillId="14" borderId="21" xfId="0" applyNumberFormat="1" applyFont="1" applyFill="1" applyBorder="1" applyAlignment="1">
      <alignment horizontal="center" vertical="center" wrapText="1"/>
    </xf>
    <xf numFmtId="44" fontId="11" fillId="5" borderId="50" xfId="0" applyNumberFormat="1" applyFont="1" applyFill="1" applyBorder="1" applyAlignment="1">
      <alignment vertical="center" wrapText="1"/>
    </xf>
    <xf numFmtId="44" fontId="4" fillId="0" borderId="8" xfId="0" applyNumberFormat="1" applyFont="1" applyBorder="1" applyAlignment="1" applyProtection="1">
      <alignment vertical="center" wrapText="1"/>
      <protection locked="0"/>
    </xf>
    <xf numFmtId="165" fontId="5" fillId="7" borderId="30" xfId="2" applyFont="1" applyFill="1" applyBorder="1" applyAlignment="1" applyProtection="1">
      <alignment vertical="center" wrapText="1"/>
    </xf>
    <xf numFmtId="44" fontId="5" fillId="7" borderId="22" xfId="2" applyNumberFormat="1" applyFont="1" applyFill="1" applyBorder="1" applyAlignment="1">
      <alignment vertical="center" wrapText="1"/>
    </xf>
    <xf numFmtId="44" fontId="5" fillId="7" borderId="23" xfId="2" applyNumberFormat="1" applyFont="1" applyFill="1" applyBorder="1" applyAlignment="1">
      <alignment vertical="center" wrapText="1"/>
    </xf>
    <xf numFmtId="44" fontId="5" fillId="7" borderId="24" xfId="2" applyNumberFormat="1" applyFont="1" applyFill="1" applyBorder="1" applyAlignment="1">
      <alignment vertical="center" wrapText="1"/>
    </xf>
    <xf numFmtId="44" fontId="16" fillId="10" borderId="22" xfId="2" applyNumberFormat="1" applyFont="1" applyFill="1" applyBorder="1" applyAlignment="1">
      <alignment vertical="center" wrapText="1"/>
    </xf>
    <xf numFmtId="44" fontId="16" fillId="10" borderId="23" xfId="2" applyNumberFormat="1" applyFont="1" applyFill="1" applyBorder="1" applyAlignment="1">
      <alignment vertical="center" wrapText="1"/>
    </xf>
    <xf numFmtId="44" fontId="16" fillId="10" borderId="24" xfId="2" applyNumberFormat="1" applyFont="1" applyFill="1" applyBorder="1" applyAlignment="1">
      <alignment vertical="center" wrapText="1"/>
    </xf>
    <xf numFmtId="44" fontId="11" fillId="11" borderId="22" xfId="2" applyNumberFormat="1" applyFont="1" applyFill="1" applyBorder="1" applyAlignment="1">
      <alignment vertical="center" wrapText="1"/>
    </xf>
    <xf numFmtId="44" fontId="11" fillId="11" borderId="23" xfId="2" applyNumberFormat="1" applyFont="1" applyFill="1" applyBorder="1" applyAlignment="1">
      <alignment vertical="center" wrapText="1"/>
    </xf>
    <xf numFmtId="44" fontId="11" fillId="14" borderId="24" xfId="2" applyNumberFormat="1" applyFont="1" applyFill="1" applyBorder="1" applyAlignment="1">
      <alignment vertical="center" wrapText="1"/>
    </xf>
    <xf numFmtId="44" fontId="11" fillId="12" borderId="22" xfId="2" applyNumberFormat="1" applyFont="1" applyFill="1" applyBorder="1" applyAlignment="1">
      <alignment vertical="center" wrapText="1"/>
    </xf>
    <xf numFmtId="44" fontId="11" fillId="12" borderId="23" xfId="2" applyNumberFormat="1" applyFont="1" applyFill="1" applyBorder="1" applyAlignment="1">
      <alignment vertical="center" wrapText="1"/>
    </xf>
    <xf numFmtId="44" fontId="11" fillId="12" borderId="24" xfId="2" applyNumberFormat="1" applyFont="1" applyFill="1" applyBorder="1" applyAlignment="1">
      <alignment vertical="center" wrapText="1"/>
    </xf>
    <xf numFmtId="44" fontId="16" fillId="5" borderId="52" xfId="2" applyNumberFormat="1" applyFont="1" applyFill="1" applyBorder="1" applyAlignment="1">
      <alignment vertical="center" wrapText="1"/>
    </xf>
    <xf numFmtId="165" fontId="5" fillId="3" borderId="56" xfId="2" applyFont="1" applyFill="1" applyBorder="1" applyAlignment="1" applyProtection="1">
      <alignment wrapText="1"/>
    </xf>
    <xf numFmtId="0" fontId="5" fillId="4" borderId="40" xfId="0" applyFont="1" applyFill="1" applyBorder="1" applyAlignment="1">
      <alignment wrapText="1"/>
    </xf>
    <xf numFmtId="0" fontId="5" fillId="4" borderId="41" xfId="0" applyFont="1" applyFill="1" applyBorder="1" applyAlignment="1">
      <alignment wrapText="1"/>
    </xf>
    <xf numFmtId="0" fontId="5" fillId="4" borderId="53" xfId="0" applyFont="1" applyFill="1" applyBorder="1" applyAlignment="1">
      <alignment wrapText="1"/>
    </xf>
    <xf numFmtId="44" fontId="5" fillId="4" borderId="8" xfId="0" applyNumberFormat="1" applyFont="1" applyFill="1" applyBorder="1" applyAlignment="1">
      <alignment horizontal="center" wrapText="1"/>
    </xf>
    <xf numFmtId="44" fontId="16" fillId="10" borderId="26" xfId="0" applyNumberFormat="1" applyFont="1" applyFill="1" applyBorder="1" applyAlignment="1">
      <alignment horizontal="center" wrapText="1"/>
    </xf>
    <xf numFmtId="44" fontId="16" fillId="10" borderId="54" xfId="0" applyNumberFormat="1" applyFont="1" applyFill="1" applyBorder="1" applyAlignment="1">
      <alignment horizontal="center" wrapText="1"/>
    </xf>
    <xf numFmtId="44" fontId="16" fillId="13" borderId="27" xfId="0" applyNumberFormat="1" applyFont="1" applyFill="1" applyBorder="1" applyAlignment="1">
      <alignment horizontal="center" wrapText="1"/>
    </xf>
    <xf numFmtId="44" fontId="11" fillId="11" borderId="26" xfId="0" applyNumberFormat="1" applyFont="1" applyFill="1" applyBorder="1" applyAlignment="1">
      <alignment horizontal="center" wrapText="1"/>
    </xf>
    <xf numFmtId="44" fontId="11" fillId="11" borderId="54" xfId="0" applyNumberFormat="1" applyFont="1" applyFill="1" applyBorder="1" applyAlignment="1">
      <alignment horizontal="center" wrapText="1"/>
    </xf>
    <xf numFmtId="44" fontId="11" fillId="14" borderId="27" xfId="0" applyNumberFormat="1" applyFont="1" applyFill="1" applyBorder="1" applyAlignment="1">
      <alignment horizontal="center" wrapText="1"/>
    </xf>
    <xf numFmtId="44" fontId="11" fillId="12" borderId="26" xfId="0" applyNumberFormat="1" applyFont="1" applyFill="1" applyBorder="1" applyAlignment="1">
      <alignment horizontal="center" wrapText="1"/>
    </xf>
    <xf numFmtId="44" fontId="11" fillId="12" borderId="54" xfId="0" applyNumberFormat="1" applyFont="1" applyFill="1" applyBorder="1" applyAlignment="1">
      <alignment horizontal="center" wrapText="1"/>
    </xf>
    <xf numFmtId="44" fontId="11" fillId="12" borderId="27" xfId="0" applyNumberFormat="1" applyFont="1" applyFill="1" applyBorder="1" applyAlignment="1">
      <alignment horizontal="center" wrapText="1"/>
    </xf>
    <xf numFmtId="44" fontId="11" fillId="5" borderId="55" xfId="0" applyNumberFormat="1" applyFont="1" applyFill="1" applyBorder="1" applyAlignment="1">
      <alignment wrapText="1"/>
    </xf>
    <xf numFmtId="44" fontId="5" fillId="4" borderId="24" xfId="0" applyNumberFormat="1" applyFont="1" applyFill="1" applyBorder="1" applyAlignment="1">
      <alignment wrapText="1"/>
    </xf>
    <xf numFmtId="0" fontId="5" fillId="3" borderId="38" xfId="0" applyFont="1" applyFill="1" applyBorder="1" applyAlignment="1">
      <alignment wrapText="1"/>
    </xf>
    <xf numFmtId="0" fontId="5" fillId="4" borderId="13" xfId="0" applyFont="1" applyFill="1" applyBorder="1" applyAlignment="1">
      <alignment wrapText="1"/>
    </xf>
    <xf numFmtId="0" fontId="5" fillId="4" borderId="14" xfId="0" applyFont="1" applyFill="1" applyBorder="1" applyAlignment="1">
      <alignment wrapText="1"/>
    </xf>
    <xf numFmtId="0" fontId="5" fillId="4" borderId="15" xfId="0" applyFont="1" applyFill="1" applyBorder="1" applyAlignment="1">
      <alignment wrapText="1"/>
    </xf>
    <xf numFmtId="44" fontId="5" fillId="4" borderId="8" xfId="0" applyNumberFormat="1" applyFont="1" applyFill="1" applyBorder="1" applyAlignment="1">
      <alignment horizontal="center" vertical="center" wrapText="1"/>
    </xf>
    <xf numFmtId="44" fontId="5" fillId="4" borderId="24" xfId="0" applyNumberFormat="1" applyFont="1" applyFill="1" applyBorder="1" applyAlignment="1">
      <alignment vertical="center" wrapText="1"/>
    </xf>
    <xf numFmtId="3" fontId="4" fillId="0" borderId="8" xfId="0" applyNumberFormat="1" applyFont="1" applyBorder="1" applyAlignment="1">
      <alignment horizontal="center" vertical="center" wrapText="1"/>
    </xf>
    <xf numFmtId="0" fontId="5" fillId="4" borderId="43" xfId="0" applyFont="1" applyFill="1" applyBorder="1" applyAlignment="1">
      <alignment horizontal="center" vertical="center" wrapText="1"/>
    </xf>
    <xf numFmtId="165" fontId="5" fillId="4" borderId="26" xfId="2" applyFont="1" applyFill="1" applyBorder="1" applyAlignment="1" applyProtection="1">
      <alignment horizontal="center" vertical="center" wrapText="1"/>
    </xf>
    <xf numFmtId="165" fontId="5" fillId="4" borderId="54" xfId="2" applyFont="1" applyFill="1" applyBorder="1" applyAlignment="1" applyProtection="1">
      <alignment horizontal="center" vertical="center" wrapText="1"/>
    </xf>
    <xf numFmtId="0" fontId="5" fillId="4" borderId="51" xfId="0" applyFont="1" applyFill="1" applyBorder="1" applyAlignment="1">
      <alignment horizontal="center" vertical="center" wrapText="1"/>
    </xf>
    <xf numFmtId="44" fontId="16" fillId="13" borderId="20" xfId="0" applyNumberFormat="1" applyFont="1" applyFill="1" applyBorder="1" applyAlignment="1">
      <alignment horizontal="center" vertical="center" wrapText="1"/>
    </xf>
    <xf numFmtId="44" fontId="16" fillId="13" borderId="8" xfId="0" applyNumberFormat="1" applyFont="1" applyFill="1" applyBorder="1" applyAlignment="1">
      <alignment horizontal="center" vertical="center" wrapText="1"/>
    </xf>
    <xf numFmtId="44" fontId="16" fillId="14" borderId="20" xfId="0" applyNumberFormat="1" applyFont="1" applyFill="1" applyBorder="1" applyAlignment="1">
      <alignment horizontal="center" vertical="center" wrapText="1"/>
    </xf>
    <xf numFmtId="44" fontId="16" fillId="14" borderId="8" xfId="0" applyNumberFormat="1" applyFont="1" applyFill="1" applyBorder="1" applyAlignment="1">
      <alignment horizontal="center" vertical="center" wrapText="1"/>
    </xf>
    <xf numFmtId="44" fontId="16" fillId="12" borderId="20" xfId="0" applyNumberFormat="1" applyFont="1" applyFill="1" applyBorder="1" applyAlignment="1">
      <alignment horizontal="center" vertical="center" wrapText="1"/>
    </xf>
    <xf numFmtId="44" fontId="16" fillId="12" borderId="8" xfId="0" applyNumberFormat="1" applyFont="1" applyFill="1" applyBorder="1" applyAlignment="1">
      <alignment horizontal="center" vertical="center" wrapText="1"/>
    </xf>
    <xf numFmtId="0" fontId="5" fillId="4" borderId="51" xfId="0" applyFont="1" applyFill="1" applyBorder="1" applyAlignment="1" applyProtection="1">
      <alignment vertical="center" wrapText="1"/>
    </xf>
    <xf numFmtId="44" fontId="4" fillId="4" borderId="20" xfId="0" applyNumberFormat="1" applyFont="1" applyFill="1" applyBorder="1" applyAlignment="1">
      <alignment vertical="center" wrapText="1"/>
    </xf>
    <xf numFmtId="44" fontId="4" fillId="4" borderId="8" xfId="0" applyNumberFormat="1" applyFont="1" applyFill="1" applyBorder="1" applyAlignment="1">
      <alignment vertical="center" wrapText="1"/>
    </xf>
    <xf numFmtId="44" fontId="16" fillId="0" borderId="20" xfId="0" applyNumberFormat="1" applyFont="1" applyFill="1" applyBorder="1" applyAlignment="1" applyProtection="1">
      <alignment vertical="center" wrapText="1"/>
      <protection locked="0"/>
    </xf>
    <xf numFmtId="44" fontId="16" fillId="0" borderId="8" xfId="0" applyNumberFormat="1" applyFont="1" applyFill="1" applyBorder="1" applyAlignment="1" applyProtection="1">
      <alignment vertical="center" wrapText="1"/>
      <protection locked="0"/>
    </xf>
    <xf numFmtId="44" fontId="16" fillId="13" borderId="5" xfId="0" applyNumberFormat="1" applyFont="1" applyFill="1" applyBorder="1" applyAlignment="1">
      <alignment horizontal="center" vertical="center" wrapText="1"/>
    </xf>
    <xf numFmtId="44" fontId="11" fillId="12" borderId="21" xfId="2" applyNumberFormat="1" applyFont="1" applyFill="1" applyBorder="1" applyAlignment="1" applyProtection="1">
      <alignment horizontal="center" vertical="center" wrapText="1"/>
      <protection locked="0"/>
    </xf>
    <xf numFmtId="166" fontId="11" fillId="5" borderId="29" xfId="0" applyNumberFormat="1" applyFont="1" applyFill="1" applyBorder="1" applyAlignment="1">
      <alignment vertical="center" wrapText="1"/>
    </xf>
    <xf numFmtId="0" fontId="5" fillId="4" borderId="28" xfId="0" applyFont="1" applyFill="1" applyBorder="1" applyAlignment="1" applyProtection="1">
      <alignment vertical="center" wrapText="1"/>
    </xf>
    <xf numFmtId="0" fontId="5" fillId="4" borderId="28" xfId="0" applyFont="1" applyFill="1" applyBorder="1" applyAlignment="1" applyProtection="1">
      <alignment vertical="center" wrapText="1"/>
      <protection locked="0"/>
    </xf>
    <xf numFmtId="0" fontId="18" fillId="4" borderId="28" xfId="0" applyFont="1" applyFill="1" applyBorder="1" applyAlignment="1" applyProtection="1">
      <alignment vertical="center" wrapText="1"/>
    </xf>
    <xf numFmtId="44" fontId="18" fillId="4" borderId="20" xfId="2" applyNumberFormat="1" applyFont="1" applyFill="1" applyBorder="1" applyAlignment="1">
      <alignment vertical="center" wrapText="1"/>
    </xf>
    <xf numFmtId="44" fontId="18" fillId="4" borderId="8" xfId="2" applyNumberFormat="1" applyFont="1" applyFill="1" applyBorder="1" applyAlignment="1">
      <alignment vertical="center" wrapText="1"/>
    </xf>
    <xf numFmtId="44" fontId="18" fillId="4" borderId="21" xfId="0" applyNumberFormat="1" applyFont="1" applyFill="1" applyBorder="1" applyAlignment="1">
      <alignment vertical="center" wrapText="1"/>
    </xf>
    <xf numFmtId="44" fontId="16" fillId="10" borderId="20" xfId="2" applyNumberFormat="1" applyFont="1" applyFill="1" applyBorder="1" applyAlignment="1">
      <alignment vertical="center" wrapText="1"/>
    </xf>
    <xf numFmtId="44" fontId="16" fillId="10" borderId="8" xfId="2" applyNumberFormat="1" applyFont="1" applyFill="1" applyBorder="1" applyAlignment="1">
      <alignment vertical="center" wrapText="1"/>
    </xf>
    <xf numFmtId="44" fontId="16" fillId="10" borderId="5" xfId="2" applyNumberFormat="1" applyFont="1" applyFill="1" applyBorder="1" applyAlignment="1">
      <alignment vertical="center" wrapText="1"/>
    </xf>
    <xf numFmtId="44" fontId="11" fillId="11" borderId="20" xfId="2" applyNumberFormat="1" applyFont="1" applyFill="1" applyBorder="1" applyAlignment="1">
      <alignment vertical="center" wrapText="1"/>
    </xf>
    <xf numFmtId="44" fontId="11" fillId="11" borderId="8" xfId="2" applyNumberFormat="1" applyFont="1" applyFill="1" applyBorder="1" applyAlignment="1">
      <alignment vertical="center" wrapText="1"/>
    </xf>
    <xf numFmtId="44" fontId="11" fillId="11" borderId="21" xfId="2" applyNumberFormat="1" applyFont="1" applyFill="1" applyBorder="1" applyAlignment="1">
      <alignment vertical="center" wrapText="1"/>
    </xf>
    <xf numFmtId="44" fontId="11" fillId="12" borderId="20" xfId="2" applyNumberFormat="1" applyFont="1" applyFill="1" applyBorder="1" applyAlignment="1">
      <alignment vertical="center" wrapText="1"/>
    </xf>
    <xf numFmtId="44" fontId="11" fillId="12" borderId="8" xfId="2" applyNumberFormat="1" applyFont="1" applyFill="1" applyBorder="1" applyAlignment="1">
      <alignment vertical="center" wrapText="1"/>
    </xf>
    <xf numFmtId="44" fontId="11" fillId="12" borderId="21" xfId="2" applyNumberFormat="1" applyFont="1" applyFill="1" applyBorder="1" applyAlignment="1">
      <alignment vertical="center" wrapText="1"/>
    </xf>
    <xf numFmtId="44" fontId="16" fillId="5" borderId="35" xfId="2" applyNumberFormat="1" applyFont="1" applyFill="1" applyBorder="1" applyAlignment="1">
      <alignment vertical="center" wrapText="1"/>
    </xf>
    <xf numFmtId="44" fontId="18" fillId="4" borderId="16" xfId="0" applyNumberFormat="1" applyFont="1" applyFill="1" applyBorder="1" applyAlignment="1">
      <alignment vertical="center" wrapText="1"/>
    </xf>
    <xf numFmtId="44" fontId="18" fillId="4" borderId="4" xfId="0" applyNumberFormat="1" applyFont="1" applyFill="1" applyBorder="1" applyAlignment="1">
      <alignment vertical="center" wrapText="1"/>
    </xf>
    <xf numFmtId="44" fontId="18" fillId="4" borderId="17" xfId="0" applyNumberFormat="1" applyFont="1" applyFill="1" applyBorder="1" applyAlignment="1">
      <alignment vertical="center" wrapText="1"/>
    </xf>
    <xf numFmtId="44" fontId="19" fillId="0" borderId="22" xfId="0" applyNumberFormat="1" applyFont="1" applyFill="1" applyBorder="1" applyAlignment="1">
      <alignment vertical="center" wrapText="1"/>
    </xf>
    <xf numFmtId="44" fontId="19" fillId="0" borderId="23" xfId="0" applyNumberFormat="1" applyFont="1" applyFill="1" applyBorder="1" applyAlignment="1">
      <alignment vertical="center" wrapText="1"/>
    </xf>
    <xf numFmtId="44" fontId="19" fillId="0" borderId="24" xfId="0" applyNumberFormat="1" applyFont="1" applyFill="1" applyBorder="1" applyAlignment="1">
      <alignment vertical="center" wrapText="1"/>
    </xf>
    <xf numFmtId="44" fontId="19" fillId="0" borderId="52" xfId="0" applyNumberFormat="1" applyFont="1" applyFill="1" applyBorder="1" applyAlignment="1">
      <alignment vertical="center" wrapText="1"/>
    </xf>
    <xf numFmtId="0" fontId="5" fillId="4" borderId="45" xfId="0" applyFont="1" applyFill="1" applyBorder="1" applyAlignment="1">
      <alignment vertical="center" wrapText="1"/>
    </xf>
    <xf numFmtId="44" fontId="5" fillId="4" borderId="11" xfId="0" applyNumberFormat="1" applyFont="1" applyFill="1" applyBorder="1" applyAlignment="1">
      <alignment vertical="center" wrapText="1"/>
    </xf>
    <xf numFmtId="44" fontId="5" fillId="4" borderId="10" xfId="0" applyNumberFormat="1" applyFont="1" applyFill="1" applyBorder="1" applyAlignment="1">
      <alignment vertical="center" wrapText="1"/>
    </xf>
    <xf numFmtId="44" fontId="5" fillId="4" borderId="12" xfId="0" applyNumberFormat="1" applyFont="1" applyFill="1" applyBorder="1" applyAlignment="1">
      <alignment vertical="center" wrapText="1"/>
    </xf>
    <xf numFmtId="44" fontId="16" fillId="5" borderId="36" xfId="0" applyNumberFormat="1" applyFont="1" applyFill="1" applyBorder="1" applyAlignment="1">
      <alignment vertical="center" wrapText="1"/>
    </xf>
    <xf numFmtId="44" fontId="16" fillId="5" borderId="61" xfId="0" applyNumberFormat="1" applyFont="1" applyFill="1" applyBorder="1" applyAlignment="1">
      <alignment vertical="center" wrapText="1"/>
    </xf>
    <xf numFmtId="44" fontId="16" fillId="5" borderId="37" xfId="0" applyNumberFormat="1" applyFont="1" applyFill="1" applyBorder="1" applyAlignment="1">
      <alignment vertical="center" wrapText="1"/>
    </xf>
    <xf numFmtId="44" fontId="16" fillId="5" borderId="11" xfId="0" applyNumberFormat="1" applyFont="1" applyFill="1" applyBorder="1" applyAlignment="1">
      <alignment vertical="center" wrapText="1"/>
    </xf>
    <xf numFmtId="44" fontId="16" fillId="5" borderId="10" xfId="0" applyNumberFormat="1" applyFont="1" applyFill="1" applyBorder="1" applyAlignment="1">
      <alignment vertical="center" wrapText="1"/>
    </xf>
    <xf numFmtId="44" fontId="16" fillId="5" borderId="12" xfId="0" applyNumberFormat="1" applyFont="1" applyFill="1" applyBorder="1" applyAlignment="1">
      <alignment vertical="center" wrapText="1"/>
    </xf>
    <xf numFmtId="44" fontId="11" fillId="5" borderId="11" xfId="0" applyNumberFormat="1" applyFont="1" applyFill="1" applyBorder="1" applyAlignment="1">
      <alignment vertical="center" wrapText="1"/>
    </xf>
    <xf numFmtId="44" fontId="11" fillId="5" borderId="62" xfId="0" applyNumberFormat="1" applyFont="1" applyFill="1" applyBorder="1" applyAlignment="1">
      <alignment vertical="center" wrapText="1"/>
    </xf>
    <xf numFmtId="44" fontId="16" fillId="14" borderId="24" xfId="2" applyNumberFormat="1" applyFont="1" applyFill="1" applyBorder="1" applyAlignment="1">
      <alignment vertical="center" wrapText="1"/>
    </xf>
    <xf numFmtId="166" fontId="5" fillId="4" borderId="8" xfId="0" applyNumberFormat="1" applyFont="1" applyFill="1" applyBorder="1" applyAlignment="1" applyProtection="1">
      <alignment vertical="center" wrapText="1"/>
    </xf>
    <xf numFmtId="165" fontId="6" fillId="4" borderId="8" xfId="2" applyFont="1" applyFill="1" applyBorder="1" applyAlignment="1" applyProtection="1">
      <alignment horizontal="center" vertical="center" wrapText="1"/>
    </xf>
    <xf numFmtId="167" fontId="6" fillId="4" borderId="8" xfId="5" applyFont="1" applyFill="1" applyBorder="1" applyAlignment="1" applyProtection="1">
      <alignment horizontal="center" vertical="center" wrapText="1"/>
    </xf>
    <xf numFmtId="0" fontId="4" fillId="0" borderId="8" xfId="2" applyNumberFormat="1" applyFont="1" applyBorder="1" applyAlignment="1" applyProtection="1">
      <alignment horizontal="center" vertical="center" wrapText="1"/>
      <protection locked="0"/>
    </xf>
    <xf numFmtId="44" fontId="6" fillId="4" borderId="8" xfId="2" applyNumberFormat="1" applyFont="1" applyFill="1" applyBorder="1" applyAlignment="1" applyProtection="1">
      <alignment horizontal="center" vertical="center" wrapText="1"/>
    </xf>
    <xf numFmtId="172" fontId="11" fillId="4" borderId="8" xfId="1" applyNumberFormat="1" applyFont="1" applyFill="1" applyBorder="1" applyAlignment="1" applyProtection="1">
      <alignment vertical="center" wrapText="1"/>
    </xf>
    <xf numFmtId="172" fontId="11" fillId="4" borderId="8" xfId="0" applyNumberFormat="1" applyFont="1" applyFill="1" applyBorder="1" applyAlignment="1" applyProtection="1">
      <alignment vertical="center" wrapText="1"/>
    </xf>
    <xf numFmtId="172" fontId="11" fillId="4" borderId="23" xfId="0" applyNumberFormat="1"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44" fontId="4" fillId="0" borderId="0" xfId="0" applyNumberFormat="1" applyFont="1" applyFill="1" applyBorder="1" applyAlignment="1" applyProtection="1">
      <alignment vertical="center" wrapText="1"/>
    </xf>
    <xf numFmtId="166" fontId="4" fillId="0" borderId="0" xfId="0" applyNumberFormat="1" applyFont="1" applyBorder="1" applyAlignment="1">
      <alignment wrapText="1"/>
    </xf>
    <xf numFmtId="167" fontId="4" fillId="0" borderId="8" xfId="5" applyFont="1" applyBorder="1" applyAlignment="1" applyProtection="1">
      <alignment horizontal="left" wrapText="1"/>
      <protection locked="0"/>
    </xf>
    <xf numFmtId="167" fontId="9" fillId="0" borderId="8" xfId="5" applyFont="1" applyBorder="1" applyAlignment="1" applyProtection="1">
      <alignment horizontal="center" vertical="center" wrapText="1"/>
      <protection locked="0"/>
    </xf>
    <xf numFmtId="167" fontId="9" fillId="0" borderId="4" xfId="5" applyFont="1" applyBorder="1" applyAlignment="1" applyProtection="1">
      <alignment vertical="center" wrapText="1"/>
      <protection locked="0"/>
    </xf>
    <xf numFmtId="165" fontId="6" fillId="0" borderId="8" xfId="2" applyFont="1" applyBorder="1" applyAlignment="1" applyProtection="1">
      <alignment vertical="center" wrapText="1"/>
      <protection locked="0"/>
    </xf>
    <xf numFmtId="0" fontId="16" fillId="10" borderId="16" xfId="0" applyFont="1" applyFill="1" applyBorder="1" applyAlignment="1">
      <alignment horizontal="center" vertical="center" wrapText="1"/>
    </xf>
    <xf numFmtId="44" fontId="17" fillId="0" borderId="20" xfId="0" applyNumberFormat="1" applyFont="1" applyBorder="1" applyAlignment="1">
      <alignment wrapText="1"/>
    </xf>
    <xf numFmtId="44" fontId="16" fillId="10" borderId="33" xfId="0" applyNumberFormat="1" applyFont="1" applyFill="1" applyBorder="1" applyAlignment="1">
      <alignment horizontal="center" wrapText="1"/>
    </xf>
    <xf numFmtId="44" fontId="17" fillId="0" borderId="20" xfId="0" applyNumberFormat="1" applyFont="1" applyBorder="1" applyAlignment="1" applyProtection="1">
      <alignment wrapText="1"/>
      <protection locked="0"/>
    </xf>
    <xf numFmtId="44" fontId="17" fillId="0" borderId="8" xfId="0" applyNumberFormat="1" applyFont="1" applyBorder="1" applyAlignment="1" applyProtection="1">
      <alignment wrapText="1"/>
      <protection locked="0"/>
    </xf>
    <xf numFmtId="44" fontId="17" fillId="0" borderId="7" xfId="0" applyNumberFormat="1" applyFont="1" applyBorder="1" applyAlignment="1" applyProtection="1">
      <alignment wrapText="1"/>
      <protection locked="0"/>
    </xf>
    <xf numFmtId="44" fontId="16" fillId="10" borderId="67" xfId="2" applyNumberFormat="1" applyFont="1" applyFill="1" applyBorder="1" applyAlignment="1">
      <alignment wrapText="1"/>
    </xf>
    <xf numFmtId="44" fontId="16" fillId="10" borderId="60" xfId="0" applyNumberFormat="1" applyFont="1" applyFill="1" applyBorder="1" applyAlignment="1">
      <alignment horizontal="center" wrapText="1"/>
    </xf>
    <xf numFmtId="44" fontId="4" fillId="3" borderId="0" xfId="0" applyNumberFormat="1" applyFont="1" applyFill="1" applyBorder="1" applyAlignment="1">
      <alignment wrapText="1"/>
    </xf>
    <xf numFmtId="168" fontId="20" fillId="12" borderId="8" xfId="0" applyNumberFormat="1" applyFont="1" applyFill="1" applyBorder="1"/>
    <xf numFmtId="168" fontId="9" fillId="12" borderId="8" xfId="2" applyNumberFormat="1" applyFont="1" applyFill="1" applyBorder="1"/>
    <xf numFmtId="168" fontId="4" fillId="12" borderId="8" xfId="0" applyNumberFormat="1" applyFont="1" applyFill="1" applyBorder="1" applyAlignment="1">
      <alignment wrapText="1"/>
    </xf>
    <xf numFmtId="168" fontId="9" fillId="12" borderId="8" xfId="0" applyNumberFormat="1" applyFont="1" applyFill="1" applyBorder="1"/>
    <xf numFmtId="168" fontId="5" fillId="12" borderId="8" xfId="0" applyNumberFormat="1" applyFont="1" applyFill="1" applyBorder="1" applyAlignment="1">
      <alignment wrapText="1"/>
    </xf>
    <xf numFmtId="168" fontId="21" fillId="12" borderId="8" xfId="0" applyNumberFormat="1" applyFont="1" applyFill="1" applyBorder="1"/>
    <xf numFmtId="168" fontId="22" fillId="12" borderId="8" xfId="0" applyNumberFormat="1" applyFont="1" applyFill="1" applyBorder="1"/>
    <xf numFmtId="168" fontId="14" fillId="12" borderId="8" xfId="0" applyNumberFormat="1" applyFont="1" applyFill="1" applyBorder="1" applyAlignment="1">
      <alignment wrapText="1"/>
    </xf>
    <xf numFmtId="44" fontId="9" fillId="0" borderId="20" xfId="0" applyNumberFormat="1" applyFont="1" applyBorder="1" applyAlignment="1" applyProtection="1">
      <alignment wrapText="1"/>
      <protection locked="0"/>
    </xf>
    <xf numFmtId="44" fontId="11" fillId="11" borderId="22" xfId="4" applyFont="1" applyFill="1" applyBorder="1" applyAlignment="1">
      <alignment wrapText="1"/>
    </xf>
    <xf numFmtId="44" fontId="9" fillId="0" borderId="20" xfId="0" applyNumberFormat="1" applyFont="1" applyBorder="1" applyAlignment="1" applyProtection="1">
      <alignment vertical="center" wrapText="1"/>
      <protection locked="0"/>
    </xf>
    <xf numFmtId="44" fontId="17" fillId="0" borderId="20" xfId="0" applyNumberFormat="1" applyFont="1" applyBorder="1" applyAlignment="1" applyProtection="1">
      <alignment vertical="center" wrapText="1"/>
      <protection locked="0"/>
    </xf>
    <xf numFmtId="44" fontId="5" fillId="5" borderId="68" xfId="2" applyNumberFormat="1" applyFont="1" applyFill="1" applyBorder="1" applyAlignment="1" applyProtection="1">
      <alignment horizontal="center" vertical="center" wrapText="1"/>
    </xf>
    <xf numFmtId="167" fontId="23" fillId="16" borderId="54" xfId="5" applyFont="1" applyFill="1" applyBorder="1" applyAlignment="1">
      <alignment vertical="center" wrapText="1"/>
    </xf>
    <xf numFmtId="0" fontId="11" fillId="16" borderId="8" xfId="0" applyFont="1" applyFill="1" applyBorder="1" applyAlignment="1" applyProtection="1">
      <alignment horizontal="center" vertical="center" wrapText="1"/>
      <protection locked="0"/>
    </xf>
    <xf numFmtId="167" fontId="17" fillId="0" borderId="8" xfId="5" applyFont="1" applyBorder="1" applyAlignment="1" applyProtection="1">
      <alignment horizontal="center" vertical="center" wrapText="1"/>
      <protection locked="0"/>
    </xf>
    <xf numFmtId="3" fontId="25" fillId="3" borderId="8" xfId="5" applyNumberFormat="1" applyFont="1" applyFill="1" applyBorder="1" applyAlignment="1">
      <alignment horizontal="right" vertical="center" wrapText="1"/>
    </xf>
    <xf numFmtId="44" fontId="4" fillId="0" borderId="9" xfId="2" applyNumberFormat="1" applyFont="1" applyBorder="1" applyAlignment="1" applyProtection="1">
      <alignment vertical="center"/>
      <protection locked="0"/>
    </xf>
    <xf numFmtId="44" fontId="4" fillId="0" borderId="8" xfId="2" applyNumberFormat="1" applyFont="1" applyBorder="1" applyAlignment="1" applyProtection="1">
      <alignment vertical="center"/>
      <protection locked="0"/>
    </xf>
    <xf numFmtId="167" fontId="5" fillId="4" borderId="8" xfId="5" applyFont="1" applyFill="1" applyBorder="1" applyAlignment="1" applyProtection="1">
      <alignment horizontal="right" vertical="center" wrapText="1"/>
    </xf>
    <xf numFmtId="167" fontId="9" fillId="0" borderId="8" xfId="5" applyFont="1" applyFill="1" applyBorder="1" applyAlignment="1" applyProtection="1">
      <alignment horizontal="center" vertical="center" wrapText="1"/>
      <protection locked="0"/>
    </xf>
    <xf numFmtId="167" fontId="9" fillId="0" borderId="8" xfId="5" applyFont="1" applyFill="1" applyBorder="1" applyAlignment="1" applyProtection="1">
      <alignment vertical="center" wrapText="1"/>
      <protection locked="0"/>
    </xf>
    <xf numFmtId="44" fontId="16" fillId="4" borderId="8" xfId="4" applyFont="1" applyFill="1" applyBorder="1" applyAlignment="1" applyProtection="1">
      <alignment horizontal="center" vertical="center" wrapText="1"/>
    </xf>
    <xf numFmtId="44" fontId="10" fillId="4" borderId="8" xfId="2" applyNumberFormat="1" applyFont="1" applyFill="1" applyBorder="1" applyAlignment="1" applyProtection="1">
      <alignment horizontal="center" vertical="center" wrapText="1"/>
    </xf>
    <xf numFmtId="0" fontId="7" fillId="0" borderId="0" xfId="0" applyFont="1" applyBorder="1" applyAlignment="1">
      <alignment wrapText="1"/>
    </xf>
    <xf numFmtId="166" fontId="7" fillId="0" borderId="0" xfId="0" applyNumberFormat="1" applyFont="1" applyBorder="1" applyAlignment="1">
      <alignment wrapText="1"/>
    </xf>
    <xf numFmtId="167" fontId="9" fillId="3" borderId="8" xfId="5" applyFont="1" applyFill="1" applyBorder="1" applyAlignment="1" applyProtection="1">
      <alignment horizontal="center" vertical="center" wrapText="1"/>
      <protection locked="0"/>
    </xf>
    <xf numFmtId="166" fontId="4" fillId="3" borderId="0" xfId="0" applyNumberFormat="1" applyFont="1" applyFill="1" applyBorder="1" applyAlignment="1">
      <alignment wrapText="1"/>
    </xf>
    <xf numFmtId="167" fontId="26" fillId="0" borderId="8" xfId="5" applyFont="1" applyFill="1" applyBorder="1" applyAlignment="1" applyProtection="1">
      <alignment vertical="center" wrapText="1"/>
      <protection locked="0"/>
    </xf>
    <xf numFmtId="0" fontId="9" fillId="4" borderId="9" xfId="0" applyFont="1" applyFill="1" applyBorder="1" applyAlignment="1" applyProtection="1">
      <alignment horizontal="center" vertical="center" wrapText="1"/>
    </xf>
    <xf numFmtId="170" fontId="4" fillId="4" borderId="21" xfId="0" applyNumberFormat="1" applyFont="1" applyFill="1" applyBorder="1" applyAlignment="1" applyProtection="1">
      <alignment vertical="center" wrapText="1"/>
    </xf>
    <xf numFmtId="44" fontId="19" fillId="0" borderId="23" xfId="0" applyNumberFormat="1" applyFont="1" applyBorder="1" applyAlignment="1">
      <alignment vertical="center" wrapText="1"/>
    </xf>
    <xf numFmtId="44" fontId="19" fillId="0" borderId="69" xfId="0" applyNumberFormat="1" applyFont="1" applyBorder="1" applyAlignment="1">
      <alignment vertical="center" wrapText="1"/>
    </xf>
    <xf numFmtId="44" fontId="11" fillId="11" borderId="24" xfId="4" applyFont="1" applyFill="1" applyBorder="1" applyAlignment="1">
      <alignment vertical="center" wrapText="1"/>
    </xf>
    <xf numFmtId="49" fontId="5" fillId="3" borderId="8" xfId="0" applyNumberFormat="1" applyFont="1" applyFill="1" applyBorder="1" applyAlignment="1" applyProtection="1">
      <alignment horizontal="left" vertical="top" wrapText="1"/>
      <protection locked="0"/>
    </xf>
    <xf numFmtId="49" fontId="5" fillId="3" borderId="5" xfId="0" applyNumberFormat="1" applyFont="1" applyFill="1" applyBorder="1" applyAlignment="1" applyProtection="1">
      <alignment horizontal="left" vertical="top" wrapText="1"/>
      <protection locked="0"/>
    </xf>
    <xf numFmtId="49" fontId="5" fillId="3" borderId="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4" borderId="4"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11" fillId="15" borderId="8" xfId="0" applyFont="1" applyFill="1" applyBorder="1" applyAlignment="1">
      <alignment horizontal="center" vertical="center"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5" fillId="3" borderId="5"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44" fontId="4" fillId="0" borderId="4" xfId="2" applyNumberFormat="1" applyFont="1" applyBorder="1" applyAlignment="1" applyProtection="1">
      <alignment horizontal="center" vertical="center" wrapText="1"/>
      <protection locked="0"/>
    </xf>
    <xf numFmtId="44" fontId="4" fillId="0" borderId="9" xfId="2" applyNumberFormat="1" applyFont="1" applyBorder="1" applyAlignment="1" applyProtection="1">
      <alignment horizontal="center" vertical="center" wrapText="1"/>
      <protection locked="0"/>
    </xf>
    <xf numFmtId="167" fontId="9" fillId="0" borderId="4" xfId="5" applyFont="1" applyBorder="1" applyAlignment="1" applyProtection="1">
      <alignment horizontal="center" vertical="center" wrapText="1"/>
      <protection locked="0"/>
    </xf>
    <xf numFmtId="167" fontId="9" fillId="0" borderId="9" xfId="5" applyFont="1" applyBorder="1" applyAlignment="1" applyProtection="1">
      <alignment horizontal="center" vertical="center" wrapText="1"/>
      <protection locked="0"/>
    </xf>
    <xf numFmtId="167" fontId="9" fillId="0" borderId="4" xfId="5" applyFont="1" applyBorder="1" applyAlignment="1" applyProtection="1">
      <alignment horizontal="center" vertical="center"/>
      <protection locked="0"/>
    </xf>
    <xf numFmtId="167" fontId="9" fillId="0" borderId="9" xfId="5" applyFont="1" applyBorder="1" applyAlignment="1" applyProtection="1">
      <alignment horizontal="center" vertical="center"/>
      <protection locked="0"/>
    </xf>
    <xf numFmtId="0" fontId="5" fillId="3" borderId="5" xfId="0" applyNumberFormat="1" applyFont="1" applyFill="1" applyBorder="1" applyAlignment="1" applyProtection="1">
      <alignment horizontal="left" vertical="center" wrapText="1"/>
      <protection locked="0"/>
    </xf>
    <xf numFmtId="0" fontId="5" fillId="3" borderId="6" xfId="0" applyNumberFormat="1" applyFont="1" applyFill="1" applyBorder="1" applyAlignment="1" applyProtection="1">
      <alignment horizontal="left" vertical="center" wrapText="1"/>
      <protection locked="0"/>
    </xf>
    <xf numFmtId="0" fontId="5" fillId="3" borderId="7" xfId="0" applyNumberFormat="1" applyFont="1" applyFill="1" applyBorder="1" applyAlignment="1" applyProtection="1">
      <alignment horizontal="left" vertical="center" wrapText="1"/>
      <protection locked="0"/>
    </xf>
    <xf numFmtId="0" fontId="4" fillId="0" borderId="4" xfId="2" applyNumberFormat="1" applyFont="1" applyBorder="1" applyAlignment="1" applyProtection="1">
      <alignment horizontal="center" vertical="center" wrapText="1"/>
      <protection locked="0"/>
    </xf>
    <xf numFmtId="44" fontId="8" fillId="5" borderId="4" xfId="2" applyNumberFormat="1" applyFont="1" applyFill="1" applyBorder="1" applyAlignment="1" applyProtection="1">
      <alignment horizontal="center" vertical="center" wrapText="1"/>
    </xf>
    <xf numFmtId="44" fontId="8" fillId="5" borderId="9" xfId="2" applyNumberFormat="1" applyFont="1" applyFill="1" applyBorder="1" applyAlignment="1" applyProtection="1">
      <alignment horizontal="center" vertical="center" wrapText="1"/>
    </xf>
    <xf numFmtId="49" fontId="4" fillId="0" borderId="4" xfId="2" applyNumberFormat="1" applyFont="1" applyBorder="1" applyAlignment="1" applyProtection="1">
      <alignment horizontal="center" wrapText="1"/>
      <protection locked="0"/>
    </xf>
    <xf numFmtId="49" fontId="4" fillId="0" borderId="9" xfId="2" applyNumberFormat="1" applyFont="1" applyBorder="1" applyAlignment="1" applyProtection="1">
      <alignment horizontal="center" wrapText="1"/>
      <protection locked="0"/>
    </xf>
    <xf numFmtId="167" fontId="17" fillId="0" borderId="4" xfId="5" applyFont="1" applyBorder="1" applyAlignment="1" applyProtection="1">
      <alignment horizontal="center" vertical="center"/>
      <protection locked="0"/>
    </xf>
    <xf numFmtId="167" fontId="17" fillId="0" borderId="9" xfId="5" applyFont="1" applyBorder="1" applyAlignment="1" applyProtection="1">
      <alignment horizontal="center" vertical="center"/>
      <protection locked="0"/>
    </xf>
    <xf numFmtId="44" fontId="4" fillId="0" borderId="4" xfId="4" applyNumberFormat="1" applyFont="1" applyBorder="1" applyAlignment="1" applyProtection="1">
      <alignment horizontal="center" vertical="center" wrapText="1"/>
      <protection locked="0"/>
    </xf>
    <xf numFmtId="44" fontId="4" fillId="0" borderId="9" xfId="4" applyNumberFormat="1" applyFont="1" applyBorder="1" applyAlignment="1" applyProtection="1">
      <alignment horizontal="center" vertical="center" wrapText="1"/>
      <protection locked="0"/>
    </xf>
    <xf numFmtId="44" fontId="4" fillId="4" borderId="4" xfId="4" applyNumberFormat="1" applyFont="1" applyFill="1" applyBorder="1" applyAlignment="1" applyProtection="1">
      <alignment horizontal="center" vertical="center" wrapText="1"/>
    </xf>
    <xf numFmtId="44" fontId="4" fillId="4" borderId="9" xfId="4" applyNumberFormat="1"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5" fillId="3" borderId="8"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165" fontId="5" fillId="4" borderId="19" xfId="2" applyFont="1" applyFill="1" applyBorder="1" applyAlignment="1" applyProtection="1">
      <alignment horizontal="center" vertical="center" wrapText="1"/>
    </xf>
    <xf numFmtId="165" fontId="5" fillId="4" borderId="21" xfId="2"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54"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8" borderId="30" xfId="0" applyFont="1" applyFill="1" applyBorder="1" applyAlignment="1" applyProtection="1">
      <alignment horizontal="center" vertical="center" wrapText="1"/>
    </xf>
    <xf numFmtId="0" fontId="4" fillId="8" borderId="31" xfId="0" applyFont="1" applyFill="1" applyBorder="1" applyAlignment="1" applyProtection="1">
      <alignment horizontal="center" vertical="center" wrapText="1"/>
    </xf>
    <xf numFmtId="0" fontId="4" fillId="8" borderId="32"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5" fillId="7" borderId="11"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7" borderId="12"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165" fontId="5" fillId="3" borderId="56" xfId="2" applyFont="1" applyFill="1" applyBorder="1" applyAlignment="1" applyProtection="1">
      <alignment horizontal="center" wrapText="1"/>
    </xf>
    <xf numFmtId="165" fontId="5" fillId="3" borderId="0" xfId="2" applyFont="1" applyFill="1" applyBorder="1" applyAlignment="1" applyProtection="1">
      <alignment horizontal="center" wrapText="1"/>
    </xf>
    <xf numFmtId="165" fontId="5" fillId="3" borderId="57" xfId="2" applyFont="1" applyFill="1" applyBorder="1" applyAlignment="1" applyProtection="1">
      <alignment horizontal="center" wrapText="1"/>
    </xf>
    <xf numFmtId="0" fontId="5" fillId="3" borderId="47" xfId="0" applyFont="1" applyFill="1" applyBorder="1" applyAlignment="1">
      <alignment horizontal="center" wrapText="1"/>
    </xf>
    <xf numFmtId="0" fontId="4" fillId="0" borderId="0" xfId="0" applyFont="1" applyBorder="1" applyAlignment="1">
      <alignment horizontal="center" wrapText="1"/>
    </xf>
    <xf numFmtId="0" fontId="4" fillId="0" borderId="57" xfId="0" applyFont="1" applyBorder="1" applyAlignment="1">
      <alignment horizontal="center" wrapText="1"/>
    </xf>
    <xf numFmtId="0" fontId="5" fillId="3" borderId="0" xfId="0" applyFont="1" applyFill="1" applyBorder="1" applyAlignment="1">
      <alignment horizontal="center" wrapText="1"/>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11" fillId="5" borderId="1" xfId="0" applyFont="1" applyFill="1" applyBorder="1" applyAlignment="1">
      <alignment horizontal="center" wrapText="1"/>
    </xf>
    <xf numFmtId="0" fontId="11" fillId="5" borderId="2" xfId="0" applyFont="1" applyFill="1" applyBorder="1" applyAlignment="1">
      <alignment horizontal="center" wrapText="1"/>
    </xf>
    <xf numFmtId="0" fontId="11" fillId="5" borderId="3" xfId="0" applyFont="1" applyFill="1" applyBorder="1" applyAlignment="1">
      <alignment horizontal="center" wrapText="1"/>
    </xf>
    <xf numFmtId="0" fontId="5" fillId="4" borderId="59"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6" fillId="13" borderId="13" xfId="2" applyNumberFormat="1" applyFont="1" applyFill="1" applyBorder="1" applyAlignment="1" applyProtection="1">
      <alignment horizontal="center" vertical="center" wrapText="1"/>
    </xf>
    <xf numFmtId="0" fontId="16" fillId="13" borderId="60" xfId="2" applyNumberFormat="1" applyFont="1" applyFill="1" applyBorder="1" applyAlignment="1" applyProtection="1">
      <alignment horizontal="center" vertical="center" wrapText="1"/>
    </xf>
    <xf numFmtId="0" fontId="16" fillId="13" borderId="59" xfId="2" applyNumberFormat="1" applyFont="1" applyFill="1" applyBorder="1" applyAlignment="1" applyProtection="1">
      <alignment horizontal="center" vertical="center" wrapText="1"/>
    </xf>
    <xf numFmtId="0" fontId="16" fillId="13" borderId="19" xfId="2" applyNumberFormat="1" applyFont="1" applyFill="1" applyBorder="1" applyAlignment="1" applyProtection="1">
      <alignment horizontal="center" vertical="center" wrapText="1"/>
    </xf>
    <xf numFmtId="0" fontId="16" fillId="14" borderId="13" xfId="2" applyNumberFormat="1" applyFont="1" applyFill="1" applyBorder="1" applyAlignment="1" applyProtection="1">
      <alignment horizontal="center" vertical="center" wrapText="1"/>
    </xf>
    <xf numFmtId="0" fontId="16" fillId="14" borderId="60" xfId="2" applyNumberFormat="1" applyFont="1" applyFill="1" applyBorder="1" applyAlignment="1" applyProtection="1">
      <alignment horizontal="center" vertical="center" wrapText="1"/>
    </xf>
    <xf numFmtId="0" fontId="16" fillId="14" borderId="59" xfId="2" applyNumberFormat="1" applyFont="1" applyFill="1" applyBorder="1" applyAlignment="1" applyProtection="1">
      <alignment horizontal="center" vertical="center" wrapText="1"/>
    </xf>
    <xf numFmtId="0" fontId="16" fillId="14" borderId="19" xfId="2" applyNumberFormat="1" applyFont="1" applyFill="1" applyBorder="1" applyAlignment="1" applyProtection="1">
      <alignment horizontal="center" vertical="center" wrapText="1"/>
    </xf>
    <xf numFmtId="0" fontId="16" fillId="12" borderId="13" xfId="2" applyNumberFormat="1" applyFont="1" applyFill="1" applyBorder="1" applyAlignment="1" applyProtection="1">
      <alignment horizontal="center" vertical="center" wrapText="1"/>
    </xf>
    <xf numFmtId="0" fontId="16" fillId="12" borderId="60" xfId="2" applyNumberFormat="1" applyFont="1" applyFill="1" applyBorder="1" applyAlignment="1" applyProtection="1">
      <alignment horizontal="center" vertical="center" wrapText="1"/>
    </xf>
    <xf numFmtId="0" fontId="16" fillId="12" borderId="59" xfId="2" applyNumberFormat="1" applyFont="1" applyFill="1" applyBorder="1" applyAlignment="1" applyProtection="1">
      <alignment horizontal="center" vertical="center" wrapText="1"/>
    </xf>
    <xf numFmtId="0" fontId="16" fillId="12" borderId="19" xfId="2" applyNumberFormat="1" applyFont="1" applyFill="1" applyBorder="1" applyAlignment="1" applyProtection="1">
      <alignment horizontal="center" vertical="center" wrapText="1"/>
    </xf>
    <xf numFmtId="0" fontId="11" fillId="5" borderId="48"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5" fillId="3" borderId="47" xfId="0" applyFont="1" applyFill="1" applyBorder="1" applyAlignment="1">
      <alignment horizontal="center" vertical="center" wrapText="1"/>
    </xf>
    <xf numFmtId="165" fontId="5" fillId="3" borderId="58" xfId="2" applyFont="1" applyFill="1" applyBorder="1" applyAlignment="1" applyProtection="1">
      <alignment horizontal="center" wrapText="1"/>
    </xf>
    <xf numFmtId="0" fontId="5" fillId="4" borderId="1" xfId="0" applyFont="1" applyFill="1" applyBorder="1" applyAlignment="1">
      <alignment horizontal="left"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3" borderId="43" xfId="0" applyFont="1" applyFill="1" applyBorder="1" applyAlignment="1">
      <alignment horizontal="center" wrapText="1"/>
    </xf>
    <xf numFmtId="0" fontId="5" fillId="3" borderId="0"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8"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5" fillId="4" borderId="13" xfId="0" applyFont="1" applyFill="1" applyBorder="1" applyAlignment="1">
      <alignment horizontal="left" wrapText="1"/>
    </xf>
    <xf numFmtId="0" fontId="5" fillId="4" borderId="14" xfId="0" applyFont="1" applyFill="1" applyBorder="1" applyAlignment="1">
      <alignment horizontal="left" wrapText="1"/>
    </xf>
    <xf numFmtId="0" fontId="5" fillId="4" borderId="15" xfId="0" applyFont="1" applyFill="1" applyBorder="1" applyAlignment="1">
      <alignment horizontal="left" wrapText="1"/>
    </xf>
    <xf numFmtId="44" fontId="5" fillId="3" borderId="0" xfId="2" applyNumberFormat="1" applyFont="1" applyFill="1" applyBorder="1" applyAlignment="1">
      <alignment horizontal="center" wrapText="1"/>
    </xf>
    <xf numFmtId="44" fontId="5" fillId="3" borderId="57" xfId="2" applyNumberFormat="1" applyFont="1" applyFill="1" applyBorder="1" applyAlignment="1">
      <alignment horizontal="center" wrapText="1"/>
    </xf>
    <xf numFmtId="0" fontId="4" fillId="0" borderId="56" xfId="0" applyFont="1" applyBorder="1" applyAlignment="1">
      <alignment horizontal="center" wrapText="1"/>
    </xf>
    <xf numFmtId="0" fontId="5" fillId="2" borderId="40" xfId="0" applyFont="1" applyFill="1" applyBorder="1" applyAlignment="1">
      <alignment horizontal="left" wrapText="1"/>
    </xf>
    <xf numFmtId="0" fontId="5" fillId="2" borderId="41" xfId="0" applyFont="1" applyFill="1" applyBorder="1" applyAlignment="1">
      <alignment horizontal="left" wrapText="1"/>
    </xf>
    <xf numFmtId="0" fontId="5" fillId="2" borderId="42" xfId="0" applyFont="1" applyFill="1" applyBorder="1" applyAlignment="1">
      <alignment horizontal="left" wrapText="1"/>
    </xf>
    <xf numFmtId="0" fontId="5" fillId="2" borderId="4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3" xfId="0" applyFont="1" applyFill="1" applyBorder="1" applyAlignment="1">
      <alignment horizontal="left" wrapText="1"/>
    </xf>
    <xf numFmtId="0" fontId="5" fillId="9" borderId="13" xfId="0" applyFont="1" applyFill="1" applyBorder="1" applyAlignment="1">
      <alignment horizontal="center"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4" borderId="5" xfId="0" applyFont="1" applyFill="1" applyBorder="1" applyAlignment="1">
      <alignment horizontal="left" wrapText="1"/>
    </xf>
    <xf numFmtId="0" fontId="5" fillId="4" borderId="34" xfId="0" applyFont="1" applyFill="1" applyBorder="1" applyAlignment="1">
      <alignment horizontal="left" wrapText="1"/>
    </xf>
    <xf numFmtId="0" fontId="5" fillId="4" borderId="17" xfId="0" applyFont="1" applyFill="1" applyBorder="1" applyAlignment="1">
      <alignment horizontal="center" vertical="center" wrapText="1"/>
    </xf>
    <xf numFmtId="165" fontId="16" fillId="10" borderId="13" xfId="2" applyFont="1" applyFill="1" applyBorder="1" applyAlignment="1">
      <alignment horizontal="center" vertical="center" wrapText="1"/>
    </xf>
    <xf numFmtId="165" fontId="16" fillId="10" borderId="14" xfId="2" applyFont="1" applyFill="1" applyBorder="1" applyAlignment="1">
      <alignment horizontal="center" vertical="center" wrapText="1"/>
    </xf>
    <xf numFmtId="165" fontId="16" fillId="10" borderId="15" xfId="2" applyFont="1" applyFill="1" applyBorder="1" applyAlignment="1">
      <alignment horizontal="center" vertical="center" wrapText="1"/>
    </xf>
    <xf numFmtId="165" fontId="11" fillId="11" borderId="13" xfId="2" applyFont="1" applyFill="1" applyBorder="1" applyAlignment="1">
      <alignment horizontal="center" vertical="center" wrapText="1"/>
    </xf>
    <xf numFmtId="165" fontId="11" fillId="11" borderId="14" xfId="2" applyFont="1" applyFill="1" applyBorder="1" applyAlignment="1">
      <alignment horizontal="center" vertical="center" wrapText="1"/>
    </xf>
    <xf numFmtId="165" fontId="11" fillId="11" borderId="15" xfId="2" applyFont="1" applyFill="1" applyBorder="1" applyAlignment="1">
      <alignment horizontal="center" vertical="center" wrapText="1"/>
    </xf>
    <xf numFmtId="165" fontId="11" fillId="12" borderId="13" xfId="2" applyFont="1" applyFill="1" applyBorder="1" applyAlignment="1">
      <alignment horizontal="center" vertical="center" wrapText="1"/>
    </xf>
    <xf numFmtId="165" fontId="11" fillId="12" borderId="14" xfId="2" applyFont="1" applyFill="1" applyBorder="1" applyAlignment="1">
      <alignment horizontal="center" vertical="center" wrapText="1"/>
    </xf>
    <xf numFmtId="165" fontId="11" fillId="12" borderId="15" xfId="2"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6" fillId="10" borderId="28" xfId="2" applyNumberFormat="1" applyFont="1" applyFill="1" applyBorder="1" applyAlignment="1" applyProtection="1">
      <alignment horizontal="center" vertical="center" wrapText="1"/>
    </xf>
    <xf numFmtId="0" fontId="16" fillId="10" borderId="6" xfId="2" applyNumberFormat="1" applyFont="1" applyFill="1" applyBorder="1" applyAlignment="1" applyProtection="1">
      <alignment horizontal="center" vertical="center" wrapText="1"/>
    </xf>
    <xf numFmtId="0" fontId="16" fillId="10" borderId="29" xfId="2" applyNumberFormat="1" applyFont="1" applyFill="1" applyBorder="1" applyAlignment="1" applyProtection="1">
      <alignment horizontal="center" vertical="center" wrapText="1"/>
    </xf>
    <xf numFmtId="0" fontId="11" fillId="11" borderId="28" xfId="2" applyNumberFormat="1" applyFont="1" applyFill="1" applyBorder="1" applyAlignment="1">
      <alignment horizontal="center" vertical="center" wrapText="1"/>
    </xf>
    <xf numFmtId="0" fontId="11" fillId="11" borderId="6" xfId="2" applyNumberFormat="1" applyFont="1" applyFill="1" applyBorder="1" applyAlignment="1">
      <alignment horizontal="center" vertical="center" wrapText="1"/>
    </xf>
    <xf numFmtId="0" fontId="11" fillId="11" borderId="29" xfId="2" applyNumberFormat="1" applyFont="1" applyFill="1" applyBorder="1" applyAlignment="1">
      <alignment horizontal="center" vertical="center" wrapText="1"/>
    </xf>
    <xf numFmtId="0" fontId="11" fillId="12" borderId="28" xfId="2" applyNumberFormat="1" applyFont="1" applyFill="1" applyBorder="1" applyAlignment="1">
      <alignment horizontal="center" vertical="center" wrapText="1"/>
    </xf>
    <xf numFmtId="0" fontId="11" fillId="12" borderId="6" xfId="2" applyNumberFormat="1" applyFont="1" applyFill="1" applyBorder="1" applyAlignment="1">
      <alignment horizontal="center" vertical="center" wrapText="1"/>
    </xf>
    <xf numFmtId="0" fontId="11" fillId="12" borderId="29" xfId="2" applyNumberFormat="1"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16" fillId="10" borderId="18"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8"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3" fillId="0" borderId="0" xfId="0" applyFont="1" applyBorder="1" applyAlignment="1">
      <alignment horizontal="left" vertical="center" wrapText="1"/>
    </xf>
    <xf numFmtId="0" fontId="15" fillId="0" borderId="3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29" xfId="0" applyFont="1" applyBorder="1" applyAlignment="1">
      <alignment horizontal="left" vertical="center" wrapText="1"/>
    </xf>
    <xf numFmtId="0" fontId="14" fillId="3" borderId="16" xfId="0" applyFont="1" applyFill="1" applyBorder="1" applyAlignment="1">
      <alignment horizontal="left" vertical="center" wrapText="1"/>
    </xf>
    <xf numFmtId="0" fontId="14" fillId="3" borderId="36"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6" fillId="10" borderId="65" xfId="0" applyFont="1" applyFill="1" applyBorder="1" applyAlignment="1">
      <alignment horizontal="center" vertical="center" wrapText="1"/>
    </xf>
    <xf numFmtId="0" fontId="11" fillId="5" borderId="63" xfId="0" applyFont="1" applyFill="1" applyBorder="1" applyAlignment="1">
      <alignment horizontal="center" wrapText="1"/>
    </xf>
    <xf numFmtId="0" fontId="11" fillId="5" borderId="64" xfId="0" applyFont="1" applyFill="1" applyBorder="1" applyAlignment="1">
      <alignment horizontal="center" wrapText="1"/>
    </xf>
    <xf numFmtId="0" fontId="16" fillId="10" borderId="66" xfId="0" applyFont="1" applyFill="1" applyBorder="1" applyAlignment="1">
      <alignment horizontal="center" vertical="center" wrapText="1"/>
    </xf>
    <xf numFmtId="0" fontId="16" fillId="10" borderId="49" xfId="0" applyFont="1" applyFill="1" applyBorder="1" applyAlignment="1">
      <alignment horizontal="center" vertical="center" wrapText="1"/>
    </xf>
  </cellXfs>
  <cellStyles count="6">
    <cellStyle name="Comma" xfId="5" builtinId="3"/>
    <cellStyle name="Comma [0]" xfId="1" builtinId="6"/>
    <cellStyle name="Currency" xfId="2" builtinId="4"/>
    <cellStyle name="Currency 2" xfId="4"/>
    <cellStyle name="Normal" xfId="0" builtinId="0"/>
    <cellStyle name="Percent"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D13">
            <v>0</v>
          </cell>
          <cell r="E13">
            <v>0</v>
          </cell>
          <cell r="F13">
            <v>0</v>
          </cell>
        </row>
        <row r="44">
          <cell r="D44">
            <v>0</v>
          </cell>
          <cell r="E44">
            <v>0</v>
          </cell>
          <cell r="F44">
            <v>0</v>
          </cell>
        </row>
        <row r="54">
          <cell r="D54">
            <v>0</v>
          </cell>
          <cell r="E54">
            <v>0</v>
          </cell>
          <cell r="F54">
            <v>0</v>
          </cell>
        </row>
        <row r="86">
          <cell r="D86">
            <v>0</v>
          </cell>
          <cell r="E86">
            <v>0</v>
          </cell>
          <cell r="F86">
            <v>0</v>
          </cell>
        </row>
        <row r="96">
          <cell r="D96">
            <v>0</v>
          </cell>
          <cell r="E96">
            <v>0</v>
          </cell>
          <cell r="F96">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7"/>
  <sheetViews>
    <sheetView tabSelected="1" topLeftCell="B1" zoomScale="65" zoomScaleNormal="65" workbookViewId="0">
      <pane xSplit="1" ySplit="8" topLeftCell="C9" activePane="bottomRight" state="frozen"/>
      <selection activeCell="B1" sqref="B1"/>
      <selection pane="topRight" activeCell="C1" sqref="C1"/>
      <selection pane="bottomLeft" activeCell="B9" sqref="B9"/>
      <selection pane="bottomRight" activeCell="B69" sqref="B69:B72"/>
    </sheetView>
  </sheetViews>
  <sheetFormatPr defaultColWidth="9.28515625" defaultRowHeight="15.75" x14ac:dyDescent="0.25"/>
  <cols>
    <col min="1" max="1" width="9.28515625" style="1"/>
    <col min="2" max="2" width="17.7109375" style="1" customWidth="1"/>
    <col min="3" max="3" width="39" style="1" customWidth="1"/>
    <col min="4" max="14" width="22.7109375" style="1" customWidth="1"/>
    <col min="15" max="19" width="22.5703125" style="1" customWidth="1"/>
    <col min="20" max="20" width="31.42578125" style="1" customWidth="1"/>
    <col min="21" max="21" width="10.140625" style="1" bestFit="1" customWidth="1"/>
    <col min="22" max="22" width="17.7109375" style="1" customWidth="1"/>
    <col min="23" max="23" width="26.5703125" style="1" customWidth="1"/>
    <col min="24" max="24" width="22.5703125" style="1" customWidth="1"/>
    <col min="25" max="25" width="29.7109375" style="1" customWidth="1"/>
    <col min="26" max="26" width="23.42578125" style="1" customWidth="1"/>
    <col min="27" max="27" width="18.5703125" style="1" customWidth="1"/>
    <col min="28" max="28" width="17.42578125" style="1" customWidth="1"/>
    <col min="29" max="29" width="25.28515625" style="1" customWidth="1"/>
    <col min="30" max="16384" width="9.28515625" style="1"/>
  </cols>
  <sheetData>
    <row r="2" spans="1:21" ht="47.25" customHeight="1" x14ac:dyDescent="0.25">
      <c r="B2" s="325" t="s">
        <v>0</v>
      </c>
      <c r="C2" s="325"/>
      <c r="D2" s="325"/>
      <c r="E2" s="325"/>
      <c r="F2" s="325"/>
      <c r="G2" s="325"/>
      <c r="H2" s="325"/>
      <c r="I2" s="325"/>
      <c r="J2" s="325"/>
      <c r="K2" s="325"/>
      <c r="L2" s="325"/>
      <c r="M2" s="325"/>
      <c r="N2" s="325"/>
      <c r="O2" s="325"/>
      <c r="P2" s="325"/>
      <c r="Q2" s="325"/>
      <c r="R2" s="325"/>
      <c r="S2" s="325"/>
      <c r="T2" s="325"/>
    </row>
    <row r="3" spans="1:21" ht="16.5" thickBot="1" x14ac:dyDescent="0.3">
      <c r="B3" s="2"/>
    </row>
    <row r="4" spans="1:21" ht="27" customHeight="1" thickBot="1" x14ac:dyDescent="0.3">
      <c r="B4" s="326" t="s">
        <v>194</v>
      </c>
      <c r="C4" s="327"/>
      <c r="D4" s="327"/>
      <c r="E4" s="327"/>
      <c r="F4" s="327"/>
      <c r="G4" s="327"/>
      <c r="H4" s="327"/>
      <c r="I4" s="327"/>
      <c r="J4" s="327"/>
      <c r="K4" s="327"/>
      <c r="L4" s="327"/>
      <c r="M4" s="327"/>
      <c r="N4" s="327"/>
      <c r="O4" s="327"/>
      <c r="P4" s="327"/>
      <c r="Q4" s="327"/>
      <c r="R4" s="327"/>
      <c r="S4" s="327"/>
      <c r="T4" s="327"/>
    </row>
    <row r="6" spans="1:21" ht="25.5" customHeight="1" thickBot="1" x14ac:dyDescent="0.3">
      <c r="G6" s="3"/>
      <c r="H6" s="3"/>
      <c r="I6" s="3"/>
      <c r="J6" s="3"/>
      <c r="K6" s="3"/>
      <c r="L6" s="3"/>
      <c r="M6" s="3"/>
      <c r="N6" s="3"/>
      <c r="O6" s="4"/>
      <c r="P6" s="4"/>
      <c r="Q6" s="4"/>
      <c r="R6" s="4"/>
      <c r="S6" s="4"/>
      <c r="T6" s="5"/>
    </row>
    <row r="7" spans="1:21" ht="57" customHeight="1" x14ac:dyDescent="0.25">
      <c r="B7" s="328" t="s">
        <v>1</v>
      </c>
      <c r="C7" s="328" t="s">
        <v>2</v>
      </c>
      <c r="D7" s="330" t="s">
        <v>3</v>
      </c>
      <c r="E7" s="331"/>
      <c r="F7" s="332"/>
      <c r="G7" s="328" t="s">
        <v>4</v>
      </c>
      <c r="H7" s="339" t="s">
        <v>185</v>
      </c>
      <c r="I7" s="340"/>
      <c r="J7" s="341"/>
      <c r="K7" s="333" t="s">
        <v>6</v>
      </c>
      <c r="L7" s="334"/>
      <c r="M7" s="335"/>
      <c r="N7" s="336" t="s">
        <v>7</v>
      </c>
      <c r="O7" s="328" t="s">
        <v>8</v>
      </c>
      <c r="P7" s="338" t="s">
        <v>202</v>
      </c>
      <c r="Q7" s="300" t="s">
        <v>203</v>
      </c>
      <c r="R7" s="300" t="s">
        <v>203</v>
      </c>
      <c r="S7" s="300" t="s">
        <v>203</v>
      </c>
      <c r="T7" s="328" t="s">
        <v>9</v>
      </c>
    </row>
    <row r="8" spans="1:21" x14ac:dyDescent="0.25">
      <c r="B8" s="329"/>
      <c r="C8" s="329"/>
      <c r="D8" s="6" t="s">
        <v>10</v>
      </c>
      <c r="E8" s="6" t="s">
        <v>11</v>
      </c>
      <c r="F8" s="6" t="s">
        <v>12</v>
      </c>
      <c r="G8" s="329"/>
      <c r="H8" s="7" t="s">
        <v>10</v>
      </c>
      <c r="I8" s="7" t="s">
        <v>11</v>
      </c>
      <c r="J8" s="7" t="s">
        <v>12</v>
      </c>
      <c r="K8" s="8" t="s">
        <v>10</v>
      </c>
      <c r="L8" s="8" t="s">
        <v>11</v>
      </c>
      <c r="M8" s="8" t="s">
        <v>12</v>
      </c>
      <c r="N8" s="337"/>
      <c r="O8" s="329"/>
      <c r="P8" s="338"/>
      <c r="Q8" s="301" t="s">
        <v>10</v>
      </c>
      <c r="R8" s="301" t="s">
        <v>11</v>
      </c>
      <c r="S8" s="301" t="s">
        <v>12</v>
      </c>
      <c r="T8" s="329"/>
    </row>
    <row r="9" spans="1:21" ht="39" customHeight="1" x14ac:dyDescent="0.25">
      <c r="B9" s="9" t="s">
        <v>13</v>
      </c>
      <c r="C9" s="321" t="s">
        <v>14</v>
      </c>
      <c r="D9" s="321"/>
      <c r="E9" s="321"/>
      <c r="F9" s="321"/>
      <c r="G9" s="321"/>
      <c r="H9" s="321"/>
      <c r="I9" s="321"/>
      <c r="J9" s="321"/>
      <c r="K9" s="321"/>
      <c r="L9" s="321"/>
      <c r="M9" s="321"/>
      <c r="N9" s="321"/>
      <c r="O9" s="321"/>
      <c r="P9" s="321"/>
      <c r="Q9" s="321"/>
      <c r="R9" s="321"/>
      <c r="S9" s="321"/>
      <c r="T9" s="321"/>
    </row>
    <row r="10" spans="1:21" ht="24.75" customHeight="1" x14ac:dyDescent="0.25">
      <c r="B10" s="9" t="s">
        <v>15</v>
      </c>
      <c r="C10" s="322" t="s">
        <v>16</v>
      </c>
      <c r="D10" s="323"/>
      <c r="E10" s="323"/>
      <c r="F10" s="323"/>
      <c r="G10" s="323"/>
      <c r="H10" s="323"/>
      <c r="I10" s="323"/>
      <c r="J10" s="323"/>
      <c r="K10" s="323"/>
      <c r="L10" s="323"/>
      <c r="M10" s="323"/>
      <c r="N10" s="323"/>
      <c r="O10" s="323"/>
      <c r="P10" s="323"/>
      <c r="Q10" s="323"/>
      <c r="R10" s="323"/>
      <c r="S10" s="323"/>
      <c r="T10" s="324"/>
    </row>
    <row r="11" spans="1:21" ht="54" customHeight="1" x14ac:dyDescent="0.25">
      <c r="B11" s="11" t="s">
        <v>17</v>
      </c>
      <c r="C11" s="12" t="s">
        <v>18</v>
      </c>
      <c r="D11" s="13">
        <v>10000</v>
      </c>
      <c r="E11" s="13"/>
      <c r="F11" s="13"/>
      <c r="G11" s="14">
        <f>SUM(D11:F11)</f>
        <v>10000</v>
      </c>
      <c r="H11" s="15">
        <f>K11-D11</f>
        <v>3000</v>
      </c>
      <c r="I11" s="15"/>
      <c r="J11" s="16"/>
      <c r="K11" s="17">
        <v>13000</v>
      </c>
      <c r="L11" s="17"/>
      <c r="M11" s="17"/>
      <c r="N11" s="17">
        <f>+K11+L11+M11</f>
        <v>13000</v>
      </c>
      <c r="O11" s="275">
        <v>5</v>
      </c>
      <c r="P11" s="275"/>
      <c r="Q11" s="275">
        <v>3174.19</v>
      </c>
      <c r="R11" s="275"/>
      <c r="S11" s="275">
        <v>0</v>
      </c>
      <c r="T11" s="274"/>
    </row>
    <row r="12" spans="1:21" ht="84.75" customHeight="1" x14ac:dyDescent="0.25">
      <c r="B12" s="11" t="s">
        <v>19</v>
      </c>
      <c r="C12" s="12" t="s">
        <v>20</v>
      </c>
      <c r="D12" s="13">
        <v>30000</v>
      </c>
      <c r="E12" s="13">
        <v>10000</v>
      </c>
      <c r="F12" s="13">
        <v>10000</v>
      </c>
      <c r="G12" s="14">
        <f t="shared" ref="G12:G14" si="0">SUM(D12:F12)</f>
        <v>50000</v>
      </c>
      <c r="H12" s="15">
        <f t="shared" ref="H12:H13" si="1">K12-D12</f>
        <v>-15000</v>
      </c>
      <c r="I12" s="15"/>
      <c r="J12" s="16"/>
      <c r="K12" s="17">
        <v>15000</v>
      </c>
      <c r="L12" s="17">
        <v>10000</v>
      </c>
      <c r="M12" s="17">
        <v>10000</v>
      </c>
      <c r="N12" s="17">
        <f t="shared" ref="N12:N14" si="2">+K12+L12+M12</f>
        <v>35000</v>
      </c>
      <c r="O12" s="275">
        <v>30</v>
      </c>
      <c r="P12" s="275"/>
      <c r="Q12" s="275">
        <v>0</v>
      </c>
      <c r="R12" s="302">
        <v>9931.75</v>
      </c>
      <c r="S12" s="275">
        <v>201.31</v>
      </c>
      <c r="T12" s="274"/>
      <c r="U12" s="312"/>
    </row>
    <row r="13" spans="1:21" ht="96" customHeight="1" x14ac:dyDescent="0.25">
      <c r="B13" s="11" t="s">
        <v>21</v>
      </c>
      <c r="C13" s="12" t="s">
        <v>22</v>
      </c>
      <c r="D13" s="13">
        <v>15000</v>
      </c>
      <c r="E13" s="13"/>
      <c r="F13" s="13" t="s">
        <v>23</v>
      </c>
      <c r="G13" s="14">
        <f t="shared" si="0"/>
        <v>15000</v>
      </c>
      <c r="H13" s="15">
        <f t="shared" si="1"/>
        <v>5000</v>
      </c>
      <c r="I13" s="15"/>
      <c r="J13" s="16"/>
      <c r="K13" s="17">
        <v>20000</v>
      </c>
      <c r="L13" s="17"/>
      <c r="M13" s="17"/>
      <c r="N13" s="17">
        <f t="shared" si="2"/>
        <v>20000</v>
      </c>
      <c r="O13" s="275">
        <v>20</v>
      </c>
      <c r="P13" s="275"/>
      <c r="Q13" s="275">
        <v>4668.38</v>
      </c>
      <c r="R13" s="275"/>
      <c r="S13" s="275">
        <v>0</v>
      </c>
      <c r="T13" s="274"/>
    </row>
    <row r="14" spans="1:21" ht="97.5" customHeight="1" x14ac:dyDescent="0.25">
      <c r="B14" s="11" t="s">
        <v>24</v>
      </c>
      <c r="C14" s="19" t="s">
        <v>184</v>
      </c>
      <c r="D14" s="13">
        <v>10000</v>
      </c>
      <c r="E14" s="13"/>
      <c r="F14" s="13"/>
      <c r="G14" s="14">
        <f t="shared" si="0"/>
        <v>10000</v>
      </c>
      <c r="H14" s="15">
        <f>K14-D14</f>
        <v>0</v>
      </c>
      <c r="I14" s="15"/>
      <c r="J14" s="16"/>
      <c r="K14" s="17">
        <v>10000</v>
      </c>
      <c r="L14" s="17"/>
      <c r="M14" s="17"/>
      <c r="N14" s="17">
        <f t="shared" si="2"/>
        <v>10000</v>
      </c>
      <c r="O14" s="275">
        <v>20</v>
      </c>
      <c r="P14" s="275"/>
      <c r="Q14" s="275"/>
      <c r="R14" s="303"/>
      <c r="S14" s="275">
        <v>0</v>
      </c>
      <c r="T14" s="274"/>
    </row>
    <row r="15" spans="1:21" x14ac:dyDescent="0.25">
      <c r="A15" s="5"/>
      <c r="C15" s="24" t="s">
        <v>25</v>
      </c>
      <c r="D15" s="25">
        <f t="shared" ref="D15:N15" si="3">SUM(D11:D14)</f>
        <v>65000</v>
      </c>
      <c r="E15" s="25">
        <f t="shared" si="3"/>
        <v>10000</v>
      </c>
      <c r="F15" s="25">
        <f t="shared" si="3"/>
        <v>10000</v>
      </c>
      <c r="G15" s="25">
        <f t="shared" si="3"/>
        <v>85000</v>
      </c>
      <c r="H15" s="26">
        <f t="shared" si="3"/>
        <v>-7000</v>
      </c>
      <c r="I15" s="26">
        <f t="shared" si="3"/>
        <v>0</v>
      </c>
      <c r="J15" s="26">
        <f t="shared" si="3"/>
        <v>0</v>
      </c>
      <c r="K15" s="27">
        <f t="shared" si="3"/>
        <v>58000</v>
      </c>
      <c r="L15" s="27">
        <f t="shared" si="3"/>
        <v>10000</v>
      </c>
      <c r="M15" s="27">
        <f t="shared" si="3"/>
        <v>10000</v>
      </c>
      <c r="N15" s="27">
        <f t="shared" si="3"/>
        <v>78000</v>
      </c>
      <c r="O15" s="28">
        <f>(O11*N11)+(O12*N12)+(O13*N13)+(O14*N14)</f>
        <v>1715000</v>
      </c>
      <c r="P15" s="28"/>
      <c r="Q15" s="28">
        <f>Q11+Q12+Q13+Q14</f>
        <v>7842.57</v>
      </c>
      <c r="R15" s="28">
        <f>R11+R12+R13+R14</f>
        <v>9931.75</v>
      </c>
      <c r="S15" s="28">
        <f>S11+S12+S13+S14</f>
        <v>201.31</v>
      </c>
      <c r="T15" s="23"/>
    </row>
    <row r="16" spans="1:21" ht="34.5" customHeight="1" x14ac:dyDescent="0.25">
      <c r="A16" s="5"/>
      <c r="B16" s="9" t="s">
        <v>26</v>
      </c>
      <c r="C16" s="342" t="s">
        <v>27</v>
      </c>
      <c r="D16" s="343"/>
      <c r="E16" s="343"/>
      <c r="F16" s="343"/>
      <c r="G16" s="343"/>
      <c r="H16" s="343"/>
      <c r="I16" s="343"/>
      <c r="J16" s="343"/>
      <c r="K16" s="343"/>
      <c r="L16" s="343"/>
      <c r="M16" s="343"/>
      <c r="N16" s="343"/>
      <c r="O16" s="343"/>
      <c r="P16" s="343"/>
      <c r="Q16" s="343"/>
      <c r="R16" s="343"/>
      <c r="S16" s="343"/>
      <c r="T16" s="344"/>
    </row>
    <row r="17" spans="1:21" ht="93" customHeight="1" x14ac:dyDescent="0.25">
      <c r="A17" s="5"/>
      <c r="B17" s="365" t="s">
        <v>28</v>
      </c>
      <c r="C17" s="31" t="s">
        <v>29</v>
      </c>
      <c r="D17" s="361"/>
      <c r="E17" s="361">
        <v>10000</v>
      </c>
      <c r="F17" s="361" t="s">
        <v>23</v>
      </c>
      <c r="G17" s="363">
        <f>SUM(D17:F17)</f>
        <v>10000</v>
      </c>
      <c r="H17" s="345">
        <f>K17-D17</f>
        <v>0</v>
      </c>
      <c r="I17" s="345">
        <f t="shared" ref="I17:I19" si="4">L17-E17</f>
        <v>0</v>
      </c>
      <c r="J17" s="354"/>
      <c r="K17" s="355"/>
      <c r="L17" s="355">
        <v>10000</v>
      </c>
      <c r="M17" s="355"/>
      <c r="N17" s="355">
        <f>SUM(K17:M17)</f>
        <v>10000</v>
      </c>
      <c r="O17" s="347">
        <v>35</v>
      </c>
      <c r="P17" s="347"/>
      <c r="Q17" s="347"/>
      <c r="R17" s="359">
        <v>6641.9</v>
      </c>
      <c r="S17" s="349"/>
      <c r="T17" s="357"/>
      <c r="U17" s="273"/>
    </row>
    <row r="18" spans="1:21" s="34" customFormat="1" ht="29.1" customHeight="1" x14ac:dyDescent="0.25">
      <c r="A18" s="32"/>
      <c r="B18" s="366"/>
      <c r="C18" s="33" t="s">
        <v>30</v>
      </c>
      <c r="D18" s="362"/>
      <c r="E18" s="362"/>
      <c r="F18" s="362"/>
      <c r="G18" s="364"/>
      <c r="H18" s="346"/>
      <c r="I18" s="346"/>
      <c r="J18" s="346"/>
      <c r="K18" s="356"/>
      <c r="L18" s="356"/>
      <c r="M18" s="356"/>
      <c r="N18" s="356"/>
      <c r="O18" s="348"/>
      <c r="P18" s="348"/>
      <c r="Q18" s="348"/>
      <c r="R18" s="360"/>
      <c r="S18" s="350"/>
      <c r="T18" s="358"/>
    </row>
    <row r="19" spans="1:21" ht="157.5" x14ac:dyDescent="0.25">
      <c r="A19" s="5"/>
      <c r="B19" s="11" t="s">
        <v>31</v>
      </c>
      <c r="C19" s="20" t="s">
        <v>32</v>
      </c>
      <c r="D19" s="13"/>
      <c r="E19" s="13">
        <v>20000</v>
      </c>
      <c r="F19" s="13" t="s">
        <v>23</v>
      </c>
      <c r="G19" s="14">
        <f t="shared" ref="G19:G20" si="5">SUM(D19:F19)</f>
        <v>20000</v>
      </c>
      <c r="H19" s="345">
        <f>K19-D19</f>
        <v>0</v>
      </c>
      <c r="I19" s="305">
        <f t="shared" si="4"/>
        <v>-10000</v>
      </c>
      <c r="J19" s="16"/>
      <c r="K19" s="17"/>
      <c r="L19" s="17">
        <v>10000</v>
      </c>
      <c r="M19" s="17"/>
      <c r="N19" s="17">
        <f t="shared" ref="N19:N20" si="6">SUM(K19:M19)</f>
        <v>10000</v>
      </c>
      <c r="O19" s="275">
        <v>10</v>
      </c>
      <c r="P19" s="275"/>
      <c r="Q19" s="275"/>
      <c r="R19" s="313">
        <v>4000</v>
      </c>
      <c r="S19" s="275"/>
      <c r="T19" s="18"/>
    </row>
    <row r="20" spans="1:21" ht="47.25" x14ac:dyDescent="0.25">
      <c r="A20" s="5"/>
      <c r="B20" s="11" t="s">
        <v>33</v>
      </c>
      <c r="C20" s="20" t="s">
        <v>34</v>
      </c>
      <c r="D20" s="13"/>
      <c r="E20" s="13">
        <v>30000</v>
      </c>
      <c r="F20" s="13" t="s">
        <v>23</v>
      </c>
      <c r="G20" s="14">
        <f t="shared" si="5"/>
        <v>30000</v>
      </c>
      <c r="H20" s="346"/>
      <c r="I20" s="304"/>
      <c r="J20" s="16"/>
      <c r="K20" s="17"/>
      <c r="L20" s="17">
        <v>30000</v>
      </c>
      <c r="M20" s="17"/>
      <c r="N20" s="17">
        <f t="shared" si="6"/>
        <v>30000</v>
      </c>
      <c r="O20" s="275">
        <v>20</v>
      </c>
      <c r="P20" s="275"/>
      <c r="Q20" s="275"/>
      <c r="R20" s="275"/>
      <c r="S20" s="275"/>
      <c r="T20" s="18"/>
    </row>
    <row r="21" spans="1:21" x14ac:dyDescent="0.25">
      <c r="A21" s="5"/>
      <c r="C21" s="24" t="s">
        <v>25</v>
      </c>
      <c r="D21" s="35">
        <f t="shared" ref="D21:N21" si="7">SUM(D17:D20)</f>
        <v>0</v>
      </c>
      <c r="E21" s="35">
        <f t="shared" si="7"/>
        <v>60000</v>
      </c>
      <c r="F21" s="35">
        <f t="shared" si="7"/>
        <v>0</v>
      </c>
      <c r="G21" s="35">
        <f t="shared" si="7"/>
        <v>60000</v>
      </c>
      <c r="H21" s="36">
        <f t="shared" si="7"/>
        <v>0</v>
      </c>
      <c r="I21" s="36">
        <f t="shared" si="7"/>
        <v>-10000</v>
      </c>
      <c r="J21" s="36">
        <f t="shared" si="7"/>
        <v>0</v>
      </c>
      <c r="K21" s="37">
        <f t="shared" si="7"/>
        <v>0</v>
      </c>
      <c r="L21" s="37">
        <f t="shared" si="7"/>
        <v>50000</v>
      </c>
      <c r="M21" s="37">
        <f t="shared" si="7"/>
        <v>0</v>
      </c>
      <c r="N21" s="37">
        <f t="shared" si="7"/>
        <v>50000</v>
      </c>
      <c r="O21" s="28">
        <f>(N17*O17)+(N19*O19)+(N20*O20)</f>
        <v>1050000</v>
      </c>
      <c r="P21" s="28"/>
      <c r="Q21" s="28">
        <f>Q17+Q19+Q20</f>
        <v>0</v>
      </c>
      <c r="R21" s="28">
        <f>R17+R19+R20</f>
        <v>10641.9</v>
      </c>
      <c r="S21" s="28">
        <f>S17+S19+S20</f>
        <v>0</v>
      </c>
      <c r="T21" s="263" t="s">
        <v>187</v>
      </c>
    </row>
    <row r="22" spans="1:21" x14ac:dyDescent="0.25">
      <c r="C22" s="24" t="s">
        <v>186</v>
      </c>
      <c r="D22" s="262">
        <f>D21+D15</f>
        <v>65000</v>
      </c>
      <c r="E22" s="262">
        <f t="shared" ref="E22:N22" si="8">E21+E15</f>
        <v>70000</v>
      </c>
      <c r="F22" s="262">
        <f t="shared" si="8"/>
        <v>10000</v>
      </c>
      <c r="G22" s="262">
        <f t="shared" si="8"/>
        <v>145000</v>
      </c>
      <c r="H22" s="262">
        <f t="shared" si="8"/>
        <v>-7000</v>
      </c>
      <c r="I22" s="262">
        <f t="shared" si="8"/>
        <v>-10000</v>
      </c>
      <c r="J22" s="262">
        <f t="shared" si="8"/>
        <v>0</v>
      </c>
      <c r="K22" s="262">
        <f t="shared" si="8"/>
        <v>58000</v>
      </c>
      <c r="L22" s="262">
        <f t="shared" si="8"/>
        <v>60000</v>
      </c>
      <c r="M22" s="262">
        <f t="shared" si="8"/>
        <v>10000</v>
      </c>
      <c r="N22" s="262">
        <f t="shared" si="8"/>
        <v>128000</v>
      </c>
      <c r="O22" s="306">
        <f>O15+O21</f>
        <v>2765000</v>
      </c>
      <c r="P22" s="29"/>
      <c r="Q22" s="306">
        <f>Q15+Q21</f>
        <v>7842.57</v>
      </c>
      <c r="R22" s="306">
        <f>R15+R21</f>
        <v>20573.650000000001</v>
      </c>
      <c r="S22" s="306">
        <f>S15+S21</f>
        <v>201.31</v>
      </c>
      <c r="T22" s="264">
        <f>(N22*100/G22)-100</f>
        <v>-11.724137931034477</v>
      </c>
    </row>
    <row r="23" spans="1:21" x14ac:dyDescent="0.25">
      <c r="B23" s="38"/>
      <c r="C23" s="39"/>
      <c r="D23" s="39"/>
      <c r="E23" s="39"/>
      <c r="F23" s="39"/>
      <c r="G23" s="40"/>
      <c r="H23" s="40"/>
      <c r="I23" s="40"/>
      <c r="J23" s="40"/>
      <c r="K23" s="40"/>
      <c r="L23" s="40"/>
      <c r="M23" s="40"/>
      <c r="N23" s="40"/>
      <c r="O23" s="40"/>
      <c r="P23" s="40"/>
      <c r="Q23" s="40"/>
      <c r="R23" s="40"/>
      <c r="S23" s="40"/>
      <c r="T23" s="40"/>
    </row>
    <row r="24" spans="1:21" x14ac:dyDescent="0.25">
      <c r="B24" s="24" t="s">
        <v>35</v>
      </c>
      <c r="C24" s="351" t="s">
        <v>36</v>
      </c>
      <c r="D24" s="352"/>
      <c r="E24" s="352"/>
      <c r="F24" s="352"/>
      <c r="G24" s="352"/>
      <c r="H24" s="352"/>
      <c r="I24" s="352"/>
      <c r="J24" s="352"/>
      <c r="K24" s="352"/>
      <c r="L24" s="352"/>
      <c r="M24" s="352"/>
      <c r="N24" s="352"/>
      <c r="O24" s="352"/>
      <c r="P24" s="352"/>
      <c r="Q24" s="352"/>
      <c r="R24" s="352"/>
      <c r="S24" s="352"/>
      <c r="T24" s="353"/>
    </row>
    <row r="25" spans="1:21" x14ac:dyDescent="0.25">
      <c r="B25" s="9" t="s">
        <v>37</v>
      </c>
      <c r="C25" s="368" t="s">
        <v>38</v>
      </c>
      <c r="D25" s="369"/>
      <c r="E25" s="369"/>
      <c r="F25" s="369"/>
      <c r="G25" s="369"/>
      <c r="H25" s="369"/>
      <c r="I25" s="369"/>
      <c r="J25" s="369"/>
      <c r="K25" s="369"/>
      <c r="L25" s="369"/>
      <c r="M25" s="369"/>
      <c r="N25" s="369"/>
      <c r="O25" s="369"/>
      <c r="P25" s="369"/>
      <c r="Q25" s="369"/>
      <c r="R25" s="369"/>
      <c r="S25" s="369"/>
      <c r="T25" s="370"/>
    </row>
    <row r="26" spans="1:21" ht="126" x14ac:dyDescent="0.25">
      <c r="B26" s="11" t="s">
        <v>39</v>
      </c>
      <c r="C26" s="20" t="s">
        <v>40</v>
      </c>
      <c r="D26" s="13"/>
      <c r="E26" s="13">
        <v>30000</v>
      </c>
      <c r="F26" s="13">
        <v>40000</v>
      </c>
      <c r="G26" s="14">
        <f>SUM(D26:F26)</f>
        <v>70000</v>
      </c>
      <c r="H26" s="15">
        <f>K26-D26</f>
        <v>0</v>
      </c>
      <c r="I26" s="15">
        <f t="shared" ref="I26:J30" si="9">L26-E26</f>
        <v>0</v>
      </c>
      <c r="J26" s="15">
        <f t="shared" si="9"/>
        <v>0</v>
      </c>
      <c r="K26" s="17"/>
      <c r="L26" s="17">
        <v>30000</v>
      </c>
      <c r="M26" s="17">
        <v>40000</v>
      </c>
      <c r="N26" s="17">
        <f>SUM(K26:M26)</f>
        <v>70000</v>
      </c>
      <c r="O26" s="275">
        <v>40</v>
      </c>
      <c r="P26" s="275"/>
      <c r="Q26" s="275"/>
      <c r="R26" s="302">
        <f>23409.93+1920.88</f>
        <v>25330.81</v>
      </c>
      <c r="S26" s="275">
        <v>11827.559999999998</v>
      </c>
      <c r="T26" s="18"/>
    </row>
    <row r="27" spans="1:21" ht="78.75" x14ac:dyDescent="0.25">
      <c r="B27" s="11" t="s">
        <v>41</v>
      </c>
      <c r="C27" s="20" t="s">
        <v>42</v>
      </c>
      <c r="D27" s="13"/>
      <c r="E27" s="13">
        <v>30000</v>
      </c>
      <c r="F27" s="13">
        <v>30000</v>
      </c>
      <c r="G27" s="14">
        <f t="shared" ref="G27:G30" si="10">SUM(D27:F27)</f>
        <v>60000</v>
      </c>
      <c r="H27" s="15">
        <f t="shared" ref="H27:H30" si="11">K27-D27</f>
        <v>0</v>
      </c>
      <c r="I27" s="15">
        <f t="shared" si="9"/>
        <v>0</v>
      </c>
      <c r="J27" s="15">
        <f t="shared" si="9"/>
        <v>0</v>
      </c>
      <c r="K27" s="17"/>
      <c r="L27" s="17">
        <v>30000</v>
      </c>
      <c r="M27" s="17">
        <v>30000</v>
      </c>
      <c r="N27" s="17">
        <f t="shared" ref="N27" si="12">SUM(K27:M27)</f>
        <v>60000</v>
      </c>
      <c r="O27" s="275">
        <v>45</v>
      </c>
      <c r="P27" s="275"/>
      <c r="Q27" s="275"/>
      <c r="R27" s="275"/>
      <c r="S27" s="275">
        <v>0</v>
      </c>
      <c r="T27" s="18"/>
    </row>
    <row r="28" spans="1:21" ht="171.75" customHeight="1" x14ac:dyDescent="0.25">
      <c r="B28" s="11" t="s">
        <v>43</v>
      </c>
      <c r="C28" s="31" t="s">
        <v>44</v>
      </c>
      <c r="D28" s="13">
        <v>60000</v>
      </c>
      <c r="E28" s="13">
        <v>40000</v>
      </c>
      <c r="F28" s="13">
        <v>30000</v>
      </c>
      <c r="G28" s="14">
        <f t="shared" si="10"/>
        <v>130000</v>
      </c>
      <c r="H28" s="15">
        <f t="shared" si="11"/>
        <v>-60000</v>
      </c>
      <c r="I28" s="15">
        <f t="shared" si="9"/>
        <v>-40000</v>
      </c>
      <c r="J28" s="15">
        <f t="shared" si="9"/>
        <v>-30000</v>
      </c>
      <c r="K28" s="17"/>
      <c r="L28" s="17"/>
      <c r="M28" s="17"/>
      <c r="N28" s="17">
        <f>K28+L28+M28</f>
        <v>0</v>
      </c>
      <c r="O28" s="275">
        <v>40</v>
      </c>
      <c r="P28" s="275"/>
      <c r="Q28" s="275"/>
      <c r="R28" s="275"/>
      <c r="S28" s="275">
        <v>0</v>
      </c>
      <c r="T28" s="18"/>
    </row>
    <row r="29" spans="1:21" ht="115.5" customHeight="1" x14ac:dyDescent="0.25">
      <c r="B29" s="11" t="s">
        <v>43</v>
      </c>
      <c r="C29" s="41" t="s">
        <v>45</v>
      </c>
      <c r="D29" s="13"/>
      <c r="E29" s="13"/>
      <c r="F29" s="13"/>
      <c r="G29" s="14"/>
      <c r="H29" s="15">
        <f t="shared" si="11"/>
        <v>30000</v>
      </c>
      <c r="I29" s="15">
        <f t="shared" si="9"/>
        <v>20000</v>
      </c>
      <c r="J29" s="15">
        <f t="shared" si="9"/>
        <v>20000</v>
      </c>
      <c r="K29" s="17">
        <v>30000</v>
      </c>
      <c r="L29" s="17">
        <f>20000</f>
        <v>20000</v>
      </c>
      <c r="M29" s="17">
        <v>20000</v>
      </c>
      <c r="N29" s="17">
        <f>K29+L29+M29</f>
        <v>70000</v>
      </c>
      <c r="O29" s="307">
        <v>30</v>
      </c>
      <c r="P29" s="307"/>
      <c r="Q29" s="307">
        <v>1762.89</v>
      </c>
      <c r="R29" s="307"/>
      <c r="S29" s="307">
        <v>6825.8</v>
      </c>
      <c r="T29" s="18"/>
    </row>
    <row r="30" spans="1:21" ht="78.75" x14ac:dyDescent="0.25">
      <c r="B30" s="11" t="s">
        <v>46</v>
      </c>
      <c r="C30" s="41" t="s">
        <v>47</v>
      </c>
      <c r="D30" s="13"/>
      <c r="E30" s="13"/>
      <c r="F30" s="13"/>
      <c r="G30" s="14">
        <f t="shared" si="10"/>
        <v>0</v>
      </c>
      <c r="H30" s="15">
        <f t="shared" si="11"/>
        <v>0</v>
      </c>
      <c r="I30" s="15">
        <f t="shared" si="9"/>
        <v>20000</v>
      </c>
      <c r="J30" s="15">
        <f t="shared" si="9"/>
        <v>10000</v>
      </c>
      <c r="K30" s="17"/>
      <c r="L30" s="17">
        <f>20000</f>
        <v>20000</v>
      </c>
      <c r="M30" s="17">
        <v>10000</v>
      </c>
      <c r="N30" s="17">
        <f>K30+L30+M30</f>
        <v>30000</v>
      </c>
      <c r="O30" s="307">
        <v>5</v>
      </c>
      <c r="P30" s="307"/>
      <c r="Q30" s="307"/>
      <c r="R30" s="307"/>
      <c r="S30" s="307">
        <v>0</v>
      </c>
      <c r="T30" s="18"/>
    </row>
    <row r="31" spans="1:21" s="5" customFormat="1" x14ac:dyDescent="0.25">
      <c r="A31" s="1"/>
      <c r="B31" s="1"/>
      <c r="C31" s="24" t="s">
        <v>25</v>
      </c>
      <c r="D31" s="25">
        <f t="shared" ref="D31:N31" si="13">SUM(D26:D30)</f>
        <v>60000</v>
      </c>
      <c r="E31" s="25">
        <f t="shared" si="13"/>
        <v>100000</v>
      </c>
      <c r="F31" s="25">
        <f t="shared" si="13"/>
        <v>100000</v>
      </c>
      <c r="G31" s="35">
        <f t="shared" si="13"/>
        <v>260000</v>
      </c>
      <c r="H31" s="26">
        <f t="shared" si="13"/>
        <v>-30000</v>
      </c>
      <c r="I31" s="26">
        <f t="shared" si="13"/>
        <v>0</v>
      </c>
      <c r="J31" s="36">
        <f t="shared" si="13"/>
        <v>0</v>
      </c>
      <c r="K31" s="27">
        <f t="shared" si="13"/>
        <v>30000</v>
      </c>
      <c r="L31" s="27">
        <f t="shared" si="13"/>
        <v>100000</v>
      </c>
      <c r="M31" s="27">
        <f t="shared" si="13"/>
        <v>100000</v>
      </c>
      <c r="N31" s="27">
        <f t="shared" si="13"/>
        <v>230000</v>
      </c>
      <c r="O31" s="28"/>
      <c r="P31" s="28"/>
      <c r="Q31" s="28">
        <f>Q26+Q27+Q28+Q29+Q30</f>
        <v>1762.89</v>
      </c>
      <c r="R31" s="28">
        <f>R26+R27+R28+R29+R30</f>
        <v>25330.81</v>
      </c>
      <c r="S31" s="28">
        <f>S26+S27+S28+S29+S30</f>
        <v>18653.359999999997</v>
      </c>
      <c r="T31" s="23"/>
    </row>
    <row r="32" spans="1:21" x14ac:dyDescent="0.25">
      <c r="B32" s="9" t="s">
        <v>48</v>
      </c>
      <c r="C32" s="368" t="s">
        <v>49</v>
      </c>
      <c r="D32" s="369"/>
      <c r="E32" s="369"/>
      <c r="F32" s="369"/>
      <c r="G32" s="369"/>
      <c r="H32" s="369"/>
      <c r="I32" s="369"/>
      <c r="J32" s="369"/>
      <c r="K32" s="369"/>
      <c r="L32" s="369"/>
      <c r="M32" s="369"/>
      <c r="N32" s="369"/>
      <c r="O32" s="369"/>
      <c r="P32" s="369"/>
      <c r="Q32" s="369"/>
      <c r="R32" s="369"/>
      <c r="S32" s="369"/>
      <c r="T32" s="370"/>
    </row>
    <row r="33" spans="2:20" ht="78.75" x14ac:dyDescent="0.25">
      <c r="B33" s="365" t="s">
        <v>50</v>
      </c>
      <c r="C33" s="31" t="s">
        <v>51</v>
      </c>
      <c r="D33" s="13">
        <v>30000</v>
      </c>
      <c r="E33" s="13">
        <v>20000</v>
      </c>
      <c r="F33" s="13">
        <v>20000</v>
      </c>
      <c r="G33" s="14">
        <f>SUM(D33:F33)</f>
        <v>70000</v>
      </c>
      <c r="H33" s="15">
        <f>K33-D33</f>
        <v>-30000</v>
      </c>
      <c r="I33" s="15">
        <f t="shared" ref="I33:J37" si="14">L33-E33</f>
        <v>-20000</v>
      </c>
      <c r="J33" s="15">
        <f t="shared" si="14"/>
        <v>0</v>
      </c>
      <c r="K33" s="17"/>
      <c r="L33" s="17"/>
      <c r="M33" s="17">
        <v>20000</v>
      </c>
      <c r="N33" s="17">
        <f>SUM(K33:M33)</f>
        <v>20000</v>
      </c>
      <c r="O33" s="276">
        <v>30</v>
      </c>
      <c r="P33" s="276"/>
      <c r="Q33" s="276"/>
      <c r="R33" s="276"/>
      <c r="S33" s="276">
        <v>0</v>
      </c>
      <c r="T33" s="18"/>
    </row>
    <row r="34" spans="2:20" ht="94.5" x14ac:dyDescent="0.25">
      <c r="B34" s="366"/>
      <c r="C34" s="42" t="s">
        <v>52</v>
      </c>
      <c r="D34" s="13"/>
      <c r="E34" s="13"/>
      <c r="F34" s="13"/>
      <c r="G34" s="14"/>
      <c r="H34" s="15">
        <f t="shared" ref="H34:H37" si="15">K34-D34</f>
        <v>15000</v>
      </c>
      <c r="I34" s="15">
        <f t="shared" si="14"/>
        <v>20000</v>
      </c>
      <c r="J34" s="15">
        <f t="shared" si="14"/>
        <v>0</v>
      </c>
      <c r="K34" s="17">
        <v>15000</v>
      </c>
      <c r="L34" s="17">
        <v>20000</v>
      </c>
      <c r="M34" s="17"/>
      <c r="N34" s="17">
        <f>SUM(K34:M34)</f>
        <v>35000</v>
      </c>
      <c r="O34" s="308">
        <v>50</v>
      </c>
      <c r="P34" s="308"/>
      <c r="Q34" s="308"/>
      <c r="R34" s="308"/>
      <c r="S34" s="315">
        <v>7782.5600000000013</v>
      </c>
      <c r="T34" s="18"/>
    </row>
    <row r="35" spans="2:20" ht="78.75" x14ac:dyDescent="0.25">
      <c r="B35" s="11" t="s">
        <v>53</v>
      </c>
      <c r="C35" s="42" t="s">
        <v>54</v>
      </c>
      <c r="D35" s="13"/>
      <c r="E35" s="13"/>
      <c r="F35" s="13"/>
      <c r="G35" s="14"/>
      <c r="H35" s="15">
        <f t="shared" si="15"/>
        <v>35000</v>
      </c>
      <c r="I35" s="15">
        <f t="shared" si="14"/>
        <v>5000</v>
      </c>
      <c r="J35" s="15">
        <f t="shared" si="14"/>
        <v>0</v>
      </c>
      <c r="K35" s="17">
        <f>10000+25000</f>
        <v>35000</v>
      </c>
      <c r="L35" s="17">
        <v>5000</v>
      </c>
      <c r="M35" s="17"/>
      <c r="N35" s="17">
        <f>SUM(K35:M35)</f>
        <v>40000</v>
      </c>
      <c r="O35" s="307">
        <v>40</v>
      </c>
      <c r="P35" s="307"/>
      <c r="Q35" s="307">
        <f>6225.63+9828.77</f>
        <v>16054.400000000001</v>
      </c>
      <c r="R35" s="307"/>
      <c r="S35" s="307">
        <v>0</v>
      </c>
      <c r="T35" s="18"/>
    </row>
    <row r="36" spans="2:20" ht="63" x14ac:dyDescent="0.25">
      <c r="B36" s="11" t="s">
        <v>55</v>
      </c>
      <c r="C36" s="20" t="s">
        <v>56</v>
      </c>
      <c r="D36" s="13">
        <v>20000</v>
      </c>
      <c r="E36" s="13"/>
      <c r="F36" s="13"/>
      <c r="G36" s="14">
        <f t="shared" ref="G36:G37" si="16">SUM(D36:F36)</f>
        <v>20000</v>
      </c>
      <c r="H36" s="15">
        <f t="shared" si="15"/>
        <v>-20000</v>
      </c>
      <c r="I36" s="15">
        <f t="shared" si="14"/>
        <v>0</v>
      </c>
      <c r="J36" s="15">
        <f t="shared" si="14"/>
        <v>0</v>
      </c>
      <c r="K36" s="17"/>
      <c r="L36" s="17"/>
      <c r="M36" s="17"/>
      <c r="N36" s="17">
        <f t="shared" ref="N36:N37" si="17">SUM(K36:M36)</f>
        <v>0</v>
      </c>
      <c r="O36" s="275">
        <v>20</v>
      </c>
      <c r="P36" s="275"/>
      <c r="Q36" s="275"/>
      <c r="R36" s="275"/>
      <c r="S36" s="275">
        <v>0</v>
      </c>
      <c r="T36" s="18"/>
    </row>
    <row r="37" spans="2:20" ht="94.5" x14ac:dyDescent="0.25">
      <c r="B37" s="11" t="s">
        <v>57</v>
      </c>
      <c r="C37" s="20" t="s">
        <v>58</v>
      </c>
      <c r="D37" s="13"/>
      <c r="E37" s="13">
        <v>0</v>
      </c>
      <c r="F37" s="13">
        <v>50000</v>
      </c>
      <c r="G37" s="14">
        <f t="shared" si="16"/>
        <v>50000</v>
      </c>
      <c r="H37" s="15">
        <f t="shared" si="15"/>
        <v>0</v>
      </c>
      <c r="I37" s="265">
        <f>L37-E37</f>
        <v>0</v>
      </c>
      <c r="J37" s="15">
        <f t="shared" si="14"/>
        <v>0</v>
      </c>
      <c r="K37" s="17"/>
      <c r="L37" s="17">
        <v>0</v>
      </c>
      <c r="M37" s="17">
        <v>50000</v>
      </c>
      <c r="N37" s="17">
        <f t="shared" si="17"/>
        <v>50000</v>
      </c>
      <c r="O37" s="275">
        <v>75</v>
      </c>
      <c r="P37" s="275"/>
      <c r="Q37" s="275"/>
      <c r="R37" s="275"/>
      <c r="S37" s="275">
        <v>9924.2999999999993</v>
      </c>
      <c r="T37" s="18"/>
    </row>
    <row r="38" spans="2:20" x14ac:dyDescent="0.25">
      <c r="C38" s="24" t="s">
        <v>25</v>
      </c>
      <c r="D38" s="35">
        <f t="shared" ref="D38:N38" si="18">SUM(D33:D37)</f>
        <v>50000</v>
      </c>
      <c r="E38" s="35">
        <f t="shared" si="18"/>
        <v>20000</v>
      </c>
      <c r="F38" s="35">
        <f t="shared" si="18"/>
        <v>70000</v>
      </c>
      <c r="G38" s="35">
        <f t="shared" si="18"/>
        <v>140000</v>
      </c>
      <c r="H38" s="36">
        <f t="shared" si="18"/>
        <v>0</v>
      </c>
      <c r="I38" s="36">
        <f t="shared" si="18"/>
        <v>5000</v>
      </c>
      <c r="J38" s="36">
        <f t="shared" si="18"/>
        <v>0</v>
      </c>
      <c r="K38" s="37">
        <f t="shared" si="18"/>
        <v>50000</v>
      </c>
      <c r="L38" s="37">
        <f t="shared" si="18"/>
        <v>25000</v>
      </c>
      <c r="M38" s="37">
        <f t="shared" si="18"/>
        <v>70000</v>
      </c>
      <c r="N38" s="37">
        <f t="shared" si="18"/>
        <v>145000</v>
      </c>
      <c r="O38" s="28">
        <f>(O33*N33)+(O36*N36)+(O37*N37)+(N34*O34)+(N35*O35)</f>
        <v>7700000</v>
      </c>
      <c r="P38" s="28"/>
      <c r="Q38" s="28">
        <f>Q33+Q34+Q35+Q36+Q37</f>
        <v>16054.400000000001</v>
      </c>
      <c r="R38" s="28">
        <f>R33+R34+R35+R36+R37</f>
        <v>0</v>
      </c>
      <c r="S38" s="28">
        <f>S33+S34+S35+S36+S37</f>
        <v>17706.86</v>
      </c>
      <c r="T38" s="263" t="s">
        <v>189</v>
      </c>
    </row>
    <row r="39" spans="2:20" x14ac:dyDescent="0.25">
      <c r="C39" s="24" t="s">
        <v>188</v>
      </c>
      <c r="D39" s="262">
        <f>D38+D31</f>
        <v>110000</v>
      </c>
      <c r="E39" s="262">
        <f t="shared" ref="E39:N39" si="19">E38+E31</f>
        <v>120000</v>
      </c>
      <c r="F39" s="262">
        <f t="shared" si="19"/>
        <v>170000</v>
      </c>
      <c r="G39" s="262">
        <f t="shared" si="19"/>
        <v>400000</v>
      </c>
      <c r="H39" s="262">
        <f t="shared" si="19"/>
        <v>-30000</v>
      </c>
      <c r="I39" s="262">
        <f t="shared" si="19"/>
        <v>5000</v>
      </c>
      <c r="J39" s="262">
        <f t="shared" si="19"/>
        <v>0</v>
      </c>
      <c r="K39" s="262">
        <f t="shared" si="19"/>
        <v>80000</v>
      </c>
      <c r="L39" s="262">
        <f t="shared" si="19"/>
        <v>125000</v>
      </c>
      <c r="M39" s="262">
        <f t="shared" si="19"/>
        <v>170000</v>
      </c>
      <c r="N39" s="262">
        <f t="shared" si="19"/>
        <v>375000</v>
      </c>
      <c r="O39" s="306">
        <f>O38</f>
        <v>7700000</v>
      </c>
      <c r="P39" s="29"/>
      <c r="Q39" s="306">
        <f>Q31+Q38</f>
        <v>17817.29</v>
      </c>
      <c r="R39" s="306">
        <f>R31+R38</f>
        <v>25330.81</v>
      </c>
      <c r="S39" s="306">
        <f>S31+S38</f>
        <v>36360.22</v>
      </c>
      <c r="T39" s="264">
        <f>(N39*100/G39)-100</f>
        <v>-6.25</v>
      </c>
    </row>
    <row r="40" spans="2:20" ht="15.75" customHeight="1" x14ac:dyDescent="0.25">
      <c r="B40" s="43"/>
      <c r="C40" s="38"/>
      <c r="D40" s="38"/>
      <c r="E40" s="38"/>
      <c r="F40" s="38"/>
      <c r="G40" s="44"/>
      <c r="H40" s="44"/>
      <c r="I40" s="44"/>
      <c r="J40" s="44"/>
      <c r="K40" s="44"/>
      <c r="L40" s="44"/>
      <c r="M40" s="44"/>
      <c r="N40" s="44"/>
      <c r="O40" s="44"/>
      <c r="P40" s="44"/>
      <c r="Q40" s="44"/>
      <c r="R40" s="44"/>
      <c r="S40" s="44"/>
      <c r="T40" s="38"/>
    </row>
    <row r="41" spans="2:20" x14ac:dyDescent="0.25">
      <c r="B41" s="24" t="s">
        <v>61</v>
      </c>
      <c r="C41" s="367" t="s">
        <v>62</v>
      </c>
      <c r="D41" s="367"/>
      <c r="E41" s="367"/>
      <c r="F41" s="367"/>
      <c r="G41" s="367"/>
      <c r="H41" s="367"/>
      <c r="I41" s="367"/>
      <c r="J41" s="367"/>
      <c r="K41" s="367"/>
      <c r="L41" s="367"/>
      <c r="M41" s="367"/>
      <c r="N41" s="367"/>
      <c r="O41" s="367"/>
      <c r="P41" s="367"/>
      <c r="Q41" s="367"/>
      <c r="R41" s="367"/>
      <c r="S41" s="367"/>
      <c r="T41" s="367"/>
    </row>
    <row r="42" spans="2:20" x14ac:dyDescent="0.25">
      <c r="B42" s="9" t="s">
        <v>63</v>
      </c>
      <c r="C42" s="368" t="s">
        <v>64</v>
      </c>
      <c r="D42" s="369"/>
      <c r="E42" s="369"/>
      <c r="F42" s="369"/>
      <c r="G42" s="369"/>
      <c r="H42" s="369"/>
      <c r="I42" s="369"/>
      <c r="J42" s="369"/>
      <c r="K42" s="369"/>
      <c r="L42" s="369"/>
      <c r="M42" s="369"/>
      <c r="N42" s="369"/>
      <c r="O42" s="369"/>
      <c r="P42" s="369"/>
      <c r="Q42" s="369"/>
      <c r="R42" s="369"/>
      <c r="S42" s="369"/>
      <c r="T42" s="370"/>
    </row>
    <row r="43" spans="2:20" ht="63" x14ac:dyDescent="0.25">
      <c r="B43" s="11" t="s">
        <v>65</v>
      </c>
      <c r="C43" s="20" t="s">
        <v>66</v>
      </c>
      <c r="D43" s="13"/>
      <c r="E43" s="13">
        <v>0</v>
      </c>
      <c r="F43" s="13">
        <v>50000</v>
      </c>
      <c r="G43" s="14">
        <f>SUM(D43:F43)</f>
        <v>50000</v>
      </c>
      <c r="H43" s="15">
        <f>K43-D43</f>
        <v>0</v>
      </c>
      <c r="I43" s="15">
        <f t="shared" ref="I43:J45" si="20">L43-E43</f>
        <v>0</v>
      </c>
      <c r="J43" s="15">
        <f t="shared" si="20"/>
        <v>0</v>
      </c>
      <c r="K43" s="17"/>
      <c r="L43" s="17">
        <v>0</v>
      </c>
      <c r="M43" s="17">
        <v>50000</v>
      </c>
      <c r="N43" s="17">
        <f>SUM(K43:M43)</f>
        <v>50000</v>
      </c>
      <c r="O43" s="275">
        <v>25</v>
      </c>
      <c r="P43" s="275"/>
      <c r="Q43" s="275"/>
      <c r="R43" s="275"/>
      <c r="S43" s="275">
        <v>30630.040000000005</v>
      </c>
      <c r="T43" s="18"/>
    </row>
    <row r="44" spans="2:20" ht="78.75" x14ac:dyDescent="0.25">
      <c r="B44" s="11" t="s">
        <v>67</v>
      </c>
      <c r="C44" s="20" t="s">
        <v>68</v>
      </c>
      <c r="D44" s="13"/>
      <c r="E44" s="13"/>
      <c r="F44" s="13"/>
      <c r="G44" s="14">
        <f t="shared" ref="G44:G45" si="21">SUM(D44:F44)</f>
        <v>0</v>
      </c>
      <c r="H44" s="15">
        <f t="shared" ref="H44:H45" si="22">K44-D44</f>
        <v>0</v>
      </c>
      <c r="I44" s="15">
        <f t="shared" si="20"/>
        <v>0</v>
      </c>
      <c r="J44" s="15">
        <f t="shared" si="20"/>
        <v>0</v>
      </c>
      <c r="K44" s="17"/>
      <c r="L44" s="17"/>
      <c r="M44" s="17"/>
      <c r="N44" s="17">
        <f t="shared" ref="N44:N45" si="23">SUM(K44:M44)</f>
        <v>0</v>
      </c>
      <c r="O44" s="275">
        <v>30</v>
      </c>
      <c r="P44" s="275"/>
      <c r="Q44" s="275"/>
      <c r="R44" s="275"/>
      <c r="S44" s="275">
        <v>0</v>
      </c>
      <c r="T44" s="18"/>
    </row>
    <row r="45" spans="2:20" ht="63" x14ac:dyDescent="0.25">
      <c r="B45" s="11" t="s">
        <v>69</v>
      </c>
      <c r="C45" s="20" t="s">
        <v>70</v>
      </c>
      <c r="D45" s="13"/>
      <c r="E45" s="13"/>
      <c r="F45" s="13">
        <v>10000</v>
      </c>
      <c r="G45" s="14">
        <f t="shared" si="21"/>
        <v>10000</v>
      </c>
      <c r="H45" s="15">
        <f t="shared" si="22"/>
        <v>0</v>
      </c>
      <c r="I45" s="15">
        <f t="shared" si="20"/>
        <v>0</v>
      </c>
      <c r="J45" s="15">
        <f t="shared" si="20"/>
        <v>0</v>
      </c>
      <c r="K45" s="17"/>
      <c r="L45" s="17"/>
      <c r="M45" s="17">
        <v>10000</v>
      </c>
      <c r="N45" s="17">
        <f t="shared" si="23"/>
        <v>10000</v>
      </c>
      <c r="O45" s="275">
        <v>30</v>
      </c>
      <c r="P45" s="275"/>
      <c r="Q45" s="275"/>
      <c r="R45" s="275"/>
      <c r="S45" s="275">
        <v>1878.99</v>
      </c>
      <c r="T45" s="18"/>
    </row>
    <row r="46" spans="2:20" x14ac:dyDescent="0.25">
      <c r="C46" s="24" t="s">
        <v>25</v>
      </c>
      <c r="D46" s="25">
        <f t="shared" ref="D46:N46" si="24">SUM(D43:D45)</f>
        <v>0</v>
      </c>
      <c r="E46" s="25">
        <f t="shared" si="24"/>
        <v>0</v>
      </c>
      <c r="F46" s="25">
        <f t="shared" si="24"/>
        <v>60000</v>
      </c>
      <c r="G46" s="35">
        <f t="shared" si="24"/>
        <v>60000</v>
      </c>
      <c r="H46" s="26">
        <f t="shared" si="24"/>
        <v>0</v>
      </c>
      <c r="I46" s="26">
        <f t="shared" si="24"/>
        <v>0</v>
      </c>
      <c r="J46" s="36">
        <f t="shared" si="24"/>
        <v>0</v>
      </c>
      <c r="K46" s="37">
        <f t="shared" si="24"/>
        <v>0</v>
      </c>
      <c r="L46" s="37">
        <f t="shared" si="24"/>
        <v>0</v>
      </c>
      <c r="M46" s="37">
        <f t="shared" si="24"/>
        <v>60000</v>
      </c>
      <c r="N46" s="37">
        <f t="shared" si="24"/>
        <v>60000</v>
      </c>
      <c r="O46" s="28">
        <f>(O43*N43)+(O44*N44)+(O45*N45)</f>
        <v>1550000</v>
      </c>
      <c r="P46" s="28"/>
      <c r="Q46" s="28">
        <f>Q43+Q44+Q45</f>
        <v>0</v>
      </c>
      <c r="R46" s="28">
        <f>R43+R44+R45</f>
        <v>0</v>
      </c>
      <c r="S46" s="309">
        <f>S43+S44+S45</f>
        <v>32509.030000000006</v>
      </c>
      <c r="T46" s="23"/>
    </row>
    <row r="47" spans="2:20" x14ac:dyDescent="0.25">
      <c r="B47" s="9" t="s">
        <v>71</v>
      </c>
      <c r="C47" s="368" t="s">
        <v>72</v>
      </c>
      <c r="D47" s="369"/>
      <c r="E47" s="369"/>
      <c r="F47" s="369"/>
      <c r="G47" s="369"/>
      <c r="H47" s="369"/>
      <c r="I47" s="369"/>
      <c r="J47" s="369"/>
      <c r="K47" s="369"/>
      <c r="L47" s="369"/>
      <c r="M47" s="369"/>
      <c r="N47" s="369"/>
      <c r="O47" s="369"/>
      <c r="P47" s="369"/>
      <c r="Q47" s="369"/>
      <c r="R47" s="369"/>
      <c r="S47" s="369"/>
      <c r="T47" s="370"/>
    </row>
    <row r="48" spans="2:20" ht="63" x14ac:dyDescent="0.25">
      <c r="B48" s="11" t="s">
        <v>73</v>
      </c>
      <c r="C48" s="20" t="s">
        <v>74</v>
      </c>
      <c r="D48" s="13"/>
      <c r="E48" s="13">
        <v>45000</v>
      </c>
      <c r="F48" s="13">
        <v>45000</v>
      </c>
      <c r="G48" s="14">
        <f t="shared" ref="G48:G50" si="25">SUM(D48:F48)</f>
        <v>90000</v>
      </c>
      <c r="H48" s="15">
        <f>K48-D48</f>
        <v>0</v>
      </c>
      <c r="I48" s="15">
        <f t="shared" ref="I48:J50" si="26">L48-E48</f>
        <v>-10000</v>
      </c>
      <c r="J48" s="15">
        <f t="shared" si="26"/>
        <v>0</v>
      </c>
      <c r="K48" s="17"/>
      <c r="L48" s="17">
        <v>35000</v>
      </c>
      <c r="M48" s="17">
        <v>45000</v>
      </c>
      <c r="N48" s="17">
        <f>SUM(K48:M48)</f>
        <v>80000</v>
      </c>
      <c r="O48" s="275">
        <v>40</v>
      </c>
      <c r="P48" s="275"/>
      <c r="Q48" s="275"/>
      <c r="R48" s="275"/>
      <c r="S48" s="275">
        <v>12753.47</v>
      </c>
      <c r="T48" s="18"/>
    </row>
    <row r="49" spans="2:20" ht="78.75" x14ac:dyDescent="0.25">
      <c r="B49" s="11" t="s">
        <v>75</v>
      </c>
      <c r="C49" s="46" t="s">
        <v>76</v>
      </c>
      <c r="D49" s="13"/>
      <c r="E49" s="21">
        <v>10000</v>
      </c>
      <c r="F49" s="13">
        <v>40000</v>
      </c>
      <c r="G49" s="14">
        <f t="shared" si="25"/>
        <v>50000</v>
      </c>
      <c r="H49" s="15">
        <f t="shared" ref="H49:H50" si="27">K49-D49</f>
        <v>0</v>
      </c>
      <c r="I49" s="15">
        <f t="shared" si="26"/>
        <v>5000</v>
      </c>
      <c r="J49" s="15">
        <f t="shared" si="26"/>
        <v>0</v>
      </c>
      <c r="K49" s="17"/>
      <c r="L49" s="17">
        <v>15000</v>
      </c>
      <c r="M49" s="17">
        <v>40000</v>
      </c>
      <c r="N49" s="17">
        <f t="shared" ref="N49:N50" si="28">SUM(K49:M49)</f>
        <v>55000</v>
      </c>
      <c r="O49" s="275">
        <v>30</v>
      </c>
      <c r="P49" s="275"/>
      <c r="Q49" s="275"/>
      <c r="R49" s="275"/>
      <c r="S49" s="275">
        <v>9015.7199999999993</v>
      </c>
      <c r="T49" s="18"/>
    </row>
    <row r="50" spans="2:20" ht="63" x14ac:dyDescent="0.25">
      <c r="B50" s="11" t="s">
        <v>77</v>
      </c>
      <c r="C50" s="20" t="s">
        <v>78</v>
      </c>
      <c r="D50" s="13">
        <v>100000</v>
      </c>
      <c r="E50" s="13"/>
      <c r="F50" s="13"/>
      <c r="G50" s="14">
        <f t="shared" si="25"/>
        <v>100000</v>
      </c>
      <c r="H50" s="15">
        <f t="shared" si="27"/>
        <v>37000</v>
      </c>
      <c r="I50" s="15">
        <f t="shared" si="26"/>
        <v>0</v>
      </c>
      <c r="J50" s="15">
        <f t="shared" si="26"/>
        <v>0</v>
      </c>
      <c r="K50" s="17">
        <f>150000-13000</f>
        <v>137000</v>
      </c>
      <c r="L50" s="17"/>
      <c r="M50" s="17"/>
      <c r="N50" s="17">
        <f t="shared" si="28"/>
        <v>137000</v>
      </c>
      <c r="O50" s="275">
        <v>30</v>
      </c>
      <c r="P50" s="275"/>
      <c r="Q50" s="275">
        <f>18037.19</f>
        <v>18037.189999999999</v>
      </c>
      <c r="R50" s="275"/>
      <c r="S50" s="275">
        <v>0</v>
      </c>
      <c r="T50" s="18"/>
    </row>
    <row r="51" spans="2:20" x14ac:dyDescent="0.25">
      <c r="C51" s="24" t="s">
        <v>25</v>
      </c>
      <c r="D51" s="35">
        <f t="shared" ref="D51:N51" si="29">SUM(D48:D50)</f>
        <v>100000</v>
      </c>
      <c r="E51" s="35">
        <f t="shared" si="29"/>
        <v>55000</v>
      </c>
      <c r="F51" s="35">
        <f t="shared" si="29"/>
        <v>85000</v>
      </c>
      <c r="G51" s="36">
        <f t="shared" si="29"/>
        <v>240000</v>
      </c>
      <c r="H51" s="36">
        <f t="shared" si="29"/>
        <v>37000</v>
      </c>
      <c r="I51" s="36">
        <f t="shared" si="29"/>
        <v>-5000</v>
      </c>
      <c r="J51" s="36">
        <f t="shared" si="29"/>
        <v>0</v>
      </c>
      <c r="K51" s="37">
        <f t="shared" si="29"/>
        <v>137000</v>
      </c>
      <c r="L51" s="37">
        <f t="shared" si="29"/>
        <v>50000</v>
      </c>
      <c r="M51" s="37">
        <f t="shared" si="29"/>
        <v>85000</v>
      </c>
      <c r="N51" s="37">
        <f t="shared" si="29"/>
        <v>272000</v>
      </c>
      <c r="O51" s="28">
        <f>(O48*N48)+(O49*N49)+(O50*N50)</f>
        <v>8960000</v>
      </c>
      <c r="P51" s="28"/>
      <c r="Q51" s="28">
        <f>Q48+Q9+Q50</f>
        <v>18037.189999999999</v>
      </c>
      <c r="R51" s="28">
        <f>R48+R49+R50</f>
        <v>0</v>
      </c>
      <c r="S51" s="309">
        <f>S48+S49+S50</f>
        <v>21769.19</v>
      </c>
      <c r="T51" s="23"/>
    </row>
    <row r="52" spans="2:20" x14ac:dyDescent="0.25">
      <c r="B52" s="24" t="s">
        <v>79</v>
      </c>
      <c r="C52" s="368" t="s">
        <v>80</v>
      </c>
      <c r="D52" s="369"/>
      <c r="E52" s="369"/>
      <c r="F52" s="369"/>
      <c r="G52" s="369"/>
      <c r="H52" s="369"/>
      <c r="I52" s="369"/>
      <c r="J52" s="369"/>
      <c r="K52" s="369"/>
      <c r="L52" s="369"/>
      <c r="M52" s="369"/>
      <c r="N52" s="369"/>
      <c r="O52" s="369"/>
      <c r="P52" s="369"/>
      <c r="Q52" s="369"/>
      <c r="R52" s="369"/>
      <c r="S52" s="369"/>
      <c r="T52" s="370"/>
    </row>
    <row r="53" spans="2:20" ht="63" x14ac:dyDescent="0.25">
      <c r="B53" s="11" t="s">
        <v>81</v>
      </c>
      <c r="C53" s="20" t="s">
        <v>82</v>
      </c>
      <c r="D53" s="13"/>
      <c r="E53" s="13">
        <v>30000</v>
      </c>
      <c r="F53" s="13">
        <v>0</v>
      </c>
      <c r="G53" s="14">
        <f>SUM(D53:F53)</f>
        <v>30000</v>
      </c>
      <c r="H53" s="15">
        <f>K53-D53</f>
        <v>0</v>
      </c>
      <c r="I53" s="15">
        <f t="shared" ref="I53:J57" si="30">L53-E53</f>
        <v>0</v>
      </c>
      <c r="J53" s="15">
        <f t="shared" si="30"/>
        <v>0</v>
      </c>
      <c r="K53" s="17"/>
      <c r="L53" s="17">
        <v>30000</v>
      </c>
      <c r="M53" s="17">
        <v>0</v>
      </c>
      <c r="N53" s="17">
        <f>SUM(K53:M53)</f>
        <v>30000</v>
      </c>
      <c r="O53" s="313">
        <v>30</v>
      </c>
      <c r="P53" s="313"/>
      <c r="Q53" s="313"/>
      <c r="R53" s="313">
        <v>26386.3507155025</v>
      </c>
      <c r="S53" s="313"/>
      <c r="T53" s="18"/>
    </row>
    <row r="54" spans="2:20" ht="94.5" x14ac:dyDescent="0.25">
      <c r="B54" s="11" t="s">
        <v>83</v>
      </c>
      <c r="C54" s="20" t="s">
        <v>84</v>
      </c>
      <c r="D54" s="13"/>
      <c r="E54" s="21">
        <v>40000</v>
      </c>
      <c r="F54" s="13">
        <v>0</v>
      </c>
      <c r="G54" s="14">
        <f t="shared" ref="G54:G56" si="31">SUM(D54:F54)</f>
        <v>40000</v>
      </c>
      <c r="H54" s="15">
        <f t="shared" ref="H54:H57" si="32">K54-D54</f>
        <v>0</v>
      </c>
      <c r="I54" s="15">
        <f t="shared" si="30"/>
        <v>0</v>
      </c>
      <c r="J54" s="15">
        <f t="shared" si="30"/>
        <v>0</v>
      </c>
      <c r="K54" s="17"/>
      <c r="L54" s="17">
        <v>40000</v>
      </c>
      <c r="M54" s="17"/>
      <c r="N54" s="17">
        <f t="shared" ref="N54:N57" si="33">SUM(K54:M54)</f>
        <v>40000</v>
      </c>
      <c r="O54" s="275">
        <v>25</v>
      </c>
      <c r="P54" s="275"/>
      <c r="Q54" s="275"/>
      <c r="R54" s="275">
        <v>31091.4</v>
      </c>
      <c r="S54" s="275"/>
      <c r="T54" s="18"/>
    </row>
    <row r="55" spans="2:20" ht="63" x14ac:dyDescent="0.25">
      <c r="B55" s="11" t="s">
        <v>85</v>
      </c>
      <c r="C55" s="20" t="s">
        <v>86</v>
      </c>
      <c r="D55" s="13"/>
      <c r="E55" s="13">
        <v>10000</v>
      </c>
      <c r="F55" s="13">
        <v>0</v>
      </c>
      <c r="G55" s="14">
        <f t="shared" si="31"/>
        <v>10000</v>
      </c>
      <c r="H55" s="15">
        <f t="shared" si="32"/>
        <v>0</v>
      </c>
      <c r="I55" s="15">
        <f t="shared" si="30"/>
        <v>0</v>
      </c>
      <c r="J55" s="15">
        <f t="shared" si="30"/>
        <v>0</v>
      </c>
      <c r="K55" s="17"/>
      <c r="L55" s="17">
        <v>10000</v>
      </c>
      <c r="M55" s="17"/>
      <c r="N55" s="17">
        <f t="shared" si="33"/>
        <v>10000</v>
      </c>
      <c r="O55" s="275">
        <v>40</v>
      </c>
      <c r="P55" s="275"/>
      <c r="Q55" s="275"/>
      <c r="R55" s="275">
        <v>957.86928449753304</v>
      </c>
      <c r="S55" s="275"/>
      <c r="T55" s="18"/>
    </row>
    <row r="56" spans="2:20" ht="63" x14ac:dyDescent="0.25">
      <c r="B56" s="11" t="s">
        <v>87</v>
      </c>
      <c r="C56" s="20" t="s">
        <v>88</v>
      </c>
      <c r="D56" s="13">
        <v>90000</v>
      </c>
      <c r="E56" s="13"/>
      <c r="F56" s="13">
        <v>0</v>
      </c>
      <c r="G56" s="14">
        <f t="shared" si="31"/>
        <v>90000</v>
      </c>
      <c r="H56" s="15">
        <f t="shared" si="32"/>
        <v>0</v>
      </c>
      <c r="I56" s="15">
        <f t="shared" si="30"/>
        <v>0</v>
      </c>
      <c r="J56" s="15">
        <f t="shared" si="30"/>
        <v>0</v>
      </c>
      <c r="K56" s="17">
        <v>90000</v>
      </c>
      <c r="L56" s="17"/>
      <c r="M56" s="17"/>
      <c r="N56" s="17">
        <f t="shared" si="33"/>
        <v>90000</v>
      </c>
      <c r="O56" s="275">
        <v>10</v>
      </c>
      <c r="P56" s="275"/>
      <c r="Q56" s="275">
        <f>14617.75+30770.56</f>
        <v>45388.31</v>
      </c>
      <c r="R56" s="275"/>
      <c r="S56" s="275"/>
      <c r="T56" s="18"/>
    </row>
    <row r="57" spans="2:20" ht="47.25" x14ac:dyDescent="0.25">
      <c r="B57" s="11" t="s">
        <v>89</v>
      </c>
      <c r="C57" s="41" t="s">
        <v>90</v>
      </c>
      <c r="D57" s="13"/>
      <c r="E57" s="13"/>
      <c r="F57" s="13">
        <v>0</v>
      </c>
      <c r="G57" s="47"/>
      <c r="H57" s="15">
        <f t="shared" si="32"/>
        <v>0</v>
      </c>
      <c r="I57" s="15">
        <f t="shared" si="30"/>
        <v>10000</v>
      </c>
      <c r="J57" s="15">
        <f t="shared" si="30"/>
        <v>0</v>
      </c>
      <c r="K57" s="17"/>
      <c r="L57" s="17">
        <v>10000</v>
      </c>
      <c r="M57" s="17"/>
      <c r="N57" s="17">
        <f t="shared" si="33"/>
        <v>10000</v>
      </c>
      <c r="O57" s="307">
        <v>20</v>
      </c>
      <c r="P57" s="307"/>
      <c r="Q57" s="307"/>
      <c r="R57" s="307">
        <v>3206</v>
      </c>
      <c r="S57" s="307"/>
      <c r="T57" s="18"/>
    </row>
    <row r="58" spans="2:20" x14ac:dyDescent="0.25">
      <c r="C58" s="24" t="s">
        <v>25</v>
      </c>
      <c r="D58" s="35">
        <f t="shared" ref="D58:N58" si="34">SUM(D53:D57)</f>
        <v>90000</v>
      </c>
      <c r="E58" s="35">
        <f t="shared" si="34"/>
        <v>80000</v>
      </c>
      <c r="F58" s="35">
        <f t="shared" si="34"/>
        <v>0</v>
      </c>
      <c r="G58" s="35">
        <f t="shared" si="34"/>
        <v>170000</v>
      </c>
      <c r="H58" s="36">
        <f t="shared" si="34"/>
        <v>0</v>
      </c>
      <c r="I58" s="36">
        <f t="shared" si="34"/>
        <v>10000</v>
      </c>
      <c r="J58" s="36">
        <f t="shared" si="34"/>
        <v>0</v>
      </c>
      <c r="K58" s="27">
        <f t="shared" si="34"/>
        <v>90000</v>
      </c>
      <c r="L58" s="27">
        <f t="shared" si="34"/>
        <v>90000</v>
      </c>
      <c r="M58" s="27">
        <f t="shared" si="34"/>
        <v>0</v>
      </c>
      <c r="N58" s="27">
        <f t="shared" si="34"/>
        <v>180000</v>
      </c>
      <c r="O58" s="28">
        <f>(O53*N53)+(O54*N54)+(O55*N55)+(O56*N56)+(O57*N57)</f>
        <v>3400000</v>
      </c>
      <c r="P58" s="28"/>
      <c r="Q58" s="28">
        <f>Q53+Q54+Q55+Q56+Q57</f>
        <v>45388.31</v>
      </c>
      <c r="R58" s="309">
        <f>R53+R54+R55+R56+R57</f>
        <v>61641.620000000032</v>
      </c>
      <c r="S58" s="28">
        <f>S53+S54+S55+S56+S57</f>
        <v>0</v>
      </c>
      <c r="T58" s="263" t="s">
        <v>191</v>
      </c>
    </row>
    <row r="59" spans="2:20" x14ac:dyDescent="0.25">
      <c r="C59" s="24" t="s">
        <v>190</v>
      </c>
      <c r="D59" s="262">
        <f>D58+D51+D46</f>
        <v>190000</v>
      </c>
      <c r="E59" s="262">
        <f t="shared" ref="E59:N59" si="35">E58+E51+E46</f>
        <v>135000</v>
      </c>
      <c r="F59" s="262">
        <f t="shared" si="35"/>
        <v>145000</v>
      </c>
      <c r="G59" s="262">
        <f t="shared" si="35"/>
        <v>470000</v>
      </c>
      <c r="H59" s="262">
        <f t="shared" si="35"/>
        <v>37000</v>
      </c>
      <c r="I59" s="262">
        <f t="shared" si="35"/>
        <v>5000</v>
      </c>
      <c r="J59" s="262">
        <f t="shared" si="35"/>
        <v>0</v>
      </c>
      <c r="K59" s="262">
        <f t="shared" si="35"/>
        <v>227000</v>
      </c>
      <c r="L59" s="262">
        <f t="shared" si="35"/>
        <v>140000</v>
      </c>
      <c r="M59" s="262">
        <f t="shared" si="35"/>
        <v>145000</v>
      </c>
      <c r="N59" s="262">
        <f t="shared" si="35"/>
        <v>512000</v>
      </c>
      <c r="O59" s="306">
        <f>O46+O51</f>
        <v>10510000</v>
      </c>
      <c r="P59" s="29"/>
      <c r="Q59" s="306">
        <f>Q46+Q51+Q58</f>
        <v>63425.5</v>
      </c>
      <c r="R59" s="306">
        <f>R46+R51+R58</f>
        <v>61641.620000000032</v>
      </c>
      <c r="S59" s="306">
        <f>S46+S51+S58</f>
        <v>54278.22</v>
      </c>
      <c r="T59" s="264">
        <f>(N59*100/G59)-100</f>
        <v>8.9361702127659584</v>
      </c>
    </row>
    <row r="60" spans="2:20" ht="15.75" customHeight="1" x14ac:dyDescent="0.25">
      <c r="B60" s="43"/>
      <c r="C60" s="38"/>
      <c r="D60" s="38"/>
      <c r="E60" s="38"/>
      <c r="F60" s="38"/>
      <c r="G60" s="44"/>
      <c r="H60" s="44"/>
      <c r="I60" s="44"/>
      <c r="J60" s="44"/>
      <c r="K60" s="44"/>
      <c r="L60" s="44"/>
      <c r="M60" s="44"/>
      <c r="N60" s="44"/>
      <c r="O60" s="44"/>
      <c r="P60" s="44"/>
      <c r="Q60" s="44"/>
      <c r="R60" s="44"/>
      <c r="S60" s="44"/>
      <c r="T60" s="48"/>
    </row>
    <row r="61" spans="2:20" ht="147" customHeight="1" x14ac:dyDescent="0.25">
      <c r="B61" s="24" t="s">
        <v>96</v>
      </c>
      <c r="C61" s="49" t="s">
        <v>97</v>
      </c>
      <c r="D61" s="50">
        <v>71000</v>
      </c>
      <c r="E61" s="50">
        <v>64500</v>
      </c>
      <c r="F61" s="50">
        <v>64500</v>
      </c>
      <c r="G61" s="51">
        <f>SUM(D61:F61)</f>
        <v>200000</v>
      </c>
      <c r="H61" s="52">
        <f>K61-D61</f>
        <v>-9184</v>
      </c>
      <c r="I61" s="52">
        <f t="shared" ref="I61:J64" si="36">L61-E61</f>
        <v>0</v>
      </c>
      <c r="J61" s="52">
        <f t="shared" si="36"/>
        <v>0</v>
      </c>
      <c r="K61" s="53">
        <f>41116+14700+6000</f>
        <v>61816</v>
      </c>
      <c r="L61" s="54">
        <v>64500</v>
      </c>
      <c r="M61" s="54">
        <v>64500</v>
      </c>
      <c r="N61" s="54">
        <f>SUM(K61:M61)</f>
        <v>190816</v>
      </c>
      <c r="O61" s="307">
        <v>30</v>
      </c>
      <c r="P61" s="307"/>
      <c r="Q61" s="307">
        <f>2346.96+7350.46+3499.84+3625.61</f>
        <v>16822.87</v>
      </c>
      <c r="R61" s="307">
        <v>20228.55</v>
      </c>
      <c r="S61" s="307">
        <v>24746.489999999998</v>
      </c>
      <c r="T61" s="55"/>
    </row>
    <row r="62" spans="2:20" ht="84.95" customHeight="1" x14ac:dyDescent="0.25">
      <c r="B62" s="24" t="s">
        <v>98</v>
      </c>
      <c r="C62" s="49"/>
      <c r="D62" s="50">
        <v>45000</v>
      </c>
      <c r="E62" s="50">
        <v>32000</v>
      </c>
      <c r="F62" s="50">
        <v>32000</v>
      </c>
      <c r="G62" s="51">
        <f>SUM(D62:F62)</f>
        <v>109000</v>
      </c>
      <c r="H62" s="52">
        <f t="shared" ref="H62:H64" si="37">K62-D62</f>
        <v>7616</v>
      </c>
      <c r="I62" s="52">
        <f t="shared" si="36"/>
        <v>0</v>
      </c>
      <c r="J62" s="52">
        <f t="shared" si="36"/>
        <v>0</v>
      </c>
      <c r="K62" s="53">
        <f>20616+10000+1000+8000+13000</f>
        <v>52616</v>
      </c>
      <c r="L62" s="54">
        <v>32000</v>
      </c>
      <c r="M62" s="54">
        <v>32000</v>
      </c>
      <c r="N62" s="54">
        <f t="shared" ref="N62:N64" si="38">SUM(K62:M62)</f>
        <v>116616</v>
      </c>
      <c r="O62" s="307">
        <v>5</v>
      </c>
      <c r="P62" s="307"/>
      <c r="Q62" s="307">
        <f>2800.78+191.27+7988.75+509.64+20.7+53.84</f>
        <v>11564.98</v>
      </c>
      <c r="R62" s="307">
        <v>13779.82</v>
      </c>
      <c r="S62" s="307">
        <v>31908.909999999996</v>
      </c>
      <c r="T62" s="55"/>
    </row>
    <row r="63" spans="2:20" ht="69" customHeight="1" x14ac:dyDescent="0.25">
      <c r="B63" s="24" t="s">
        <v>99</v>
      </c>
      <c r="C63" s="56" t="s">
        <v>100</v>
      </c>
      <c r="D63" s="50">
        <v>19000</v>
      </c>
      <c r="E63" s="50">
        <v>13000</v>
      </c>
      <c r="F63" s="50">
        <v>13000</v>
      </c>
      <c r="G63" s="51">
        <f>SUM(D63:F63)</f>
        <v>45000</v>
      </c>
      <c r="H63" s="52">
        <f t="shared" si="37"/>
        <v>1000</v>
      </c>
      <c r="I63" s="52">
        <f t="shared" si="36"/>
        <v>0</v>
      </c>
      <c r="J63" s="52">
        <f t="shared" si="36"/>
        <v>0</v>
      </c>
      <c r="K63" s="53">
        <v>20000</v>
      </c>
      <c r="L63" s="54">
        <v>13000</v>
      </c>
      <c r="M63" s="54">
        <v>13000</v>
      </c>
      <c r="N63" s="54">
        <f t="shared" si="38"/>
        <v>46000</v>
      </c>
      <c r="O63" s="307">
        <v>50</v>
      </c>
      <c r="P63" s="307"/>
      <c r="Q63" s="307">
        <f>4763.57+1111.48</f>
        <v>5875.0499999999993</v>
      </c>
      <c r="R63" s="307">
        <v>8306</v>
      </c>
      <c r="S63" s="307">
        <v>7059.28</v>
      </c>
      <c r="T63" s="55"/>
    </row>
    <row r="64" spans="2:20" ht="65.25" customHeight="1" thickBot="1" x14ac:dyDescent="0.3">
      <c r="B64" s="57" t="s">
        <v>101</v>
      </c>
      <c r="C64" s="49" t="s">
        <v>102</v>
      </c>
      <c r="D64" s="50">
        <v>32800</v>
      </c>
      <c r="E64" s="50"/>
      <c r="F64" s="50"/>
      <c r="G64" s="51">
        <f>SUM(D64:F64)</f>
        <v>32800</v>
      </c>
      <c r="H64" s="52">
        <f t="shared" si="37"/>
        <v>568</v>
      </c>
      <c r="I64" s="52">
        <f t="shared" si="36"/>
        <v>0</v>
      </c>
      <c r="J64" s="52">
        <f t="shared" si="36"/>
        <v>0</v>
      </c>
      <c r="K64" s="53">
        <f>32800+568</f>
        <v>33368</v>
      </c>
      <c r="L64" s="54"/>
      <c r="M64" s="54"/>
      <c r="N64" s="54">
        <f t="shared" si="38"/>
        <v>33368</v>
      </c>
      <c r="O64" s="307">
        <v>20</v>
      </c>
      <c r="P64" s="307"/>
      <c r="Q64" s="307"/>
      <c r="R64" s="307"/>
      <c r="S64" s="307">
        <v>0</v>
      </c>
      <c r="T64" s="277" t="s">
        <v>192</v>
      </c>
    </row>
    <row r="65" spans="2:20" ht="16.5" thickBot="1" x14ac:dyDescent="0.3">
      <c r="B65" s="43"/>
      <c r="C65" s="58" t="s">
        <v>103</v>
      </c>
      <c r="D65" s="59">
        <f>SUM(D61:D64)</f>
        <v>167800</v>
      </c>
      <c r="E65" s="59">
        <f>SUM(E61:E64)</f>
        <v>109500</v>
      </c>
      <c r="F65" s="59">
        <f>SUM(F61:F64)</f>
        <v>109500</v>
      </c>
      <c r="G65" s="59">
        <f>SUM(G61:G64)</f>
        <v>386800</v>
      </c>
      <c r="H65" s="60">
        <f>SUM(H61:H64)</f>
        <v>0</v>
      </c>
      <c r="I65" s="60">
        <f t="shared" ref="I65" si="39">SUM(I61:I64)</f>
        <v>0</v>
      </c>
      <c r="J65" s="60">
        <f>SUM(J61:J64)</f>
        <v>0</v>
      </c>
      <c r="K65" s="61">
        <f t="shared" ref="K65:N65" si="40">SUM(K61:K64)</f>
        <v>167800</v>
      </c>
      <c r="L65" s="61">
        <f t="shared" si="40"/>
        <v>109500</v>
      </c>
      <c r="M65" s="61">
        <f t="shared" si="40"/>
        <v>109500</v>
      </c>
      <c r="N65" s="61">
        <f t="shared" si="40"/>
        <v>386800</v>
      </c>
      <c r="O65" s="26">
        <f>(N61*O61)+(N62*O62)+(N63*O63)+(N64*O64)</f>
        <v>9274920</v>
      </c>
      <c r="P65" s="26"/>
      <c r="Q65" s="26">
        <f>Q61+Q62+Q63+Q64</f>
        <v>34262.899999999994</v>
      </c>
      <c r="R65" s="26">
        <f>R61+R62+R63+R64</f>
        <v>42314.369999999995</v>
      </c>
      <c r="S65" s="310">
        <f>S61+S62+S63+S64</f>
        <v>63714.679999999993</v>
      </c>
      <c r="T65" s="266">
        <f>(N65*100/G65)-100</f>
        <v>0</v>
      </c>
    </row>
    <row r="66" spans="2:20" ht="15.75" customHeight="1" thickBot="1" x14ac:dyDescent="0.3">
      <c r="B66" s="43"/>
      <c r="C66" s="38"/>
      <c r="D66" s="38"/>
      <c r="E66" s="38"/>
      <c r="F66" s="38"/>
      <c r="G66" s="44"/>
      <c r="H66" s="44"/>
      <c r="I66" s="44"/>
      <c r="J66" s="44"/>
      <c r="K66" s="63"/>
      <c r="L66" s="63"/>
      <c r="M66" s="63"/>
      <c r="N66" s="63"/>
      <c r="O66" s="44"/>
      <c r="P66" s="44"/>
      <c r="Q66" s="44"/>
      <c r="R66" s="44"/>
      <c r="S66" s="44"/>
      <c r="T66" s="38"/>
    </row>
    <row r="67" spans="2:20" ht="15.75" customHeight="1" thickBot="1" x14ac:dyDescent="0.3">
      <c r="B67" s="43"/>
      <c r="C67" s="64" t="s">
        <v>104</v>
      </c>
      <c r="D67" s="65">
        <f>D65+D59+D39+D22</f>
        <v>532800</v>
      </c>
      <c r="E67" s="65">
        <f t="shared" ref="E67:O67" si="41">E65+E59+E39+E22</f>
        <v>434500</v>
      </c>
      <c r="F67" s="65">
        <f t="shared" si="41"/>
        <v>434500</v>
      </c>
      <c r="G67" s="65">
        <f t="shared" si="41"/>
        <v>1401800</v>
      </c>
      <c r="H67" s="65">
        <f t="shared" si="41"/>
        <v>0</v>
      </c>
      <c r="I67" s="65">
        <f t="shared" si="41"/>
        <v>0</v>
      </c>
      <c r="J67" s="65">
        <f t="shared" si="41"/>
        <v>0</v>
      </c>
      <c r="K67" s="65">
        <f t="shared" si="41"/>
        <v>532800</v>
      </c>
      <c r="L67" s="65">
        <f t="shared" si="41"/>
        <v>434500</v>
      </c>
      <c r="M67" s="65">
        <f t="shared" si="41"/>
        <v>434500</v>
      </c>
      <c r="N67" s="65">
        <f t="shared" si="41"/>
        <v>1401800</v>
      </c>
      <c r="O67" s="65">
        <f t="shared" si="41"/>
        <v>30249920</v>
      </c>
      <c r="P67" s="299"/>
      <c r="Q67" s="299">
        <f>Q22+Q39+Q59+Q65</f>
        <v>123348.26</v>
      </c>
      <c r="R67" s="299">
        <f>R22+R39+R59+R65</f>
        <v>149860.45000000004</v>
      </c>
      <c r="S67" s="299">
        <f>S22+S39+S59+S65</f>
        <v>154554.43</v>
      </c>
      <c r="T67" s="66"/>
    </row>
    <row r="68" spans="2:20" ht="15.75" customHeight="1" x14ac:dyDescent="0.25">
      <c r="B68" s="43"/>
      <c r="C68" s="38"/>
      <c r="D68" s="38"/>
      <c r="E68" s="38"/>
      <c r="F68" s="38"/>
      <c r="G68" s="44"/>
      <c r="H68" s="44"/>
      <c r="I68" s="44"/>
      <c r="J68" s="44"/>
      <c r="K68" s="44"/>
      <c r="L68" s="44"/>
      <c r="M68" s="44"/>
      <c r="N68" s="44"/>
      <c r="O68" s="44"/>
      <c r="P68" s="44"/>
      <c r="Q68" s="44"/>
      <c r="R68" s="44"/>
      <c r="S68" s="44"/>
      <c r="T68" s="38"/>
    </row>
    <row r="69" spans="2:20" ht="42.75" customHeight="1" thickBot="1" x14ac:dyDescent="0.3">
      <c r="B69" s="386"/>
      <c r="T69" s="4"/>
    </row>
    <row r="70" spans="2:20" ht="31.5" customHeight="1" thickBot="1" x14ac:dyDescent="0.3">
      <c r="B70" s="386"/>
      <c r="C70" s="387" t="s">
        <v>193</v>
      </c>
      <c r="D70" s="388"/>
      <c r="E70" s="388"/>
      <c r="F70" s="388"/>
      <c r="G70" s="389"/>
      <c r="H70" s="375" t="s">
        <v>204</v>
      </c>
      <c r="I70" s="376"/>
      <c r="J70" s="376"/>
      <c r="K70" s="377"/>
      <c r="L70" s="270"/>
      <c r="M70" s="270"/>
      <c r="N70" s="270"/>
      <c r="O70" s="62"/>
      <c r="P70" s="62"/>
      <c r="Q70" s="62"/>
      <c r="R70" s="62"/>
      <c r="S70" s="62"/>
      <c r="T70" s="62"/>
    </row>
    <row r="71" spans="2:20" ht="40.5" customHeight="1" x14ac:dyDescent="0.25">
      <c r="B71" s="386"/>
      <c r="C71" s="390"/>
      <c r="D71" s="316" t="s">
        <v>106</v>
      </c>
      <c r="E71" s="316" t="s">
        <v>107</v>
      </c>
      <c r="F71" s="316" t="s">
        <v>108</v>
      </c>
      <c r="G71" s="373" t="s">
        <v>109</v>
      </c>
      <c r="H71" s="316" t="s">
        <v>106</v>
      </c>
      <c r="I71" s="316" t="s">
        <v>107</v>
      </c>
      <c r="J71" s="316" t="s">
        <v>108</v>
      </c>
      <c r="K71" s="373" t="s">
        <v>109</v>
      </c>
      <c r="L71" s="30"/>
      <c r="M71" s="30"/>
      <c r="N71" s="30"/>
      <c r="O71" s="38"/>
      <c r="P71" s="38"/>
      <c r="Q71" s="38"/>
      <c r="R71" s="38"/>
      <c r="S71" s="38"/>
      <c r="T71" s="62"/>
    </row>
    <row r="72" spans="2:20" ht="24.75" customHeight="1" x14ac:dyDescent="0.25">
      <c r="B72" s="386"/>
      <c r="C72" s="391"/>
      <c r="D72" s="6" t="s">
        <v>10</v>
      </c>
      <c r="E72" s="6" t="s">
        <v>11</v>
      </c>
      <c r="F72" s="6" t="s">
        <v>12</v>
      </c>
      <c r="G72" s="374"/>
      <c r="H72" s="6" t="s">
        <v>10</v>
      </c>
      <c r="I72" s="6" t="s">
        <v>11</v>
      </c>
      <c r="J72" s="6" t="s">
        <v>12</v>
      </c>
      <c r="K72" s="374"/>
      <c r="L72" s="30"/>
      <c r="M72" s="30"/>
      <c r="N72" s="30"/>
      <c r="O72" s="38"/>
      <c r="P72" s="38"/>
      <c r="Q72" s="38"/>
      <c r="R72" s="38"/>
      <c r="S72" s="38"/>
      <c r="T72" s="62"/>
    </row>
    <row r="73" spans="2:20" ht="41.25" customHeight="1" x14ac:dyDescent="0.25">
      <c r="B73" s="68"/>
      <c r="C73" s="69" t="s">
        <v>110</v>
      </c>
      <c r="D73" s="70">
        <f>D67</f>
        <v>532800</v>
      </c>
      <c r="E73" s="70">
        <f>E67</f>
        <v>434500</v>
      </c>
      <c r="F73" s="72">
        <f>F67</f>
        <v>434500</v>
      </c>
      <c r="G73" s="71">
        <f>G67</f>
        <v>1401800</v>
      </c>
      <c r="H73" s="70">
        <f>+Q67</f>
        <v>123348.26</v>
      </c>
      <c r="I73" s="70">
        <f>+R67</f>
        <v>149860.45000000004</v>
      </c>
      <c r="J73" s="72">
        <f>+S67</f>
        <v>154554.43</v>
      </c>
      <c r="K73" s="317">
        <f>SUM(H73:J73)</f>
        <v>427763.14</v>
      </c>
      <c r="L73" s="272"/>
      <c r="M73" s="272"/>
      <c r="N73" s="272"/>
      <c r="O73" s="38"/>
      <c r="P73" s="38"/>
      <c r="Q73" s="38"/>
      <c r="R73" s="38"/>
      <c r="S73" s="38"/>
      <c r="T73" s="73"/>
    </row>
    <row r="74" spans="2:20" ht="51.75" customHeight="1" x14ac:dyDescent="0.25">
      <c r="B74" s="74"/>
      <c r="C74" s="69" t="s">
        <v>111</v>
      </c>
      <c r="D74" s="70">
        <f>D73*7/100</f>
        <v>37296</v>
      </c>
      <c r="E74" s="70">
        <f t="shared" ref="E74:F74" si="42">E73*7/100</f>
        <v>30415</v>
      </c>
      <c r="F74" s="70">
        <f t="shared" si="42"/>
        <v>30415</v>
      </c>
      <c r="G74" s="71">
        <f>G73*0.07</f>
        <v>98126.000000000015</v>
      </c>
      <c r="H74" s="70">
        <f>H73*7/100</f>
        <v>8634.3781999999992</v>
      </c>
      <c r="I74" s="70">
        <f t="shared" ref="I74:J74" si="43">I73*7/100</f>
        <v>10490.231500000004</v>
      </c>
      <c r="J74" s="70">
        <f t="shared" si="43"/>
        <v>10818.810100000001</v>
      </c>
      <c r="K74" s="71">
        <f>K73*0.07</f>
        <v>29943.419800000003</v>
      </c>
      <c r="L74" s="272"/>
      <c r="M74" s="272"/>
      <c r="N74" s="272"/>
      <c r="O74" s="74"/>
      <c r="P74" s="74"/>
      <c r="Q74" s="74"/>
      <c r="R74" s="74"/>
      <c r="S74" s="74"/>
      <c r="T74" s="75"/>
    </row>
    <row r="75" spans="2:20" ht="51.75" customHeight="1" thickBot="1" x14ac:dyDescent="0.3">
      <c r="B75" s="74"/>
      <c r="C75" s="76" t="s">
        <v>5</v>
      </c>
      <c r="D75" s="77">
        <f>SUM(D73:D74)</f>
        <v>570096</v>
      </c>
      <c r="E75" s="77">
        <f t="shared" ref="E75:F75" si="44">SUM(E73:E74)</f>
        <v>464915</v>
      </c>
      <c r="F75" s="77">
        <f t="shared" si="44"/>
        <v>464915</v>
      </c>
      <c r="G75" s="78">
        <f>SUM(G73:G74)</f>
        <v>1499926</v>
      </c>
      <c r="H75" s="77">
        <f>SUM(H73:H74)</f>
        <v>131982.63819999999</v>
      </c>
      <c r="I75" s="77">
        <f t="shared" ref="I75:J75" si="45">SUM(I73:I74)</f>
        <v>160350.68150000004</v>
      </c>
      <c r="J75" s="77">
        <f t="shared" si="45"/>
        <v>165373.2401</v>
      </c>
      <c r="K75" s="78">
        <f>SUM(K73:K74)</f>
        <v>457706.55980000005</v>
      </c>
      <c r="L75" s="10"/>
      <c r="M75" s="10"/>
      <c r="N75" s="10"/>
      <c r="O75" s="74"/>
      <c r="P75" s="74"/>
      <c r="Q75" s="74"/>
      <c r="R75" s="74"/>
      <c r="S75" s="74"/>
      <c r="T75" s="75"/>
    </row>
    <row r="76" spans="2:20" ht="42" customHeight="1" x14ac:dyDescent="0.25">
      <c r="B76" s="74"/>
      <c r="E76" s="79"/>
      <c r="F76" s="79"/>
      <c r="T76" s="45"/>
    </row>
    <row r="77" spans="2:20" s="5" customFormat="1" ht="29.25" customHeight="1" thickBot="1" x14ac:dyDescent="0.3">
      <c r="B77" s="38"/>
      <c r="C77" s="80"/>
      <c r="D77" s="80"/>
      <c r="E77" s="80"/>
      <c r="F77" s="80"/>
      <c r="G77" s="81"/>
      <c r="H77" s="81"/>
      <c r="I77" s="81"/>
      <c r="J77" s="81"/>
      <c r="K77" s="81"/>
      <c r="L77" s="81"/>
      <c r="M77" s="81"/>
      <c r="N77" s="81"/>
      <c r="O77" s="81"/>
      <c r="P77" s="81"/>
      <c r="Q77" s="81"/>
      <c r="R77" s="81"/>
      <c r="S77" s="81"/>
      <c r="T77" s="62"/>
    </row>
    <row r="78" spans="2:20" ht="23.25" customHeight="1" x14ac:dyDescent="0.25">
      <c r="B78" s="75"/>
      <c r="C78" s="380" t="s">
        <v>112</v>
      </c>
      <c r="D78" s="381"/>
      <c r="E78" s="381"/>
      <c r="F78" s="381"/>
      <c r="G78" s="381"/>
      <c r="H78" s="382"/>
      <c r="I78" s="270"/>
      <c r="J78" s="270"/>
      <c r="K78" s="270"/>
      <c r="L78" s="270"/>
      <c r="M78" s="270"/>
      <c r="N78" s="270"/>
      <c r="O78" s="270"/>
      <c r="P78" s="270"/>
      <c r="Q78" s="270"/>
      <c r="R78" s="270"/>
      <c r="S78" s="270"/>
      <c r="T78" s="75"/>
    </row>
    <row r="79" spans="2:20" x14ac:dyDescent="0.25">
      <c r="B79" s="75"/>
      <c r="C79" s="82"/>
      <c r="D79" s="67" t="s">
        <v>106</v>
      </c>
      <c r="E79" s="67" t="s">
        <v>107</v>
      </c>
      <c r="F79" s="67" t="s">
        <v>108</v>
      </c>
      <c r="G79" s="392" t="s">
        <v>109</v>
      </c>
      <c r="H79" s="372" t="s">
        <v>113</v>
      </c>
      <c r="I79" s="271"/>
      <c r="J79" s="371"/>
      <c r="K79" s="271"/>
      <c r="L79" s="271"/>
      <c r="M79" s="271"/>
      <c r="N79" s="271"/>
      <c r="O79" s="4"/>
      <c r="P79" s="4"/>
      <c r="Q79" s="4"/>
      <c r="R79" s="4"/>
      <c r="S79" s="4"/>
      <c r="T79" s="75"/>
    </row>
    <row r="80" spans="2:20" ht="27.75" customHeight="1" x14ac:dyDescent="0.25">
      <c r="B80" s="75"/>
      <c r="C80" s="82"/>
      <c r="D80" s="6" t="s">
        <v>10</v>
      </c>
      <c r="E80" s="6" t="s">
        <v>11</v>
      </c>
      <c r="F80" s="6" t="s">
        <v>12</v>
      </c>
      <c r="G80" s="392"/>
      <c r="H80" s="372"/>
      <c r="I80" s="271"/>
      <c r="J80" s="371"/>
      <c r="K80" s="271"/>
      <c r="L80" s="271"/>
      <c r="M80" s="271"/>
      <c r="N80" s="271"/>
      <c r="O80" s="4"/>
      <c r="P80" s="4"/>
      <c r="Q80" s="4"/>
      <c r="R80" s="4"/>
      <c r="S80" s="4"/>
      <c r="T80" s="75"/>
    </row>
    <row r="81" spans="2:20" ht="55.5" customHeight="1" x14ac:dyDescent="0.25">
      <c r="B81" s="75"/>
      <c r="C81" s="83" t="s">
        <v>114</v>
      </c>
      <c r="D81" s="267">
        <f>+D75*70/100</f>
        <v>399067.2</v>
      </c>
      <c r="E81" s="267">
        <f>E75*70%</f>
        <v>325440.5</v>
      </c>
      <c r="F81" s="268">
        <f>+F75*70%</f>
        <v>325440.5</v>
      </c>
      <c r="G81" s="84">
        <f>SUM(D81:F81)</f>
        <v>1049948.2</v>
      </c>
      <c r="H81" s="85">
        <v>0.7</v>
      </c>
      <c r="I81" s="10"/>
      <c r="J81" s="10"/>
      <c r="K81" s="10"/>
      <c r="L81" s="10"/>
      <c r="M81" s="10"/>
      <c r="N81" s="10"/>
      <c r="O81" s="4"/>
      <c r="P81" s="4"/>
      <c r="Q81" s="4"/>
      <c r="R81" s="4"/>
      <c r="S81" s="4"/>
      <c r="T81" s="75"/>
    </row>
    <row r="82" spans="2:20" x14ac:dyDescent="0.25">
      <c r="C82" s="83" t="s">
        <v>115</v>
      </c>
      <c r="D82" s="267">
        <f>+D75*30%</f>
        <v>171028.8</v>
      </c>
      <c r="E82" s="267">
        <f>+E75*30%</f>
        <v>139474.5</v>
      </c>
      <c r="F82" s="268">
        <f>+F75*30%</f>
        <v>139474.5</v>
      </c>
      <c r="G82" s="84">
        <f>SUM(D82:F82)</f>
        <v>449977.8</v>
      </c>
      <c r="H82" s="85">
        <v>0.3</v>
      </c>
      <c r="I82" s="10"/>
      <c r="J82" s="10"/>
      <c r="K82" s="10"/>
      <c r="L82" s="10"/>
      <c r="M82" s="10"/>
      <c r="N82" s="10"/>
      <c r="O82" s="4"/>
      <c r="P82" s="4"/>
      <c r="Q82" s="4"/>
      <c r="R82" s="4"/>
      <c r="S82" s="4"/>
      <c r="T82" s="4"/>
    </row>
    <row r="83" spans="2:20" ht="16.5" thickBot="1" x14ac:dyDescent="0.3">
      <c r="C83" s="76" t="s">
        <v>5</v>
      </c>
      <c r="D83" s="269">
        <f>SUM(D81:D82)</f>
        <v>570096</v>
      </c>
      <c r="E83" s="269">
        <f>SUM(E81:E82)</f>
        <v>464915</v>
      </c>
      <c r="F83" s="269">
        <f>SUM(F81:F82)</f>
        <v>464915</v>
      </c>
      <c r="G83" s="86">
        <f>SUM(G81:G82)</f>
        <v>1499926</v>
      </c>
      <c r="H83" s="87"/>
      <c r="I83" s="10"/>
      <c r="J83" s="10"/>
      <c r="K83" s="10"/>
      <c r="L83" s="10"/>
      <c r="M83" s="10"/>
      <c r="N83" s="10"/>
      <c r="O83" s="4"/>
      <c r="P83" s="4"/>
      <c r="Q83" s="4"/>
      <c r="R83" s="4"/>
      <c r="S83" s="4"/>
      <c r="T83" s="4"/>
    </row>
    <row r="84" spans="2:20" x14ac:dyDescent="0.25">
      <c r="C84" s="378"/>
      <c r="D84" s="331"/>
      <c r="E84" s="331"/>
      <c r="F84" s="331"/>
      <c r="G84" s="379"/>
      <c r="H84" s="91"/>
      <c r="I84" s="91"/>
      <c r="J84" s="91"/>
      <c r="K84" s="91"/>
      <c r="L84" s="91"/>
      <c r="M84" s="91"/>
      <c r="N84" s="91"/>
      <c r="T84" s="4"/>
    </row>
    <row r="85" spans="2:20" x14ac:dyDescent="0.25">
      <c r="C85" s="88" t="s">
        <v>116</v>
      </c>
      <c r="D85" s="89"/>
      <c r="E85" s="89"/>
      <c r="F85" s="89"/>
      <c r="G85" s="92">
        <f>N63+N64</f>
        <v>79368</v>
      </c>
      <c r="H85" s="93"/>
      <c r="I85" s="93"/>
      <c r="J85" s="93"/>
      <c r="K85" s="93"/>
      <c r="L85" s="93"/>
      <c r="M85" s="93"/>
      <c r="N85" s="93"/>
      <c r="T85" s="4"/>
    </row>
    <row r="86" spans="2:20" x14ac:dyDescent="0.25">
      <c r="C86" s="88" t="s">
        <v>117</v>
      </c>
      <c r="D86" s="89"/>
      <c r="E86" s="89"/>
      <c r="F86" s="89"/>
      <c r="G86" s="90">
        <f>G85/G75</f>
        <v>5.2914610454115739E-2</v>
      </c>
      <c r="H86" s="93"/>
      <c r="I86" s="93"/>
      <c r="J86" s="93"/>
      <c r="K86" s="93"/>
      <c r="L86" s="93"/>
      <c r="M86" s="93"/>
      <c r="N86" s="93"/>
      <c r="T86" s="4"/>
    </row>
    <row r="87" spans="2:20" ht="16.5" thickBot="1" x14ac:dyDescent="0.3">
      <c r="C87" s="383" t="s">
        <v>118</v>
      </c>
      <c r="D87" s="384"/>
      <c r="E87" s="384"/>
      <c r="F87" s="384"/>
      <c r="G87" s="385"/>
      <c r="H87" s="94"/>
      <c r="I87" s="94"/>
      <c r="J87" s="94"/>
      <c r="K87" s="94"/>
      <c r="L87" s="94"/>
      <c r="M87" s="94"/>
      <c r="N87" s="94"/>
      <c r="O87" s="4"/>
      <c r="P87" s="4"/>
      <c r="Q87" s="4"/>
      <c r="R87" s="4"/>
      <c r="S87" s="4"/>
      <c r="T87" s="4"/>
    </row>
  </sheetData>
  <mergeCells count="54">
    <mergeCell ref="C84:G84"/>
    <mergeCell ref="C78:H78"/>
    <mergeCell ref="C87:G87"/>
    <mergeCell ref="B69:B72"/>
    <mergeCell ref="C70:G70"/>
    <mergeCell ref="C71:C72"/>
    <mergeCell ref="G71:G72"/>
    <mergeCell ref="G79:G80"/>
    <mergeCell ref="C42:T42"/>
    <mergeCell ref="C25:T25"/>
    <mergeCell ref="C32:T32"/>
    <mergeCell ref="J79:J80"/>
    <mergeCell ref="H79:H80"/>
    <mergeCell ref="C47:T47"/>
    <mergeCell ref="C52:T52"/>
    <mergeCell ref="K71:K72"/>
    <mergeCell ref="H70:K70"/>
    <mergeCell ref="E17:E18"/>
    <mergeCell ref="F17:F18"/>
    <mergeCell ref="G17:G18"/>
    <mergeCell ref="B33:B34"/>
    <mergeCell ref="C41:T41"/>
    <mergeCell ref="B17:B18"/>
    <mergeCell ref="D17:D18"/>
    <mergeCell ref="C16:T16"/>
    <mergeCell ref="H17:H18"/>
    <mergeCell ref="P17:P18"/>
    <mergeCell ref="S17:S18"/>
    <mergeCell ref="C24:T24"/>
    <mergeCell ref="I17:I18"/>
    <mergeCell ref="J17:J18"/>
    <mergeCell ref="K17:K18"/>
    <mergeCell ref="L17:L18"/>
    <mergeCell ref="M17:M18"/>
    <mergeCell ref="N17:N18"/>
    <mergeCell ref="O17:O18"/>
    <mergeCell ref="T17:T18"/>
    <mergeCell ref="H19:H20"/>
    <mergeCell ref="R17:R18"/>
    <mergeCell ref="Q17:Q18"/>
    <mergeCell ref="C9:T9"/>
    <mergeCell ref="C10:T10"/>
    <mergeCell ref="B2:T2"/>
    <mergeCell ref="B4:T4"/>
    <mergeCell ref="B7:B8"/>
    <mergeCell ref="C7:C8"/>
    <mergeCell ref="D7:F7"/>
    <mergeCell ref="G7:G8"/>
    <mergeCell ref="K7:M7"/>
    <mergeCell ref="N7:N8"/>
    <mergeCell ref="O7:O8"/>
    <mergeCell ref="P7:P8"/>
    <mergeCell ref="T7:T8"/>
    <mergeCell ref="H7:J7"/>
  </mergeCells>
  <conditionalFormatting sqref="G86">
    <cfRule type="cellIs" dxfId="10" priority="1" operator="lessThan">
      <formula>0.05</formula>
    </cfRule>
  </conditionalFormatting>
  <dataValidations count="6">
    <dataValidation allowBlank="1" showErrorMessage="1" prompt="% Towards Gender Equality and Women's Empowerment Must be Higher than 15%_x000a_" sqref="G85:N85"/>
    <dataValidation allowBlank="1" showInputMessage="1" showErrorMessage="1" prompt="M&amp;E Budget Cannot be Less than 5%_x000a_" sqref="G86:N86"/>
    <dataValidation allowBlank="1" showInputMessage="1" showErrorMessage="1" prompt="Insert *text* description of Output here" sqref="C16:F16 C25:F25 C32:F32 C42:F42 C47:F47 C52:F52 C10"/>
    <dataValidation allowBlank="1" showInputMessage="1" showErrorMessage="1" prompt="Insert *text* description of Activity here" sqref="C11 C17:C18 C26 C33:C35 C43 C48 C53"/>
    <dataValidation allowBlank="1" showInputMessage="1" showErrorMessage="1" prompt="Insert name of recipient agency here _x000a_" sqref="D8:F8 H8:M8 D72:F72 D80:F80 Q8:S8 H72:J72"/>
    <dataValidation allowBlank="1" showInputMessage="1" showErrorMessage="1" prompt="Insert *text* description of Outcome here" sqref="C41:T41 C24:T24 C9:T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26"/>
  <sheetViews>
    <sheetView topLeftCell="L211" zoomScale="73" zoomScaleNormal="73" workbookViewId="0">
      <selection activeCell="Y220" sqref="Y220"/>
    </sheetView>
  </sheetViews>
  <sheetFormatPr defaultColWidth="9.28515625" defaultRowHeight="15.75" x14ac:dyDescent="0.25"/>
  <cols>
    <col min="1" max="1" width="4.42578125" style="1" customWidth="1"/>
    <col min="2" max="2" width="3.28515625" style="1" customWidth="1"/>
    <col min="3" max="3" width="60.5703125" style="1" customWidth="1"/>
    <col min="4" max="6" width="19.85546875" style="5" customWidth="1"/>
    <col min="7" max="7" width="24.7109375" style="1" customWidth="1"/>
    <col min="8" max="11" width="19.85546875" style="5" customWidth="1"/>
    <col min="12" max="17" width="19.85546875" style="1" customWidth="1"/>
    <col min="18" max="18" width="22.140625" style="1" customWidth="1"/>
    <col min="19" max="20" width="17" style="1" customWidth="1"/>
    <col min="21" max="21" width="18.85546875" style="1" customWidth="1"/>
    <col min="22" max="22" width="18.5703125" style="1" customWidth="1"/>
    <col min="23" max="23" width="11.85546875" style="1" customWidth="1"/>
    <col min="24" max="16384" width="9.28515625" style="1"/>
  </cols>
  <sheetData>
    <row r="1" spans="3:13" ht="40.5" customHeight="1" x14ac:dyDescent="0.25">
      <c r="C1" s="488" t="s">
        <v>119</v>
      </c>
      <c r="D1" s="488"/>
      <c r="E1" s="488"/>
      <c r="F1" s="488"/>
    </row>
    <row r="2" spans="3:13" ht="16.5" thickBot="1" x14ac:dyDescent="0.3"/>
    <row r="3" spans="3:13" ht="41.25" customHeight="1" x14ac:dyDescent="0.25">
      <c r="C3" s="95" t="s">
        <v>120</v>
      </c>
      <c r="D3" s="489" t="s">
        <v>121</v>
      </c>
      <c r="E3" s="490"/>
      <c r="F3" s="490"/>
      <c r="G3" s="490"/>
      <c r="H3" s="490"/>
      <c r="I3" s="490"/>
      <c r="J3" s="490"/>
      <c r="K3" s="490"/>
      <c r="L3" s="490"/>
      <c r="M3" s="491"/>
    </row>
    <row r="4" spans="3:13" ht="41.25" customHeight="1" x14ac:dyDescent="0.25">
      <c r="C4" s="96" t="s">
        <v>122</v>
      </c>
      <c r="D4" s="492" t="s">
        <v>123</v>
      </c>
      <c r="E4" s="493"/>
      <c r="F4" s="493"/>
      <c r="G4" s="493"/>
      <c r="H4" s="493"/>
      <c r="I4" s="493"/>
      <c r="J4" s="493"/>
      <c r="K4" s="493"/>
      <c r="L4" s="493"/>
      <c r="M4" s="494"/>
    </row>
    <row r="5" spans="3:13" ht="41.25" customHeight="1" x14ac:dyDescent="0.25">
      <c r="C5" s="96" t="s">
        <v>124</v>
      </c>
      <c r="D5" s="492" t="s">
        <v>201</v>
      </c>
      <c r="E5" s="493"/>
      <c r="F5" s="493"/>
      <c r="G5" s="493"/>
      <c r="H5" s="493"/>
      <c r="I5" s="493"/>
      <c r="J5" s="493"/>
      <c r="K5" s="493"/>
      <c r="L5" s="493"/>
      <c r="M5" s="494"/>
    </row>
    <row r="6" spans="3:13" ht="41.25" customHeight="1" x14ac:dyDescent="0.25">
      <c r="C6" s="495" t="s">
        <v>125</v>
      </c>
      <c r="D6" s="497" t="s">
        <v>126</v>
      </c>
      <c r="E6" s="498"/>
      <c r="F6" s="498"/>
      <c r="G6" s="498"/>
      <c r="H6" s="498"/>
      <c r="I6" s="498"/>
      <c r="J6" s="498"/>
      <c r="K6" s="498"/>
      <c r="L6" s="498"/>
      <c r="M6" s="499"/>
    </row>
    <row r="7" spans="3:13" ht="41.25" customHeight="1" thickBot="1" x14ac:dyDescent="0.3">
      <c r="C7" s="496"/>
      <c r="D7" s="500"/>
      <c r="E7" s="501"/>
      <c r="F7" s="501"/>
      <c r="G7" s="501"/>
      <c r="H7" s="501"/>
      <c r="I7" s="501"/>
      <c r="J7" s="501"/>
      <c r="K7" s="501"/>
      <c r="L7" s="501"/>
      <c r="M7" s="502"/>
    </row>
    <row r="9" spans="3:13" ht="24" customHeight="1" thickBot="1" x14ac:dyDescent="0.3">
      <c r="C9" s="97"/>
      <c r="D9" s="1"/>
      <c r="E9" s="1"/>
      <c r="F9" s="1"/>
      <c r="I9" s="4"/>
      <c r="J9" s="4"/>
      <c r="K9" s="4"/>
      <c r="L9" s="4"/>
    </row>
    <row r="10" spans="3:13" ht="30" customHeight="1" x14ac:dyDescent="0.25">
      <c r="C10" s="443" t="s">
        <v>127</v>
      </c>
      <c r="D10" s="444"/>
      <c r="E10" s="444"/>
      <c r="F10" s="444"/>
      <c r="G10" s="445"/>
      <c r="H10" s="98"/>
      <c r="I10" s="99"/>
      <c r="J10" s="99"/>
      <c r="K10" s="99"/>
      <c r="L10" s="99"/>
    </row>
    <row r="11" spans="3:13" ht="24" customHeight="1" x14ac:dyDescent="0.25">
      <c r="C11" s="446" t="s">
        <v>128</v>
      </c>
      <c r="D11" s="447"/>
      <c r="E11" s="447"/>
      <c r="F11" s="447"/>
      <c r="G11" s="448"/>
      <c r="H11" s="100"/>
      <c r="I11" s="101"/>
      <c r="J11" s="101"/>
      <c r="K11" s="101"/>
      <c r="L11" s="101"/>
    </row>
    <row r="12" spans="3:13" ht="41.25" customHeight="1" x14ac:dyDescent="0.25">
      <c r="C12" s="446"/>
      <c r="D12" s="447"/>
      <c r="E12" s="447"/>
      <c r="F12" s="447"/>
      <c r="G12" s="448"/>
      <c r="H12" s="100"/>
      <c r="I12" s="101"/>
      <c r="J12" s="101"/>
      <c r="K12" s="101"/>
      <c r="L12" s="101"/>
    </row>
    <row r="13" spans="3:13" ht="24" customHeight="1" thickBot="1" x14ac:dyDescent="0.3">
      <c r="C13" s="449"/>
      <c r="D13" s="450"/>
      <c r="E13" s="450"/>
      <c r="F13" s="450"/>
      <c r="G13" s="451"/>
      <c r="H13" s="100"/>
      <c r="I13" s="101"/>
      <c r="J13" s="101"/>
      <c r="K13" s="101"/>
      <c r="L13" s="101"/>
    </row>
    <row r="14" spans="3:13" ht="24" customHeight="1" thickBot="1" x14ac:dyDescent="0.3">
      <c r="C14" s="98"/>
      <c r="D14" s="98"/>
      <c r="E14" s="98"/>
      <c r="F14" s="98"/>
      <c r="I14" s="99"/>
      <c r="J14" s="99"/>
      <c r="K14" s="99"/>
      <c r="L14" s="4"/>
    </row>
    <row r="15" spans="3:13" ht="25.5" customHeight="1" thickBot="1" x14ac:dyDescent="0.3">
      <c r="C15" s="326" t="s">
        <v>129</v>
      </c>
      <c r="D15" s="327"/>
      <c r="E15" s="327"/>
      <c r="F15" s="452"/>
      <c r="I15" s="1"/>
      <c r="J15" s="1"/>
      <c r="K15" s="1"/>
    </row>
    <row r="16" spans="3:13" ht="25.5" customHeight="1" thickBot="1" x14ac:dyDescent="0.3">
      <c r="C16" s="99"/>
      <c r="D16" s="99"/>
      <c r="E16" s="99"/>
      <c r="F16" s="99"/>
      <c r="G16" s="4"/>
      <c r="I16" s="1"/>
      <c r="J16" s="1"/>
      <c r="K16" s="1"/>
    </row>
    <row r="17" spans="2:25" ht="24" customHeight="1" thickBot="1" x14ac:dyDescent="0.3">
      <c r="C17" s="98"/>
      <c r="D17" s="453" t="s">
        <v>3</v>
      </c>
      <c r="E17" s="454"/>
      <c r="F17" s="454"/>
      <c r="G17" s="455"/>
      <c r="H17" s="396"/>
      <c r="I17" s="403" t="s">
        <v>130</v>
      </c>
      <c r="J17" s="404"/>
      <c r="K17" s="404"/>
      <c r="L17" s="404"/>
      <c r="M17" s="404"/>
      <c r="N17" s="404"/>
      <c r="O17" s="404"/>
      <c r="P17" s="404"/>
      <c r="Q17" s="404"/>
      <c r="R17" s="405"/>
      <c r="S17" s="504" t="s">
        <v>195</v>
      </c>
      <c r="T17" s="505"/>
      <c r="U17" s="505"/>
      <c r="V17" s="505"/>
    </row>
    <row r="18" spans="2:25" ht="40.5" customHeight="1" x14ac:dyDescent="0.25">
      <c r="C18" s="98"/>
      <c r="D18" s="102" t="s">
        <v>106</v>
      </c>
      <c r="E18" s="67" t="s">
        <v>107</v>
      </c>
      <c r="F18" s="67" t="s">
        <v>108</v>
      </c>
      <c r="G18" s="458" t="s">
        <v>5</v>
      </c>
      <c r="H18" s="396"/>
      <c r="I18" s="459" t="s">
        <v>131</v>
      </c>
      <c r="J18" s="460"/>
      <c r="K18" s="461"/>
      <c r="L18" s="462" t="s">
        <v>132</v>
      </c>
      <c r="M18" s="463"/>
      <c r="N18" s="464"/>
      <c r="O18" s="465" t="s">
        <v>133</v>
      </c>
      <c r="P18" s="466"/>
      <c r="Q18" s="467"/>
      <c r="R18" s="420" t="s">
        <v>134</v>
      </c>
      <c r="S18" s="478" t="s">
        <v>196</v>
      </c>
      <c r="T18" s="506" t="s">
        <v>197</v>
      </c>
      <c r="U18" s="478" t="s">
        <v>199</v>
      </c>
      <c r="V18" s="478" t="s">
        <v>198</v>
      </c>
    </row>
    <row r="19" spans="2:25" ht="24" customHeight="1" x14ac:dyDescent="0.25">
      <c r="C19" s="98"/>
      <c r="D19" s="103" t="s">
        <v>10</v>
      </c>
      <c r="E19" s="29" t="s">
        <v>11</v>
      </c>
      <c r="F19" s="29" t="s">
        <v>12</v>
      </c>
      <c r="G19" s="407"/>
      <c r="H19" s="396"/>
      <c r="I19" s="469" t="s">
        <v>10</v>
      </c>
      <c r="J19" s="470"/>
      <c r="K19" s="471"/>
      <c r="L19" s="472" t="s">
        <v>11</v>
      </c>
      <c r="M19" s="473"/>
      <c r="N19" s="474"/>
      <c r="O19" s="475" t="s">
        <v>12</v>
      </c>
      <c r="P19" s="476"/>
      <c r="Q19" s="477"/>
      <c r="R19" s="468"/>
      <c r="S19" s="479"/>
      <c r="T19" s="507"/>
      <c r="U19" s="479"/>
      <c r="V19" s="503"/>
    </row>
    <row r="20" spans="2:25" ht="24" customHeight="1" thickBot="1" x14ac:dyDescent="0.3">
      <c r="B20" s="456" t="s">
        <v>135</v>
      </c>
      <c r="C20" s="457"/>
      <c r="D20" s="457"/>
      <c r="E20" s="457"/>
      <c r="F20" s="457"/>
      <c r="G20" s="457"/>
      <c r="H20" s="396"/>
      <c r="I20" s="478" t="s">
        <v>136</v>
      </c>
      <c r="J20" s="480" t="s">
        <v>137</v>
      </c>
      <c r="K20" s="482" t="s">
        <v>138</v>
      </c>
      <c r="L20" s="484" t="s">
        <v>136</v>
      </c>
      <c r="M20" s="486" t="s">
        <v>137</v>
      </c>
      <c r="N20" s="429" t="s">
        <v>138</v>
      </c>
      <c r="O20" s="431" t="s">
        <v>136</v>
      </c>
      <c r="P20" s="433" t="s">
        <v>137</v>
      </c>
      <c r="Q20" s="435" t="s">
        <v>138</v>
      </c>
      <c r="R20" s="468"/>
      <c r="S20" s="478" t="s">
        <v>10</v>
      </c>
      <c r="T20" s="506" t="s">
        <v>11</v>
      </c>
      <c r="U20" s="478" t="s">
        <v>12</v>
      </c>
      <c r="V20" s="503"/>
    </row>
    <row r="21" spans="2:25" ht="22.5" customHeight="1" thickBot="1" x14ac:dyDescent="0.3">
      <c r="C21" s="437" t="s">
        <v>139</v>
      </c>
      <c r="D21" s="438"/>
      <c r="E21" s="438"/>
      <c r="F21" s="438"/>
      <c r="G21" s="439"/>
      <c r="H21" s="396"/>
      <c r="I21" s="479"/>
      <c r="J21" s="481"/>
      <c r="K21" s="483"/>
      <c r="L21" s="485"/>
      <c r="M21" s="487"/>
      <c r="N21" s="430"/>
      <c r="O21" s="432"/>
      <c r="P21" s="434"/>
      <c r="Q21" s="436"/>
      <c r="R21" s="421"/>
      <c r="S21" s="479"/>
      <c r="T21" s="507"/>
      <c r="U21" s="479"/>
      <c r="V21" s="479"/>
    </row>
    <row r="22" spans="2:25" ht="24.75" customHeight="1" thickBot="1" x14ac:dyDescent="0.3">
      <c r="C22" s="104" t="s">
        <v>140</v>
      </c>
      <c r="D22" s="105">
        <f>D30</f>
        <v>65000</v>
      </c>
      <c r="E22" s="105">
        <f t="shared" ref="E22:F22" si="0">E30</f>
        <v>10000</v>
      </c>
      <c r="F22" s="105">
        <f t="shared" si="0"/>
        <v>10000</v>
      </c>
      <c r="G22" s="106">
        <f t="shared" ref="G22:G29" si="1">SUM(D22:F22)</f>
        <v>85000</v>
      </c>
      <c r="H22" s="396"/>
      <c r="I22" s="107">
        <f t="shared" ref="I22:N22" si="2">+I30</f>
        <v>8000</v>
      </c>
      <c r="J22" s="108">
        <f t="shared" si="2"/>
        <v>15000</v>
      </c>
      <c r="K22" s="109">
        <f t="shared" si="2"/>
        <v>58000</v>
      </c>
      <c r="L22" s="110">
        <f t="shared" si="2"/>
        <v>2000</v>
      </c>
      <c r="M22" s="111">
        <f t="shared" si="2"/>
        <v>2000</v>
      </c>
      <c r="N22" s="112">
        <f t="shared" si="2"/>
        <v>10000</v>
      </c>
      <c r="O22" s="113">
        <f>O30</f>
        <v>4000</v>
      </c>
      <c r="P22" s="114">
        <f>+P30</f>
        <v>4000</v>
      </c>
      <c r="Q22" s="115">
        <f>+Q30</f>
        <v>10000</v>
      </c>
      <c r="R22" s="116">
        <f>+R30</f>
        <v>78000</v>
      </c>
      <c r="S22" s="107">
        <f>S30</f>
        <v>7842.57</v>
      </c>
      <c r="T22" s="153">
        <f>+T30</f>
        <v>9931.75</v>
      </c>
      <c r="U22" s="287">
        <f>+U30</f>
        <v>201.31</v>
      </c>
      <c r="V22" s="280">
        <f>S22+T22+U22</f>
        <v>17975.63</v>
      </c>
    </row>
    <row r="23" spans="2:25" ht="21.75" customHeight="1" x14ac:dyDescent="0.25">
      <c r="C23" s="117" t="s">
        <v>141</v>
      </c>
      <c r="D23" s="118"/>
      <c r="E23" s="119"/>
      <c r="F23" s="22"/>
      <c r="G23" s="106">
        <f t="shared" si="1"/>
        <v>0</v>
      </c>
      <c r="H23" s="396"/>
      <c r="I23" s="120">
        <v>0</v>
      </c>
      <c r="J23" s="121">
        <v>0</v>
      </c>
      <c r="K23" s="109">
        <f t="shared" ref="K23:K29" si="3">+D23+I23-J23</f>
        <v>0</v>
      </c>
      <c r="L23" s="122">
        <v>0</v>
      </c>
      <c r="M23" s="123">
        <v>0</v>
      </c>
      <c r="N23" s="112">
        <f t="shared" ref="N23:N29" si="4">E23+L23-M23</f>
        <v>0</v>
      </c>
      <c r="O23" s="124">
        <v>0</v>
      </c>
      <c r="P23" s="125">
        <v>0</v>
      </c>
      <c r="Q23" s="126">
        <f>F23+O23-P23</f>
        <v>0</v>
      </c>
      <c r="R23" s="116">
        <f t="shared" ref="R23:R29" si="5">K23+N23+Q23</f>
        <v>0</v>
      </c>
      <c r="S23" s="281">
        <v>0</v>
      </c>
      <c r="T23" s="295">
        <v>0</v>
      </c>
      <c r="U23" s="288">
        <v>0</v>
      </c>
      <c r="V23" s="109">
        <f>S23+T23+U23</f>
        <v>0</v>
      </c>
    </row>
    <row r="24" spans="2:25" x14ac:dyDescent="0.25">
      <c r="C24" s="127" t="s">
        <v>142</v>
      </c>
      <c r="D24" s="118">
        <v>10000</v>
      </c>
      <c r="E24" s="21">
        <v>1000</v>
      </c>
      <c r="F24" s="22">
        <v>1000</v>
      </c>
      <c r="G24" s="106">
        <f t="shared" si="1"/>
        <v>12000</v>
      </c>
      <c r="H24" s="396"/>
      <c r="I24" s="120">
        <v>3000</v>
      </c>
      <c r="J24" s="121">
        <v>0</v>
      </c>
      <c r="K24" s="109">
        <f t="shared" si="3"/>
        <v>13000</v>
      </c>
      <c r="L24" s="122">
        <v>0</v>
      </c>
      <c r="M24" s="123">
        <v>1000</v>
      </c>
      <c r="N24" s="112">
        <f t="shared" si="4"/>
        <v>0</v>
      </c>
      <c r="O24" s="124">
        <v>1000</v>
      </c>
      <c r="P24" s="125">
        <v>0</v>
      </c>
      <c r="Q24" s="126">
        <f t="shared" ref="Q24:Q29" si="6">F24+O24-P24</f>
        <v>2000</v>
      </c>
      <c r="R24" s="116">
        <f t="shared" si="5"/>
        <v>15000</v>
      </c>
      <c r="S24" s="281">
        <v>0</v>
      </c>
      <c r="T24" s="295">
        <v>0</v>
      </c>
      <c r="U24" s="289">
        <v>0</v>
      </c>
      <c r="V24" s="109">
        <f t="shared" ref="V24:V29" si="7">S24+T24+U24</f>
        <v>0</v>
      </c>
      <c r="W24" s="273"/>
    </row>
    <row r="25" spans="2:25" ht="31.5" customHeight="1" x14ac:dyDescent="0.25">
      <c r="C25" s="127" t="s">
        <v>143</v>
      </c>
      <c r="D25" s="118"/>
      <c r="E25" s="128">
        <v>0</v>
      </c>
      <c r="F25" s="128"/>
      <c r="G25" s="106">
        <f t="shared" si="1"/>
        <v>0</v>
      </c>
      <c r="H25" s="396"/>
      <c r="I25" s="120">
        <v>0</v>
      </c>
      <c r="J25" s="121">
        <v>0</v>
      </c>
      <c r="K25" s="109">
        <v>0</v>
      </c>
      <c r="L25" s="122">
        <v>0</v>
      </c>
      <c r="M25" s="123">
        <v>0</v>
      </c>
      <c r="N25" s="112">
        <f>+E25+L25-M25</f>
        <v>0</v>
      </c>
      <c r="O25" s="122">
        <v>0</v>
      </c>
      <c r="P25" s="123">
        <v>0</v>
      </c>
      <c r="Q25" s="126">
        <f t="shared" si="6"/>
        <v>0</v>
      </c>
      <c r="R25" s="116">
        <f t="shared" si="5"/>
        <v>0</v>
      </c>
      <c r="S25" s="281">
        <v>0</v>
      </c>
      <c r="T25" s="295">
        <v>0</v>
      </c>
      <c r="U25" s="290">
        <v>0</v>
      </c>
      <c r="V25" s="109">
        <f t="shared" si="7"/>
        <v>0</v>
      </c>
      <c r="W25" s="273"/>
    </row>
    <row r="26" spans="2:25" ht="15.75" customHeight="1" x14ac:dyDescent="0.25">
      <c r="C26" s="129" t="s">
        <v>144</v>
      </c>
      <c r="D26" s="118">
        <v>30000</v>
      </c>
      <c r="E26" s="128"/>
      <c r="F26" s="128">
        <v>4000</v>
      </c>
      <c r="G26" s="106">
        <f t="shared" si="1"/>
        <v>34000</v>
      </c>
      <c r="H26" s="396"/>
      <c r="I26" s="120"/>
      <c r="J26" s="121">
        <v>15000</v>
      </c>
      <c r="K26" s="109">
        <f t="shared" si="3"/>
        <v>15000</v>
      </c>
      <c r="L26" s="122">
        <v>0</v>
      </c>
      <c r="M26" s="123">
        <v>0</v>
      </c>
      <c r="N26" s="112">
        <f t="shared" si="4"/>
        <v>0</v>
      </c>
      <c r="O26" s="122">
        <v>0</v>
      </c>
      <c r="P26" s="123">
        <v>0</v>
      </c>
      <c r="Q26" s="126">
        <f t="shared" si="6"/>
        <v>4000</v>
      </c>
      <c r="R26" s="116">
        <f t="shared" si="5"/>
        <v>19000</v>
      </c>
      <c r="S26" s="281">
        <f>3174.19+4668.38</f>
        <v>7842.57</v>
      </c>
      <c r="T26" s="295">
        <v>0</v>
      </c>
      <c r="U26" s="289">
        <v>0</v>
      </c>
      <c r="V26" s="109">
        <f t="shared" si="7"/>
        <v>7842.57</v>
      </c>
      <c r="W26" s="273"/>
    </row>
    <row r="27" spans="2:25" x14ac:dyDescent="0.25">
      <c r="C27" s="127" t="s">
        <v>145</v>
      </c>
      <c r="D27" s="118">
        <v>15000</v>
      </c>
      <c r="E27" s="128">
        <v>1000</v>
      </c>
      <c r="F27" s="128">
        <v>1000</v>
      </c>
      <c r="G27" s="106">
        <f t="shared" si="1"/>
        <v>17000</v>
      </c>
      <c r="H27" s="396"/>
      <c r="I27" s="120">
        <v>5000</v>
      </c>
      <c r="J27" s="121"/>
      <c r="K27" s="109">
        <f t="shared" si="3"/>
        <v>20000</v>
      </c>
      <c r="L27" s="120">
        <v>0</v>
      </c>
      <c r="M27" s="121">
        <v>1000</v>
      </c>
      <c r="N27" s="112">
        <f t="shared" si="4"/>
        <v>0</v>
      </c>
      <c r="O27" s="122">
        <v>3000</v>
      </c>
      <c r="P27" s="123">
        <v>0</v>
      </c>
      <c r="Q27" s="126">
        <f t="shared" si="6"/>
        <v>4000</v>
      </c>
      <c r="R27" s="116">
        <f t="shared" si="5"/>
        <v>24000</v>
      </c>
      <c r="S27" s="281">
        <v>0</v>
      </c>
      <c r="T27" s="295">
        <v>0</v>
      </c>
      <c r="U27" s="290">
        <v>201.31</v>
      </c>
      <c r="V27" s="109">
        <f t="shared" si="7"/>
        <v>201.31</v>
      </c>
      <c r="W27" s="273"/>
    </row>
    <row r="28" spans="2:25" ht="21.75" customHeight="1" x14ac:dyDescent="0.25">
      <c r="C28" s="127" t="s">
        <v>146</v>
      </c>
      <c r="D28" s="118">
        <v>10000</v>
      </c>
      <c r="E28" s="128">
        <v>8000</v>
      </c>
      <c r="F28" s="128">
        <v>4000</v>
      </c>
      <c r="G28" s="106">
        <f t="shared" si="1"/>
        <v>22000</v>
      </c>
      <c r="H28" s="396"/>
      <c r="I28" s="120">
        <v>0</v>
      </c>
      <c r="J28" s="121"/>
      <c r="K28" s="109">
        <f t="shared" si="3"/>
        <v>10000</v>
      </c>
      <c r="L28" s="120">
        <v>2000</v>
      </c>
      <c r="M28" s="121"/>
      <c r="N28" s="112">
        <f t="shared" si="4"/>
        <v>10000</v>
      </c>
      <c r="O28" s="122">
        <v>0</v>
      </c>
      <c r="P28" s="123">
        <v>4000</v>
      </c>
      <c r="Q28" s="126">
        <f t="shared" si="6"/>
        <v>0</v>
      </c>
      <c r="R28" s="116">
        <f t="shared" si="5"/>
        <v>20000</v>
      </c>
      <c r="S28" s="281">
        <v>0</v>
      </c>
      <c r="T28" s="295">
        <v>9931.75</v>
      </c>
      <c r="U28" s="290">
        <v>0</v>
      </c>
      <c r="V28" s="109">
        <f t="shared" si="7"/>
        <v>9931.75</v>
      </c>
      <c r="W28" s="314"/>
      <c r="Y28" s="5"/>
    </row>
    <row r="29" spans="2:25" ht="36.75" customHeight="1" x14ac:dyDescent="0.25">
      <c r="C29" s="127" t="s">
        <v>147</v>
      </c>
      <c r="D29" s="118"/>
      <c r="E29" s="128"/>
      <c r="F29" s="128"/>
      <c r="G29" s="106">
        <f t="shared" si="1"/>
        <v>0</v>
      </c>
      <c r="H29" s="396"/>
      <c r="I29" s="120">
        <v>0</v>
      </c>
      <c r="J29" s="121">
        <v>0</v>
      </c>
      <c r="K29" s="109">
        <f t="shared" si="3"/>
        <v>0</v>
      </c>
      <c r="L29" s="122">
        <v>0</v>
      </c>
      <c r="M29" s="123">
        <v>0</v>
      </c>
      <c r="N29" s="112">
        <f t="shared" si="4"/>
        <v>0</v>
      </c>
      <c r="O29" s="122">
        <v>0</v>
      </c>
      <c r="P29" s="123">
        <v>0</v>
      </c>
      <c r="Q29" s="126">
        <f t="shared" si="6"/>
        <v>0</v>
      </c>
      <c r="R29" s="116">
        <f t="shared" si="5"/>
        <v>0</v>
      </c>
      <c r="S29" s="281">
        <v>0</v>
      </c>
      <c r="T29" s="295">
        <v>0</v>
      </c>
      <c r="U29" s="290">
        <v>0</v>
      </c>
      <c r="V29" s="109">
        <f t="shared" si="7"/>
        <v>0</v>
      </c>
      <c r="W29" s="273"/>
    </row>
    <row r="30" spans="2:25" ht="22.5" customHeight="1" thickBot="1" x14ac:dyDescent="0.3">
      <c r="C30" s="130" t="s">
        <v>148</v>
      </c>
      <c r="D30" s="131">
        <f t="shared" ref="D30:G30" si="8">SUM(D23:D29)</f>
        <v>65000</v>
      </c>
      <c r="E30" s="132">
        <f t="shared" si="8"/>
        <v>10000</v>
      </c>
      <c r="F30" s="132">
        <f t="shared" si="8"/>
        <v>10000</v>
      </c>
      <c r="G30" s="133">
        <f t="shared" si="8"/>
        <v>85000</v>
      </c>
      <c r="H30" s="396"/>
      <c r="I30" s="134">
        <f>SUM(I23:I29)</f>
        <v>8000</v>
      </c>
      <c r="J30" s="135">
        <f>SUM(J23:J29)</f>
        <v>15000</v>
      </c>
      <c r="K30" s="136">
        <f>+D30+I30-J30</f>
        <v>58000</v>
      </c>
      <c r="L30" s="137">
        <f>SUM(L23:L29)</f>
        <v>2000</v>
      </c>
      <c r="M30" s="138">
        <f>SUM(M23:M29)</f>
        <v>2000</v>
      </c>
      <c r="N30" s="139">
        <f>E30+L30-M30</f>
        <v>10000</v>
      </c>
      <c r="O30" s="140">
        <f>SUM(O23:O29)</f>
        <v>4000</v>
      </c>
      <c r="P30" s="141">
        <f>SUM(P23:P29)</f>
        <v>4000</v>
      </c>
      <c r="Q30" s="142">
        <f>F30+O30-P30</f>
        <v>10000</v>
      </c>
      <c r="R30" s="143">
        <f>+K30+N30+Q30</f>
        <v>78000</v>
      </c>
      <c r="S30" s="134">
        <f>S23+S24+S25+S26+S27+S28+S29</f>
        <v>7842.57</v>
      </c>
      <c r="T30" s="296">
        <f>SUM(T23:T29)</f>
        <v>9931.75</v>
      </c>
      <c r="U30" s="291">
        <f>+SUM(U23:U29)</f>
        <v>201.31</v>
      </c>
      <c r="V30" s="109">
        <f>S30+T30+U30</f>
        <v>17975.63</v>
      </c>
      <c r="W30" s="311"/>
    </row>
    <row r="31" spans="2:25" s="5" customFormat="1" ht="16.5" thickBot="1" x14ac:dyDescent="0.3">
      <c r="C31" s="394"/>
      <c r="D31" s="394"/>
      <c r="E31" s="394"/>
      <c r="F31" s="394"/>
      <c r="G31" s="394"/>
      <c r="H31" s="394"/>
      <c r="I31" s="394"/>
      <c r="J31" s="394"/>
      <c r="K31" s="394"/>
      <c r="L31" s="394"/>
      <c r="S31" s="286"/>
    </row>
    <row r="32" spans="2:25" s="144" customFormat="1" ht="32.25" thickBot="1" x14ac:dyDescent="0.3">
      <c r="C32" s="145" t="s">
        <v>149</v>
      </c>
      <c r="D32" s="146"/>
      <c r="E32" s="146"/>
      <c r="F32" s="146"/>
      <c r="G32" s="147"/>
      <c r="H32" s="428"/>
      <c r="I32" s="148" t="s">
        <v>136</v>
      </c>
      <c r="J32" s="149" t="s">
        <v>137</v>
      </c>
      <c r="K32" s="150" t="s">
        <v>150</v>
      </c>
      <c r="L32" s="151" t="s">
        <v>136</v>
      </c>
      <c r="M32" s="152" t="s">
        <v>137</v>
      </c>
      <c r="N32" s="153" t="s">
        <v>150</v>
      </c>
      <c r="O32" s="154" t="s">
        <v>136</v>
      </c>
      <c r="P32" s="155" t="s">
        <v>137</v>
      </c>
      <c r="Q32" s="156" t="s">
        <v>150</v>
      </c>
      <c r="R32" s="157" t="s">
        <v>151</v>
      </c>
    </row>
    <row r="33" spans="3:22" s="144" customFormat="1" ht="27" customHeight="1" thickBot="1" x14ac:dyDescent="0.3">
      <c r="C33" s="158" t="s">
        <v>152</v>
      </c>
      <c r="D33" s="159">
        <f>D41</f>
        <v>0</v>
      </c>
      <c r="E33" s="159">
        <f t="shared" ref="E33:F33" si="9">E41</f>
        <v>60000</v>
      </c>
      <c r="F33" s="159">
        <f t="shared" si="9"/>
        <v>0</v>
      </c>
      <c r="G33" s="160">
        <f t="shared" ref="G33:G40" si="10">SUM(D33:F33)</f>
        <v>60000</v>
      </c>
      <c r="H33" s="428"/>
      <c r="I33" s="148">
        <f t="shared" ref="I33:N33" si="11">+I41</f>
        <v>0</v>
      </c>
      <c r="J33" s="149">
        <f t="shared" si="11"/>
        <v>0</v>
      </c>
      <c r="K33" s="150">
        <f t="shared" si="11"/>
        <v>0</v>
      </c>
      <c r="L33" s="151">
        <f t="shared" si="11"/>
        <v>30000</v>
      </c>
      <c r="M33" s="152">
        <f t="shared" si="11"/>
        <v>40000</v>
      </c>
      <c r="N33" s="153">
        <f t="shared" si="11"/>
        <v>50000</v>
      </c>
      <c r="O33" s="154">
        <f>O41</f>
        <v>0</v>
      </c>
      <c r="P33" s="155">
        <f>+P41</f>
        <v>0</v>
      </c>
      <c r="Q33" s="156">
        <f>+Q41</f>
        <v>0</v>
      </c>
      <c r="R33" s="161">
        <f>+R41</f>
        <v>50000</v>
      </c>
      <c r="S33" s="190"/>
      <c r="T33" s="153">
        <f>+T41</f>
        <v>10641.9</v>
      </c>
      <c r="U33" s="191"/>
      <c r="V33" s="280">
        <f>T33+U33</f>
        <v>10641.9</v>
      </c>
    </row>
    <row r="34" spans="3:22" s="144" customFormat="1" x14ac:dyDescent="0.25">
      <c r="C34" s="117" t="s">
        <v>141</v>
      </c>
      <c r="D34" s="162"/>
      <c r="E34" s="119"/>
      <c r="F34" s="22"/>
      <c r="G34" s="160">
        <f t="shared" si="10"/>
        <v>0</v>
      </c>
      <c r="H34" s="428"/>
      <c r="I34" s="163">
        <v>0</v>
      </c>
      <c r="J34" s="164">
        <v>0</v>
      </c>
      <c r="K34" s="165">
        <f t="shared" ref="K34:K35" si="12">+D34+I34-J34</f>
        <v>0</v>
      </c>
      <c r="L34" s="166">
        <v>0</v>
      </c>
      <c r="M34" s="167">
        <v>0</v>
      </c>
      <c r="N34" s="168">
        <f t="shared" ref="N34:N35" si="13">E34+L34-M34</f>
        <v>0</v>
      </c>
      <c r="O34" s="124">
        <v>0</v>
      </c>
      <c r="P34" s="125">
        <v>0</v>
      </c>
      <c r="Q34" s="126">
        <f>F34+O34-P34</f>
        <v>0</v>
      </c>
      <c r="R34" s="169">
        <f t="shared" ref="R34:R40" si="14">K34+N34+Q34</f>
        <v>0</v>
      </c>
      <c r="S34" s="281"/>
      <c r="T34" s="297">
        <v>0</v>
      </c>
      <c r="U34" s="282"/>
      <c r="V34" s="109">
        <f t="shared" ref="V34:V41" si="15">T34</f>
        <v>0</v>
      </c>
    </row>
    <row r="35" spans="3:22" s="144" customFormat="1" x14ac:dyDescent="0.25">
      <c r="C35" s="127" t="s">
        <v>142</v>
      </c>
      <c r="D35" s="162"/>
      <c r="E35" s="21"/>
      <c r="F35" s="22"/>
      <c r="G35" s="160">
        <f t="shared" si="10"/>
        <v>0</v>
      </c>
      <c r="H35" s="428"/>
      <c r="I35" s="163">
        <v>0</v>
      </c>
      <c r="J35" s="164">
        <v>0</v>
      </c>
      <c r="K35" s="165">
        <f t="shared" si="12"/>
        <v>0</v>
      </c>
      <c r="L35" s="166">
        <v>0</v>
      </c>
      <c r="M35" s="167">
        <v>0</v>
      </c>
      <c r="N35" s="168">
        <f t="shared" si="13"/>
        <v>0</v>
      </c>
      <c r="O35" s="124">
        <v>0</v>
      </c>
      <c r="P35" s="125">
        <v>0</v>
      </c>
      <c r="Q35" s="126">
        <f t="shared" ref="Q35:Q40" si="16">F35+O35-P35</f>
        <v>0</v>
      </c>
      <c r="R35" s="169">
        <f t="shared" si="14"/>
        <v>0</v>
      </c>
      <c r="S35" s="281"/>
      <c r="T35" s="297">
        <v>0</v>
      </c>
      <c r="U35" s="282"/>
      <c r="V35" s="109">
        <f t="shared" si="15"/>
        <v>0</v>
      </c>
    </row>
    <row r="36" spans="3:22" s="144" customFormat="1" ht="31.5" x14ac:dyDescent="0.25">
      <c r="C36" s="127" t="s">
        <v>143</v>
      </c>
      <c r="D36" s="162"/>
      <c r="E36" s="170">
        <v>10000</v>
      </c>
      <c r="F36" s="170"/>
      <c r="G36" s="160">
        <f t="shared" si="10"/>
        <v>10000</v>
      </c>
      <c r="H36" s="428"/>
      <c r="I36" s="163">
        <v>0</v>
      </c>
      <c r="J36" s="164">
        <v>0</v>
      </c>
      <c r="K36" s="165">
        <v>0</v>
      </c>
      <c r="L36" s="166">
        <v>0</v>
      </c>
      <c r="M36" s="167">
        <v>4000</v>
      </c>
      <c r="N36" s="168">
        <f>+E36+L36-M36</f>
        <v>6000</v>
      </c>
      <c r="O36" s="166">
        <v>0</v>
      </c>
      <c r="P36" s="167">
        <v>0</v>
      </c>
      <c r="Q36" s="126">
        <f t="shared" si="16"/>
        <v>0</v>
      </c>
      <c r="R36" s="169">
        <f t="shared" si="14"/>
        <v>6000</v>
      </c>
      <c r="S36" s="281"/>
      <c r="T36" s="297">
        <v>0</v>
      </c>
      <c r="U36" s="282"/>
      <c r="V36" s="109">
        <f t="shared" si="15"/>
        <v>0</v>
      </c>
    </row>
    <row r="37" spans="3:22" s="144" customFormat="1" x14ac:dyDescent="0.25">
      <c r="C37" s="129" t="s">
        <v>144</v>
      </c>
      <c r="D37" s="162"/>
      <c r="E37" s="170">
        <v>30000</v>
      </c>
      <c r="F37" s="170"/>
      <c r="G37" s="160">
        <f t="shared" si="10"/>
        <v>30000</v>
      </c>
      <c r="H37" s="428"/>
      <c r="I37" s="163">
        <v>0</v>
      </c>
      <c r="J37" s="164">
        <v>0</v>
      </c>
      <c r="K37" s="165">
        <f t="shared" ref="K37:K40" si="17">+D37+I37-J37</f>
        <v>0</v>
      </c>
      <c r="L37" s="166">
        <v>0</v>
      </c>
      <c r="M37" s="167">
        <v>26000</v>
      </c>
      <c r="N37" s="168">
        <f t="shared" ref="N37:N40" si="18">E37+L37-M37</f>
        <v>4000</v>
      </c>
      <c r="O37" s="166">
        <v>0</v>
      </c>
      <c r="P37" s="167">
        <v>0</v>
      </c>
      <c r="Q37" s="126">
        <f t="shared" si="16"/>
        <v>0</v>
      </c>
      <c r="R37" s="169">
        <f t="shared" si="14"/>
        <v>4000</v>
      </c>
      <c r="S37" s="281"/>
      <c r="T37" s="297">
        <v>0</v>
      </c>
      <c r="U37" s="282"/>
      <c r="V37" s="109">
        <f t="shared" si="15"/>
        <v>0</v>
      </c>
    </row>
    <row r="38" spans="3:22" s="144" customFormat="1" x14ac:dyDescent="0.25">
      <c r="C38" s="127" t="s">
        <v>145</v>
      </c>
      <c r="D38" s="162"/>
      <c r="E38" s="170">
        <v>5000</v>
      </c>
      <c r="F38" s="170"/>
      <c r="G38" s="160">
        <f t="shared" si="10"/>
        <v>5000</v>
      </c>
      <c r="H38" s="428"/>
      <c r="I38" s="163">
        <v>0</v>
      </c>
      <c r="J38" s="164">
        <v>0</v>
      </c>
      <c r="K38" s="165">
        <f t="shared" si="17"/>
        <v>0</v>
      </c>
      <c r="L38" s="163">
        <v>0</v>
      </c>
      <c r="M38" s="164">
        <v>5000</v>
      </c>
      <c r="N38" s="168">
        <f t="shared" si="18"/>
        <v>0</v>
      </c>
      <c r="O38" s="166">
        <v>0</v>
      </c>
      <c r="P38" s="167">
        <v>0</v>
      </c>
      <c r="Q38" s="126">
        <f t="shared" si="16"/>
        <v>0</v>
      </c>
      <c r="R38" s="169">
        <f t="shared" si="14"/>
        <v>0</v>
      </c>
      <c r="S38" s="281"/>
      <c r="T38" s="297">
        <v>0</v>
      </c>
      <c r="U38" s="282"/>
      <c r="V38" s="109">
        <f t="shared" si="15"/>
        <v>0</v>
      </c>
    </row>
    <row r="39" spans="3:22" s="144" customFormat="1" x14ac:dyDescent="0.25">
      <c r="C39" s="127" t="s">
        <v>146</v>
      </c>
      <c r="D39" s="162"/>
      <c r="E39" s="170">
        <v>10000</v>
      </c>
      <c r="F39" s="170"/>
      <c r="G39" s="160">
        <f t="shared" si="10"/>
        <v>10000</v>
      </c>
      <c r="H39" s="428"/>
      <c r="I39" s="163">
        <v>0</v>
      </c>
      <c r="J39" s="164">
        <v>0</v>
      </c>
      <c r="K39" s="165">
        <f t="shared" si="17"/>
        <v>0</v>
      </c>
      <c r="L39" s="163">
        <v>30000</v>
      </c>
      <c r="M39" s="164">
        <v>0</v>
      </c>
      <c r="N39" s="168">
        <f t="shared" si="18"/>
        <v>40000</v>
      </c>
      <c r="O39" s="166">
        <v>0</v>
      </c>
      <c r="P39" s="167">
        <v>0</v>
      </c>
      <c r="Q39" s="126">
        <f t="shared" si="16"/>
        <v>0</v>
      </c>
      <c r="R39" s="169">
        <f t="shared" si="14"/>
        <v>40000</v>
      </c>
      <c r="S39" s="281"/>
      <c r="T39" s="297">
        <v>10641.9</v>
      </c>
      <c r="U39" s="282"/>
      <c r="V39" s="109">
        <f t="shared" si="15"/>
        <v>10641.9</v>
      </c>
    </row>
    <row r="40" spans="3:22" s="144" customFormat="1" x14ac:dyDescent="0.25">
      <c r="C40" s="127" t="s">
        <v>147</v>
      </c>
      <c r="D40" s="162"/>
      <c r="E40" s="170">
        <v>5000</v>
      </c>
      <c r="F40" s="170"/>
      <c r="G40" s="160">
        <f t="shared" si="10"/>
        <v>5000</v>
      </c>
      <c r="H40" s="428"/>
      <c r="I40" s="163">
        <v>0</v>
      </c>
      <c r="J40" s="164">
        <v>0</v>
      </c>
      <c r="K40" s="165">
        <f t="shared" si="17"/>
        <v>0</v>
      </c>
      <c r="L40" s="166">
        <v>0</v>
      </c>
      <c r="M40" s="167">
        <v>5000</v>
      </c>
      <c r="N40" s="168">
        <f t="shared" si="18"/>
        <v>0</v>
      </c>
      <c r="O40" s="166">
        <v>0</v>
      </c>
      <c r="P40" s="167">
        <v>0</v>
      </c>
      <c r="Q40" s="126">
        <f t="shared" si="16"/>
        <v>0</v>
      </c>
      <c r="R40" s="169">
        <f t="shared" si="14"/>
        <v>0</v>
      </c>
      <c r="S40" s="281"/>
      <c r="T40" s="297">
        <v>0</v>
      </c>
      <c r="U40" s="282"/>
      <c r="V40" s="109">
        <f t="shared" si="15"/>
        <v>0</v>
      </c>
    </row>
    <row r="41" spans="3:22" s="144" customFormat="1" ht="16.5" thickBot="1" x14ac:dyDescent="0.3">
      <c r="C41" s="171" t="s">
        <v>148</v>
      </c>
      <c r="D41" s="172">
        <f t="shared" ref="D41:G41" si="19">SUM(D34:D40)</f>
        <v>0</v>
      </c>
      <c r="E41" s="173">
        <f t="shared" si="19"/>
        <v>60000</v>
      </c>
      <c r="F41" s="173">
        <f t="shared" si="19"/>
        <v>0</v>
      </c>
      <c r="G41" s="174">
        <f t="shared" si="19"/>
        <v>60000</v>
      </c>
      <c r="H41" s="428"/>
      <c r="I41" s="175">
        <f>SUM(I34:I40)</f>
        <v>0</v>
      </c>
      <c r="J41" s="176">
        <f>SUM(J34:J40)</f>
        <v>0</v>
      </c>
      <c r="K41" s="177">
        <f>+D41+I41-J41</f>
        <v>0</v>
      </c>
      <c r="L41" s="178">
        <f>SUM(L34:L40)</f>
        <v>30000</v>
      </c>
      <c r="M41" s="179">
        <f>SUM(M34:M40)</f>
        <v>40000</v>
      </c>
      <c r="N41" s="261">
        <f>E41+L41-M41</f>
        <v>50000</v>
      </c>
      <c r="O41" s="181">
        <f>SUM(O34:O40)</f>
        <v>0</v>
      </c>
      <c r="P41" s="182">
        <f>SUM(P34:P40)</f>
        <v>0</v>
      </c>
      <c r="Q41" s="183">
        <f>F41+O41-P41</f>
        <v>0</v>
      </c>
      <c r="R41" s="184">
        <f>+K41+N41+Q41</f>
        <v>50000</v>
      </c>
      <c r="S41" s="134"/>
      <c r="T41" s="296">
        <f>SUM(T34:T40)</f>
        <v>10641.9</v>
      </c>
      <c r="U41" s="135"/>
      <c r="V41" s="136">
        <f t="shared" si="15"/>
        <v>10641.9</v>
      </c>
    </row>
    <row r="42" spans="3:22" s="5" customFormat="1" ht="16.5" thickBot="1" x14ac:dyDescent="0.3">
      <c r="C42" s="185"/>
      <c r="D42" s="440"/>
      <c r="E42" s="440"/>
      <c r="F42" s="440"/>
      <c r="G42" s="440"/>
      <c r="H42" s="440"/>
      <c r="I42" s="441"/>
      <c r="J42" s="441"/>
      <c r="K42" s="441"/>
      <c r="L42" s="441"/>
    </row>
    <row r="43" spans="3:22" ht="32.25" thickBot="1" x14ac:dyDescent="0.3">
      <c r="C43" s="186" t="s">
        <v>153</v>
      </c>
      <c r="D43" s="187"/>
      <c r="E43" s="187"/>
      <c r="F43" s="187"/>
      <c r="G43" s="188"/>
      <c r="H43" s="399"/>
      <c r="I43" s="148" t="s">
        <v>136</v>
      </c>
      <c r="J43" s="149" t="s">
        <v>137</v>
      </c>
      <c r="K43" s="150" t="s">
        <v>150</v>
      </c>
      <c r="L43" s="151" t="s">
        <v>136</v>
      </c>
      <c r="M43" s="152" t="s">
        <v>137</v>
      </c>
      <c r="N43" s="153" t="s">
        <v>150</v>
      </c>
      <c r="O43" s="154" t="s">
        <v>136</v>
      </c>
      <c r="P43" s="155" t="s">
        <v>137</v>
      </c>
      <c r="Q43" s="156" t="s">
        <v>150</v>
      </c>
      <c r="R43" s="157" t="s">
        <v>151</v>
      </c>
    </row>
    <row r="44" spans="3:22" ht="21.75" customHeight="1" thickBot="1" x14ac:dyDescent="0.3">
      <c r="C44" s="104" t="s">
        <v>154</v>
      </c>
      <c r="D44" s="105">
        <f>'[1]1) Tableau budgétaire 1'!D44</f>
        <v>0</v>
      </c>
      <c r="E44" s="189">
        <f>'[1]1) Tableau budgétaire 1'!E44</f>
        <v>0</v>
      </c>
      <c r="F44" s="189">
        <f>'[1]1) Tableau budgétaire 1'!F44</f>
        <v>0</v>
      </c>
      <c r="G44" s="106">
        <f t="shared" ref="G44:G52" si="20">SUM(D44:F44)</f>
        <v>0</v>
      </c>
      <c r="H44" s="399"/>
      <c r="I44" s="190">
        <f t="shared" ref="I44:N44" si="21">+I52</f>
        <v>0</v>
      </c>
      <c r="J44" s="191">
        <f t="shared" si="21"/>
        <v>0</v>
      </c>
      <c r="K44" s="192">
        <f t="shared" si="21"/>
        <v>0</v>
      </c>
      <c r="L44" s="193">
        <f t="shared" si="21"/>
        <v>0</v>
      </c>
      <c r="M44" s="194">
        <f t="shared" si="21"/>
        <v>0</v>
      </c>
      <c r="N44" s="195">
        <f t="shared" si="21"/>
        <v>0</v>
      </c>
      <c r="O44" s="196">
        <f>O52</f>
        <v>0</v>
      </c>
      <c r="P44" s="197">
        <f>+P52</f>
        <v>0</v>
      </c>
      <c r="Q44" s="198">
        <f>+Q52</f>
        <v>0</v>
      </c>
      <c r="R44" s="199">
        <f>+R52</f>
        <v>0</v>
      </c>
      <c r="S44" s="190"/>
      <c r="T44" s="153">
        <f>+T52</f>
        <v>0</v>
      </c>
      <c r="U44" s="191"/>
      <c r="V44" s="280">
        <f>T44</f>
        <v>0</v>
      </c>
    </row>
    <row r="45" spans="3:22" x14ac:dyDescent="0.25">
      <c r="C45" s="117" t="s">
        <v>141</v>
      </c>
      <c r="D45" s="118"/>
      <c r="E45" s="22"/>
      <c r="F45" s="22"/>
      <c r="G45" s="106">
        <f t="shared" si="20"/>
        <v>0</v>
      </c>
      <c r="H45" s="399"/>
      <c r="I45" s="120">
        <v>0</v>
      </c>
      <c r="J45" s="121">
        <v>0</v>
      </c>
      <c r="K45" s="109">
        <f t="shared" ref="K45:K46" si="22">+D45+I45-J45</f>
        <v>0</v>
      </c>
      <c r="L45" s="122">
        <v>0</v>
      </c>
      <c r="M45" s="123">
        <v>0</v>
      </c>
      <c r="N45" s="112">
        <f t="shared" ref="N45:N46" si="23">E45+L45-M45</f>
        <v>0</v>
      </c>
      <c r="O45" s="124">
        <v>0</v>
      </c>
      <c r="P45" s="125">
        <v>0</v>
      </c>
      <c r="Q45" s="126">
        <f>F45+O45-P45</f>
        <v>0</v>
      </c>
      <c r="R45" s="116">
        <f t="shared" ref="R45:R51" si="24">K45+N45+Q45</f>
        <v>0</v>
      </c>
      <c r="S45" s="281"/>
      <c r="T45" s="295">
        <v>0</v>
      </c>
      <c r="U45" s="282"/>
      <c r="V45" s="295">
        <v>0</v>
      </c>
    </row>
    <row r="46" spans="3:22" s="5" customFormat="1" ht="15.75" customHeight="1" x14ac:dyDescent="0.25">
      <c r="C46" s="127" t="s">
        <v>142</v>
      </c>
      <c r="D46" s="118"/>
      <c r="E46" s="22"/>
      <c r="F46" s="22"/>
      <c r="G46" s="106">
        <f t="shared" si="20"/>
        <v>0</v>
      </c>
      <c r="H46" s="399"/>
      <c r="I46" s="120">
        <v>0</v>
      </c>
      <c r="J46" s="121">
        <v>0</v>
      </c>
      <c r="K46" s="109">
        <f t="shared" si="22"/>
        <v>0</v>
      </c>
      <c r="L46" s="122">
        <v>0</v>
      </c>
      <c r="M46" s="123">
        <v>0</v>
      </c>
      <c r="N46" s="112">
        <f t="shared" si="23"/>
        <v>0</v>
      </c>
      <c r="O46" s="124">
        <v>0</v>
      </c>
      <c r="P46" s="125">
        <v>0</v>
      </c>
      <c r="Q46" s="126">
        <f t="shared" ref="Q46:Q51" si="25">F46+O46-P46</f>
        <v>0</v>
      </c>
      <c r="R46" s="116">
        <f t="shared" si="24"/>
        <v>0</v>
      </c>
      <c r="S46" s="281"/>
      <c r="T46" s="295">
        <v>0</v>
      </c>
      <c r="U46" s="282"/>
      <c r="V46" s="295">
        <v>0</v>
      </c>
    </row>
    <row r="47" spans="3:22" s="5" customFormat="1" ht="31.5" x14ac:dyDescent="0.25">
      <c r="C47" s="127" t="s">
        <v>143</v>
      </c>
      <c r="D47" s="118"/>
      <c r="E47" s="128"/>
      <c r="F47" s="128"/>
      <c r="G47" s="106">
        <f t="shared" si="20"/>
        <v>0</v>
      </c>
      <c r="H47" s="399"/>
      <c r="I47" s="120">
        <v>0</v>
      </c>
      <c r="J47" s="121">
        <v>0</v>
      </c>
      <c r="K47" s="109">
        <v>0</v>
      </c>
      <c r="L47" s="122">
        <v>0</v>
      </c>
      <c r="M47" s="123">
        <v>0</v>
      </c>
      <c r="N47" s="112">
        <f>+E47+L47-M47</f>
        <v>0</v>
      </c>
      <c r="O47" s="122">
        <v>0</v>
      </c>
      <c r="P47" s="123">
        <v>0</v>
      </c>
      <c r="Q47" s="126">
        <f t="shared" si="25"/>
        <v>0</v>
      </c>
      <c r="R47" s="116">
        <f t="shared" si="24"/>
        <v>0</v>
      </c>
      <c r="S47" s="281"/>
      <c r="T47" s="295">
        <v>0</v>
      </c>
      <c r="U47" s="282"/>
      <c r="V47" s="295">
        <v>0</v>
      </c>
    </row>
    <row r="48" spans="3:22" s="5" customFormat="1" x14ac:dyDescent="0.25">
      <c r="C48" s="129" t="s">
        <v>144</v>
      </c>
      <c r="D48" s="118">
        <v>0</v>
      </c>
      <c r="E48" s="128"/>
      <c r="F48" s="128"/>
      <c r="G48" s="106">
        <f t="shared" si="20"/>
        <v>0</v>
      </c>
      <c r="H48" s="399"/>
      <c r="I48" s="120">
        <v>0</v>
      </c>
      <c r="J48" s="121">
        <v>0</v>
      </c>
      <c r="K48" s="109">
        <f t="shared" ref="K48:K51" si="26">+D48+I48-J48</f>
        <v>0</v>
      </c>
      <c r="L48" s="122">
        <v>0</v>
      </c>
      <c r="M48" s="123">
        <v>0</v>
      </c>
      <c r="N48" s="112">
        <f t="shared" ref="N48:N51" si="27">E48+L48-M48</f>
        <v>0</v>
      </c>
      <c r="O48" s="122">
        <v>0</v>
      </c>
      <c r="P48" s="123">
        <v>0</v>
      </c>
      <c r="Q48" s="126">
        <f t="shared" si="25"/>
        <v>0</v>
      </c>
      <c r="R48" s="116">
        <f t="shared" si="24"/>
        <v>0</v>
      </c>
      <c r="S48" s="281"/>
      <c r="T48" s="295">
        <v>0</v>
      </c>
      <c r="U48" s="282"/>
      <c r="V48" s="295">
        <v>0</v>
      </c>
    </row>
    <row r="49" spans="3:22" x14ac:dyDescent="0.25">
      <c r="C49" s="127" t="s">
        <v>145</v>
      </c>
      <c r="D49" s="118">
        <v>0</v>
      </c>
      <c r="E49" s="128"/>
      <c r="F49" s="128"/>
      <c r="G49" s="106">
        <f t="shared" si="20"/>
        <v>0</v>
      </c>
      <c r="H49" s="399"/>
      <c r="I49" s="120">
        <v>0</v>
      </c>
      <c r="J49" s="121">
        <v>0</v>
      </c>
      <c r="K49" s="109">
        <f t="shared" si="26"/>
        <v>0</v>
      </c>
      <c r="L49" s="120">
        <v>0</v>
      </c>
      <c r="M49" s="121">
        <v>0</v>
      </c>
      <c r="N49" s="112">
        <f t="shared" si="27"/>
        <v>0</v>
      </c>
      <c r="O49" s="122">
        <v>0</v>
      </c>
      <c r="P49" s="123">
        <v>0</v>
      </c>
      <c r="Q49" s="126">
        <f t="shared" si="25"/>
        <v>0</v>
      </c>
      <c r="R49" s="116">
        <f t="shared" si="24"/>
        <v>0</v>
      </c>
      <c r="S49" s="281"/>
      <c r="T49" s="281">
        <v>0</v>
      </c>
      <c r="U49" s="282"/>
      <c r="V49" s="281">
        <v>0</v>
      </c>
    </row>
    <row r="50" spans="3:22" x14ac:dyDescent="0.25">
      <c r="C50" s="127" t="s">
        <v>146</v>
      </c>
      <c r="D50" s="118"/>
      <c r="E50" s="128"/>
      <c r="F50" s="128"/>
      <c r="G50" s="106">
        <f t="shared" si="20"/>
        <v>0</v>
      </c>
      <c r="H50" s="399"/>
      <c r="I50" s="120">
        <v>0</v>
      </c>
      <c r="J50" s="121">
        <v>0</v>
      </c>
      <c r="K50" s="109">
        <f t="shared" si="26"/>
        <v>0</v>
      </c>
      <c r="L50" s="120">
        <v>0</v>
      </c>
      <c r="M50" s="121">
        <v>0</v>
      </c>
      <c r="N50" s="112">
        <f t="shared" si="27"/>
        <v>0</v>
      </c>
      <c r="O50" s="122">
        <v>0</v>
      </c>
      <c r="P50" s="123">
        <v>0</v>
      </c>
      <c r="Q50" s="126">
        <f t="shared" si="25"/>
        <v>0</v>
      </c>
      <c r="R50" s="116">
        <f t="shared" si="24"/>
        <v>0</v>
      </c>
      <c r="S50" s="281"/>
      <c r="T50" s="281">
        <v>0</v>
      </c>
      <c r="U50" s="282"/>
      <c r="V50" s="281">
        <v>0</v>
      </c>
    </row>
    <row r="51" spans="3:22" x14ac:dyDescent="0.25">
      <c r="C51" s="127" t="s">
        <v>147</v>
      </c>
      <c r="D51" s="118"/>
      <c r="E51" s="128"/>
      <c r="F51" s="128"/>
      <c r="G51" s="106">
        <f t="shared" si="20"/>
        <v>0</v>
      </c>
      <c r="H51" s="399"/>
      <c r="I51" s="120">
        <v>0</v>
      </c>
      <c r="J51" s="121">
        <v>0</v>
      </c>
      <c r="K51" s="109">
        <f t="shared" si="26"/>
        <v>0</v>
      </c>
      <c r="L51" s="122">
        <v>0</v>
      </c>
      <c r="M51" s="123">
        <v>0</v>
      </c>
      <c r="N51" s="112">
        <f t="shared" si="27"/>
        <v>0</v>
      </c>
      <c r="O51" s="122">
        <v>0</v>
      </c>
      <c r="P51" s="123">
        <v>0</v>
      </c>
      <c r="Q51" s="126">
        <f t="shared" si="25"/>
        <v>0</v>
      </c>
      <c r="R51" s="116">
        <f t="shared" si="24"/>
        <v>0</v>
      </c>
      <c r="S51" s="281"/>
      <c r="T51" s="295">
        <v>0</v>
      </c>
      <c r="U51" s="282"/>
      <c r="V51" s="295"/>
    </row>
    <row r="52" spans="3:22" ht="16.5" thickBot="1" x14ac:dyDescent="0.3">
      <c r="C52" s="130" t="s">
        <v>148</v>
      </c>
      <c r="D52" s="131">
        <f>SUM(D45:D51)</f>
        <v>0</v>
      </c>
      <c r="E52" s="132">
        <f>SUM(E45:E51)</f>
        <v>0</v>
      </c>
      <c r="F52" s="132">
        <f>SUM(F45:F51)</f>
        <v>0</v>
      </c>
      <c r="G52" s="200">
        <f t="shared" si="20"/>
        <v>0</v>
      </c>
      <c r="H52" s="399"/>
      <c r="I52" s="134">
        <f>SUM(I45:I51)</f>
        <v>0</v>
      </c>
      <c r="J52" s="135">
        <f>SUM(J45:J51)</f>
        <v>0</v>
      </c>
      <c r="K52" s="136">
        <f>+D52+I52-J52</f>
        <v>0</v>
      </c>
      <c r="L52" s="137">
        <f>SUM(L45:L51)</f>
        <v>0</v>
      </c>
      <c r="M52" s="138">
        <f>SUM(M45:M51)</f>
        <v>0</v>
      </c>
      <c r="N52" s="139">
        <f>E52+L52-M52</f>
        <v>0</v>
      </c>
      <c r="O52" s="140">
        <f>SUM(O45:O51)</f>
        <v>0</v>
      </c>
      <c r="P52" s="141">
        <f>SUM(P45:P51)</f>
        <v>0</v>
      </c>
      <c r="Q52" s="142">
        <f>F52+O52-P52</f>
        <v>0</v>
      </c>
      <c r="R52" s="143">
        <f>+K52+N52+Q52</f>
        <v>0</v>
      </c>
      <c r="S52" s="134"/>
      <c r="T52" s="296">
        <f>SUM(T45:T51)</f>
        <v>0</v>
      </c>
      <c r="U52" s="135"/>
      <c r="V52" s="296">
        <f>SUM(V45:V51)</f>
        <v>0</v>
      </c>
    </row>
    <row r="53" spans="3:22" ht="16.5" thickBot="1" x14ac:dyDescent="0.3">
      <c r="C53" s="442"/>
      <c r="D53" s="397"/>
      <c r="E53" s="397"/>
      <c r="F53" s="397"/>
      <c r="G53" s="397"/>
      <c r="H53" s="397"/>
      <c r="I53" s="398"/>
      <c r="J53" s="398"/>
      <c r="K53" s="398"/>
      <c r="L53" s="398"/>
    </row>
    <row r="54" spans="3:22" s="5" customFormat="1" ht="32.25" thickBot="1" x14ac:dyDescent="0.3">
      <c r="C54" s="186" t="s">
        <v>155</v>
      </c>
      <c r="D54" s="187"/>
      <c r="E54" s="187"/>
      <c r="F54" s="187"/>
      <c r="G54" s="188"/>
      <c r="H54" s="399"/>
      <c r="I54" s="148" t="s">
        <v>136</v>
      </c>
      <c r="J54" s="149" t="s">
        <v>137</v>
      </c>
      <c r="K54" s="150" t="s">
        <v>150</v>
      </c>
      <c r="L54" s="151" t="s">
        <v>136</v>
      </c>
      <c r="M54" s="152" t="s">
        <v>137</v>
      </c>
      <c r="N54" s="153" t="s">
        <v>150</v>
      </c>
      <c r="O54" s="154" t="s">
        <v>136</v>
      </c>
      <c r="P54" s="155" t="s">
        <v>137</v>
      </c>
      <c r="Q54" s="156" t="s">
        <v>150</v>
      </c>
      <c r="R54" s="157" t="s">
        <v>151</v>
      </c>
    </row>
    <row r="55" spans="3:22" ht="20.25" customHeight="1" thickBot="1" x14ac:dyDescent="0.3">
      <c r="C55" s="104" t="s">
        <v>156</v>
      </c>
      <c r="D55" s="105">
        <f>'[1]1) Tableau budgétaire 1'!D54</f>
        <v>0</v>
      </c>
      <c r="E55" s="189">
        <f>'[1]1) Tableau budgétaire 1'!E54</f>
        <v>0</v>
      </c>
      <c r="F55" s="189">
        <f>'[1]1) Tableau budgétaire 1'!F54</f>
        <v>0</v>
      </c>
      <c r="G55" s="106">
        <f t="shared" ref="G55:G63" si="28">SUM(D55:F55)</f>
        <v>0</v>
      </c>
      <c r="H55" s="399"/>
      <c r="I55" s="190">
        <f t="shared" ref="I55:N55" si="29">+I63</f>
        <v>0</v>
      </c>
      <c r="J55" s="191">
        <f t="shared" si="29"/>
        <v>0</v>
      </c>
      <c r="K55" s="192">
        <f t="shared" si="29"/>
        <v>0</v>
      </c>
      <c r="L55" s="193">
        <f t="shared" si="29"/>
        <v>0</v>
      </c>
      <c r="M55" s="194">
        <f t="shared" si="29"/>
        <v>0</v>
      </c>
      <c r="N55" s="195">
        <f t="shared" si="29"/>
        <v>0</v>
      </c>
      <c r="O55" s="196">
        <f>O63</f>
        <v>0</v>
      </c>
      <c r="P55" s="197">
        <f>+P63</f>
        <v>0</v>
      </c>
      <c r="Q55" s="198">
        <f>+Q63</f>
        <v>0</v>
      </c>
      <c r="R55" s="199">
        <f>+R63</f>
        <v>0</v>
      </c>
      <c r="S55" s="190"/>
      <c r="T55" s="285"/>
      <c r="U55" s="191"/>
      <c r="V55" s="280"/>
    </row>
    <row r="56" spans="3:22" x14ac:dyDescent="0.25">
      <c r="C56" s="117" t="s">
        <v>141</v>
      </c>
      <c r="D56" s="118"/>
      <c r="E56" s="22"/>
      <c r="F56" s="22"/>
      <c r="G56" s="106">
        <f t="shared" si="28"/>
        <v>0</v>
      </c>
      <c r="H56" s="399"/>
      <c r="I56" s="120">
        <v>0</v>
      </c>
      <c r="J56" s="121">
        <v>0</v>
      </c>
      <c r="K56" s="109">
        <f t="shared" ref="K56:K57" si="30">+D56+I56-J56</f>
        <v>0</v>
      </c>
      <c r="L56" s="122">
        <v>0</v>
      </c>
      <c r="M56" s="123">
        <v>0</v>
      </c>
      <c r="N56" s="112">
        <f t="shared" ref="N56:N57" si="31">E56+L56-M56</f>
        <v>0</v>
      </c>
      <c r="O56" s="124">
        <v>0</v>
      </c>
      <c r="P56" s="125">
        <v>0</v>
      </c>
      <c r="Q56" s="126">
        <f>F56+O56-P56</f>
        <v>0</v>
      </c>
      <c r="R56" s="116">
        <f t="shared" ref="R56:R62" si="32">K56+N56+Q56</f>
        <v>0</v>
      </c>
      <c r="S56" s="281"/>
      <c r="T56" s="283"/>
      <c r="U56" s="282"/>
      <c r="V56" s="109"/>
    </row>
    <row r="57" spans="3:22" ht="15.75" customHeight="1" x14ac:dyDescent="0.25">
      <c r="C57" s="127" t="s">
        <v>142</v>
      </c>
      <c r="D57" s="118"/>
      <c r="E57" s="22"/>
      <c r="F57" s="22"/>
      <c r="G57" s="106">
        <f t="shared" si="28"/>
        <v>0</v>
      </c>
      <c r="H57" s="399"/>
      <c r="I57" s="120">
        <v>0</v>
      </c>
      <c r="J57" s="121">
        <v>0</v>
      </c>
      <c r="K57" s="109">
        <f t="shared" si="30"/>
        <v>0</v>
      </c>
      <c r="L57" s="122">
        <v>0</v>
      </c>
      <c r="M57" s="123">
        <v>0</v>
      </c>
      <c r="N57" s="112">
        <f t="shared" si="31"/>
        <v>0</v>
      </c>
      <c r="O57" s="124">
        <v>0</v>
      </c>
      <c r="P57" s="125">
        <v>0</v>
      </c>
      <c r="Q57" s="126">
        <f t="shared" ref="Q57:Q62" si="33">F57+O57-P57</f>
        <v>0</v>
      </c>
      <c r="R57" s="116">
        <f t="shared" si="32"/>
        <v>0</v>
      </c>
      <c r="S57" s="281"/>
      <c r="T57" s="283"/>
      <c r="U57" s="282"/>
      <c r="V57" s="109"/>
    </row>
    <row r="58" spans="3:22" ht="32.25" customHeight="1" x14ac:dyDescent="0.25">
      <c r="C58" s="127" t="s">
        <v>143</v>
      </c>
      <c r="D58" s="118"/>
      <c r="E58" s="128"/>
      <c r="F58" s="128"/>
      <c r="G58" s="106">
        <f t="shared" si="28"/>
        <v>0</v>
      </c>
      <c r="H58" s="399"/>
      <c r="I58" s="120">
        <v>0</v>
      </c>
      <c r="J58" s="121">
        <v>0</v>
      </c>
      <c r="K58" s="109">
        <v>0</v>
      </c>
      <c r="L58" s="122">
        <v>0</v>
      </c>
      <c r="M58" s="123">
        <v>0</v>
      </c>
      <c r="N58" s="112">
        <f>+E58+L58-M58</f>
        <v>0</v>
      </c>
      <c r="O58" s="122">
        <v>0</v>
      </c>
      <c r="P58" s="123">
        <v>0</v>
      </c>
      <c r="Q58" s="126">
        <f t="shared" si="33"/>
        <v>0</v>
      </c>
      <c r="R58" s="116">
        <f t="shared" si="32"/>
        <v>0</v>
      </c>
      <c r="S58" s="281"/>
      <c r="T58" s="283"/>
      <c r="U58" s="282"/>
      <c r="V58" s="109"/>
    </row>
    <row r="59" spans="3:22" s="5" customFormat="1" x14ac:dyDescent="0.25">
      <c r="C59" s="129" t="s">
        <v>144</v>
      </c>
      <c r="D59" s="118"/>
      <c r="E59" s="128"/>
      <c r="F59" s="128"/>
      <c r="G59" s="106">
        <f t="shared" si="28"/>
        <v>0</v>
      </c>
      <c r="H59" s="399"/>
      <c r="I59" s="120">
        <v>0</v>
      </c>
      <c r="J59" s="121">
        <v>0</v>
      </c>
      <c r="K59" s="109">
        <f t="shared" ref="K59:K62" si="34">+D59+I59-J59</f>
        <v>0</v>
      </c>
      <c r="L59" s="122">
        <v>0</v>
      </c>
      <c r="M59" s="123">
        <v>0</v>
      </c>
      <c r="N59" s="112">
        <f t="shared" ref="N59:N62" si="35">E59+L59-M59</f>
        <v>0</v>
      </c>
      <c r="O59" s="122">
        <v>0</v>
      </c>
      <c r="P59" s="123">
        <v>0</v>
      </c>
      <c r="Q59" s="126">
        <f t="shared" si="33"/>
        <v>0</v>
      </c>
      <c r="R59" s="116">
        <f t="shared" si="32"/>
        <v>0</v>
      </c>
      <c r="S59" s="281"/>
      <c r="T59" s="283"/>
      <c r="U59" s="282"/>
      <c r="V59" s="109"/>
    </row>
    <row r="60" spans="3:22" x14ac:dyDescent="0.25">
      <c r="C60" s="127" t="s">
        <v>145</v>
      </c>
      <c r="D60" s="118"/>
      <c r="E60" s="128"/>
      <c r="F60" s="128"/>
      <c r="G60" s="106">
        <f t="shared" si="28"/>
        <v>0</v>
      </c>
      <c r="H60" s="399"/>
      <c r="I60" s="120">
        <v>0</v>
      </c>
      <c r="J60" s="121">
        <v>0</v>
      </c>
      <c r="K60" s="109">
        <f t="shared" si="34"/>
        <v>0</v>
      </c>
      <c r="L60" s="120">
        <v>0</v>
      </c>
      <c r="M60" s="121">
        <v>0</v>
      </c>
      <c r="N60" s="112">
        <f t="shared" si="35"/>
        <v>0</v>
      </c>
      <c r="O60" s="122">
        <v>0</v>
      </c>
      <c r="P60" s="123">
        <v>0</v>
      </c>
      <c r="Q60" s="126">
        <f t="shared" si="33"/>
        <v>0</v>
      </c>
      <c r="R60" s="116">
        <f t="shared" si="32"/>
        <v>0</v>
      </c>
      <c r="S60" s="281"/>
      <c r="T60" s="283"/>
      <c r="U60" s="282"/>
      <c r="V60" s="109"/>
    </row>
    <row r="61" spans="3:22" x14ac:dyDescent="0.25">
      <c r="C61" s="127" t="s">
        <v>146</v>
      </c>
      <c r="D61" s="118"/>
      <c r="E61" s="128"/>
      <c r="F61" s="128"/>
      <c r="G61" s="106">
        <f t="shared" si="28"/>
        <v>0</v>
      </c>
      <c r="H61" s="399"/>
      <c r="I61" s="120">
        <v>0</v>
      </c>
      <c r="J61" s="121">
        <v>0</v>
      </c>
      <c r="K61" s="109">
        <f t="shared" si="34"/>
        <v>0</v>
      </c>
      <c r="L61" s="120">
        <v>0</v>
      </c>
      <c r="M61" s="121">
        <v>0</v>
      </c>
      <c r="N61" s="112">
        <f t="shared" si="35"/>
        <v>0</v>
      </c>
      <c r="O61" s="122">
        <v>0</v>
      </c>
      <c r="P61" s="123">
        <v>0</v>
      </c>
      <c r="Q61" s="126">
        <f t="shared" si="33"/>
        <v>0</v>
      </c>
      <c r="R61" s="116">
        <f t="shared" si="32"/>
        <v>0</v>
      </c>
      <c r="S61" s="281"/>
      <c r="T61" s="283"/>
      <c r="U61" s="282"/>
      <c r="V61" s="109"/>
    </row>
    <row r="62" spans="3:22" x14ac:dyDescent="0.25">
      <c r="C62" s="127" t="s">
        <v>147</v>
      </c>
      <c r="D62" s="118"/>
      <c r="E62" s="128"/>
      <c r="F62" s="128"/>
      <c r="G62" s="106">
        <f t="shared" si="28"/>
        <v>0</v>
      </c>
      <c r="H62" s="399"/>
      <c r="I62" s="120">
        <v>0</v>
      </c>
      <c r="J62" s="121">
        <v>0</v>
      </c>
      <c r="K62" s="109">
        <f t="shared" si="34"/>
        <v>0</v>
      </c>
      <c r="L62" s="122">
        <v>0</v>
      </c>
      <c r="M62" s="123">
        <v>0</v>
      </c>
      <c r="N62" s="112">
        <f t="shared" si="35"/>
        <v>0</v>
      </c>
      <c r="O62" s="122">
        <v>0</v>
      </c>
      <c r="P62" s="123">
        <v>0</v>
      </c>
      <c r="Q62" s="126">
        <f t="shared" si="33"/>
        <v>0</v>
      </c>
      <c r="R62" s="116">
        <f t="shared" si="32"/>
        <v>0</v>
      </c>
      <c r="S62" s="281"/>
      <c r="T62" s="283"/>
      <c r="U62" s="282"/>
      <c r="V62" s="109"/>
    </row>
    <row r="63" spans="3:22" ht="21" customHeight="1" thickBot="1" x14ac:dyDescent="0.3">
      <c r="C63" s="130" t="s">
        <v>148</v>
      </c>
      <c r="D63" s="131">
        <f>SUM(D56:D62)</f>
        <v>0</v>
      </c>
      <c r="E63" s="132">
        <f>SUM(E56:E62)</f>
        <v>0</v>
      </c>
      <c r="F63" s="132">
        <f>SUM(F56:F62)</f>
        <v>0</v>
      </c>
      <c r="G63" s="200">
        <f t="shared" si="28"/>
        <v>0</v>
      </c>
      <c r="H63" s="399"/>
      <c r="I63" s="134">
        <f>SUM(I56:I62)</f>
        <v>0</v>
      </c>
      <c r="J63" s="135">
        <f>SUM(J56:J62)</f>
        <v>0</v>
      </c>
      <c r="K63" s="136">
        <f>+D63+I63-J63</f>
        <v>0</v>
      </c>
      <c r="L63" s="137">
        <f>SUM(L56:L62)</f>
        <v>0</v>
      </c>
      <c r="M63" s="138">
        <f>SUM(M56:M62)</f>
        <v>0</v>
      </c>
      <c r="N63" s="139">
        <f>E63+L63-M63</f>
        <v>0</v>
      </c>
      <c r="O63" s="140">
        <f>SUM(O56:O62)</f>
        <v>0</v>
      </c>
      <c r="P63" s="141">
        <f>SUM(P56:P62)</f>
        <v>0</v>
      </c>
      <c r="Q63" s="142">
        <f>F63+O63-P63</f>
        <v>0</v>
      </c>
      <c r="R63" s="143">
        <f>+K63+N63+Q63</f>
        <v>0</v>
      </c>
      <c r="S63" s="134"/>
      <c r="T63" s="284"/>
      <c r="U63" s="135"/>
      <c r="V63" s="136"/>
    </row>
    <row r="64" spans="3:22" s="5" customFormat="1" ht="22.5" customHeight="1" thickBot="1" x14ac:dyDescent="0.3">
      <c r="C64" s="394"/>
      <c r="D64" s="394"/>
      <c r="E64" s="394"/>
      <c r="F64" s="394"/>
      <c r="G64" s="394"/>
      <c r="H64" s="394"/>
      <c r="I64" s="394"/>
      <c r="J64" s="394"/>
      <c r="K64" s="394"/>
      <c r="L64" s="394"/>
    </row>
    <row r="65" spans="2:22" ht="15.75" customHeight="1" thickBot="1" x14ac:dyDescent="0.3">
      <c r="B65" s="424" t="s">
        <v>157</v>
      </c>
      <c r="C65" s="425"/>
      <c r="D65" s="425"/>
      <c r="E65" s="425"/>
      <c r="F65" s="425"/>
      <c r="G65" s="426"/>
      <c r="H65" s="399"/>
      <c r="I65" s="201"/>
      <c r="J65" s="201"/>
      <c r="K65" s="201"/>
      <c r="L65" s="201"/>
    </row>
    <row r="66" spans="2:22" ht="32.25" thickBot="1" x14ac:dyDescent="0.3">
      <c r="C66" s="202" t="s">
        <v>37</v>
      </c>
      <c r="D66" s="203"/>
      <c r="E66" s="203"/>
      <c r="F66" s="203"/>
      <c r="G66" s="204"/>
      <c r="H66" s="399"/>
      <c r="I66" s="148" t="s">
        <v>136</v>
      </c>
      <c r="J66" s="149" t="s">
        <v>137</v>
      </c>
      <c r="K66" s="150" t="s">
        <v>150</v>
      </c>
      <c r="L66" s="151" t="s">
        <v>136</v>
      </c>
      <c r="M66" s="152" t="s">
        <v>137</v>
      </c>
      <c r="N66" s="153" t="s">
        <v>150</v>
      </c>
      <c r="O66" s="154" t="s">
        <v>136</v>
      </c>
      <c r="P66" s="155" t="s">
        <v>137</v>
      </c>
      <c r="Q66" s="156" t="s">
        <v>150</v>
      </c>
      <c r="R66" s="157" t="s">
        <v>151</v>
      </c>
    </row>
    <row r="67" spans="2:22" s="144" customFormat="1" ht="24" customHeight="1" thickBot="1" x14ac:dyDescent="0.3">
      <c r="C67" s="158" t="s">
        <v>158</v>
      </c>
      <c r="D67" s="159">
        <f>D75</f>
        <v>60000</v>
      </c>
      <c r="E67" s="159">
        <f t="shared" ref="E67:F67" si="36">E75</f>
        <v>100000</v>
      </c>
      <c r="F67" s="159">
        <f t="shared" si="36"/>
        <v>100000</v>
      </c>
      <c r="G67" s="160">
        <f t="shared" ref="G67:G74" si="37">SUM(D67:F67)</f>
        <v>260000</v>
      </c>
      <c r="H67" s="399"/>
      <c r="I67" s="148">
        <f t="shared" ref="I67:N67" si="38">+I75</f>
        <v>20000</v>
      </c>
      <c r="J67" s="149">
        <f t="shared" si="38"/>
        <v>50000</v>
      </c>
      <c r="K67" s="150">
        <f>+K75</f>
        <v>30000</v>
      </c>
      <c r="L67" s="151">
        <f t="shared" si="38"/>
        <v>0</v>
      </c>
      <c r="M67" s="152">
        <f t="shared" si="38"/>
        <v>0</v>
      </c>
      <c r="N67" s="153">
        <f t="shared" si="38"/>
        <v>100000</v>
      </c>
      <c r="O67" s="154">
        <f>O75</f>
        <v>50000</v>
      </c>
      <c r="P67" s="155">
        <f>+P75</f>
        <v>50000</v>
      </c>
      <c r="Q67" s="156">
        <f>+Q75</f>
        <v>100000</v>
      </c>
      <c r="R67" s="161">
        <f>+R75</f>
        <v>230000</v>
      </c>
      <c r="S67" s="190">
        <f>S75</f>
        <v>1762.89</v>
      </c>
      <c r="T67" s="153">
        <f>+T75</f>
        <v>25330.81</v>
      </c>
      <c r="U67" s="287">
        <f>+U75</f>
        <v>18653.36</v>
      </c>
      <c r="V67" s="190">
        <f>S67+T67+U67</f>
        <v>45747.06</v>
      </c>
    </row>
    <row r="68" spans="2:22" s="144" customFormat="1" ht="15.75" customHeight="1" x14ac:dyDescent="0.25">
      <c r="C68" s="117" t="s">
        <v>141</v>
      </c>
      <c r="D68" s="162"/>
      <c r="E68" s="119"/>
      <c r="F68" s="22"/>
      <c r="G68" s="160">
        <f t="shared" si="37"/>
        <v>0</v>
      </c>
      <c r="H68" s="399"/>
      <c r="I68" s="163">
        <v>0</v>
      </c>
      <c r="J68" s="164">
        <v>0</v>
      </c>
      <c r="K68" s="165">
        <f t="shared" ref="K68:K69" si="39">+D68+I68-J68</f>
        <v>0</v>
      </c>
      <c r="L68" s="166">
        <v>0</v>
      </c>
      <c r="M68" s="167">
        <v>0</v>
      </c>
      <c r="N68" s="168">
        <f t="shared" ref="N68:N69" si="40">E68+L68-M68</f>
        <v>0</v>
      </c>
      <c r="O68" s="124">
        <v>0</v>
      </c>
      <c r="P68" s="125">
        <v>0</v>
      </c>
      <c r="Q68" s="126">
        <f>F68+O68-P68</f>
        <v>0</v>
      </c>
      <c r="R68" s="169">
        <f t="shared" ref="R68:R74" si="41">K68+N68+Q68</f>
        <v>0</v>
      </c>
      <c r="S68" s="281">
        <v>0</v>
      </c>
      <c r="T68" s="297">
        <v>0</v>
      </c>
      <c r="U68" s="290">
        <v>0</v>
      </c>
      <c r="V68" s="281">
        <f>S68+T68+U68</f>
        <v>0</v>
      </c>
    </row>
    <row r="69" spans="2:22" s="144" customFormat="1" ht="32.25" customHeight="1" x14ac:dyDescent="0.25">
      <c r="C69" s="127" t="s">
        <v>142</v>
      </c>
      <c r="D69" s="162"/>
      <c r="E69" s="21"/>
      <c r="F69" s="22">
        <v>5000</v>
      </c>
      <c r="G69" s="160">
        <f t="shared" si="37"/>
        <v>5000</v>
      </c>
      <c r="H69" s="399"/>
      <c r="I69" s="163"/>
      <c r="J69" s="164">
        <v>0</v>
      </c>
      <c r="K69" s="165">
        <f t="shared" si="39"/>
        <v>0</v>
      </c>
      <c r="L69" s="166">
        <v>0</v>
      </c>
      <c r="M69" s="167">
        <v>0</v>
      </c>
      <c r="N69" s="168">
        <f t="shared" si="40"/>
        <v>0</v>
      </c>
      <c r="O69" s="124">
        <v>5000</v>
      </c>
      <c r="P69" s="125">
        <v>0</v>
      </c>
      <c r="Q69" s="126">
        <f t="shared" ref="Q69:Q74" si="42">F69+O69-P69</f>
        <v>10000</v>
      </c>
      <c r="R69" s="169">
        <f t="shared" si="41"/>
        <v>10000</v>
      </c>
      <c r="S69" s="281">
        <v>0</v>
      </c>
      <c r="T69" s="297">
        <v>0</v>
      </c>
      <c r="U69" s="290">
        <v>109.59</v>
      </c>
      <c r="V69" s="281">
        <f t="shared" ref="V69:V74" si="43">S69+T69+U69</f>
        <v>109.59</v>
      </c>
    </row>
    <row r="70" spans="2:22" s="144" customFormat="1" ht="40.5" customHeight="1" x14ac:dyDescent="0.25">
      <c r="C70" s="127" t="s">
        <v>143</v>
      </c>
      <c r="D70" s="162"/>
      <c r="E70" s="170">
        <v>20000</v>
      </c>
      <c r="F70" s="170"/>
      <c r="G70" s="160">
        <f t="shared" si="37"/>
        <v>20000</v>
      </c>
      <c r="H70" s="399"/>
      <c r="I70" s="163">
        <v>0</v>
      </c>
      <c r="J70" s="164">
        <v>0</v>
      </c>
      <c r="K70" s="165">
        <v>0</v>
      </c>
      <c r="L70" s="166">
        <v>0</v>
      </c>
      <c r="M70" s="167">
        <v>0</v>
      </c>
      <c r="N70" s="168">
        <f>+E70+L70-M70</f>
        <v>20000</v>
      </c>
      <c r="O70" s="166">
        <v>10000</v>
      </c>
      <c r="P70" s="167">
        <v>0</v>
      </c>
      <c r="Q70" s="126">
        <f t="shared" si="42"/>
        <v>10000</v>
      </c>
      <c r="R70" s="169">
        <f t="shared" si="41"/>
        <v>30000</v>
      </c>
      <c r="S70" s="281">
        <v>0</v>
      </c>
      <c r="T70" s="297">
        <v>0</v>
      </c>
      <c r="U70" s="290">
        <v>2068.02</v>
      </c>
      <c r="V70" s="281">
        <f t="shared" si="43"/>
        <v>2068.02</v>
      </c>
    </row>
    <row r="71" spans="2:22" s="144" customFormat="1" ht="38.25" customHeight="1" x14ac:dyDescent="0.25">
      <c r="C71" s="129" t="s">
        <v>144</v>
      </c>
      <c r="D71" s="162">
        <v>10000</v>
      </c>
      <c r="E71" s="170">
        <v>20000</v>
      </c>
      <c r="F71" s="170">
        <v>20000</v>
      </c>
      <c r="G71" s="160">
        <f t="shared" si="37"/>
        <v>50000</v>
      </c>
      <c r="H71" s="399"/>
      <c r="I71" s="163">
        <v>20000</v>
      </c>
      <c r="J71" s="164">
        <v>0</v>
      </c>
      <c r="K71" s="165">
        <f t="shared" ref="K71:K74" si="44">+D71+I71-J71</f>
        <v>30000</v>
      </c>
      <c r="L71" s="166">
        <v>0</v>
      </c>
      <c r="M71" s="167">
        <v>0</v>
      </c>
      <c r="N71" s="168">
        <f t="shared" ref="N71:N74" si="45">E71+L71-M71</f>
        <v>20000</v>
      </c>
      <c r="O71" s="166">
        <v>20000</v>
      </c>
      <c r="P71" s="167">
        <v>0</v>
      </c>
      <c r="Q71" s="126">
        <f t="shared" si="42"/>
        <v>40000</v>
      </c>
      <c r="R71" s="169">
        <f t="shared" si="41"/>
        <v>90000</v>
      </c>
      <c r="S71" s="281">
        <f>1762.89</f>
        <v>1762.89</v>
      </c>
      <c r="T71" s="297">
        <v>0</v>
      </c>
      <c r="U71" s="290">
        <v>0</v>
      </c>
      <c r="V71" s="281">
        <f t="shared" si="43"/>
        <v>1762.89</v>
      </c>
    </row>
    <row r="72" spans="2:22" s="144" customFormat="1" x14ac:dyDescent="0.25">
      <c r="C72" s="127" t="s">
        <v>145</v>
      </c>
      <c r="D72" s="162">
        <v>10000</v>
      </c>
      <c r="E72" s="170"/>
      <c r="F72" s="170">
        <v>25000</v>
      </c>
      <c r="G72" s="160">
        <f t="shared" si="37"/>
        <v>35000</v>
      </c>
      <c r="H72" s="399"/>
      <c r="I72" s="163">
        <v>0</v>
      </c>
      <c r="J72" s="164">
        <v>10000</v>
      </c>
      <c r="K72" s="165">
        <f t="shared" si="44"/>
        <v>0</v>
      </c>
      <c r="L72" s="163">
        <v>0</v>
      </c>
      <c r="M72" s="164">
        <v>0</v>
      </c>
      <c r="N72" s="168">
        <f t="shared" si="45"/>
        <v>0</v>
      </c>
      <c r="O72" s="166">
        <v>15000</v>
      </c>
      <c r="P72" s="167">
        <v>0</v>
      </c>
      <c r="Q72" s="126">
        <f t="shared" si="42"/>
        <v>40000</v>
      </c>
      <c r="R72" s="169">
        <f t="shared" si="41"/>
        <v>40000</v>
      </c>
      <c r="S72" s="281">
        <v>0</v>
      </c>
      <c r="T72" s="297">
        <v>0</v>
      </c>
      <c r="U72" s="290">
        <v>16475.75</v>
      </c>
      <c r="V72" s="281">
        <f t="shared" si="43"/>
        <v>16475.75</v>
      </c>
    </row>
    <row r="73" spans="2:22" s="73" customFormat="1" ht="29.25" customHeight="1" x14ac:dyDescent="0.25">
      <c r="B73" s="144"/>
      <c r="C73" s="127" t="s">
        <v>146</v>
      </c>
      <c r="D73" s="162">
        <v>40000</v>
      </c>
      <c r="E73" s="170">
        <v>60000</v>
      </c>
      <c r="F73" s="170">
        <v>50000</v>
      </c>
      <c r="G73" s="160">
        <f t="shared" si="37"/>
        <v>150000</v>
      </c>
      <c r="H73" s="399"/>
      <c r="I73" s="163">
        <v>0</v>
      </c>
      <c r="J73" s="164">
        <v>40000</v>
      </c>
      <c r="K73" s="165">
        <f t="shared" si="44"/>
        <v>0</v>
      </c>
      <c r="L73" s="163">
        <v>0</v>
      </c>
      <c r="M73" s="164">
        <v>0</v>
      </c>
      <c r="N73" s="168">
        <f t="shared" si="45"/>
        <v>60000</v>
      </c>
      <c r="O73" s="166">
        <v>0</v>
      </c>
      <c r="P73" s="167">
        <v>50000</v>
      </c>
      <c r="Q73" s="126">
        <f t="shared" si="42"/>
        <v>0</v>
      </c>
      <c r="R73" s="169">
        <f t="shared" si="41"/>
        <v>60000</v>
      </c>
      <c r="S73" s="281">
        <v>0</v>
      </c>
      <c r="T73" s="297">
        <v>25330.81</v>
      </c>
      <c r="U73" s="290">
        <v>0</v>
      </c>
      <c r="V73" s="281">
        <f t="shared" si="43"/>
        <v>25330.81</v>
      </c>
    </row>
    <row r="74" spans="2:22" s="73" customFormat="1" x14ac:dyDescent="0.25">
      <c r="B74" s="144"/>
      <c r="C74" s="127" t="s">
        <v>147</v>
      </c>
      <c r="D74" s="162"/>
      <c r="E74" s="170"/>
      <c r="F74" s="170"/>
      <c r="G74" s="160">
        <f t="shared" si="37"/>
        <v>0</v>
      </c>
      <c r="H74" s="399"/>
      <c r="I74" s="163">
        <v>0</v>
      </c>
      <c r="J74" s="164">
        <v>0</v>
      </c>
      <c r="K74" s="165">
        <f t="shared" si="44"/>
        <v>0</v>
      </c>
      <c r="L74" s="166">
        <v>0</v>
      </c>
      <c r="M74" s="167">
        <v>0</v>
      </c>
      <c r="N74" s="168">
        <f t="shared" si="45"/>
        <v>0</v>
      </c>
      <c r="O74" s="166">
        <v>0</v>
      </c>
      <c r="P74" s="167">
        <v>0</v>
      </c>
      <c r="Q74" s="126">
        <f t="shared" si="42"/>
        <v>0</v>
      </c>
      <c r="R74" s="169">
        <f t="shared" si="41"/>
        <v>0</v>
      </c>
      <c r="S74" s="281">
        <v>0</v>
      </c>
      <c r="T74" s="297">
        <v>0</v>
      </c>
      <c r="U74" s="290">
        <v>0</v>
      </c>
      <c r="V74" s="281">
        <f t="shared" si="43"/>
        <v>0</v>
      </c>
    </row>
    <row r="75" spans="2:22" s="144" customFormat="1" ht="16.5" thickBot="1" x14ac:dyDescent="0.3">
      <c r="C75" s="171" t="s">
        <v>148</v>
      </c>
      <c r="D75" s="172">
        <f t="shared" ref="D75:G75" si="46">SUM(D68:D74)</f>
        <v>60000</v>
      </c>
      <c r="E75" s="173">
        <f t="shared" si="46"/>
        <v>100000</v>
      </c>
      <c r="F75" s="173">
        <f t="shared" si="46"/>
        <v>100000</v>
      </c>
      <c r="G75" s="174">
        <f t="shared" si="46"/>
        <v>260000</v>
      </c>
      <c r="H75" s="399"/>
      <c r="I75" s="175">
        <f>SUM(I68:I74)</f>
        <v>20000</v>
      </c>
      <c r="J75" s="176">
        <f>SUM(J68:J74)</f>
        <v>50000</v>
      </c>
      <c r="K75" s="177">
        <f>+D75+I75-J75</f>
        <v>30000</v>
      </c>
      <c r="L75" s="178">
        <f>SUM(L68:L74)</f>
        <v>0</v>
      </c>
      <c r="M75" s="179">
        <f>SUM(M68:M74)</f>
        <v>0</v>
      </c>
      <c r="N75" s="180">
        <f>E75+L75-M75</f>
        <v>100000</v>
      </c>
      <c r="O75" s="181">
        <f>SUM(O68:O74)</f>
        <v>50000</v>
      </c>
      <c r="P75" s="182">
        <f>SUM(P68:P74)</f>
        <v>50000</v>
      </c>
      <c r="Q75" s="183">
        <f>F75+O75-P75</f>
        <v>100000</v>
      </c>
      <c r="R75" s="184">
        <f>+K75+N75+Q75</f>
        <v>230000</v>
      </c>
      <c r="S75" s="134">
        <f>S68+S69+S70+S71+S72+S73+S74</f>
        <v>1762.89</v>
      </c>
      <c r="T75" s="296">
        <f>SUM(T68:T74)</f>
        <v>25330.81</v>
      </c>
      <c r="U75" s="291">
        <f>+SUM(U68:U74)</f>
        <v>18653.36</v>
      </c>
      <c r="V75" s="134">
        <f t="shared" ref="V75" si="47">V68+V69+V70+V71+V72+V73+V74</f>
        <v>45747.06</v>
      </c>
    </row>
    <row r="76" spans="2:22" s="5" customFormat="1" ht="16.5" thickBot="1" x14ac:dyDescent="0.3">
      <c r="C76" s="393"/>
      <c r="D76" s="394"/>
      <c r="E76" s="394"/>
      <c r="F76" s="394"/>
      <c r="G76" s="394"/>
      <c r="H76" s="394"/>
      <c r="I76" s="395"/>
      <c r="J76" s="395"/>
      <c r="K76" s="395"/>
      <c r="L76" s="395"/>
    </row>
    <row r="77" spans="2:22" ht="32.25" thickBot="1" x14ac:dyDescent="0.3">
      <c r="B77" s="5"/>
      <c r="C77" s="186" t="s">
        <v>48</v>
      </c>
      <c r="D77" s="187"/>
      <c r="E77" s="187"/>
      <c r="F77" s="187"/>
      <c r="G77" s="188"/>
      <c r="H77" s="399"/>
      <c r="I77" s="148" t="s">
        <v>136</v>
      </c>
      <c r="J77" s="149" t="s">
        <v>137</v>
      </c>
      <c r="K77" s="150" t="s">
        <v>150</v>
      </c>
      <c r="L77" s="151" t="s">
        <v>136</v>
      </c>
      <c r="M77" s="152" t="s">
        <v>137</v>
      </c>
      <c r="N77" s="153" t="s">
        <v>150</v>
      </c>
      <c r="O77" s="154" t="s">
        <v>136</v>
      </c>
      <c r="P77" s="155" t="s">
        <v>137</v>
      </c>
      <c r="Q77" s="156" t="s">
        <v>150</v>
      </c>
      <c r="R77" s="157" t="s">
        <v>151</v>
      </c>
    </row>
    <row r="78" spans="2:22" s="144" customFormat="1" ht="21.75" customHeight="1" thickBot="1" x14ac:dyDescent="0.3">
      <c r="C78" s="158" t="s">
        <v>159</v>
      </c>
      <c r="D78" s="159">
        <f>D86</f>
        <v>50000</v>
      </c>
      <c r="E78" s="159">
        <f t="shared" ref="E78:F78" si="48">E86</f>
        <v>25000</v>
      </c>
      <c r="F78" s="159">
        <f t="shared" si="48"/>
        <v>70000</v>
      </c>
      <c r="G78" s="160">
        <f t="shared" ref="G78:G85" si="49">SUM(D78:F78)</f>
        <v>145000</v>
      </c>
      <c r="H78" s="399"/>
      <c r="I78" s="148">
        <f t="shared" ref="I78:N78" si="50">+I86</f>
        <v>40000</v>
      </c>
      <c r="J78" s="149">
        <f t="shared" si="50"/>
        <v>40000</v>
      </c>
      <c r="K78" s="150">
        <f t="shared" si="50"/>
        <v>50000</v>
      </c>
      <c r="L78" s="151">
        <f t="shared" si="50"/>
        <v>0</v>
      </c>
      <c r="M78" s="152">
        <f t="shared" si="50"/>
        <v>0</v>
      </c>
      <c r="N78" s="153">
        <f t="shared" si="50"/>
        <v>25000</v>
      </c>
      <c r="O78" s="154">
        <f>O86</f>
        <v>35000</v>
      </c>
      <c r="P78" s="155">
        <f>+P86</f>
        <v>35000</v>
      </c>
      <c r="Q78" s="156">
        <f>+Q86</f>
        <v>70000</v>
      </c>
      <c r="R78" s="161">
        <f>+R86</f>
        <v>145000</v>
      </c>
      <c r="S78" s="190">
        <f>S86</f>
        <v>16054.400000000001</v>
      </c>
      <c r="T78" s="153">
        <f>+T86</f>
        <v>0</v>
      </c>
      <c r="U78" s="287">
        <f>+U86</f>
        <v>17706.860000000004</v>
      </c>
      <c r="V78" s="190">
        <f>S78+T78+U78</f>
        <v>33761.260000000009</v>
      </c>
    </row>
    <row r="79" spans="2:22" s="144" customFormat="1" ht="15.75" customHeight="1" x14ac:dyDescent="0.25">
      <c r="C79" s="117" t="s">
        <v>141</v>
      </c>
      <c r="D79" s="162"/>
      <c r="E79" s="119"/>
      <c r="F79" s="22"/>
      <c r="G79" s="160">
        <f t="shared" si="49"/>
        <v>0</v>
      </c>
      <c r="H79" s="399"/>
      <c r="I79" s="163">
        <v>0</v>
      </c>
      <c r="J79" s="164">
        <v>0</v>
      </c>
      <c r="K79" s="165">
        <f t="shared" ref="K79:K80" si="51">+D79+I79-J79</f>
        <v>0</v>
      </c>
      <c r="L79" s="166">
        <v>0</v>
      </c>
      <c r="M79" s="167">
        <v>0</v>
      </c>
      <c r="N79" s="168">
        <f t="shared" ref="N79:N80" si="52">E79+L79-M79</f>
        <v>0</v>
      </c>
      <c r="O79" s="124">
        <v>0</v>
      </c>
      <c r="P79" s="125">
        <v>0</v>
      </c>
      <c r="Q79" s="126">
        <f>F79+O79-P79</f>
        <v>0</v>
      </c>
      <c r="R79" s="169">
        <f t="shared" ref="R79:R85" si="53">K79+N79+Q79</f>
        <v>0</v>
      </c>
      <c r="S79" s="281">
        <v>0</v>
      </c>
      <c r="T79" s="297">
        <v>0</v>
      </c>
      <c r="U79" s="290">
        <v>0</v>
      </c>
      <c r="V79" s="281">
        <f>S79+T79+U79</f>
        <v>0</v>
      </c>
    </row>
    <row r="80" spans="2:22" s="144" customFormat="1" ht="31.5" customHeight="1" x14ac:dyDescent="0.25">
      <c r="C80" s="127" t="s">
        <v>142</v>
      </c>
      <c r="D80" s="162">
        <v>10000</v>
      </c>
      <c r="E80" s="21"/>
      <c r="F80" s="22">
        <v>5000</v>
      </c>
      <c r="G80" s="160">
        <f t="shared" si="49"/>
        <v>15000</v>
      </c>
      <c r="H80" s="399"/>
      <c r="I80" s="163"/>
      <c r="J80" s="164">
        <v>10000</v>
      </c>
      <c r="K80" s="165">
        <f t="shared" si="51"/>
        <v>0</v>
      </c>
      <c r="L80" s="166">
        <v>0</v>
      </c>
      <c r="M80" s="167">
        <v>0</v>
      </c>
      <c r="N80" s="168">
        <f t="shared" si="52"/>
        <v>0</v>
      </c>
      <c r="O80" s="124">
        <v>5000</v>
      </c>
      <c r="P80" s="125">
        <v>0</v>
      </c>
      <c r="Q80" s="126">
        <f t="shared" ref="Q80:Q85" si="54">F80+O80-P80</f>
        <v>10000</v>
      </c>
      <c r="R80" s="169">
        <f t="shared" si="53"/>
        <v>10000</v>
      </c>
      <c r="S80" s="281">
        <v>0</v>
      </c>
      <c r="T80" s="297">
        <v>0</v>
      </c>
      <c r="U80" s="290">
        <v>160.44999999999999</v>
      </c>
      <c r="V80" s="281">
        <f t="shared" ref="V80:V85" si="55">S80+T80+U80</f>
        <v>160.44999999999999</v>
      </c>
    </row>
    <row r="81" spans="2:22" s="144" customFormat="1" ht="37.5" customHeight="1" x14ac:dyDescent="0.25">
      <c r="C81" s="127" t="s">
        <v>143</v>
      </c>
      <c r="D81" s="162"/>
      <c r="E81" s="170"/>
      <c r="F81" s="170"/>
      <c r="G81" s="160">
        <f t="shared" si="49"/>
        <v>0</v>
      </c>
      <c r="H81" s="399"/>
      <c r="I81" s="163">
        <v>0</v>
      </c>
      <c r="J81" s="164">
        <v>0</v>
      </c>
      <c r="K81" s="165">
        <v>0</v>
      </c>
      <c r="L81" s="166">
        <v>0</v>
      </c>
      <c r="M81" s="167">
        <v>0</v>
      </c>
      <c r="N81" s="168">
        <f>+E81+L81-M81</f>
        <v>0</v>
      </c>
      <c r="O81" s="166">
        <v>10000</v>
      </c>
      <c r="P81" s="167">
        <v>0</v>
      </c>
      <c r="Q81" s="126">
        <f t="shared" si="54"/>
        <v>10000</v>
      </c>
      <c r="R81" s="169">
        <f t="shared" si="53"/>
        <v>10000</v>
      </c>
      <c r="S81" s="281">
        <v>0</v>
      </c>
      <c r="T81" s="297">
        <v>0</v>
      </c>
      <c r="U81" s="290">
        <v>0</v>
      </c>
      <c r="V81" s="281">
        <f t="shared" si="55"/>
        <v>0</v>
      </c>
    </row>
    <row r="82" spans="2:22" s="144" customFormat="1" x14ac:dyDescent="0.25">
      <c r="C82" s="129" t="s">
        <v>144</v>
      </c>
      <c r="D82" s="162">
        <v>10000</v>
      </c>
      <c r="E82" s="170"/>
      <c r="F82" s="170">
        <v>10000</v>
      </c>
      <c r="G82" s="160">
        <f t="shared" si="49"/>
        <v>20000</v>
      </c>
      <c r="H82" s="399"/>
      <c r="I82" s="163">
        <v>40000</v>
      </c>
      <c r="J82" s="164">
        <v>0</v>
      </c>
      <c r="K82" s="165">
        <f t="shared" ref="K82:K85" si="56">+D82+I82-J82</f>
        <v>50000</v>
      </c>
      <c r="L82" s="166">
        <v>0</v>
      </c>
      <c r="M82" s="167">
        <v>0</v>
      </c>
      <c r="N82" s="168">
        <f t="shared" ref="N82:N85" si="57">E82+L82-M82</f>
        <v>0</v>
      </c>
      <c r="O82" s="166">
        <v>0</v>
      </c>
      <c r="P82" s="167">
        <v>0</v>
      </c>
      <c r="Q82" s="126">
        <f t="shared" si="54"/>
        <v>10000</v>
      </c>
      <c r="R82" s="169">
        <f t="shared" si="53"/>
        <v>60000</v>
      </c>
      <c r="S82" s="281">
        <f>6225.63+9828.77</f>
        <v>16054.400000000001</v>
      </c>
      <c r="T82" s="297">
        <v>0</v>
      </c>
      <c r="U82" s="290">
        <v>0</v>
      </c>
      <c r="V82" s="281">
        <f t="shared" si="55"/>
        <v>16054.400000000001</v>
      </c>
    </row>
    <row r="83" spans="2:22" s="144" customFormat="1" x14ac:dyDescent="0.25">
      <c r="C83" s="127" t="s">
        <v>145</v>
      </c>
      <c r="D83" s="162">
        <v>5000</v>
      </c>
      <c r="E83" s="170"/>
      <c r="F83" s="170">
        <v>20000</v>
      </c>
      <c r="G83" s="160">
        <f t="shared" si="49"/>
        <v>25000</v>
      </c>
      <c r="H83" s="399"/>
      <c r="I83" s="163">
        <v>0</v>
      </c>
      <c r="J83" s="164">
        <v>5000</v>
      </c>
      <c r="K83" s="165">
        <f t="shared" si="56"/>
        <v>0</v>
      </c>
      <c r="L83" s="163">
        <v>0</v>
      </c>
      <c r="M83" s="164">
        <v>0</v>
      </c>
      <c r="N83" s="168">
        <f t="shared" si="57"/>
        <v>0</v>
      </c>
      <c r="O83" s="166">
        <v>20000</v>
      </c>
      <c r="P83" s="167">
        <v>0</v>
      </c>
      <c r="Q83" s="126">
        <f t="shared" si="54"/>
        <v>40000</v>
      </c>
      <c r="R83" s="169">
        <f t="shared" si="53"/>
        <v>40000</v>
      </c>
      <c r="S83" s="281">
        <v>0</v>
      </c>
      <c r="T83" s="297">
        <v>0</v>
      </c>
      <c r="U83" s="290">
        <v>17546.410000000003</v>
      </c>
      <c r="V83" s="281">
        <f t="shared" si="55"/>
        <v>17546.410000000003</v>
      </c>
    </row>
    <row r="84" spans="2:22" s="144" customFormat="1" x14ac:dyDescent="0.25">
      <c r="C84" s="127" t="s">
        <v>146</v>
      </c>
      <c r="D84" s="162">
        <v>25000</v>
      </c>
      <c r="E84" s="170">
        <v>25000</v>
      </c>
      <c r="F84" s="170">
        <v>35000</v>
      </c>
      <c r="G84" s="160">
        <f t="shared" si="49"/>
        <v>85000</v>
      </c>
      <c r="H84" s="399"/>
      <c r="I84" s="163">
        <v>0</v>
      </c>
      <c r="J84" s="164">
        <v>25000</v>
      </c>
      <c r="K84" s="165">
        <f t="shared" si="56"/>
        <v>0</v>
      </c>
      <c r="L84" s="163">
        <v>0</v>
      </c>
      <c r="M84" s="164">
        <v>0</v>
      </c>
      <c r="N84" s="168">
        <f t="shared" si="57"/>
        <v>25000</v>
      </c>
      <c r="O84" s="166">
        <v>0</v>
      </c>
      <c r="P84" s="167">
        <v>35000</v>
      </c>
      <c r="Q84" s="126">
        <f t="shared" si="54"/>
        <v>0</v>
      </c>
      <c r="R84" s="169">
        <f t="shared" si="53"/>
        <v>25000</v>
      </c>
      <c r="S84" s="281">
        <v>0</v>
      </c>
      <c r="T84" s="297">
        <v>0</v>
      </c>
      <c r="U84" s="290">
        <v>0</v>
      </c>
      <c r="V84" s="281">
        <f t="shared" si="55"/>
        <v>0</v>
      </c>
    </row>
    <row r="85" spans="2:22" s="144" customFormat="1" x14ac:dyDescent="0.25">
      <c r="C85" s="127" t="s">
        <v>147</v>
      </c>
      <c r="D85" s="162"/>
      <c r="E85" s="170"/>
      <c r="F85" s="170"/>
      <c r="G85" s="160">
        <f t="shared" si="49"/>
        <v>0</v>
      </c>
      <c r="H85" s="399"/>
      <c r="I85" s="163">
        <v>0</v>
      </c>
      <c r="J85" s="164">
        <v>0</v>
      </c>
      <c r="K85" s="165">
        <f t="shared" si="56"/>
        <v>0</v>
      </c>
      <c r="L85" s="166">
        <v>0</v>
      </c>
      <c r="M85" s="167">
        <v>0</v>
      </c>
      <c r="N85" s="168">
        <f t="shared" si="57"/>
        <v>0</v>
      </c>
      <c r="O85" s="166">
        <v>0</v>
      </c>
      <c r="P85" s="167">
        <v>0</v>
      </c>
      <c r="Q85" s="126">
        <f t="shared" si="54"/>
        <v>0</v>
      </c>
      <c r="R85" s="169">
        <f t="shared" si="53"/>
        <v>0</v>
      </c>
      <c r="S85" s="281">
        <v>0</v>
      </c>
      <c r="T85" s="297">
        <v>0</v>
      </c>
      <c r="U85" s="290">
        <v>0</v>
      </c>
      <c r="V85" s="281">
        <f t="shared" si="55"/>
        <v>0</v>
      </c>
    </row>
    <row r="86" spans="2:22" s="144" customFormat="1" ht="16.5" thickBot="1" x14ac:dyDescent="0.3">
      <c r="C86" s="171" t="s">
        <v>148</v>
      </c>
      <c r="D86" s="172">
        <f t="shared" ref="D86:G86" si="58">SUM(D79:D85)</f>
        <v>50000</v>
      </c>
      <c r="E86" s="173">
        <f t="shared" si="58"/>
        <v>25000</v>
      </c>
      <c r="F86" s="173">
        <f t="shared" si="58"/>
        <v>70000</v>
      </c>
      <c r="G86" s="174">
        <f t="shared" si="58"/>
        <v>145000</v>
      </c>
      <c r="H86" s="399"/>
      <c r="I86" s="175">
        <f>SUM(I79:I85)</f>
        <v>40000</v>
      </c>
      <c r="J86" s="176">
        <f>SUM(J79:J85)</f>
        <v>40000</v>
      </c>
      <c r="K86" s="177">
        <f>+D86+I86-J86</f>
        <v>50000</v>
      </c>
      <c r="L86" s="178">
        <f>SUM(L79:L85)</f>
        <v>0</v>
      </c>
      <c r="M86" s="179">
        <f>SUM(M79:M85)</f>
        <v>0</v>
      </c>
      <c r="N86" s="180">
        <f>E86+L86-M86</f>
        <v>25000</v>
      </c>
      <c r="O86" s="181">
        <f>SUM(O79:O85)</f>
        <v>35000</v>
      </c>
      <c r="P86" s="182">
        <f>SUM(P79:P85)</f>
        <v>35000</v>
      </c>
      <c r="Q86" s="183">
        <f>F86+O86-P86</f>
        <v>70000</v>
      </c>
      <c r="R86" s="184">
        <f>+K86+N86+Q86</f>
        <v>145000</v>
      </c>
      <c r="S86" s="134">
        <f>S79+S80+S81+S82+S83+S84+S85</f>
        <v>16054.400000000001</v>
      </c>
      <c r="T86" s="296">
        <f>SUM(T79:T85)</f>
        <v>0</v>
      </c>
      <c r="U86" s="291">
        <f>+SUM(U79:U85)</f>
        <v>17706.860000000004</v>
      </c>
      <c r="V86" s="134">
        <f t="shared" ref="V86" si="59">V79+V80+V81+V82+V83+V84+V85</f>
        <v>33761.260000000009</v>
      </c>
    </row>
    <row r="87" spans="2:22" s="5" customFormat="1" ht="16.5" thickBot="1" x14ac:dyDescent="0.3">
      <c r="C87" s="393"/>
      <c r="D87" s="394"/>
      <c r="E87" s="394"/>
      <c r="F87" s="394"/>
      <c r="G87" s="394"/>
      <c r="H87" s="394"/>
      <c r="I87" s="395"/>
      <c r="J87" s="395"/>
      <c r="K87" s="395"/>
      <c r="L87" s="395"/>
    </row>
    <row r="88" spans="2:22" ht="32.25" thickBot="1" x14ac:dyDescent="0.3">
      <c r="C88" s="186" t="s">
        <v>59</v>
      </c>
      <c r="D88" s="187"/>
      <c r="E88" s="187"/>
      <c r="F88" s="187"/>
      <c r="G88" s="188"/>
      <c r="H88" s="399"/>
      <c r="I88" s="148" t="s">
        <v>136</v>
      </c>
      <c r="J88" s="149" t="s">
        <v>137</v>
      </c>
      <c r="K88" s="150" t="s">
        <v>150</v>
      </c>
      <c r="L88" s="151" t="s">
        <v>136</v>
      </c>
      <c r="M88" s="152" t="s">
        <v>137</v>
      </c>
      <c r="N88" s="153" t="s">
        <v>150</v>
      </c>
      <c r="O88" s="154" t="s">
        <v>136</v>
      </c>
      <c r="P88" s="155" t="s">
        <v>137</v>
      </c>
      <c r="Q88" s="156" t="s">
        <v>150</v>
      </c>
      <c r="R88" s="157" t="s">
        <v>151</v>
      </c>
    </row>
    <row r="89" spans="2:22" ht="21.75" customHeight="1" thickBot="1" x14ac:dyDescent="0.3">
      <c r="B89" s="5"/>
      <c r="C89" s="104" t="s">
        <v>160</v>
      </c>
      <c r="D89" s="105">
        <f>'[1]1) Tableau budgétaire 1'!D86</f>
        <v>0</v>
      </c>
      <c r="E89" s="189">
        <f>'[1]1) Tableau budgétaire 1'!E86</f>
        <v>0</v>
      </c>
      <c r="F89" s="189">
        <f>'[1]1) Tableau budgétaire 1'!F86</f>
        <v>0</v>
      </c>
      <c r="G89" s="106">
        <f t="shared" ref="G89:G97" si="60">SUM(D89:F89)</f>
        <v>0</v>
      </c>
      <c r="H89" s="399"/>
      <c r="I89" s="190">
        <f t="shared" ref="I89:N89" si="61">+I97</f>
        <v>0</v>
      </c>
      <c r="J89" s="191">
        <f t="shared" si="61"/>
        <v>0</v>
      </c>
      <c r="K89" s="192">
        <f t="shared" si="61"/>
        <v>0</v>
      </c>
      <c r="L89" s="193">
        <f t="shared" si="61"/>
        <v>0</v>
      </c>
      <c r="M89" s="194">
        <f t="shared" si="61"/>
        <v>0</v>
      </c>
      <c r="N89" s="195">
        <f t="shared" si="61"/>
        <v>0</v>
      </c>
      <c r="O89" s="196">
        <f>O97</f>
        <v>0</v>
      </c>
      <c r="P89" s="197">
        <f>+P97</f>
        <v>0</v>
      </c>
      <c r="Q89" s="198">
        <f>+Q97</f>
        <v>0</v>
      </c>
      <c r="R89" s="199">
        <f>+R97</f>
        <v>0</v>
      </c>
      <c r="S89" s="190"/>
      <c r="T89" s="285"/>
      <c r="U89" s="191"/>
      <c r="V89" s="280"/>
    </row>
    <row r="90" spans="2:22" ht="18" customHeight="1" x14ac:dyDescent="0.25">
      <c r="C90" s="117" t="s">
        <v>141</v>
      </c>
      <c r="D90" s="118"/>
      <c r="E90" s="22"/>
      <c r="F90" s="22"/>
      <c r="G90" s="106">
        <f t="shared" si="60"/>
        <v>0</v>
      </c>
      <c r="H90" s="399"/>
      <c r="I90" s="120">
        <v>0</v>
      </c>
      <c r="J90" s="121">
        <v>0</v>
      </c>
      <c r="K90" s="109">
        <f t="shared" ref="K90:K91" si="62">+D90+I90-J90</f>
        <v>0</v>
      </c>
      <c r="L90" s="122">
        <v>0</v>
      </c>
      <c r="M90" s="123">
        <v>0</v>
      </c>
      <c r="N90" s="112">
        <f t="shared" ref="N90:N91" si="63">E90+L90-M90</f>
        <v>0</v>
      </c>
      <c r="O90" s="124">
        <v>0</v>
      </c>
      <c r="P90" s="125">
        <v>0</v>
      </c>
      <c r="Q90" s="126">
        <f>F90+O90-P90</f>
        <v>0</v>
      </c>
      <c r="R90" s="116">
        <f t="shared" ref="R90:R96" si="64">K90+N90+Q90</f>
        <v>0</v>
      </c>
      <c r="S90" s="281"/>
      <c r="T90" s="283"/>
      <c r="U90" s="282"/>
      <c r="V90" s="109"/>
    </row>
    <row r="91" spans="2:22" ht="15.75" customHeight="1" x14ac:dyDescent="0.25">
      <c r="C91" s="127" t="s">
        <v>142</v>
      </c>
      <c r="D91" s="118"/>
      <c r="E91" s="22"/>
      <c r="F91" s="22"/>
      <c r="G91" s="106">
        <f t="shared" si="60"/>
        <v>0</v>
      </c>
      <c r="H91" s="399"/>
      <c r="I91" s="120">
        <v>0</v>
      </c>
      <c r="J91" s="121">
        <v>0</v>
      </c>
      <c r="K91" s="109">
        <f t="shared" si="62"/>
        <v>0</v>
      </c>
      <c r="L91" s="122">
        <v>0</v>
      </c>
      <c r="M91" s="123">
        <v>0</v>
      </c>
      <c r="N91" s="112">
        <f t="shared" si="63"/>
        <v>0</v>
      </c>
      <c r="O91" s="124">
        <v>0</v>
      </c>
      <c r="P91" s="125">
        <v>0</v>
      </c>
      <c r="Q91" s="126">
        <f t="shared" ref="Q91:Q96" si="65">F91+O91-P91</f>
        <v>0</v>
      </c>
      <c r="R91" s="116">
        <f t="shared" si="64"/>
        <v>0</v>
      </c>
      <c r="S91" s="281"/>
      <c r="T91" s="283"/>
      <c r="U91" s="282"/>
      <c r="V91" s="109"/>
    </row>
    <row r="92" spans="2:22" s="5" customFormat="1" ht="15.75" customHeight="1" x14ac:dyDescent="0.25">
      <c r="B92" s="1"/>
      <c r="C92" s="127" t="s">
        <v>143</v>
      </c>
      <c r="D92" s="118"/>
      <c r="E92" s="128"/>
      <c r="F92" s="128"/>
      <c r="G92" s="106">
        <f t="shared" si="60"/>
        <v>0</v>
      </c>
      <c r="H92" s="399"/>
      <c r="I92" s="120">
        <v>0</v>
      </c>
      <c r="J92" s="121">
        <v>0</v>
      </c>
      <c r="K92" s="109">
        <v>0</v>
      </c>
      <c r="L92" s="122">
        <v>0</v>
      </c>
      <c r="M92" s="123">
        <v>0</v>
      </c>
      <c r="N92" s="112">
        <f>+E92+L92-M92</f>
        <v>0</v>
      </c>
      <c r="O92" s="122">
        <v>0</v>
      </c>
      <c r="P92" s="123">
        <v>0</v>
      </c>
      <c r="Q92" s="126">
        <f t="shared" si="65"/>
        <v>0</v>
      </c>
      <c r="R92" s="116">
        <f t="shared" si="64"/>
        <v>0</v>
      </c>
      <c r="S92" s="281"/>
      <c r="T92" s="283"/>
      <c r="U92" s="282"/>
      <c r="V92" s="109"/>
    </row>
    <row r="93" spans="2:22" x14ac:dyDescent="0.25">
      <c r="B93" s="5"/>
      <c r="C93" s="129" t="s">
        <v>144</v>
      </c>
      <c r="D93" s="118"/>
      <c r="E93" s="128"/>
      <c r="F93" s="128"/>
      <c r="G93" s="106">
        <f t="shared" si="60"/>
        <v>0</v>
      </c>
      <c r="H93" s="399"/>
      <c r="I93" s="120">
        <v>0</v>
      </c>
      <c r="J93" s="121">
        <v>0</v>
      </c>
      <c r="K93" s="109">
        <f t="shared" ref="K93:K96" si="66">+D93+I93-J93</f>
        <v>0</v>
      </c>
      <c r="L93" s="122">
        <v>0</v>
      </c>
      <c r="M93" s="123">
        <v>0</v>
      </c>
      <c r="N93" s="112">
        <f t="shared" ref="N93:N96" si="67">E93+L93-M93</f>
        <v>0</v>
      </c>
      <c r="O93" s="122">
        <v>0</v>
      </c>
      <c r="P93" s="123">
        <v>0</v>
      </c>
      <c r="Q93" s="126">
        <f t="shared" si="65"/>
        <v>0</v>
      </c>
      <c r="R93" s="116">
        <f t="shared" si="64"/>
        <v>0</v>
      </c>
      <c r="S93" s="281"/>
      <c r="T93" s="283"/>
      <c r="U93" s="282"/>
      <c r="V93" s="109"/>
    </row>
    <row r="94" spans="2:22" x14ac:dyDescent="0.25">
      <c r="B94" s="5"/>
      <c r="C94" s="127" t="s">
        <v>145</v>
      </c>
      <c r="D94" s="118"/>
      <c r="E94" s="128"/>
      <c r="F94" s="128"/>
      <c r="G94" s="106">
        <f t="shared" si="60"/>
        <v>0</v>
      </c>
      <c r="H94" s="399"/>
      <c r="I94" s="120">
        <v>0</v>
      </c>
      <c r="J94" s="121">
        <v>0</v>
      </c>
      <c r="K94" s="109">
        <f t="shared" si="66"/>
        <v>0</v>
      </c>
      <c r="L94" s="120">
        <v>0</v>
      </c>
      <c r="M94" s="121">
        <v>0</v>
      </c>
      <c r="N94" s="112">
        <f t="shared" si="67"/>
        <v>0</v>
      </c>
      <c r="O94" s="122">
        <v>0</v>
      </c>
      <c r="P94" s="123">
        <v>0</v>
      </c>
      <c r="Q94" s="126">
        <f t="shared" si="65"/>
        <v>0</v>
      </c>
      <c r="R94" s="116">
        <f t="shared" si="64"/>
        <v>0</v>
      </c>
      <c r="S94" s="281"/>
      <c r="T94" s="283"/>
      <c r="U94" s="282"/>
      <c r="V94" s="109"/>
    </row>
    <row r="95" spans="2:22" x14ac:dyDescent="0.25">
      <c r="B95" s="5"/>
      <c r="C95" s="127" t="s">
        <v>146</v>
      </c>
      <c r="D95" s="118"/>
      <c r="E95" s="128"/>
      <c r="F95" s="128"/>
      <c r="G95" s="106">
        <f t="shared" si="60"/>
        <v>0</v>
      </c>
      <c r="H95" s="399"/>
      <c r="I95" s="120">
        <v>0</v>
      </c>
      <c r="J95" s="121">
        <v>0</v>
      </c>
      <c r="K95" s="109">
        <f t="shared" si="66"/>
        <v>0</v>
      </c>
      <c r="L95" s="120">
        <v>0</v>
      </c>
      <c r="M95" s="121">
        <v>0</v>
      </c>
      <c r="N95" s="112">
        <f t="shared" si="67"/>
        <v>0</v>
      </c>
      <c r="O95" s="122">
        <v>0</v>
      </c>
      <c r="P95" s="123">
        <v>0</v>
      </c>
      <c r="Q95" s="126">
        <f t="shared" si="65"/>
        <v>0</v>
      </c>
      <c r="R95" s="116">
        <f t="shared" si="64"/>
        <v>0</v>
      </c>
      <c r="S95" s="281"/>
      <c r="T95" s="283"/>
      <c r="U95" s="282"/>
      <c r="V95" s="109"/>
    </row>
    <row r="96" spans="2:22" x14ac:dyDescent="0.25">
      <c r="C96" s="127" t="s">
        <v>147</v>
      </c>
      <c r="D96" s="118"/>
      <c r="E96" s="128"/>
      <c r="F96" s="128"/>
      <c r="G96" s="106">
        <f t="shared" si="60"/>
        <v>0</v>
      </c>
      <c r="H96" s="399"/>
      <c r="I96" s="120">
        <v>0</v>
      </c>
      <c r="J96" s="121">
        <v>0</v>
      </c>
      <c r="K96" s="109">
        <f t="shared" si="66"/>
        <v>0</v>
      </c>
      <c r="L96" s="122">
        <v>0</v>
      </c>
      <c r="M96" s="123">
        <v>0</v>
      </c>
      <c r="N96" s="112">
        <f t="shared" si="67"/>
        <v>0</v>
      </c>
      <c r="O96" s="122">
        <v>0</v>
      </c>
      <c r="P96" s="123">
        <v>0</v>
      </c>
      <c r="Q96" s="126">
        <f t="shared" si="65"/>
        <v>0</v>
      </c>
      <c r="R96" s="116">
        <f t="shared" si="64"/>
        <v>0</v>
      </c>
      <c r="S96" s="281"/>
      <c r="T96" s="283"/>
      <c r="U96" s="282"/>
      <c r="V96" s="109"/>
    </row>
    <row r="97" spans="2:22" ht="16.5" thickBot="1" x14ac:dyDescent="0.3">
      <c r="C97" s="130" t="s">
        <v>148</v>
      </c>
      <c r="D97" s="131">
        <f>SUM(D90:D96)</f>
        <v>0</v>
      </c>
      <c r="E97" s="132">
        <f>SUM(E90:E96)</f>
        <v>0</v>
      </c>
      <c r="F97" s="132">
        <f>SUM(F90:F96)</f>
        <v>0</v>
      </c>
      <c r="G97" s="200">
        <f t="shared" si="60"/>
        <v>0</v>
      </c>
      <c r="H97" s="399"/>
      <c r="I97" s="134">
        <f>SUM(I90:I96)</f>
        <v>0</v>
      </c>
      <c r="J97" s="135">
        <f>SUM(J90:J96)</f>
        <v>0</v>
      </c>
      <c r="K97" s="136">
        <f>+D97+I97-J97</f>
        <v>0</v>
      </c>
      <c r="L97" s="137">
        <f>SUM(L90:L96)</f>
        <v>0</v>
      </c>
      <c r="M97" s="138">
        <f>SUM(M90:M96)</f>
        <v>0</v>
      </c>
      <c r="N97" s="139">
        <f>E97+L97-M97</f>
        <v>0</v>
      </c>
      <c r="O97" s="140">
        <f>SUM(O90:O96)</f>
        <v>0</v>
      </c>
      <c r="P97" s="141">
        <f>SUM(P90:P96)</f>
        <v>0</v>
      </c>
      <c r="Q97" s="142">
        <f>F97+O97-P97</f>
        <v>0</v>
      </c>
      <c r="R97" s="143">
        <f>+K97+N97+Q97</f>
        <v>0</v>
      </c>
      <c r="S97" s="134"/>
      <c r="T97" s="284"/>
      <c r="U97" s="135"/>
      <c r="V97" s="136"/>
    </row>
    <row r="98" spans="2:22" s="5" customFormat="1" ht="16.5" thickBot="1" x14ac:dyDescent="0.3">
      <c r="C98" s="393"/>
      <c r="D98" s="394"/>
      <c r="E98" s="394"/>
      <c r="F98" s="394"/>
      <c r="G98" s="394"/>
      <c r="H98" s="394"/>
      <c r="I98" s="395"/>
      <c r="J98" s="395"/>
      <c r="K98" s="395"/>
      <c r="L98" s="395"/>
    </row>
    <row r="99" spans="2:22" s="144" customFormat="1" ht="32.25" thickBot="1" x14ac:dyDescent="0.3">
      <c r="C99" s="145" t="s">
        <v>60</v>
      </c>
      <c r="D99" s="146"/>
      <c r="E99" s="146"/>
      <c r="F99" s="146"/>
      <c r="G99" s="147"/>
      <c r="H99" s="428"/>
      <c r="I99" s="148" t="s">
        <v>136</v>
      </c>
      <c r="J99" s="149" t="s">
        <v>137</v>
      </c>
      <c r="K99" s="150" t="s">
        <v>150</v>
      </c>
      <c r="L99" s="151" t="s">
        <v>136</v>
      </c>
      <c r="M99" s="152" t="s">
        <v>137</v>
      </c>
      <c r="N99" s="153" t="s">
        <v>150</v>
      </c>
      <c r="O99" s="154" t="s">
        <v>136</v>
      </c>
      <c r="P99" s="155" t="s">
        <v>137</v>
      </c>
      <c r="Q99" s="156" t="s">
        <v>150</v>
      </c>
      <c r="R99" s="157" t="s">
        <v>151</v>
      </c>
    </row>
    <row r="100" spans="2:22" s="144" customFormat="1" ht="21.75" customHeight="1" thickBot="1" x14ac:dyDescent="0.3">
      <c r="C100" s="158" t="s">
        <v>161</v>
      </c>
      <c r="D100" s="159">
        <f>'[1]1) Tableau budgétaire 1'!D96</f>
        <v>0</v>
      </c>
      <c r="E100" s="205">
        <f>'[1]1) Tableau budgétaire 1'!E96</f>
        <v>0</v>
      </c>
      <c r="F100" s="205">
        <f>'[1]1) Tableau budgétaire 1'!F96</f>
        <v>0</v>
      </c>
      <c r="G100" s="160">
        <f t="shared" ref="G100:G108" si="68">SUM(D100:F100)</f>
        <v>0</v>
      </c>
      <c r="H100" s="428"/>
      <c r="I100" s="148">
        <f t="shared" ref="I100:N100" si="69">+I108</f>
        <v>0</v>
      </c>
      <c r="J100" s="149">
        <f t="shared" si="69"/>
        <v>0</v>
      </c>
      <c r="K100" s="150">
        <f t="shared" si="69"/>
        <v>0</v>
      </c>
      <c r="L100" s="151">
        <f t="shared" si="69"/>
        <v>0</v>
      </c>
      <c r="M100" s="152">
        <f t="shared" si="69"/>
        <v>0</v>
      </c>
      <c r="N100" s="153">
        <f t="shared" si="69"/>
        <v>0</v>
      </c>
      <c r="O100" s="154">
        <f>O108</f>
        <v>0</v>
      </c>
      <c r="P100" s="155">
        <f>+P108</f>
        <v>0</v>
      </c>
      <c r="Q100" s="156">
        <f>+Q108</f>
        <v>0</v>
      </c>
      <c r="R100" s="161">
        <f>+R108</f>
        <v>0</v>
      </c>
      <c r="S100" s="190"/>
      <c r="T100" s="285"/>
      <c r="U100" s="191"/>
      <c r="V100" s="280"/>
    </row>
    <row r="101" spans="2:22" s="144" customFormat="1" ht="15.75" customHeight="1" x14ac:dyDescent="0.25">
      <c r="C101" s="117" t="s">
        <v>141</v>
      </c>
      <c r="D101" s="162"/>
      <c r="E101" s="22"/>
      <c r="F101" s="22"/>
      <c r="G101" s="160">
        <f t="shared" si="68"/>
        <v>0</v>
      </c>
      <c r="H101" s="428"/>
      <c r="I101" s="163">
        <v>0</v>
      </c>
      <c r="J101" s="164">
        <v>0</v>
      </c>
      <c r="K101" s="165">
        <f t="shared" ref="K101:K102" si="70">+D101+I101-J101</f>
        <v>0</v>
      </c>
      <c r="L101" s="166">
        <v>0</v>
      </c>
      <c r="M101" s="167">
        <v>0</v>
      </c>
      <c r="N101" s="168">
        <f t="shared" ref="N101:N102" si="71">E101+L101-M101</f>
        <v>0</v>
      </c>
      <c r="O101" s="124">
        <v>0</v>
      </c>
      <c r="P101" s="125">
        <v>0</v>
      </c>
      <c r="Q101" s="126">
        <f>F101+O101-P101</f>
        <v>0</v>
      </c>
      <c r="R101" s="169">
        <f t="shared" ref="R101:R107" si="72">K101+N101+Q101</f>
        <v>0</v>
      </c>
      <c r="S101" s="281"/>
      <c r="T101" s="283"/>
      <c r="U101" s="282"/>
      <c r="V101" s="109"/>
    </row>
    <row r="102" spans="2:22" s="144" customFormat="1" ht="15.75" customHeight="1" x14ac:dyDescent="0.25">
      <c r="B102" s="73"/>
      <c r="C102" s="127" t="s">
        <v>142</v>
      </c>
      <c r="D102" s="162"/>
      <c r="E102" s="22"/>
      <c r="F102" s="22"/>
      <c r="G102" s="160">
        <f t="shared" si="68"/>
        <v>0</v>
      </c>
      <c r="H102" s="428"/>
      <c r="I102" s="163">
        <v>0</v>
      </c>
      <c r="J102" s="164">
        <v>0</v>
      </c>
      <c r="K102" s="165">
        <f t="shared" si="70"/>
        <v>0</v>
      </c>
      <c r="L102" s="166">
        <v>0</v>
      </c>
      <c r="M102" s="167">
        <v>0</v>
      </c>
      <c r="N102" s="168">
        <f t="shared" si="71"/>
        <v>0</v>
      </c>
      <c r="O102" s="124">
        <v>0</v>
      </c>
      <c r="P102" s="125">
        <v>0</v>
      </c>
      <c r="Q102" s="126">
        <f t="shared" ref="Q102:Q107" si="73">F102+O102-P102</f>
        <v>0</v>
      </c>
      <c r="R102" s="169">
        <f t="shared" si="72"/>
        <v>0</v>
      </c>
      <c r="S102" s="281"/>
      <c r="T102" s="283"/>
      <c r="U102" s="282"/>
      <c r="V102" s="109"/>
    </row>
    <row r="103" spans="2:22" s="144" customFormat="1" ht="15.75" customHeight="1" x14ac:dyDescent="0.25">
      <c r="C103" s="127" t="s">
        <v>143</v>
      </c>
      <c r="D103" s="162"/>
      <c r="E103" s="170"/>
      <c r="F103" s="170"/>
      <c r="G103" s="160">
        <f t="shared" si="68"/>
        <v>0</v>
      </c>
      <c r="H103" s="428"/>
      <c r="I103" s="163">
        <v>0</v>
      </c>
      <c r="J103" s="164">
        <v>0</v>
      </c>
      <c r="K103" s="165">
        <v>0</v>
      </c>
      <c r="L103" s="166">
        <v>0</v>
      </c>
      <c r="M103" s="167">
        <v>0</v>
      </c>
      <c r="N103" s="168">
        <f>+E103+L103-M103</f>
        <v>0</v>
      </c>
      <c r="O103" s="166">
        <v>0</v>
      </c>
      <c r="P103" s="167">
        <v>0</v>
      </c>
      <c r="Q103" s="126">
        <f t="shared" si="73"/>
        <v>0</v>
      </c>
      <c r="R103" s="169">
        <f t="shared" si="72"/>
        <v>0</v>
      </c>
      <c r="S103" s="281"/>
      <c r="T103" s="283"/>
      <c r="U103" s="282"/>
      <c r="V103" s="109"/>
    </row>
    <row r="104" spans="2:22" s="144" customFormat="1" x14ac:dyDescent="0.25">
      <c r="C104" s="129" t="s">
        <v>144</v>
      </c>
      <c r="D104" s="162"/>
      <c r="E104" s="170"/>
      <c r="F104" s="170"/>
      <c r="G104" s="160">
        <f t="shared" si="68"/>
        <v>0</v>
      </c>
      <c r="H104" s="428"/>
      <c r="I104" s="163">
        <v>0</v>
      </c>
      <c r="J104" s="164">
        <v>0</v>
      </c>
      <c r="K104" s="165">
        <f t="shared" ref="K104:K107" si="74">+D104+I104-J104</f>
        <v>0</v>
      </c>
      <c r="L104" s="166">
        <v>0</v>
      </c>
      <c r="M104" s="167">
        <v>0</v>
      </c>
      <c r="N104" s="168">
        <f t="shared" ref="N104:N107" si="75">E104+L104-M104</f>
        <v>0</v>
      </c>
      <c r="O104" s="166">
        <v>0</v>
      </c>
      <c r="P104" s="167">
        <v>0</v>
      </c>
      <c r="Q104" s="126">
        <f t="shared" si="73"/>
        <v>0</v>
      </c>
      <c r="R104" s="169">
        <f t="shared" si="72"/>
        <v>0</v>
      </c>
      <c r="S104" s="281"/>
      <c r="T104" s="283"/>
      <c r="U104" s="282"/>
      <c r="V104" s="109"/>
    </row>
    <row r="105" spans="2:22" s="144" customFormat="1" x14ac:dyDescent="0.25">
      <c r="C105" s="127" t="s">
        <v>145</v>
      </c>
      <c r="D105" s="162"/>
      <c r="E105" s="170"/>
      <c r="F105" s="170"/>
      <c r="G105" s="160">
        <f t="shared" si="68"/>
        <v>0</v>
      </c>
      <c r="H105" s="428"/>
      <c r="I105" s="163">
        <v>0</v>
      </c>
      <c r="J105" s="164">
        <v>0</v>
      </c>
      <c r="K105" s="165">
        <f t="shared" si="74"/>
        <v>0</v>
      </c>
      <c r="L105" s="163">
        <v>0</v>
      </c>
      <c r="M105" s="164">
        <v>0</v>
      </c>
      <c r="N105" s="168">
        <f t="shared" si="75"/>
        <v>0</v>
      </c>
      <c r="O105" s="166">
        <v>0</v>
      </c>
      <c r="P105" s="167">
        <v>0</v>
      </c>
      <c r="Q105" s="126">
        <f t="shared" si="73"/>
        <v>0</v>
      </c>
      <c r="R105" s="169">
        <f t="shared" si="72"/>
        <v>0</v>
      </c>
      <c r="S105" s="281"/>
      <c r="T105" s="283"/>
      <c r="U105" s="282"/>
      <c r="V105" s="109"/>
    </row>
    <row r="106" spans="2:22" s="144" customFormat="1" ht="25.5" customHeight="1" x14ac:dyDescent="0.25">
      <c r="C106" s="127" t="s">
        <v>146</v>
      </c>
      <c r="D106" s="162"/>
      <c r="E106" s="170"/>
      <c r="F106" s="170"/>
      <c r="G106" s="160">
        <f t="shared" si="68"/>
        <v>0</v>
      </c>
      <c r="H106" s="428"/>
      <c r="I106" s="163">
        <v>0</v>
      </c>
      <c r="J106" s="164">
        <v>0</v>
      </c>
      <c r="K106" s="165">
        <f t="shared" si="74"/>
        <v>0</v>
      </c>
      <c r="L106" s="163">
        <v>0</v>
      </c>
      <c r="M106" s="164">
        <v>0</v>
      </c>
      <c r="N106" s="168">
        <f t="shared" si="75"/>
        <v>0</v>
      </c>
      <c r="O106" s="166">
        <v>0</v>
      </c>
      <c r="P106" s="167">
        <v>0</v>
      </c>
      <c r="Q106" s="126">
        <f t="shared" si="73"/>
        <v>0</v>
      </c>
      <c r="R106" s="169">
        <f t="shared" si="72"/>
        <v>0</v>
      </c>
      <c r="S106" s="281"/>
      <c r="T106" s="283"/>
      <c r="U106" s="282"/>
      <c r="V106" s="109"/>
    </row>
    <row r="107" spans="2:22" s="144" customFormat="1" x14ac:dyDescent="0.25">
      <c r="B107" s="73"/>
      <c r="C107" s="127" t="s">
        <v>147</v>
      </c>
      <c r="D107" s="162"/>
      <c r="E107" s="170"/>
      <c r="F107" s="170"/>
      <c r="G107" s="160">
        <f t="shared" si="68"/>
        <v>0</v>
      </c>
      <c r="H107" s="428"/>
      <c r="I107" s="163">
        <v>0</v>
      </c>
      <c r="J107" s="164">
        <v>0</v>
      </c>
      <c r="K107" s="165">
        <f t="shared" si="74"/>
        <v>0</v>
      </c>
      <c r="L107" s="166">
        <v>0</v>
      </c>
      <c r="M107" s="167">
        <v>0</v>
      </c>
      <c r="N107" s="168">
        <f t="shared" si="75"/>
        <v>0</v>
      </c>
      <c r="O107" s="166">
        <v>0</v>
      </c>
      <c r="P107" s="167">
        <v>0</v>
      </c>
      <c r="Q107" s="126">
        <f t="shared" si="73"/>
        <v>0</v>
      </c>
      <c r="R107" s="169">
        <f t="shared" si="72"/>
        <v>0</v>
      </c>
      <c r="S107" s="281"/>
      <c r="T107" s="283"/>
      <c r="U107" s="282"/>
      <c r="V107" s="109"/>
    </row>
    <row r="108" spans="2:22" s="144" customFormat="1" ht="15.75" customHeight="1" thickBot="1" x14ac:dyDescent="0.3">
      <c r="C108" s="171" t="s">
        <v>148</v>
      </c>
      <c r="D108" s="172">
        <f>SUM(D101:D107)</f>
        <v>0</v>
      </c>
      <c r="E108" s="173">
        <f>SUM(E101:E107)</f>
        <v>0</v>
      </c>
      <c r="F108" s="173">
        <f>SUM(F101:F107)</f>
        <v>0</v>
      </c>
      <c r="G108" s="206">
        <f t="shared" si="68"/>
        <v>0</v>
      </c>
      <c r="H108" s="428"/>
      <c r="I108" s="175">
        <f>SUM(I101:I107)</f>
        <v>0</v>
      </c>
      <c r="J108" s="176">
        <f>SUM(J101:J107)</f>
        <v>0</v>
      </c>
      <c r="K108" s="177">
        <f>+D108+I108-J108</f>
        <v>0</v>
      </c>
      <c r="L108" s="178">
        <f>SUM(L101:L107)</f>
        <v>0</v>
      </c>
      <c r="M108" s="179">
        <f>SUM(M101:M107)</f>
        <v>0</v>
      </c>
      <c r="N108" s="180">
        <f>E108+L108-M108</f>
        <v>0</v>
      </c>
      <c r="O108" s="181">
        <f>SUM(O101:O107)</f>
        <v>0</v>
      </c>
      <c r="P108" s="182">
        <f>SUM(P101:P107)</f>
        <v>0</v>
      </c>
      <c r="Q108" s="183">
        <f>F108+O108-P108</f>
        <v>0</v>
      </c>
      <c r="R108" s="184">
        <f>+K108+N108+Q108</f>
        <v>0</v>
      </c>
      <c r="S108" s="134"/>
      <c r="T108" s="284"/>
      <c r="U108" s="135"/>
      <c r="V108" s="136"/>
    </row>
    <row r="109" spans="2:22" ht="16.5" thickBot="1" x14ac:dyDescent="0.3">
      <c r="C109" s="397"/>
      <c r="D109" s="397"/>
      <c r="E109" s="397"/>
      <c r="F109" s="397"/>
      <c r="G109" s="397"/>
      <c r="H109" s="397"/>
      <c r="I109" s="397"/>
      <c r="J109" s="397"/>
      <c r="K109" s="397"/>
      <c r="L109" s="397"/>
    </row>
    <row r="110" spans="2:22" ht="15.75" customHeight="1" thickBot="1" x14ac:dyDescent="0.3">
      <c r="B110" s="424" t="s">
        <v>162</v>
      </c>
      <c r="C110" s="425"/>
      <c r="D110" s="425"/>
      <c r="E110" s="425"/>
      <c r="F110" s="425"/>
      <c r="G110" s="426"/>
      <c r="H110" s="399"/>
      <c r="I110" s="201"/>
      <c r="J110" s="201"/>
      <c r="K110" s="201"/>
      <c r="L110" s="201"/>
    </row>
    <row r="111" spans="2:22" s="144" customFormat="1" ht="32.25" thickBot="1" x14ac:dyDescent="0.3">
      <c r="C111" s="145" t="s">
        <v>63</v>
      </c>
      <c r="D111" s="146"/>
      <c r="E111" s="146"/>
      <c r="F111" s="146"/>
      <c r="G111" s="147"/>
      <c r="H111" s="399"/>
      <c r="I111" s="148" t="s">
        <v>136</v>
      </c>
      <c r="J111" s="149" t="s">
        <v>137</v>
      </c>
      <c r="K111" s="150" t="s">
        <v>150</v>
      </c>
      <c r="L111" s="151" t="s">
        <v>136</v>
      </c>
      <c r="M111" s="152" t="s">
        <v>137</v>
      </c>
      <c r="N111" s="153" t="s">
        <v>150</v>
      </c>
      <c r="O111" s="154" t="s">
        <v>136</v>
      </c>
      <c r="P111" s="155" t="s">
        <v>137</v>
      </c>
      <c r="Q111" s="156" t="s">
        <v>150</v>
      </c>
      <c r="R111" s="157" t="s">
        <v>151</v>
      </c>
    </row>
    <row r="112" spans="2:22" s="144" customFormat="1" ht="22.5" customHeight="1" thickBot="1" x14ac:dyDescent="0.3">
      <c r="C112" s="158" t="s">
        <v>163</v>
      </c>
      <c r="D112" s="159">
        <f>D120</f>
        <v>0</v>
      </c>
      <c r="E112" s="159">
        <f t="shared" ref="E112:F112" si="76">E120</f>
        <v>0</v>
      </c>
      <c r="F112" s="159">
        <f t="shared" si="76"/>
        <v>60000</v>
      </c>
      <c r="G112" s="160">
        <f t="shared" ref="G112:G119" si="77">SUM(D112:F112)</f>
        <v>60000</v>
      </c>
      <c r="H112" s="399"/>
      <c r="I112" s="148">
        <f t="shared" ref="I112:N112" si="78">+I120</f>
        <v>0</v>
      </c>
      <c r="J112" s="149">
        <f t="shared" si="78"/>
        <v>0</v>
      </c>
      <c r="K112" s="150">
        <f t="shared" si="78"/>
        <v>0</v>
      </c>
      <c r="L112" s="151">
        <f t="shared" si="78"/>
        <v>0</v>
      </c>
      <c r="M112" s="152">
        <f t="shared" si="78"/>
        <v>0</v>
      </c>
      <c r="N112" s="153">
        <f t="shared" si="78"/>
        <v>0</v>
      </c>
      <c r="O112" s="154">
        <f>O120</f>
        <v>45000</v>
      </c>
      <c r="P112" s="155">
        <f>+P120</f>
        <v>45000</v>
      </c>
      <c r="Q112" s="156">
        <f>+Q120</f>
        <v>60000</v>
      </c>
      <c r="R112" s="161">
        <f>+R120</f>
        <v>60000</v>
      </c>
      <c r="S112" s="190"/>
      <c r="T112" s="153">
        <f>+T120</f>
        <v>0</v>
      </c>
      <c r="U112" s="287">
        <f>+U120</f>
        <v>32509.030000000002</v>
      </c>
      <c r="V112" s="280">
        <f t="shared" ref="V112:V117" si="79">U112+T112</f>
        <v>32509.030000000002</v>
      </c>
    </row>
    <row r="113" spans="3:22" s="144" customFormat="1" x14ac:dyDescent="0.25">
      <c r="C113" s="117" t="s">
        <v>141</v>
      </c>
      <c r="D113" s="162"/>
      <c r="E113" s="22"/>
      <c r="F113" s="22"/>
      <c r="G113" s="160">
        <f t="shared" si="77"/>
        <v>0</v>
      </c>
      <c r="H113" s="399"/>
      <c r="I113" s="163">
        <v>0</v>
      </c>
      <c r="J113" s="164">
        <v>0</v>
      </c>
      <c r="K113" s="165">
        <f t="shared" ref="K113:K114" si="80">+D113+I113-J113</f>
        <v>0</v>
      </c>
      <c r="L113" s="166">
        <v>0</v>
      </c>
      <c r="M113" s="167">
        <v>0</v>
      </c>
      <c r="N113" s="168">
        <f t="shared" ref="N113:N114" si="81">E113+L113-M113</f>
        <v>0</v>
      </c>
      <c r="O113" s="124">
        <v>0</v>
      </c>
      <c r="P113" s="125">
        <v>0</v>
      </c>
      <c r="Q113" s="126">
        <f>F113+O113-P113</f>
        <v>0</v>
      </c>
      <c r="R113" s="169">
        <f t="shared" ref="R113:R119" si="82">K113+N113+Q113</f>
        <v>0</v>
      </c>
      <c r="S113" s="281"/>
      <c r="T113" s="297">
        <v>0</v>
      </c>
      <c r="U113" s="290">
        <v>0</v>
      </c>
      <c r="V113" s="109">
        <f t="shared" si="79"/>
        <v>0</v>
      </c>
    </row>
    <row r="114" spans="3:22" s="144" customFormat="1" x14ac:dyDescent="0.25">
      <c r="C114" s="127" t="s">
        <v>142</v>
      </c>
      <c r="D114" s="162"/>
      <c r="E114" s="22"/>
      <c r="F114" s="22"/>
      <c r="G114" s="160">
        <f t="shared" si="77"/>
        <v>0</v>
      </c>
      <c r="H114" s="399"/>
      <c r="I114" s="163">
        <v>0</v>
      </c>
      <c r="J114" s="164">
        <v>0</v>
      </c>
      <c r="K114" s="165">
        <f t="shared" si="80"/>
        <v>0</v>
      </c>
      <c r="L114" s="166">
        <v>0</v>
      </c>
      <c r="M114" s="167">
        <v>0</v>
      </c>
      <c r="N114" s="168">
        <f t="shared" si="81"/>
        <v>0</v>
      </c>
      <c r="O114" s="124">
        <v>4000</v>
      </c>
      <c r="P114" s="125">
        <v>0</v>
      </c>
      <c r="Q114" s="126">
        <f t="shared" ref="Q114:Q119" si="83">F114+O114-P114</f>
        <v>4000</v>
      </c>
      <c r="R114" s="169">
        <f t="shared" si="82"/>
        <v>4000</v>
      </c>
      <c r="S114" s="281"/>
      <c r="T114" s="297">
        <v>0</v>
      </c>
      <c r="U114" s="290">
        <v>970.28</v>
      </c>
      <c r="V114" s="109">
        <f t="shared" si="79"/>
        <v>970.28</v>
      </c>
    </row>
    <row r="115" spans="3:22" s="144" customFormat="1" ht="15.75" customHeight="1" x14ac:dyDescent="0.25">
      <c r="C115" s="127" t="s">
        <v>143</v>
      </c>
      <c r="D115" s="162"/>
      <c r="E115" s="170"/>
      <c r="F115" s="170"/>
      <c r="G115" s="160">
        <f t="shared" si="77"/>
        <v>0</v>
      </c>
      <c r="H115" s="399"/>
      <c r="I115" s="163">
        <v>0</v>
      </c>
      <c r="J115" s="164">
        <v>0</v>
      </c>
      <c r="K115" s="165">
        <v>0</v>
      </c>
      <c r="L115" s="166">
        <v>0</v>
      </c>
      <c r="M115" s="167">
        <v>0</v>
      </c>
      <c r="N115" s="168">
        <f>+E115+L115-M115</f>
        <v>0</v>
      </c>
      <c r="O115" s="166">
        <v>0</v>
      </c>
      <c r="P115" s="167">
        <v>0</v>
      </c>
      <c r="Q115" s="126">
        <f t="shared" si="83"/>
        <v>0</v>
      </c>
      <c r="R115" s="169">
        <f t="shared" si="82"/>
        <v>0</v>
      </c>
      <c r="S115" s="281"/>
      <c r="T115" s="297">
        <v>0</v>
      </c>
      <c r="U115" s="290">
        <v>0</v>
      </c>
      <c r="V115" s="109">
        <f t="shared" si="79"/>
        <v>0</v>
      </c>
    </row>
    <row r="116" spans="3:22" s="144" customFormat="1" x14ac:dyDescent="0.25">
      <c r="C116" s="129" t="s">
        <v>144</v>
      </c>
      <c r="D116" s="162"/>
      <c r="E116" s="170"/>
      <c r="F116" s="170">
        <v>12000</v>
      </c>
      <c r="G116" s="160">
        <f t="shared" si="77"/>
        <v>12000</v>
      </c>
      <c r="H116" s="399"/>
      <c r="I116" s="163">
        <v>0</v>
      </c>
      <c r="J116" s="164">
        <v>0</v>
      </c>
      <c r="K116" s="165">
        <f t="shared" ref="K116:K119" si="84">+D116+I116-J116</f>
        <v>0</v>
      </c>
      <c r="L116" s="166">
        <v>0</v>
      </c>
      <c r="M116" s="167">
        <v>0</v>
      </c>
      <c r="N116" s="168">
        <f t="shared" ref="N116:N119" si="85">E116+L116-M116</f>
        <v>0</v>
      </c>
      <c r="O116" s="166">
        <v>38000</v>
      </c>
      <c r="P116" s="167">
        <v>0</v>
      </c>
      <c r="Q116" s="126">
        <f t="shared" si="83"/>
        <v>50000</v>
      </c>
      <c r="R116" s="169">
        <f t="shared" si="82"/>
        <v>50000</v>
      </c>
      <c r="S116" s="281"/>
      <c r="T116" s="297">
        <v>0</v>
      </c>
      <c r="U116" s="290">
        <v>31313.620000000003</v>
      </c>
      <c r="V116" s="109">
        <f t="shared" si="79"/>
        <v>31313.620000000003</v>
      </c>
    </row>
    <row r="117" spans="3:22" s="144" customFormat="1" x14ac:dyDescent="0.25">
      <c r="C117" s="127" t="s">
        <v>145</v>
      </c>
      <c r="D117" s="162"/>
      <c r="E117" s="170"/>
      <c r="F117" s="170">
        <v>3000</v>
      </c>
      <c r="G117" s="160">
        <f t="shared" si="77"/>
        <v>3000</v>
      </c>
      <c r="H117" s="399"/>
      <c r="I117" s="163">
        <v>0</v>
      </c>
      <c r="J117" s="164">
        <v>0</v>
      </c>
      <c r="K117" s="165">
        <f t="shared" si="84"/>
        <v>0</v>
      </c>
      <c r="L117" s="163">
        <v>0</v>
      </c>
      <c r="M117" s="164">
        <v>0</v>
      </c>
      <c r="N117" s="168">
        <f t="shared" si="85"/>
        <v>0</v>
      </c>
      <c r="O117" s="166">
        <v>0</v>
      </c>
      <c r="P117" s="167">
        <v>0</v>
      </c>
      <c r="Q117" s="126">
        <f t="shared" si="83"/>
        <v>3000</v>
      </c>
      <c r="R117" s="169">
        <f t="shared" si="82"/>
        <v>3000</v>
      </c>
      <c r="S117" s="281"/>
      <c r="T117" s="298">
        <v>0</v>
      </c>
      <c r="U117" s="290">
        <v>0</v>
      </c>
      <c r="V117" s="109">
        <f t="shared" si="79"/>
        <v>0</v>
      </c>
    </row>
    <row r="118" spans="3:22" s="144" customFormat="1" x14ac:dyDescent="0.25">
      <c r="C118" s="127" t="s">
        <v>146</v>
      </c>
      <c r="D118" s="162"/>
      <c r="E118" s="170"/>
      <c r="F118" s="170">
        <v>45000</v>
      </c>
      <c r="G118" s="160">
        <f t="shared" si="77"/>
        <v>45000</v>
      </c>
      <c r="H118" s="399"/>
      <c r="I118" s="163">
        <v>0</v>
      </c>
      <c r="J118" s="164">
        <v>0</v>
      </c>
      <c r="K118" s="165">
        <f t="shared" si="84"/>
        <v>0</v>
      </c>
      <c r="L118" s="163">
        <v>0</v>
      </c>
      <c r="M118" s="164">
        <v>0</v>
      </c>
      <c r="N118" s="168">
        <f t="shared" si="85"/>
        <v>0</v>
      </c>
      <c r="O118" s="166">
        <v>0</v>
      </c>
      <c r="P118" s="167">
        <v>45000</v>
      </c>
      <c r="Q118" s="126">
        <f t="shared" si="83"/>
        <v>0</v>
      </c>
      <c r="R118" s="169">
        <f t="shared" si="82"/>
        <v>0</v>
      </c>
      <c r="S118" s="281"/>
      <c r="T118" s="298">
        <v>0</v>
      </c>
      <c r="U118" s="290">
        <v>0</v>
      </c>
      <c r="V118" s="109">
        <f>U118+U118</f>
        <v>0</v>
      </c>
    </row>
    <row r="119" spans="3:22" s="144" customFormat="1" x14ac:dyDescent="0.25">
      <c r="C119" s="127" t="s">
        <v>147</v>
      </c>
      <c r="D119" s="162"/>
      <c r="E119" s="170"/>
      <c r="F119" s="170"/>
      <c r="G119" s="160">
        <f t="shared" si="77"/>
        <v>0</v>
      </c>
      <c r="H119" s="399"/>
      <c r="I119" s="163">
        <v>0</v>
      </c>
      <c r="J119" s="164">
        <v>0</v>
      </c>
      <c r="K119" s="165">
        <f t="shared" si="84"/>
        <v>0</v>
      </c>
      <c r="L119" s="166">
        <v>0</v>
      </c>
      <c r="M119" s="167">
        <v>0</v>
      </c>
      <c r="N119" s="168">
        <f t="shared" si="85"/>
        <v>0</v>
      </c>
      <c r="O119" s="166">
        <v>3000</v>
      </c>
      <c r="P119" s="167">
        <v>0</v>
      </c>
      <c r="Q119" s="126">
        <f t="shared" si="83"/>
        <v>3000</v>
      </c>
      <c r="R119" s="169">
        <f t="shared" si="82"/>
        <v>3000</v>
      </c>
      <c r="S119" s="281"/>
      <c r="T119" s="297">
        <v>0</v>
      </c>
      <c r="U119" s="290">
        <v>225.13</v>
      </c>
      <c r="V119" s="109">
        <f>U119</f>
        <v>225.13</v>
      </c>
    </row>
    <row r="120" spans="3:22" s="144" customFormat="1" ht="16.5" thickBot="1" x14ac:dyDescent="0.3">
      <c r="C120" s="171" t="s">
        <v>148</v>
      </c>
      <c r="D120" s="172">
        <f t="shared" ref="D120:G120" si="86">SUM(D113:D119)</f>
        <v>0</v>
      </c>
      <c r="E120" s="173">
        <f t="shared" si="86"/>
        <v>0</v>
      </c>
      <c r="F120" s="173">
        <f t="shared" si="86"/>
        <v>60000</v>
      </c>
      <c r="G120" s="174">
        <f t="shared" si="86"/>
        <v>60000</v>
      </c>
      <c r="H120" s="399"/>
      <c r="I120" s="175">
        <f>SUM(I113:I119)</f>
        <v>0</v>
      </c>
      <c r="J120" s="176">
        <f>SUM(J113:J119)</f>
        <v>0</v>
      </c>
      <c r="K120" s="177">
        <f>+D120+I120-J120</f>
        <v>0</v>
      </c>
      <c r="L120" s="178">
        <f>SUM(L113:L119)</f>
        <v>0</v>
      </c>
      <c r="M120" s="179">
        <f>SUM(M113:M119)</f>
        <v>0</v>
      </c>
      <c r="N120" s="180">
        <f>E120+L120-M120</f>
        <v>0</v>
      </c>
      <c r="O120" s="181">
        <f>SUM(O113:O119)</f>
        <v>45000</v>
      </c>
      <c r="P120" s="182">
        <f>SUM(P113:P119)</f>
        <v>45000</v>
      </c>
      <c r="Q120" s="183">
        <f>F120+O120-P120</f>
        <v>60000</v>
      </c>
      <c r="R120" s="184">
        <f>+K120+N120+Q120</f>
        <v>60000</v>
      </c>
      <c r="S120" s="134"/>
      <c r="T120" s="296">
        <f>SUM(T113:T119)</f>
        <v>0</v>
      </c>
      <c r="U120" s="291">
        <f>+SUM(U113:U119)</f>
        <v>32509.030000000002</v>
      </c>
      <c r="V120" s="136">
        <f>U120+T120</f>
        <v>32509.030000000002</v>
      </c>
    </row>
    <row r="121" spans="3:22" s="5" customFormat="1" ht="16.5" thickBot="1" x14ac:dyDescent="0.3">
      <c r="C121" s="393"/>
      <c r="D121" s="394"/>
      <c r="E121" s="394"/>
      <c r="F121" s="394"/>
      <c r="G121" s="394"/>
      <c r="H121" s="394"/>
      <c r="I121" s="395"/>
      <c r="J121" s="395"/>
      <c r="K121" s="395"/>
      <c r="L121" s="395"/>
    </row>
    <row r="122" spans="3:22" ht="32.25" customHeight="1" thickBot="1" x14ac:dyDescent="0.3">
      <c r="C122" s="186" t="s">
        <v>164</v>
      </c>
      <c r="D122" s="187"/>
      <c r="E122" s="187"/>
      <c r="F122" s="187"/>
      <c r="G122" s="188"/>
      <c r="H122" s="399"/>
      <c r="I122" s="148" t="s">
        <v>136</v>
      </c>
      <c r="J122" s="149" t="s">
        <v>137</v>
      </c>
      <c r="K122" s="150" t="s">
        <v>150</v>
      </c>
      <c r="L122" s="151" t="s">
        <v>136</v>
      </c>
      <c r="M122" s="152" t="s">
        <v>137</v>
      </c>
      <c r="N122" s="153" t="s">
        <v>150</v>
      </c>
      <c r="O122" s="154" t="s">
        <v>136</v>
      </c>
      <c r="P122" s="155" t="s">
        <v>137</v>
      </c>
      <c r="Q122" s="156" t="s">
        <v>150</v>
      </c>
      <c r="R122" s="157" t="s">
        <v>151</v>
      </c>
    </row>
    <row r="123" spans="3:22" ht="21.75" customHeight="1" thickBot="1" x14ac:dyDescent="0.3">
      <c r="C123" s="104" t="s">
        <v>165</v>
      </c>
      <c r="D123" s="105">
        <f>D131</f>
        <v>100000</v>
      </c>
      <c r="E123" s="105">
        <f t="shared" ref="E123:F123" si="87">E131</f>
        <v>50000</v>
      </c>
      <c r="F123" s="105">
        <f t="shared" si="87"/>
        <v>85000</v>
      </c>
      <c r="G123" s="106">
        <f t="shared" ref="G123:G130" si="88">SUM(D123:F123)</f>
        <v>235000</v>
      </c>
      <c r="H123" s="399"/>
      <c r="I123" s="190">
        <f t="shared" ref="I123:N123" si="89">+I131</f>
        <v>87000</v>
      </c>
      <c r="J123" s="191">
        <f t="shared" si="89"/>
        <v>50000</v>
      </c>
      <c r="K123" s="192">
        <f t="shared" si="89"/>
        <v>137000</v>
      </c>
      <c r="L123" s="193">
        <f t="shared" si="89"/>
        <v>0</v>
      </c>
      <c r="M123" s="194">
        <f t="shared" si="89"/>
        <v>0</v>
      </c>
      <c r="N123" s="195">
        <f t="shared" si="89"/>
        <v>50000</v>
      </c>
      <c r="O123" s="196">
        <f>O131</f>
        <v>55000</v>
      </c>
      <c r="P123" s="197">
        <f>+P131</f>
        <v>55000</v>
      </c>
      <c r="Q123" s="198">
        <f>+Q131</f>
        <v>85000</v>
      </c>
      <c r="R123" s="199">
        <f>+R131</f>
        <v>272000</v>
      </c>
      <c r="S123" s="190">
        <f>S131</f>
        <v>18037.189999999999</v>
      </c>
      <c r="T123" s="190">
        <f t="shared" ref="T123" si="90">T131</f>
        <v>0</v>
      </c>
      <c r="U123" s="292">
        <f>+U131</f>
        <v>21769.190000000006</v>
      </c>
      <c r="V123" s="190">
        <f>S123+T123+U123</f>
        <v>39806.380000000005</v>
      </c>
    </row>
    <row r="124" spans="3:22" ht="18.75" x14ac:dyDescent="0.3">
      <c r="C124" s="117" t="s">
        <v>141</v>
      </c>
      <c r="D124" s="118"/>
      <c r="E124" s="119"/>
      <c r="F124" s="22"/>
      <c r="G124" s="106">
        <f t="shared" si="88"/>
        <v>0</v>
      </c>
      <c r="H124" s="399"/>
      <c r="I124" s="120">
        <v>0</v>
      </c>
      <c r="J124" s="121">
        <v>0</v>
      </c>
      <c r="K124" s="109">
        <f t="shared" ref="K124:K125" si="91">+D124+I124-J124</f>
        <v>0</v>
      </c>
      <c r="L124" s="122">
        <v>0</v>
      </c>
      <c r="M124" s="123">
        <v>0</v>
      </c>
      <c r="N124" s="112">
        <f t="shared" ref="N124:N125" si="92">E124+L124-M124</f>
        <v>0</v>
      </c>
      <c r="O124" s="124">
        <v>0</v>
      </c>
      <c r="P124" s="125">
        <v>0</v>
      </c>
      <c r="Q124" s="126">
        <f>F124+O124-P124</f>
        <v>0</v>
      </c>
      <c r="R124" s="116">
        <f t="shared" ref="R124:R130" si="93">K124+N124+Q124</f>
        <v>0</v>
      </c>
      <c r="S124" s="281">
        <v>0</v>
      </c>
      <c r="T124" s="281">
        <v>0</v>
      </c>
      <c r="U124" s="293">
        <v>0</v>
      </c>
      <c r="V124" s="109">
        <f>S124+T124+U124</f>
        <v>0</v>
      </c>
    </row>
    <row r="125" spans="3:22" ht="18.75" x14ac:dyDescent="0.3">
      <c r="C125" s="127" t="s">
        <v>142</v>
      </c>
      <c r="D125" s="118">
        <v>5000</v>
      </c>
      <c r="E125" s="21"/>
      <c r="F125" s="22">
        <v>5000</v>
      </c>
      <c r="G125" s="106">
        <f t="shared" si="88"/>
        <v>10000</v>
      </c>
      <c r="H125" s="399"/>
      <c r="I125" s="120"/>
      <c r="J125" s="121">
        <v>5000</v>
      </c>
      <c r="K125" s="109">
        <f t="shared" si="91"/>
        <v>0</v>
      </c>
      <c r="L125" s="122">
        <v>0</v>
      </c>
      <c r="M125" s="123">
        <v>0</v>
      </c>
      <c r="N125" s="112">
        <f t="shared" si="92"/>
        <v>0</v>
      </c>
      <c r="O125" s="124">
        <v>10000</v>
      </c>
      <c r="P125" s="125">
        <v>0</v>
      </c>
      <c r="Q125" s="126">
        <f t="shared" ref="Q125:Q130" si="94">F125+O125-P125</f>
        <v>15000</v>
      </c>
      <c r="R125" s="116">
        <f t="shared" si="93"/>
        <v>15000</v>
      </c>
      <c r="S125" s="281">
        <v>0</v>
      </c>
      <c r="T125" s="281">
        <v>0</v>
      </c>
      <c r="U125" s="293">
        <v>9.89</v>
      </c>
      <c r="V125" s="109">
        <f t="shared" ref="V125:V130" si="95">S125+T125+U125</f>
        <v>9.89</v>
      </c>
    </row>
    <row r="126" spans="3:22" ht="31.5" x14ac:dyDescent="0.3">
      <c r="C126" s="127" t="s">
        <v>143</v>
      </c>
      <c r="D126" s="118"/>
      <c r="E126" s="128">
        <v>10000</v>
      </c>
      <c r="F126" s="128"/>
      <c r="G126" s="106">
        <f t="shared" si="88"/>
        <v>10000</v>
      </c>
      <c r="H126" s="399"/>
      <c r="I126" s="120">
        <v>0</v>
      </c>
      <c r="J126" s="121">
        <v>0</v>
      </c>
      <c r="K126" s="109">
        <v>0</v>
      </c>
      <c r="L126" s="122">
        <v>0</v>
      </c>
      <c r="M126" s="123">
        <v>0</v>
      </c>
      <c r="N126" s="112">
        <f>+E126+L126-M126</f>
        <v>10000</v>
      </c>
      <c r="O126" s="122">
        <v>0</v>
      </c>
      <c r="P126" s="123">
        <v>0</v>
      </c>
      <c r="Q126" s="126">
        <f t="shared" si="94"/>
        <v>0</v>
      </c>
      <c r="R126" s="116">
        <f t="shared" si="93"/>
        <v>10000</v>
      </c>
      <c r="S126" s="281">
        <v>0</v>
      </c>
      <c r="T126" s="281">
        <v>0</v>
      </c>
      <c r="U126" s="293">
        <v>0</v>
      </c>
      <c r="V126" s="109">
        <f t="shared" si="95"/>
        <v>0</v>
      </c>
    </row>
    <row r="127" spans="3:22" ht="18.75" x14ac:dyDescent="0.3">
      <c r="C127" s="129" t="s">
        <v>144</v>
      </c>
      <c r="D127" s="118">
        <v>50000</v>
      </c>
      <c r="E127" s="128"/>
      <c r="F127" s="128">
        <v>10000</v>
      </c>
      <c r="G127" s="106">
        <f t="shared" si="88"/>
        <v>60000</v>
      </c>
      <c r="H127" s="399"/>
      <c r="I127" s="120">
        <f>100000-13000</f>
        <v>87000</v>
      </c>
      <c r="J127" s="121"/>
      <c r="K127" s="109">
        <f t="shared" ref="K127:K130" si="96">+D127+I127-J127</f>
        <v>137000</v>
      </c>
      <c r="L127" s="122">
        <v>0</v>
      </c>
      <c r="M127" s="123">
        <v>0</v>
      </c>
      <c r="N127" s="112">
        <f t="shared" ref="N127:N130" si="97">E127+L127-M127</f>
        <v>0</v>
      </c>
      <c r="O127" s="122">
        <v>20000</v>
      </c>
      <c r="P127" s="123">
        <v>0</v>
      </c>
      <c r="Q127" s="126">
        <f t="shared" si="94"/>
        <v>30000</v>
      </c>
      <c r="R127" s="116">
        <f t="shared" si="93"/>
        <v>167000</v>
      </c>
      <c r="S127" s="281">
        <f>18037.19</f>
        <v>18037.189999999999</v>
      </c>
      <c r="T127" s="281">
        <v>0</v>
      </c>
      <c r="U127" s="293">
        <v>0</v>
      </c>
      <c r="V127" s="109">
        <f t="shared" si="95"/>
        <v>18037.189999999999</v>
      </c>
    </row>
    <row r="128" spans="3:22" ht="18.75" x14ac:dyDescent="0.3">
      <c r="C128" s="127" t="s">
        <v>145</v>
      </c>
      <c r="D128" s="118">
        <v>15000</v>
      </c>
      <c r="E128" s="128"/>
      <c r="F128" s="128">
        <v>15000</v>
      </c>
      <c r="G128" s="106">
        <f t="shared" si="88"/>
        <v>30000</v>
      </c>
      <c r="H128" s="399"/>
      <c r="I128" s="120">
        <v>0</v>
      </c>
      <c r="J128" s="121">
        <v>15000</v>
      </c>
      <c r="K128" s="109">
        <f t="shared" si="96"/>
        <v>0</v>
      </c>
      <c r="L128" s="120">
        <v>0</v>
      </c>
      <c r="M128" s="121">
        <v>0</v>
      </c>
      <c r="N128" s="112">
        <f t="shared" si="97"/>
        <v>0</v>
      </c>
      <c r="O128" s="122">
        <v>15000</v>
      </c>
      <c r="P128" s="123">
        <v>0</v>
      </c>
      <c r="Q128" s="126">
        <f t="shared" si="94"/>
        <v>30000</v>
      </c>
      <c r="R128" s="116">
        <f t="shared" si="93"/>
        <v>30000</v>
      </c>
      <c r="S128" s="281">
        <v>0</v>
      </c>
      <c r="T128" s="281">
        <v>0</v>
      </c>
      <c r="U128" s="293">
        <v>21704.060000000005</v>
      </c>
      <c r="V128" s="109">
        <f t="shared" si="95"/>
        <v>21704.060000000005</v>
      </c>
    </row>
    <row r="129" spans="3:22" ht="18.75" x14ac:dyDescent="0.3">
      <c r="C129" s="127" t="s">
        <v>146</v>
      </c>
      <c r="D129" s="118">
        <v>30000</v>
      </c>
      <c r="E129" s="128">
        <v>40000</v>
      </c>
      <c r="F129" s="128">
        <v>55000</v>
      </c>
      <c r="G129" s="106">
        <f t="shared" si="88"/>
        <v>125000</v>
      </c>
      <c r="H129" s="399"/>
      <c r="I129" s="120"/>
      <c r="J129" s="121">
        <v>30000</v>
      </c>
      <c r="K129" s="109">
        <f t="shared" si="96"/>
        <v>0</v>
      </c>
      <c r="L129" s="120">
        <v>0</v>
      </c>
      <c r="M129" s="121">
        <v>0</v>
      </c>
      <c r="N129" s="112">
        <f t="shared" si="97"/>
        <v>40000</v>
      </c>
      <c r="O129" s="122">
        <v>0</v>
      </c>
      <c r="P129" s="123">
        <v>55000</v>
      </c>
      <c r="Q129" s="126">
        <f t="shared" si="94"/>
        <v>0</v>
      </c>
      <c r="R129" s="116">
        <f t="shared" si="93"/>
        <v>40000</v>
      </c>
      <c r="S129" s="281">
        <v>0</v>
      </c>
      <c r="T129" s="281">
        <v>0</v>
      </c>
      <c r="U129" s="293">
        <v>0</v>
      </c>
      <c r="V129" s="109">
        <f t="shared" si="95"/>
        <v>0</v>
      </c>
    </row>
    <row r="130" spans="3:22" ht="18.75" x14ac:dyDescent="0.3">
      <c r="C130" s="127" t="s">
        <v>147</v>
      </c>
      <c r="D130" s="118"/>
      <c r="E130" s="128"/>
      <c r="F130" s="128"/>
      <c r="G130" s="106">
        <f t="shared" si="88"/>
        <v>0</v>
      </c>
      <c r="H130" s="399"/>
      <c r="I130" s="120">
        <v>0</v>
      </c>
      <c r="J130" s="121">
        <v>0</v>
      </c>
      <c r="K130" s="109">
        <f t="shared" si="96"/>
        <v>0</v>
      </c>
      <c r="L130" s="122">
        <v>0</v>
      </c>
      <c r="M130" s="123">
        <v>0</v>
      </c>
      <c r="N130" s="112">
        <f t="shared" si="97"/>
        <v>0</v>
      </c>
      <c r="O130" s="122">
        <v>10000</v>
      </c>
      <c r="P130" s="123">
        <v>0</v>
      </c>
      <c r="Q130" s="126">
        <f t="shared" si="94"/>
        <v>10000</v>
      </c>
      <c r="R130" s="116">
        <f t="shared" si="93"/>
        <v>10000</v>
      </c>
      <c r="S130" s="281">
        <v>0</v>
      </c>
      <c r="T130" s="281">
        <v>0</v>
      </c>
      <c r="U130" s="293">
        <v>55.239999999999995</v>
      </c>
      <c r="V130" s="109">
        <f t="shared" si="95"/>
        <v>55.239999999999995</v>
      </c>
    </row>
    <row r="131" spans="3:22" ht="18.75" thickBot="1" x14ac:dyDescent="0.3">
      <c r="C131" s="130" t="s">
        <v>148</v>
      </c>
      <c r="D131" s="131">
        <f t="shared" ref="D131:G131" si="98">SUM(D124:D130)</f>
        <v>100000</v>
      </c>
      <c r="E131" s="132">
        <f t="shared" si="98"/>
        <v>50000</v>
      </c>
      <c r="F131" s="132">
        <f t="shared" si="98"/>
        <v>85000</v>
      </c>
      <c r="G131" s="133">
        <f t="shared" si="98"/>
        <v>235000</v>
      </c>
      <c r="H131" s="399"/>
      <c r="I131" s="134">
        <f>SUM(I124:I130)</f>
        <v>87000</v>
      </c>
      <c r="J131" s="135">
        <f>SUM(J124:J130)</f>
        <v>50000</v>
      </c>
      <c r="K131" s="136">
        <f>+D131+I131-J131</f>
        <v>137000</v>
      </c>
      <c r="L131" s="137">
        <f>SUM(L124:L130)</f>
        <v>0</v>
      </c>
      <c r="M131" s="138">
        <f>SUM(M124:M130)</f>
        <v>0</v>
      </c>
      <c r="N131" s="139">
        <f>E131+L131-M131</f>
        <v>50000</v>
      </c>
      <c r="O131" s="140">
        <f>SUM(O124:O130)</f>
        <v>55000</v>
      </c>
      <c r="P131" s="141">
        <f>SUM(P124:P130)</f>
        <v>55000</v>
      </c>
      <c r="Q131" s="142">
        <f>F131+O131-P131</f>
        <v>85000</v>
      </c>
      <c r="R131" s="143">
        <f>+K131+N131+Q131</f>
        <v>272000</v>
      </c>
      <c r="S131" s="134">
        <f>S124+S125+S126+S127+S128+S129+S130</f>
        <v>18037.189999999999</v>
      </c>
      <c r="T131" s="134">
        <f t="shared" ref="T131:V131" si="99">T124+T125+T126+T127+T128+T129+T130</f>
        <v>0</v>
      </c>
      <c r="U131" s="294">
        <f>+SUM(U124:U130)</f>
        <v>21769.190000000006</v>
      </c>
      <c r="V131" s="134">
        <f t="shared" si="99"/>
        <v>39806.379999999997</v>
      </c>
    </row>
    <row r="132" spans="3:22" s="5" customFormat="1" ht="16.5" thickBot="1" x14ac:dyDescent="0.3">
      <c r="C132" s="393"/>
      <c r="D132" s="394"/>
      <c r="E132" s="394"/>
      <c r="F132" s="394"/>
      <c r="G132" s="394"/>
      <c r="H132" s="394"/>
      <c r="I132" s="395"/>
      <c r="J132" s="395"/>
      <c r="K132" s="395"/>
      <c r="L132" s="395"/>
    </row>
    <row r="133" spans="3:22" s="144" customFormat="1" ht="32.25" thickBot="1" x14ac:dyDescent="0.3">
      <c r="C133" s="145" t="s">
        <v>79</v>
      </c>
      <c r="D133" s="146"/>
      <c r="E133" s="146"/>
      <c r="F133" s="146"/>
      <c r="G133" s="147"/>
      <c r="H133" s="422"/>
      <c r="I133" s="148" t="s">
        <v>136</v>
      </c>
      <c r="J133" s="149" t="s">
        <v>137</v>
      </c>
      <c r="K133" s="150" t="s">
        <v>150</v>
      </c>
      <c r="L133" s="151" t="s">
        <v>136</v>
      </c>
      <c r="M133" s="152" t="s">
        <v>137</v>
      </c>
      <c r="N133" s="153" t="s">
        <v>150</v>
      </c>
      <c r="O133" s="154" t="s">
        <v>136</v>
      </c>
      <c r="P133" s="155" t="s">
        <v>137</v>
      </c>
      <c r="Q133" s="156" t="s">
        <v>150</v>
      </c>
      <c r="R133" s="157" t="s">
        <v>151</v>
      </c>
    </row>
    <row r="134" spans="3:22" s="144" customFormat="1" ht="21" customHeight="1" thickBot="1" x14ac:dyDescent="0.3">
      <c r="C134" s="158" t="s">
        <v>166</v>
      </c>
      <c r="D134" s="159">
        <f>D142</f>
        <v>90000</v>
      </c>
      <c r="E134" s="159">
        <f t="shared" ref="E134:F134" si="100">E142</f>
        <v>80000</v>
      </c>
      <c r="F134" s="159">
        <f t="shared" si="100"/>
        <v>0</v>
      </c>
      <c r="G134" s="160">
        <f t="shared" ref="G134:G141" si="101">SUM(D134:F134)</f>
        <v>170000</v>
      </c>
      <c r="H134" s="422"/>
      <c r="I134" s="148">
        <f t="shared" ref="I134:N134" si="102">+I142</f>
        <v>30000</v>
      </c>
      <c r="J134" s="149">
        <f t="shared" si="102"/>
        <v>30000</v>
      </c>
      <c r="K134" s="150">
        <f t="shared" si="102"/>
        <v>90000</v>
      </c>
      <c r="L134" s="151">
        <f t="shared" si="102"/>
        <v>10000</v>
      </c>
      <c r="M134" s="152">
        <f t="shared" si="102"/>
        <v>0</v>
      </c>
      <c r="N134" s="153">
        <f t="shared" si="102"/>
        <v>90000</v>
      </c>
      <c r="O134" s="154">
        <f>O142</f>
        <v>0</v>
      </c>
      <c r="P134" s="155">
        <f>+P142</f>
        <v>0</v>
      </c>
      <c r="Q134" s="156">
        <f>+Q142</f>
        <v>0</v>
      </c>
      <c r="R134" s="161">
        <f>+R142</f>
        <v>180000</v>
      </c>
      <c r="S134" s="190">
        <f>S142</f>
        <v>45388.31</v>
      </c>
      <c r="T134" s="153">
        <f>+T142</f>
        <v>61641.62</v>
      </c>
      <c r="U134" s="190">
        <f t="shared" ref="U134" si="103">U142</f>
        <v>0</v>
      </c>
      <c r="V134" s="190">
        <f>S134+T134+U134</f>
        <v>107029.93</v>
      </c>
    </row>
    <row r="135" spans="3:22" s="144" customFormat="1" x14ac:dyDescent="0.25">
      <c r="C135" s="117" t="s">
        <v>141</v>
      </c>
      <c r="D135" s="162"/>
      <c r="E135" s="119"/>
      <c r="F135" s="22"/>
      <c r="G135" s="160">
        <f t="shared" si="101"/>
        <v>0</v>
      </c>
      <c r="H135" s="422"/>
      <c r="I135" s="163">
        <v>0</v>
      </c>
      <c r="J135" s="164">
        <v>0</v>
      </c>
      <c r="K135" s="165">
        <f t="shared" ref="K135:K136" si="104">+D135+I135-J135</f>
        <v>0</v>
      </c>
      <c r="L135" s="166">
        <v>0</v>
      </c>
      <c r="M135" s="167">
        <v>0</v>
      </c>
      <c r="N135" s="168">
        <f t="shared" ref="N135:N136" si="105">E135+L135-M135</f>
        <v>0</v>
      </c>
      <c r="O135" s="124">
        <v>0</v>
      </c>
      <c r="P135" s="125">
        <v>0</v>
      </c>
      <c r="Q135" s="126">
        <f>F135+O135-P135</f>
        <v>0</v>
      </c>
      <c r="R135" s="169">
        <f t="shared" ref="R135:R141" si="106">K135+N135+Q135</f>
        <v>0</v>
      </c>
      <c r="S135" s="281">
        <v>0</v>
      </c>
      <c r="T135" s="297">
        <v>0</v>
      </c>
      <c r="U135" s="281">
        <v>0</v>
      </c>
      <c r="V135" s="109">
        <f>S135+T135+U135</f>
        <v>0</v>
      </c>
    </row>
    <row r="136" spans="3:22" s="144" customFormat="1" x14ac:dyDescent="0.25">
      <c r="C136" s="127" t="s">
        <v>142</v>
      </c>
      <c r="D136" s="162">
        <v>5000</v>
      </c>
      <c r="E136" s="21"/>
      <c r="F136" s="22"/>
      <c r="G136" s="160">
        <f t="shared" si="101"/>
        <v>5000</v>
      </c>
      <c r="H136" s="422"/>
      <c r="I136" s="163">
        <v>0</v>
      </c>
      <c r="J136" s="164">
        <v>5000</v>
      </c>
      <c r="K136" s="165">
        <f t="shared" si="104"/>
        <v>0</v>
      </c>
      <c r="L136" s="166">
        <v>0</v>
      </c>
      <c r="M136" s="167">
        <v>0</v>
      </c>
      <c r="N136" s="168">
        <f t="shared" si="105"/>
        <v>0</v>
      </c>
      <c r="O136" s="124">
        <v>0</v>
      </c>
      <c r="P136" s="125">
        <v>0</v>
      </c>
      <c r="Q136" s="126">
        <f t="shared" ref="Q136:Q141" si="107">F136+O136-P136</f>
        <v>0</v>
      </c>
      <c r="R136" s="169">
        <f t="shared" si="106"/>
        <v>0</v>
      </c>
      <c r="S136" s="281">
        <v>0</v>
      </c>
      <c r="T136" s="297">
        <v>0</v>
      </c>
      <c r="U136" s="281">
        <v>0</v>
      </c>
      <c r="V136" s="109">
        <f t="shared" ref="V136:V141" si="108">S136+T136+U136</f>
        <v>0</v>
      </c>
    </row>
    <row r="137" spans="3:22" s="144" customFormat="1" ht="31.5" x14ac:dyDescent="0.25">
      <c r="C137" s="127" t="s">
        <v>143</v>
      </c>
      <c r="D137" s="162"/>
      <c r="E137" s="170">
        <v>10000</v>
      </c>
      <c r="F137" s="170"/>
      <c r="G137" s="160">
        <f t="shared" si="101"/>
        <v>10000</v>
      </c>
      <c r="H137" s="422"/>
      <c r="I137" s="163">
        <v>0</v>
      </c>
      <c r="J137" s="164">
        <v>0</v>
      </c>
      <c r="K137" s="165">
        <v>0</v>
      </c>
      <c r="L137" s="166">
        <v>0</v>
      </c>
      <c r="M137" s="167">
        <v>0</v>
      </c>
      <c r="N137" s="168">
        <f>+E137+L137-M137</f>
        <v>10000</v>
      </c>
      <c r="O137" s="166">
        <v>0</v>
      </c>
      <c r="P137" s="167">
        <v>0</v>
      </c>
      <c r="Q137" s="126">
        <f t="shared" si="107"/>
        <v>0</v>
      </c>
      <c r="R137" s="169">
        <f t="shared" si="106"/>
        <v>10000</v>
      </c>
      <c r="S137" s="281">
        <v>0</v>
      </c>
      <c r="T137" s="297">
        <v>0</v>
      </c>
      <c r="U137" s="281">
        <v>0</v>
      </c>
      <c r="V137" s="109">
        <f t="shared" si="108"/>
        <v>0</v>
      </c>
    </row>
    <row r="138" spans="3:22" s="144" customFormat="1" x14ac:dyDescent="0.25">
      <c r="C138" s="129" t="s">
        <v>144</v>
      </c>
      <c r="D138" s="162">
        <v>60000</v>
      </c>
      <c r="E138" s="170"/>
      <c r="F138" s="170"/>
      <c r="G138" s="160">
        <f t="shared" si="101"/>
        <v>60000</v>
      </c>
      <c r="H138" s="422"/>
      <c r="I138" s="163">
        <v>30000</v>
      </c>
      <c r="J138" s="164">
        <v>0</v>
      </c>
      <c r="K138" s="165">
        <f t="shared" ref="K138:K141" si="109">+D138+I138-J138</f>
        <v>90000</v>
      </c>
      <c r="L138" s="166">
        <v>0</v>
      </c>
      <c r="M138" s="167">
        <v>0</v>
      </c>
      <c r="N138" s="168">
        <f t="shared" ref="N138:N141" si="110">E138+L138-M138</f>
        <v>0</v>
      </c>
      <c r="O138" s="166">
        <v>0</v>
      </c>
      <c r="P138" s="167">
        <v>0</v>
      </c>
      <c r="Q138" s="126">
        <f t="shared" si="107"/>
        <v>0</v>
      </c>
      <c r="R138" s="169">
        <f t="shared" si="106"/>
        <v>90000</v>
      </c>
      <c r="S138" s="281">
        <f>14617.75+30770.56</f>
        <v>45388.31</v>
      </c>
      <c r="T138" s="297">
        <v>0</v>
      </c>
      <c r="U138" s="281">
        <v>0</v>
      </c>
      <c r="V138" s="109">
        <f t="shared" si="108"/>
        <v>45388.31</v>
      </c>
    </row>
    <row r="139" spans="3:22" s="144" customFormat="1" x14ac:dyDescent="0.25">
      <c r="C139" s="127" t="s">
        <v>145</v>
      </c>
      <c r="D139" s="162">
        <v>10000</v>
      </c>
      <c r="E139" s="170"/>
      <c r="F139" s="170"/>
      <c r="G139" s="160">
        <f t="shared" si="101"/>
        <v>10000</v>
      </c>
      <c r="H139" s="422"/>
      <c r="I139" s="163">
        <v>0</v>
      </c>
      <c r="J139" s="164">
        <v>10000</v>
      </c>
      <c r="K139" s="165">
        <f t="shared" si="109"/>
        <v>0</v>
      </c>
      <c r="L139" s="163">
        <v>0</v>
      </c>
      <c r="M139" s="164">
        <v>0</v>
      </c>
      <c r="N139" s="168">
        <f t="shared" si="110"/>
        <v>0</v>
      </c>
      <c r="O139" s="166">
        <v>0</v>
      </c>
      <c r="P139" s="167">
        <v>0</v>
      </c>
      <c r="Q139" s="126">
        <f t="shared" si="107"/>
        <v>0</v>
      </c>
      <c r="R139" s="169">
        <f t="shared" si="106"/>
        <v>0</v>
      </c>
      <c r="S139" s="281">
        <v>0</v>
      </c>
      <c r="T139" s="297">
        <v>0</v>
      </c>
      <c r="U139" s="281">
        <v>0</v>
      </c>
      <c r="V139" s="109">
        <f t="shared" si="108"/>
        <v>0</v>
      </c>
    </row>
    <row r="140" spans="3:22" s="144" customFormat="1" x14ac:dyDescent="0.25">
      <c r="C140" s="127" t="s">
        <v>146</v>
      </c>
      <c r="D140" s="162">
        <v>15000</v>
      </c>
      <c r="E140" s="170">
        <v>70000</v>
      </c>
      <c r="F140" s="170"/>
      <c r="G140" s="160">
        <f t="shared" si="101"/>
        <v>85000</v>
      </c>
      <c r="H140" s="422"/>
      <c r="I140" s="163">
        <v>0</v>
      </c>
      <c r="J140" s="164">
        <v>15000</v>
      </c>
      <c r="K140" s="165">
        <f t="shared" si="109"/>
        <v>0</v>
      </c>
      <c r="L140" s="163">
        <v>10000</v>
      </c>
      <c r="M140" s="164">
        <v>0</v>
      </c>
      <c r="N140" s="168">
        <f t="shared" si="110"/>
        <v>80000</v>
      </c>
      <c r="O140" s="166">
        <v>0</v>
      </c>
      <c r="P140" s="167">
        <v>0</v>
      </c>
      <c r="Q140" s="126">
        <f t="shared" si="107"/>
        <v>0</v>
      </c>
      <c r="R140" s="169">
        <f t="shared" si="106"/>
        <v>80000</v>
      </c>
      <c r="S140" s="281">
        <v>0</v>
      </c>
      <c r="T140" s="297">
        <v>61641.62</v>
      </c>
      <c r="U140" s="281">
        <v>0</v>
      </c>
      <c r="V140" s="109">
        <f t="shared" si="108"/>
        <v>61641.62</v>
      </c>
    </row>
    <row r="141" spans="3:22" s="144" customFormat="1" x14ac:dyDescent="0.25">
      <c r="C141" s="127" t="s">
        <v>147</v>
      </c>
      <c r="D141" s="162"/>
      <c r="E141" s="170"/>
      <c r="F141" s="170"/>
      <c r="G141" s="160">
        <f t="shared" si="101"/>
        <v>0</v>
      </c>
      <c r="H141" s="422"/>
      <c r="I141" s="163">
        <v>0</v>
      </c>
      <c r="J141" s="164">
        <v>0</v>
      </c>
      <c r="K141" s="165">
        <f t="shared" si="109"/>
        <v>0</v>
      </c>
      <c r="L141" s="166">
        <v>0</v>
      </c>
      <c r="M141" s="167">
        <v>0</v>
      </c>
      <c r="N141" s="168">
        <f t="shared" si="110"/>
        <v>0</v>
      </c>
      <c r="O141" s="166">
        <v>0</v>
      </c>
      <c r="P141" s="167">
        <v>0</v>
      </c>
      <c r="Q141" s="126">
        <f t="shared" si="107"/>
        <v>0</v>
      </c>
      <c r="R141" s="169">
        <f t="shared" si="106"/>
        <v>0</v>
      </c>
      <c r="S141" s="281">
        <v>0</v>
      </c>
      <c r="T141" s="297">
        <v>0</v>
      </c>
      <c r="U141" s="281">
        <v>0</v>
      </c>
      <c r="V141" s="109">
        <f t="shared" si="108"/>
        <v>0</v>
      </c>
    </row>
    <row r="142" spans="3:22" s="144" customFormat="1" ht="16.5" thickBot="1" x14ac:dyDescent="0.3">
      <c r="C142" s="171" t="s">
        <v>148</v>
      </c>
      <c r="D142" s="172">
        <f t="shared" ref="D142:G142" si="111">SUM(D135:D141)</f>
        <v>90000</v>
      </c>
      <c r="E142" s="173">
        <f t="shared" si="111"/>
        <v>80000</v>
      </c>
      <c r="F142" s="173">
        <f t="shared" si="111"/>
        <v>0</v>
      </c>
      <c r="G142" s="174">
        <f t="shared" si="111"/>
        <v>170000</v>
      </c>
      <c r="H142" s="422"/>
      <c r="I142" s="175">
        <f>SUM(I135:I141)</f>
        <v>30000</v>
      </c>
      <c r="J142" s="176">
        <f>SUM(J135:J141)</f>
        <v>30000</v>
      </c>
      <c r="K142" s="177">
        <f>+D142+I142-J142</f>
        <v>90000</v>
      </c>
      <c r="L142" s="178">
        <f>SUM(L135:L141)</f>
        <v>10000</v>
      </c>
      <c r="M142" s="179">
        <f>SUM(M135:M141)</f>
        <v>0</v>
      </c>
      <c r="N142" s="261">
        <f>E142+L142-M142</f>
        <v>90000</v>
      </c>
      <c r="O142" s="181">
        <f>SUM(O135:O141)</f>
        <v>0</v>
      </c>
      <c r="P142" s="182">
        <f>SUM(P135:P141)</f>
        <v>0</v>
      </c>
      <c r="Q142" s="183">
        <f>F142+O142-P142</f>
        <v>0</v>
      </c>
      <c r="R142" s="184">
        <f>+K142+N142+Q142</f>
        <v>180000</v>
      </c>
      <c r="S142" s="134">
        <f>S135+S136+S137+S138+S139+S140+S141</f>
        <v>45388.31</v>
      </c>
      <c r="T142" s="296">
        <f>SUM(T135:T141)</f>
        <v>61641.62</v>
      </c>
      <c r="U142" s="134">
        <f t="shared" ref="U142:V142" si="112">U135+U136+U137+U138+U139+U140+U141</f>
        <v>0</v>
      </c>
      <c r="V142" s="134">
        <f t="shared" si="112"/>
        <v>107029.93</v>
      </c>
    </row>
    <row r="143" spans="3:22" s="5" customFormat="1" ht="16.5" thickBot="1" x14ac:dyDescent="0.3">
      <c r="C143" s="393"/>
      <c r="D143" s="394"/>
      <c r="E143" s="394"/>
      <c r="F143" s="394"/>
      <c r="G143" s="394"/>
      <c r="H143" s="394"/>
      <c r="I143" s="395"/>
      <c r="J143" s="395"/>
      <c r="K143" s="395"/>
      <c r="L143" s="423"/>
    </row>
    <row r="144" spans="3:22" ht="32.25" thickBot="1" x14ac:dyDescent="0.3">
      <c r="C144" s="186" t="s">
        <v>91</v>
      </c>
      <c r="D144" s="187"/>
      <c r="E144" s="187"/>
      <c r="F144" s="187"/>
      <c r="G144" s="188"/>
      <c r="H144" s="396"/>
      <c r="I144" s="148" t="s">
        <v>136</v>
      </c>
      <c r="J144" s="149" t="s">
        <v>137</v>
      </c>
      <c r="K144" s="150" t="s">
        <v>150</v>
      </c>
      <c r="L144" s="151" t="s">
        <v>136</v>
      </c>
      <c r="M144" s="152" t="s">
        <v>137</v>
      </c>
      <c r="N144" s="153" t="s">
        <v>150</v>
      </c>
      <c r="O144" s="154" t="s">
        <v>136</v>
      </c>
      <c r="P144" s="155" t="s">
        <v>137</v>
      </c>
      <c r="Q144" s="156" t="s">
        <v>150</v>
      </c>
      <c r="R144" s="157" t="s">
        <v>151</v>
      </c>
    </row>
    <row r="145" spans="2:22" ht="24" customHeight="1" thickBot="1" x14ac:dyDescent="0.3">
      <c r="C145" s="104" t="s">
        <v>167</v>
      </c>
      <c r="D145" s="105">
        <f>'[1]1) Tableau budgétaire 1'!D138</f>
        <v>0</v>
      </c>
      <c r="E145" s="189">
        <f>'[1]1) Tableau budgétaire 1'!E138</f>
        <v>0</v>
      </c>
      <c r="F145" s="189">
        <f>'[1]1) Tableau budgétaire 1'!F138</f>
        <v>0</v>
      </c>
      <c r="G145" s="106">
        <f t="shared" ref="G145:G153" si="113">SUM(D145:F145)</f>
        <v>0</v>
      </c>
      <c r="H145" s="396"/>
      <c r="I145" s="190">
        <f t="shared" ref="I145:N145" si="114">+I153</f>
        <v>0</v>
      </c>
      <c r="J145" s="191">
        <f t="shared" si="114"/>
        <v>0</v>
      </c>
      <c r="K145" s="192">
        <f t="shared" si="114"/>
        <v>0</v>
      </c>
      <c r="L145" s="193">
        <f t="shared" si="114"/>
        <v>0</v>
      </c>
      <c r="M145" s="194">
        <f t="shared" si="114"/>
        <v>0</v>
      </c>
      <c r="N145" s="195">
        <f t="shared" si="114"/>
        <v>0</v>
      </c>
      <c r="O145" s="196">
        <f>O153</f>
        <v>0</v>
      </c>
      <c r="P145" s="197">
        <f>+P153</f>
        <v>0</v>
      </c>
      <c r="Q145" s="198">
        <f>+Q153</f>
        <v>0</v>
      </c>
      <c r="R145" s="199">
        <f>+R153</f>
        <v>0</v>
      </c>
      <c r="S145" s="190"/>
      <c r="T145" s="285"/>
      <c r="U145" s="191"/>
      <c r="V145" s="280"/>
    </row>
    <row r="146" spans="2:22" ht="15.75" customHeight="1" x14ac:dyDescent="0.25">
      <c r="C146" s="117" t="s">
        <v>141</v>
      </c>
      <c r="D146" s="118"/>
      <c r="E146" s="22"/>
      <c r="F146" s="22"/>
      <c r="G146" s="106">
        <f t="shared" si="113"/>
        <v>0</v>
      </c>
      <c r="H146" s="396"/>
      <c r="I146" s="120">
        <v>0</v>
      </c>
      <c r="J146" s="121">
        <v>0</v>
      </c>
      <c r="K146" s="109">
        <f t="shared" ref="K146:K147" si="115">+D146+I146-J146</f>
        <v>0</v>
      </c>
      <c r="L146" s="122">
        <v>0</v>
      </c>
      <c r="M146" s="123">
        <v>0</v>
      </c>
      <c r="N146" s="112">
        <f t="shared" ref="N146:N147" si="116">E146+L146-M146</f>
        <v>0</v>
      </c>
      <c r="O146" s="124">
        <v>0</v>
      </c>
      <c r="P146" s="125">
        <v>0</v>
      </c>
      <c r="Q146" s="126">
        <f>F146+O146-P146</f>
        <v>0</v>
      </c>
      <c r="R146" s="116">
        <f t="shared" ref="R146:R152" si="117">K146+N146+Q146</f>
        <v>0</v>
      </c>
      <c r="S146" s="281"/>
      <c r="T146" s="283"/>
      <c r="U146" s="282"/>
      <c r="V146" s="109"/>
    </row>
    <row r="147" spans="2:22" s="4" customFormat="1" x14ac:dyDescent="0.25">
      <c r="C147" s="127" t="s">
        <v>142</v>
      </c>
      <c r="D147" s="118"/>
      <c r="E147" s="22"/>
      <c r="F147" s="22"/>
      <c r="G147" s="106">
        <f t="shared" si="113"/>
        <v>0</v>
      </c>
      <c r="H147" s="396"/>
      <c r="I147" s="120">
        <v>0</v>
      </c>
      <c r="J147" s="121">
        <v>0</v>
      </c>
      <c r="K147" s="109">
        <f t="shared" si="115"/>
        <v>0</v>
      </c>
      <c r="L147" s="122">
        <v>0</v>
      </c>
      <c r="M147" s="123">
        <v>0</v>
      </c>
      <c r="N147" s="112">
        <f t="shared" si="116"/>
        <v>0</v>
      </c>
      <c r="O147" s="124">
        <v>0</v>
      </c>
      <c r="P147" s="125">
        <v>0</v>
      </c>
      <c r="Q147" s="126">
        <f t="shared" ref="Q147:Q152" si="118">F147+O147-P147</f>
        <v>0</v>
      </c>
      <c r="R147" s="116">
        <f t="shared" si="117"/>
        <v>0</v>
      </c>
      <c r="S147" s="281"/>
      <c r="T147" s="283"/>
      <c r="U147" s="282"/>
      <c r="V147" s="109"/>
    </row>
    <row r="148" spans="2:22" s="4" customFormat="1" ht="15.75" customHeight="1" x14ac:dyDescent="0.25">
      <c r="C148" s="127" t="s">
        <v>143</v>
      </c>
      <c r="D148" s="118"/>
      <c r="E148" s="128"/>
      <c r="F148" s="128"/>
      <c r="G148" s="106">
        <f t="shared" si="113"/>
        <v>0</v>
      </c>
      <c r="H148" s="396"/>
      <c r="I148" s="120">
        <v>0</v>
      </c>
      <c r="J148" s="121">
        <v>0</v>
      </c>
      <c r="K148" s="109">
        <v>0</v>
      </c>
      <c r="L148" s="122">
        <v>0</v>
      </c>
      <c r="M148" s="123">
        <v>0</v>
      </c>
      <c r="N148" s="112">
        <f>+E148+L148-M148</f>
        <v>0</v>
      </c>
      <c r="O148" s="122">
        <v>0</v>
      </c>
      <c r="P148" s="123">
        <v>0</v>
      </c>
      <c r="Q148" s="126">
        <f t="shared" si="118"/>
        <v>0</v>
      </c>
      <c r="R148" s="116">
        <f t="shared" si="117"/>
        <v>0</v>
      </c>
      <c r="S148" s="281"/>
      <c r="T148" s="283"/>
      <c r="U148" s="282"/>
      <c r="V148" s="109"/>
    </row>
    <row r="149" spans="2:22" s="4" customFormat="1" x14ac:dyDescent="0.25">
      <c r="C149" s="129" t="s">
        <v>144</v>
      </c>
      <c r="D149" s="118"/>
      <c r="E149" s="128"/>
      <c r="F149" s="128"/>
      <c r="G149" s="106">
        <f t="shared" si="113"/>
        <v>0</v>
      </c>
      <c r="H149" s="396"/>
      <c r="I149" s="120">
        <v>0</v>
      </c>
      <c r="J149" s="121">
        <v>0</v>
      </c>
      <c r="K149" s="109">
        <f t="shared" ref="K149:K152" si="119">+D149+I149-J149</f>
        <v>0</v>
      </c>
      <c r="L149" s="122">
        <v>0</v>
      </c>
      <c r="M149" s="123">
        <v>0</v>
      </c>
      <c r="N149" s="112">
        <f t="shared" ref="N149:N152" si="120">E149+L149-M149</f>
        <v>0</v>
      </c>
      <c r="O149" s="122">
        <v>0</v>
      </c>
      <c r="P149" s="123">
        <v>0</v>
      </c>
      <c r="Q149" s="126">
        <f t="shared" si="118"/>
        <v>0</v>
      </c>
      <c r="R149" s="116">
        <f t="shared" si="117"/>
        <v>0</v>
      </c>
      <c r="S149" s="281"/>
      <c r="T149" s="283"/>
      <c r="U149" s="282"/>
      <c r="V149" s="109"/>
    </row>
    <row r="150" spans="2:22" s="4" customFormat="1" x14ac:dyDescent="0.25">
      <c r="C150" s="127" t="s">
        <v>145</v>
      </c>
      <c r="D150" s="118"/>
      <c r="E150" s="128"/>
      <c r="F150" s="128"/>
      <c r="G150" s="106">
        <f t="shared" si="113"/>
        <v>0</v>
      </c>
      <c r="H150" s="396"/>
      <c r="I150" s="120">
        <v>0</v>
      </c>
      <c r="J150" s="121">
        <v>0</v>
      </c>
      <c r="K150" s="109">
        <f t="shared" si="119"/>
        <v>0</v>
      </c>
      <c r="L150" s="120">
        <v>0</v>
      </c>
      <c r="M150" s="121">
        <v>0</v>
      </c>
      <c r="N150" s="112">
        <f t="shared" si="120"/>
        <v>0</v>
      </c>
      <c r="O150" s="122">
        <v>0</v>
      </c>
      <c r="P150" s="123">
        <v>0</v>
      </c>
      <c r="Q150" s="126">
        <f t="shared" si="118"/>
        <v>0</v>
      </c>
      <c r="R150" s="116">
        <f t="shared" si="117"/>
        <v>0</v>
      </c>
      <c r="S150" s="281"/>
      <c r="T150" s="283"/>
      <c r="U150" s="282"/>
      <c r="V150" s="109"/>
    </row>
    <row r="151" spans="2:22" s="4" customFormat="1" ht="15.75" customHeight="1" x14ac:dyDescent="0.25">
      <c r="C151" s="127" t="s">
        <v>146</v>
      </c>
      <c r="D151" s="118"/>
      <c r="E151" s="128"/>
      <c r="F151" s="128"/>
      <c r="G151" s="106">
        <f t="shared" si="113"/>
        <v>0</v>
      </c>
      <c r="H151" s="396"/>
      <c r="I151" s="120">
        <v>0</v>
      </c>
      <c r="J151" s="121">
        <v>0</v>
      </c>
      <c r="K151" s="109">
        <f t="shared" si="119"/>
        <v>0</v>
      </c>
      <c r="L151" s="120">
        <v>0</v>
      </c>
      <c r="M151" s="121">
        <v>0</v>
      </c>
      <c r="N151" s="112">
        <f t="shared" si="120"/>
        <v>0</v>
      </c>
      <c r="O151" s="122">
        <v>0</v>
      </c>
      <c r="P151" s="123">
        <v>0</v>
      </c>
      <c r="Q151" s="126">
        <f t="shared" si="118"/>
        <v>0</v>
      </c>
      <c r="R151" s="116">
        <f t="shared" si="117"/>
        <v>0</v>
      </c>
      <c r="S151" s="281"/>
      <c r="T151" s="283"/>
      <c r="U151" s="282"/>
      <c r="V151" s="109"/>
    </row>
    <row r="152" spans="2:22" s="4" customFormat="1" x14ac:dyDescent="0.25">
      <c r="C152" s="127" t="s">
        <v>147</v>
      </c>
      <c r="D152" s="118"/>
      <c r="E152" s="128"/>
      <c r="F152" s="128"/>
      <c r="G152" s="106">
        <f t="shared" si="113"/>
        <v>0</v>
      </c>
      <c r="H152" s="396"/>
      <c r="I152" s="120">
        <v>0</v>
      </c>
      <c r="J152" s="121">
        <v>0</v>
      </c>
      <c r="K152" s="109">
        <f t="shared" si="119"/>
        <v>0</v>
      </c>
      <c r="L152" s="122">
        <v>0</v>
      </c>
      <c r="M152" s="123">
        <v>0</v>
      </c>
      <c r="N152" s="112">
        <f t="shared" si="120"/>
        <v>0</v>
      </c>
      <c r="O152" s="122">
        <v>0</v>
      </c>
      <c r="P152" s="123">
        <v>0</v>
      </c>
      <c r="Q152" s="126">
        <f t="shared" si="118"/>
        <v>0</v>
      </c>
      <c r="R152" s="116">
        <f t="shared" si="117"/>
        <v>0</v>
      </c>
      <c r="S152" s="281"/>
      <c r="T152" s="283"/>
      <c r="U152" s="282"/>
      <c r="V152" s="109"/>
    </row>
    <row r="153" spans="2:22" s="4" customFormat="1" ht="16.5" thickBot="1" x14ac:dyDescent="0.3">
      <c r="C153" s="130" t="s">
        <v>148</v>
      </c>
      <c r="D153" s="131">
        <f>SUM(D146:D152)</f>
        <v>0</v>
      </c>
      <c r="E153" s="132">
        <f>SUM(E146:E152)</f>
        <v>0</v>
      </c>
      <c r="F153" s="132">
        <f>SUM(F146:F152)</f>
        <v>0</v>
      </c>
      <c r="G153" s="200">
        <f t="shared" si="113"/>
        <v>0</v>
      </c>
      <c r="H153" s="396"/>
      <c r="I153" s="134">
        <f>SUM(I146:I152)</f>
        <v>0</v>
      </c>
      <c r="J153" s="135">
        <f>SUM(J146:J152)</f>
        <v>0</v>
      </c>
      <c r="K153" s="136">
        <f>+D153+I153-J153</f>
        <v>0</v>
      </c>
      <c r="L153" s="137">
        <f>SUM(L146:L152)</f>
        <v>0</v>
      </c>
      <c r="M153" s="138">
        <f>SUM(M146:M152)</f>
        <v>0</v>
      </c>
      <c r="N153" s="139">
        <f>E153+L153-M153</f>
        <v>0</v>
      </c>
      <c r="O153" s="140">
        <f>SUM(O146:O152)</f>
        <v>0</v>
      </c>
      <c r="P153" s="141">
        <f>SUM(P146:P152)</f>
        <v>0</v>
      </c>
      <c r="Q153" s="142">
        <f>F153+O153-P153</f>
        <v>0</v>
      </c>
      <c r="R153" s="143">
        <f>+K153+N153+Q153</f>
        <v>0</v>
      </c>
      <c r="S153" s="134"/>
      <c r="T153" s="284"/>
      <c r="U153" s="135"/>
      <c r="V153" s="136"/>
    </row>
    <row r="154" spans="2:22" s="4" customFormat="1" ht="16.5" thickBot="1" x14ac:dyDescent="0.3">
      <c r="C154" s="397"/>
      <c r="D154" s="397"/>
      <c r="E154" s="397"/>
      <c r="F154" s="397"/>
      <c r="G154" s="397"/>
      <c r="H154" s="397"/>
      <c r="I154" s="397"/>
      <c r="J154" s="397"/>
      <c r="K154" s="397"/>
      <c r="L154" s="397"/>
    </row>
    <row r="155" spans="2:22" s="4" customFormat="1" ht="15.75" customHeight="1" thickBot="1" x14ac:dyDescent="0.3">
      <c r="B155" s="424" t="s">
        <v>168</v>
      </c>
      <c r="C155" s="425"/>
      <c r="D155" s="425"/>
      <c r="E155" s="425"/>
      <c r="F155" s="425"/>
      <c r="G155" s="426"/>
      <c r="H155" s="427"/>
      <c r="I155" s="201"/>
      <c r="J155" s="201"/>
      <c r="K155" s="201"/>
      <c r="L155" s="201"/>
    </row>
    <row r="156" spans="2:22" s="4" customFormat="1" ht="32.25" thickBot="1" x14ac:dyDescent="0.3">
      <c r="B156" s="1"/>
      <c r="C156" s="186" t="s">
        <v>92</v>
      </c>
      <c r="D156" s="187"/>
      <c r="E156" s="187"/>
      <c r="F156" s="187"/>
      <c r="G156" s="188"/>
      <c r="H156" s="427"/>
      <c r="I156" s="148" t="s">
        <v>136</v>
      </c>
      <c r="J156" s="149" t="s">
        <v>137</v>
      </c>
      <c r="K156" s="150" t="s">
        <v>150</v>
      </c>
      <c r="L156" s="151" t="s">
        <v>136</v>
      </c>
      <c r="M156" s="152" t="s">
        <v>137</v>
      </c>
      <c r="N156" s="153" t="s">
        <v>150</v>
      </c>
      <c r="O156" s="154" t="s">
        <v>136</v>
      </c>
      <c r="P156" s="155" t="s">
        <v>137</v>
      </c>
      <c r="Q156" s="156" t="s">
        <v>150</v>
      </c>
      <c r="R156" s="157" t="s">
        <v>151</v>
      </c>
    </row>
    <row r="157" spans="2:22" s="4" customFormat="1" ht="24" customHeight="1" thickBot="1" x14ac:dyDescent="0.3">
      <c r="B157" s="1"/>
      <c r="C157" s="104" t="s">
        <v>169</v>
      </c>
      <c r="D157" s="105">
        <f>'[1]1) Tableau budgétaire 1'!D150</f>
        <v>0</v>
      </c>
      <c r="E157" s="189">
        <f>'[1]1) Tableau budgétaire 1'!E150</f>
        <v>0</v>
      </c>
      <c r="F157" s="189">
        <f>'[1]1) Tableau budgétaire 1'!F150</f>
        <v>0</v>
      </c>
      <c r="G157" s="106">
        <f t="shared" ref="G157:G165" si="121">SUM(D157:F157)</f>
        <v>0</v>
      </c>
      <c r="H157" s="427"/>
      <c r="I157" s="190">
        <f t="shared" ref="I157:N157" si="122">+I165</f>
        <v>0</v>
      </c>
      <c r="J157" s="191">
        <f t="shared" si="122"/>
        <v>0</v>
      </c>
      <c r="K157" s="192">
        <f t="shared" si="122"/>
        <v>0</v>
      </c>
      <c r="L157" s="193">
        <f t="shared" si="122"/>
        <v>0</v>
      </c>
      <c r="M157" s="194">
        <f t="shared" si="122"/>
        <v>0</v>
      </c>
      <c r="N157" s="195">
        <f t="shared" si="122"/>
        <v>0</v>
      </c>
      <c r="O157" s="196">
        <f>O165</f>
        <v>0</v>
      </c>
      <c r="P157" s="197">
        <f>+P165</f>
        <v>0</v>
      </c>
      <c r="Q157" s="198">
        <f>+Q165</f>
        <v>0</v>
      </c>
      <c r="R157" s="199">
        <f>+R165</f>
        <v>0</v>
      </c>
      <c r="S157" s="190"/>
      <c r="T157" s="153">
        <f>+T165</f>
        <v>0</v>
      </c>
      <c r="U157" s="191"/>
      <c r="V157" s="280">
        <f>+T157</f>
        <v>0</v>
      </c>
    </row>
    <row r="158" spans="2:22" s="4" customFormat="1" ht="24.75" customHeight="1" x14ac:dyDescent="0.25">
      <c r="B158" s="1"/>
      <c r="C158" s="117" t="s">
        <v>141</v>
      </c>
      <c r="D158" s="118"/>
      <c r="E158" s="22"/>
      <c r="F158" s="22"/>
      <c r="G158" s="106">
        <f t="shared" si="121"/>
        <v>0</v>
      </c>
      <c r="H158" s="427"/>
      <c r="I158" s="120">
        <v>0</v>
      </c>
      <c r="J158" s="121">
        <v>0</v>
      </c>
      <c r="K158" s="109">
        <f t="shared" ref="K158:K159" si="123">+D158+I158-J158</f>
        <v>0</v>
      </c>
      <c r="L158" s="122">
        <v>0</v>
      </c>
      <c r="M158" s="123">
        <v>0</v>
      </c>
      <c r="N158" s="112">
        <f t="shared" ref="N158:N159" si="124">E158+L158-M158</f>
        <v>0</v>
      </c>
      <c r="O158" s="124">
        <v>0</v>
      </c>
      <c r="P158" s="125">
        <v>0</v>
      </c>
      <c r="Q158" s="126">
        <f>F158+O158-P158</f>
        <v>0</v>
      </c>
      <c r="R158" s="116">
        <f t="shared" ref="R158:R164" si="125">K158+N158+Q158</f>
        <v>0</v>
      </c>
      <c r="S158" s="281"/>
      <c r="T158" s="295">
        <v>0</v>
      </c>
      <c r="U158" s="282"/>
      <c r="V158" s="109">
        <f>+T158</f>
        <v>0</v>
      </c>
    </row>
    <row r="159" spans="2:22" s="4" customFormat="1" ht="15.75" customHeight="1" x14ac:dyDescent="0.25">
      <c r="B159" s="1"/>
      <c r="C159" s="127" t="s">
        <v>142</v>
      </c>
      <c r="D159" s="118"/>
      <c r="E159" s="22"/>
      <c r="F159" s="22"/>
      <c r="G159" s="106">
        <f t="shared" si="121"/>
        <v>0</v>
      </c>
      <c r="H159" s="427"/>
      <c r="I159" s="120">
        <v>0</v>
      </c>
      <c r="J159" s="121">
        <v>0</v>
      </c>
      <c r="K159" s="109">
        <f t="shared" si="123"/>
        <v>0</v>
      </c>
      <c r="L159" s="122">
        <v>0</v>
      </c>
      <c r="M159" s="123">
        <v>0</v>
      </c>
      <c r="N159" s="112">
        <f t="shared" si="124"/>
        <v>0</v>
      </c>
      <c r="O159" s="124">
        <v>0</v>
      </c>
      <c r="P159" s="125">
        <v>0</v>
      </c>
      <c r="Q159" s="126">
        <f t="shared" ref="Q159:Q164" si="126">F159+O159-P159</f>
        <v>0</v>
      </c>
      <c r="R159" s="116">
        <f t="shared" si="125"/>
        <v>0</v>
      </c>
      <c r="S159" s="281"/>
      <c r="T159" s="295">
        <v>0</v>
      </c>
      <c r="U159" s="282"/>
      <c r="V159" s="109"/>
    </row>
    <row r="160" spans="2:22" s="4" customFormat="1" ht="15.75" customHeight="1" x14ac:dyDescent="0.25">
      <c r="B160" s="1"/>
      <c r="C160" s="127" t="s">
        <v>143</v>
      </c>
      <c r="D160" s="118"/>
      <c r="E160" s="128"/>
      <c r="F160" s="128"/>
      <c r="G160" s="106">
        <f t="shared" si="121"/>
        <v>0</v>
      </c>
      <c r="H160" s="427"/>
      <c r="I160" s="120">
        <v>0</v>
      </c>
      <c r="J160" s="121">
        <v>0</v>
      </c>
      <c r="K160" s="109">
        <v>0</v>
      </c>
      <c r="L160" s="122">
        <v>0</v>
      </c>
      <c r="M160" s="123">
        <v>0</v>
      </c>
      <c r="N160" s="112">
        <f>+E160+L160-M160</f>
        <v>0</v>
      </c>
      <c r="O160" s="122">
        <v>0</v>
      </c>
      <c r="P160" s="123">
        <v>0</v>
      </c>
      <c r="Q160" s="126">
        <f t="shared" si="126"/>
        <v>0</v>
      </c>
      <c r="R160" s="116">
        <f t="shared" si="125"/>
        <v>0</v>
      </c>
      <c r="S160" s="281"/>
      <c r="T160" s="295">
        <v>0</v>
      </c>
      <c r="U160" s="282"/>
      <c r="V160" s="109"/>
    </row>
    <row r="161" spans="2:22" s="4" customFormat="1" ht="15.75" customHeight="1" x14ac:dyDescent="0.25">
      <c r="B161" s="1"/>
      <c r="C161" s="129" t="s">
        <v>144</v>
      </c>
      <c r="D161" s="118"/>
      <c r="E161" s="128"/>
      <c r="F161" s="128"/>
      <c r="G161" s="106">
        <f t="shared" si="121"/>
        <v>0</v>
      </c>
      <c r="H161" s="427"/>
      <c r="I161" s="120">
        <v>0</v>
      </c>
      <c r="J161" s="121">
        <v>0</v>
      </c>
      <c r="K161" s="109">
        <f t="shared" ref="K161:K164" si="127">+D161+I161-J161</f>
        <v>0</v>
      </c>
      <c r="L161" s="122">
        <v>0</v>
      </c>
      <c r="M161" s="123">
        <v>0</v>
      </c>
      <c r="N161" s="112">
        <f t="shared" ref="N161:N164" si="128">E161+L161-M161</f>
        <v>0</v>
      </c>
      <c r="O161" s="122">
        <v>0</v>
      </c>
      <c r="P161" s="123">
        <v>0</v>
      </c>
      <c r="Q161" s="126">
        <f t="shared" si="126"/>
        <v>0</v>
      </c>
      <c r="R161" s="116">
        <f t="shared" si="125"/>
        <v>0</v>
      </c>
      <c r="S161" s="281"/>
      <c r="T161" s="295">
        <v>0</v>
      </c>
      <c r="U161" s="282"/>
      <c r="V161" s="109"/>
    </row>
    <row r="162" spans="2:22" s="4" customFormat="1" ht="15.75" customHeight="1" x14ac:dyDescent="0.25">
      <c r="B162" s="1"/>
      <c r="C162" s="127" t="s">
        <v>145</v>
      </c>
      <c r="D162" s="118"/>
      <c r="E162" s="128"/>
      <c r="F162" s="128"/>
      <c r="G162" s="106">
        <f t="shared" si="121"/>
        <v>0</v>
      </c>
      <c r="H162" s="427"/>
      <c r="I162" s="120">
        <v>0</v>
      </c>
      <c r="J162" s="121">
        <v>0</v>
      </c>
      <c r="K162" s="109">
        <f t="shared" si="127"/>
        <v>0</v>
      </c>
      <c r="L162" s="120">
        <v>0</v>
      </c>
      <c r="M162" s="121">
        <v>0</v>
      </c>
      <c r="N162" s="112">
        <f t="shared" si="128"/>
        <v>0</v>
      </c>
      <c r="O162" s="122">
        <v>0</v>
      </c>
      <c r="P162" s="123">
        <v>0</v>
      </c>
      <c r="Q162" s="126">
        <f t="shared" si="126"/>
        <v>0</v>
      </c>
      <c r="R162" s="116">
        <f t="shared" si="125"/>
        <v>0</v>
      </c>
      <c r="S162" s="281"/>
      <c r="T162" s="281">
        <v>0</v>
      </c>
      <c r="U162" s="282"/>
      <c r="V162" s="109">
        <f>+T162</f>
        <v>0</v>
      </c>
    </row>
    <row r="163" spans="2:22" s="4" customFormat="1" ht="15.75" customHeight="1" x14ac:dyDescent="0.25">
      <c r="B163" s="1"/>
      <c r="C163" s="127" t="s">
        <v>146</v>
      </c>
      <c r="D163" s="118"/>
      <c r="E163" s="128"/>
      <c r="F163" s="128"/>
      <c r="G163" s="106">
        <f t="shared" si="121"/>
        <v>0</v>
      </c>
      <c r="H163" s="427"/>
      <c r="I163" s="120">
        <v>0</v>
      </c>
      <c r="J163" s="121">
        <v>0</v>
      </c>
      <c r="K163" s="109">
        <f t="shared" si="127"/>
        <v>0</v>
      </c>
      <c r="L163" s="120">
        <v>0</v>
      </c>
      <c r="M163" s="121">
        <v>0</v>
      </c>
      <c r="N163" s="112">
        <f t="shared" si="128"/>
        <v>0</v>
      </c>
      <c r="O163" s="122">
        <v>0</v>
      </c>
      <c r="P163" s="123">
        <v>0</v>
      </c>
      <c r="Q163" s="126">
        <f t="shared" si="126"/>
        <v>0</v>
      </c>
      <c r="R163" s="116">
        <f t="shared" si="125"/>
        <v>0</v>
      </c>
      <c r="S163" s="281"/>
      <c r="T163" s="281">
        <v>0</v>
      </c>
      <c r="U163" s="282"/>
      <c r="V163" s="109"/>
    </row>
    <row r="164" spans="2:22" s="4" customFormat="1" ht="15.75" customHeight="1" x14ac:dyDescent="0.25">
      <c r="B164" s="1"/>
      <c r="C164" s="127" t="s">
        <v>147</v>
      </c>
      <c r="D164" s="118"/>
      <c r="E164" s="128"/>
      <c r="F164" s="128"/>
      <c r="G164" s="106">
        <f t="shared" si="121"/>
        <v>0</v>
      </c>
      <c r="H164" s="427"/>
      <c r="I164" s="120">
        <v>0</v>
      </c>
      <c r="J164" s="121">
        <v>0</v>
      </c>
      <c r="K164" s="109">
        <f t="shared" si="127"/>
        <v>0</v>
      </c>
      <c r="L164" s="122">
        <v>0</v>
      </c>
      <c r="M164" s="123">
        <v>0</v>
      </c>
      <c r="N164" s="112">
        <f t="shared" si="128"/>
        <v>0</v>
      </c>
      <c r="O164" s="122">
        <v>0</v>
      </c>
      <c r="P164" s="123">
        <v>0</v>
      </c>
      <c r="Q164" s="126">
        <f t="shared" si="126"/>
        <v>0</v>
      </c>
      <c r="R164" s="116">
        <f t="shared" si="125"/>
        <v>0</v>
      </c>
      <c r="S164" s="281"/>
      <c r="T164" s="295">
        <v>0</v>
      </c>
      <c r="U164" s="282"/>
      <c r="V164" s="109"/>
    </row>
    <row r="165" spans="2:22" s="4" customFormat="1" ht="15.75" customHeight="1" thickBot="1" x14ac:dyDescent="0.3">
      <c r="B165" s="1"/>
      <c r="C165" s="130" t="s">
        <v>148</v>
      </c>
      <c r="D165" s="131">
        <f>SUM(D158:D164)</f>
        <v>0</v>
      </c>
      <c r="E165" s="132">
        <f>SUM(E158:E164)</f>
        <v>0</v>
      </c>
      <c r="F165" s="132">
        <f>SUM(F158:F164)</f>
        <v>0</v>
      </c>
      <c r="G165" s="200">
        <f t="shared" si="121"/>
        <v>0</v>
      </c>
      <c r="H165" s="427"/>
      <c r="I165" s="134">
        <f>SUM(I158:I164)</f>
        <v>0</v>
      </c>
      <c r="J165" s="135">
        <f>SUM(J158:J164)</f>
        <v>0</v>
      </c>
      <c r="K165" s="136">
        <f>+D165+I165-J165</f>
        <v>0</v>
      </c>
      <c r="L165" s="137">
        <f>SUM(L158:L164)</f>
        <v>0</v>
      </c>
      <c r="M165" s="138">
        <f>SUM(M158:M164)</f>
        <v>0</v>
      </c>
      <c r="N165" s="139">
        <f>E165+L165-M165</f>
        <v>0</v>
      </c>
      <c r="O165" s="140">
        <f>SUM(O158:O164)</f>
        <v>0</v>
      </c>
      <c r="P165" s="141">
        <f>SUM(P158:P164)</f>
        <v>0</v>
      </c>
      <c r="Q165" s="142">
        <f>F165+O165-P165</f>
        <v>0</v>
      </c>
      <c r="R165" s="143">
        <f>+K165+N165+Q165</f>
        <v>0</v>
      </c>
      <c r="S165" s="134"/>
      <c r="T165" s="296">
        <f>SUM(T158:T164)</f>
        <v>0</v>
      </c>
      <c r="U165" s="135"/>
      <c r="V165" s="136">
        <f>V157+V158+V162</f>
        <v>0</v>
      </c>
    </row>
    <row r="166" spans="2:22" s="5" customFormat="1" ht="15.75" customHeight="1" thickBot="1" x14ac:dyDescent="0.3">
      <c r="C166" s="393"/>
      <c r="D166" s="394"/>
      <c r="E166" s="394"/>
      <c r="F166" s="394"/>
      <c r="G166" s="394"/>
      <c r="H166" s="394"/>
      <c r="I166" s="394"/>
      <c r="J166" s="394"/>
      <c r="K166" s="394"/>
      <c r="L166" s="394"/>
    </row>
    <row r="167" spans="2:22" s="4" customFormat="1" ht="31.5" customHeight="1" thickBot="1" x14ac:dyDescent="0.3">
      <c r="C167" s="186" t="s">
        <v>93</v>
      </c>
      <c r="D167" s="187"/>
      <c r="E167" s="187"/>
      <c r="F167" s="187"/>
      <c r="G167" s="188"/>
      <c r="H167" s="396"/>
      <c r="I167" s="148" t="s">
        <v>136</v>
      </c>
      <c r="J167" s="149" t="s">
        <v>137</v>
      </c>
      <c r="K167" s="150" t="s">
        <v>150</v>
      </c>
      <c r="L167" s="151" t="s">
        <v>136</v>
      </c>
      <c r="M167" s="152" t="s">
        <v>137</v>
      </c>
      <c r="N167" s="153" t="s">
        <v>150</v>
      </c>
      <c r="O167" s="154" t="s">
        <v>136</v>
      </c>
      <c r="P167" s="155" t="s">
        <v>137</v>
      </c>
      <c r="Q167" s="156" t="s">
        <v>150</v>
      </c>
      <c r="R167" s="157" t="s">
        <v>151</v>
      </c>
    </row>
    <row r="168" spans="2:22" s="4" customFormat="1" ht="21" customHeight="1" thickBot="1" x14ac:dyDescent="0.3">
      <c r="C168" s="104" t="s">
        <v>170</v>
      </c>
      <c r="D168" s="105">
        <f>'[1]1) Tableau budgétaire 1'!D160</f>
        <v>0</v>
      </c>
      <c r="E168" s="189">
        <f>'[1]1) Tableau budgétaire 1'!E160</f>
        <v>0</v>
      </c>
      <c r="F168" s="189">
        <f>'[1]1) Tableau budgétaire 1'!F160</f>
        <v>0</v>
      </c>
      <c r="G168" s="106">
        <f t="shared" ref="G168:G176" si="129">SUM(D168:F168)</f>
        <v>0</v>
      </c>
      <c r="H168" s="396"/>
      <c r="I168" s="190">
        <f t="shared" ref="I168:N168" si="130">+I176</f>
        <v>0</v>
      </c>
      <c r="J168" s="191">
        <f t="shared" si="130"/>
        <v>0</v>
      </c>
      <c r="K168" s="192">
        <f t="shared" si="130"/>
        <v>0</v>
      </c>
      <c r="L168" s="193">
        <f t="shared" si="130"/>
        <v>0</v>
      </c>
      <c r="M168" s="194">
        <f t="shared" si="130"/>
        <v>0</v>
      </c>
      <c r="N168" s="195">
        <f t="shared" si="130"/>
        <v>0</v>
      </c>
      <c r="O168" s="196">
        <f>O176</f>
        <v>0</v>
      </c>
      <c r="P168" s="197">
        <f>+P176</f>
        <v>0</v>
      </c>
      <c r="Q168" s="198">
        <f>+Q176</f>
        <v>0</v>
      </c>
      <c r="R168" s="199">
        <f>+R176</f>
        <v>0</v>
      </c>
      <c r="S168" s="190"/>
      <c r="T168" s="285"/>
      <c r="U168" s="191"/>
      <c r="V168" s="280"/>
    </row>
    <row r="169" spans="2:22" s="4" customFormat="1" ht="15.75" customHeight="1" x14ac:dyDescent="0.25">
      <c r="C169" s="117" t="s">
        <v>141</v>
      </c>
      <c r="D169" s="118"/>
      <c r="E169" s="22"/>
      <c r="F169" s="22"/>
      <c r="G169" s="106">
        <f t="shared" si="129"/>
        <v>0</v>
      </c>
      <c r="H169" s="396"/>
      <c r="I169" s="120">
        <v>0</v>
      </c>
      <c r="J169" s="121">
        <v>0</v>
      </c>
      <c r="K169" s="109">
        <f t="shared" ref="K169:K170" si="131">+D169+I169-J169</f>
        <v>0</v>
      </c>
      <c r="L169" s="122">
        <v>0</v>
      </c>
      <c r="M169" s="123">
        <v>0</v>
      </c>
      <c r="N169" s="112">
        <f t="shared" ref="N169:N170" si="132">E169+L169-M169</f>
        <v>0</v>
      </c>
      <c r="O169" s="124">
        <v>0</v>
      </c>
      <c r="P169" s="125">
        <v>0</v>
      </c>
      <c r="Q169" s="126">
        <f>F169+O169-P169</f>
        <v>0</v>
      </c>
      <c r="R169" s="116">
        <f t="shared" ref="R169:R175" si="133">K169+N169+Q169</f>
        <v>0</v>
      </c>
      <c r="S169" s="281"/>
      <c r="T169" s="283"/>
      <c r="U169" s="282"/>
      <c r="V169" s="109"/>
    </row>
    <row r="170" spans="2:22" s="4" customFormat="1" ht="15.75" customHeight="1" x14ac:dyDescent="0.25">
      <c r="C170" s="127" t="s">
        <v>142</v>
      </c>
      <c r="D170" s="118"/>
      <c r="E170" s="22"/>
      <c r="F170" s="22"/>
      <c r="G170" s="106">
        <f t="shared" si="129"/>
        <v>0</v>
      </c>
      <c r="H170" s="396"/>
      <c r="I170" s="120">
        <v>0</v>
      </c>
      <c r="J170" s="121">
        <v>0</v>
      </c>
      <c r="K170" s="109">
        <f t="shared" si="131"/>
        <v>0</v>
      </c>
      <c r="L170" s="122">
        <v>0</v>
      </c>
      <c r="M170" s="123">
        <v>0</v>
      </c>
      <c r="N170" s="112">
        <f t="shared" si="132"/>
        <v>0</v>
      </c>
      <c r="O170" s="124">
        <v>0</v>
      </c>
      <c r="P170" s="125">
        <v>0</v>
      </c>
      <c r="Q170" s="126">
        <f t="shared" ref="Q170:Q175" si="134">F170+O170-P170</f>
        <v>0</v>
      </c>
      <c r="R170" s="116">
        <f t="shared" si="133"/>
        <v>0</v>
      </c>
      <c r="S170" s="281"/>
      <c r="T170" s="283"/>
      <c r="U170" s="282"/>
      <c r="V170" s="109"/>
    </row>
    <row r="171" spans="2:22" s="4" customFormat="1" ht="15.75" customHeight="1" x14ac:dyDescent="0.25">
      <c r="C171" s="127" t="s">
        <v>143</v>
      </c>
      <c r="D171" s="118"/>
      <c r="E171" s="128"/>
      <c r="F171" s="128"/>
      <c r="G171" s="106">
        <f t="shared" si="129"/>
        <v>0</v>
      </c>
      <c r="H171" s="396"/>
      <c r="I171" s="120">
        <v>0</v>
      </c>
      <c r="J171" s="121">
        <v>0</v>
      </c>
      <c r="K171" s="109">
        <v>0</v>
      </c>
      <c r="L171" s="122">
        <v>0</v>
      </c>
      <c r="M171" s="123">
        <v>0</v>
      </c>
      <c r="N171" s="112">
        <f>+E171+L171-M171</f>
        <v>0</v>
      </c>
      <c r="O171" s="122">
        <v>0</v>
      </c>
      <c r="P171" s="123">
        <v>0</v>
      </c>
      <c r="Q171" s="126">
        <f t="shared" si="134"/>
        <v>0</v>
      </c>
      <c r="R171" s="116">
        <f t="shared" si="133"/>
        <v>0</v>
      </c>
      <c r="S171" s="281"/>
      <c r="T171" s="283"/>
      <c r="U171" s="282"/>
      <c r="V171" s="109"/>
    </row>
    <row r="172" spans="2:22" s="4" customFormat="1" ht="15.75" customHeight="1" x14ac:dyDescent="0.25">
      <c r="C172" s="129" t="s">
        <v>144</v>
      </c>
      <c r="D172" s="118"/>
      <c r="E172" s="128"/>
      <c r="F172" s="128"/>
      <c r="G172" s="106">
        <f t="shared" si="129"/>
        <v>0</v>
      </c>
      <c r="H172" s="396"/>
      <c r="I172" s="120">
        <v>0</v>
      </c>
      <c r="J172" s="121">
        <v>0</v>
      </c>
      <c r="K172" s="109">
        <f t="shared" ref="K172:K175" si="135">+D172+I172-J172</f>
        <v>0</v>
      </c>
      <c r="L172" s="122">
        <v>0</v>
      </c>
      <c r="M172" s="123">
        <v>0</v>
      </c>
      <c r="N172" s="112">
        <f t="shared" ref="N172:N175" si="136">E172+L172-M172</f>
        <v>0</v>
      </c>
      <c r="O172" s="122">
        <v>0</v>
      </c>
      <c r="P172" s="123">
        <v>0</v>
      </c>
      <c r="Q172" s="126">
        <f t="shared" si="134"/>
        <v>0</v>
      </c>
      <c r="R172" s="116">
        <f t="shared" si="133"/>
        <v>0</v>
      </c>
      <c r="S172" s="281"/>
      <c r="T172" s="283"/>
      <c r="U172" s="282"/>
      <c r="V172" s="109"/>
    </row>
    <row r="173" spans="2:22" s="4" customFormat="1" ht="15.75" customHeight="1" x14ac:dyDescent="0.25">
      <c r="C173" s="127" t="s">
        <v>145</v>
      </c>
      <c r="D173" s="118"/>
      <c r="E173" s="128"/>
      <c r="F173" s="128"/>
      <c r="G173" s="106">
        <f t="shared" si="129"/>
        <v>0</v>
      </c>
      <c r="H173" s="396"/>
      <c r="I173" s="120">
        <v>0</v>
      </c>
      <c r="J173" s="121">
        <v>0</v>
      </c>
      <c r="K173" s="109">
        <f t="shared" si="135"/>
        <v>0</v>
      </c>
      <c r="L173" s="120">
        <v>0</v>
      </c>
      <c r="M173" s="121">
        <v>0</v>
      </c>
      <c r="N173" s="112">
        <f t="shared" si="136"/>
        <v>0</v>
      </c>
      <c r="O173" s="122">
        <v>0</v>
      </c>
      <c r="P173" s="123">
        <v>0</v>
      </c>
      <c r="Q173" s="126">
        <f t="shared" si="134"/>
        <v>0</v>
      </c>
      <c r="R173" s="116">
        <f t="shared" si="133"/>
        <v>0</v>
      </c>
      <c r="S173" s="281"/>
      <c r="T173" s="283"/>
      <c r="U173" s="282"/>
      <c r="V173" s="109"/>
    </row>
    <row r="174" spans="2:22" s="4" customFormat="1" ht="15.75" customHeight="1" x14ac:dyDescent="0.25">
      <c r="C174" s="127" t="s">
        <v>146</v>
      </c>
      <c r="D174" s="118"/>
      <c r="E174" s="128"/>
      <c r="F174" s="128"/>
      <c r="G174" s="106">
        <f t="shared" si="129"/>
        <v>0</v>
      </c>
      <c r="H174" s="396"/>
      <c r="I174" s="120">
        <v>0</v>
      </c>
      <c r="J174" s="121">
        <v>0</v>
      </c>
      <c r="K174" s="109">
        <f t="shared" si="135"/>
        <v>0</v>
      </c>
      <c r="L174" s="120">
        <v>0</v>
      </c>
      <c r="M174" s="121">
        <v>0</v>
      </c>
      <c r="N174" s="112">
        <f t="shared" si="136"/>
        <v>0</v>
      </c>
      <c r="O174" s="122">
        <v>0</v>
      </c>
      <c r="P174" s="123">
        <v>0</v>
      </c>
      <c r="Q174" s="126">
        <f t="shared" si="134"/>
        <v>0</v>
      </c>
      <c r="R174" s="116">
        <f t="shared" si="133"/>
        <v>0</v>
      </c>
      <c r="S174" s="281"/>
      <c r="T174" s="283"/>
      <c r="U174" s="282"/>
      <c r="V174" s="109"/>
    </row>
    <row r="175" spans="2:22" s="4" customFormat="1" ht="15.75" customHeight="1" x14ac:dyDescent="0.25">
      <c r="C175" s="127" t="s">
        <v>147</v>
      </c>
      <c r="D175" s="118"/>
      <c r="E175" s="128"/>
      <c r="F175" s="128"/>
      <c r="G175" s="106">
        <f t="shared" si="129"/>
        <v>0</v>
      </c>
      <c r="H175" s="396"/>
      <c r="I175" s="120">
        <v>0</v>
      </c>
      <c r="J175" s="121">
        <v>0</v>
      </c>
      <c r="K175" s="109">
        <f t="shared" si="135"/>
        <v>0</v>
      </c>
      <c r="L175" s="122">
        <v>0</v>
      </c>
      <c r="M175" s="123">
        <v>0</v>
      </c>
      <c r="N175" s="112">
        <f t="shared" si="136"/>
        <v>0</v>
      </c>
      <c r="O175" s="122">
        <v>0</v>
      </c>
      <c r="P175" s="123">
        <v>0</v>
      </c>
      <c r="Q175" s="126">
        <f t="shared" si="134"/>
        <v>0</v>
      </c>
      <c r="R175" s="116">
        <f t="shared" si="133"/>
        <v>0</v>
      </c>
      <c r="S175" s="281"/>
      <c r="T175" s="283"/>
      <c r="U175" s="282"/>
      <c r="V175" s="109"/>
    </row>
    <row r="176" spans="2:22" s="4" customFormat="1" ht="15.75" customHeight="1" thickBot="1" x14ac:dyDescent="0.3">
      <c r="C176" s="130" t="s">
        <v>148</v>
      </c>
      <c r="D176" s="131">
        <f>SUM(D169:D175)</f>
        <v>0</v>
      </c>
      <c r="E176" s="132">
        <f>SUM(E169:E175)</f>
        <v>0</v>
      </c>
      <c r="F176" s="132">
        <f>SUM(F169:F175)</f>
        <v>0</v>
      </c>
      <c r="G176" s="200">
        <f t="shared" si="129"/>
        <v>0</v>
      </c>
      <c r="H176" s="396"/>
      <c r="I176" s="134">
        <f>SUM(I169:I175)</f>
        <v>0</v>
      </c>
      <c r="J176" s="135">
        <f>SUM(J169:J175)</f>
        <v>0</v>
      </c>
      <c r="K176" s="136">
        <f>+D176+I176-J176</f>
        <v>0</v>
      </c>
      <c r="L176" s="137">
        <f>SUM(L169:L175)</f>
        <v>0</v>
      </c>
      <c r="M176" s="138">
        <f>SUM(M169:M175)</f>
        <v>0</v>
      </c>
      <c r="N176" s="139">
        <f>E176+L176-M176</f>
        <v>0</v>
      </c>
      <c r="O176" s="140">
        <f>SUM(O169:O175)</f>
        <v>0</v>
      </c>
      <c r="P176" s="141">
        <f>SUM(P169:P175)</f>
        <v>0</v>
      </c>
      <c r="Q176" s="142">
        <f>F176+O176-P176</f>
        <v>0</v>
      </c>
      <c r="R176" s="143">
        <f>+K176+N176+Q176</f>
        <v>0</v>
      </c>
      <c r="S176" s="134"/>
      <c r="T176" s="284"/>
      <c r="U176" s="135"/>
      <c r="V176" s="136"/>
    </row>
    <row r="177" spans="3:22" s="5" customFormat="1" ht="15.75" customHeight="1" thickBot="1" x14ac:dyDescent="0.3">
      <c r="C177" s="393"/>
      <c r="D177" s="394"/>
      <c r="E177" s="394"/>
      <c r="F177" s="394"/>
      <c r="G177" s="394"/>
      <c r="H177" s="394"/>
      <c r="I177" s="394"/>
      <c r="J177" s="394"/>
      <c r="K177" s="394"/>
      <c r="L177" s="394"/>
    </row>
    <row r="178" spans="3:22" s="4" customFormat="1" ht="35.25" customHeight="1" thickBot="1" x14ac:dyDescent="0.3">
      <c r="C178" s="186" t="s">
        <v>94</v>
      </c>
      <c r="D178" s="187"/>
      <c r="E178" s="187"/>
      <c r="F178" s="187"/>
      <c r="G178" s="188"/>
      <c r="H178" s="396"/>
      <c r="I178" s="148" t="s">
        <v>136</v>
      </c>
      <c r="J178" s="149" t="s">
        <v>137</v>
      </c>
      <c r="K178" s="150" t="s">
        <v>150</v>
      </c>
      <c r="L178" s="151" t="s">
        <v>136</v>
      </c>
      <c r="M178" s="152" t="s">
        <v>137</v>
      </c>
      <c r="N178" s="153" t="s">
        <v>150</v>
      </c>
      <c r="O178" s="154" t="s">
        <v>136</v>
      </c>
      <c r="P178" s="155" t="s">
        <v>137</v>
      </c>
      <c r="Q178" s="156" t="s">
        <v>150</v>
      </c>
      <c r="R178" s="157" t="s">
        <v>151</v>
      </c>
    </row>
    <row r="179" spans="3:22" s="4" customFormat="1" ht="19.5" customHeight="1" thickBot="1" x14ac:dyDescent="0.3">
      <c r="C179" s="104" t="s">
        <v>171</v>
      </c>
      <c r="D179" s="105">
        <f>'[1]1) Tableau budgétaire 1'!D170</f>
        <v>0</v>
      </c>
      <c r="E179" s="189">
        <f>'[1]1) Tableau budgétaire 1'!E170</f>
        <v>0</v>
      </c>
      <c r="F179" s="189">
        <f>'[1]1) Tableau budgétaire 1'!F170</f>
        <v>0</v>
      </c>
      <c r="G179" s="106">
        <f t="shared" ref="G179:G187" si="137">SUM(D179:F179)</f>
        <v>0</v>
      </c>
      <c r="H179" s="396"/>
      <c r="I179" s="190">
        <f t="shared" ref="I179:N179" si="138">+I187</f>
        <v>0</v>
      </c>
      <c r="J179" s="191">
        <f t="shared" si="138"/>
        <v>0</v>
      </c>
      <c r="K179" s="192">
        <f t="shared" si="138"/>
        <v>0</v>
      </c>
      <c r="L179" s="193">
        <f t="shared" si="138"/>
        <v>0</v>
      </c>
      <c r="M179" s="194">
        <f t="shared" si="138"/>
        <v>0</v>
      </c>
      <c r="N179" s="195">
        <f t="shared" si="138"/>
        <v>0</v>
      </c>
      <c r="O179" s="196">
        <f>O187</f>
        <v>0</v>
      </c>
      <c r="P179" s="197">
        <f>+P187</f>
        <v>0</v>
      </c>
      <c r="Q179" s="198">
        <f>+Q187</f>
        <v>0</v>
      </c>
      <c r="R179" s="199">
        <f>+R187</f>
        <v>0</v>
      </c>
      <c r="S179" s="190"/>
      <c r="T179" s="285"/>
      <c r="U179" s="191"/>
      <c r="V179" s="280"/>
    </row>
    <row r="180" spans="3:22" s="4" customFormat="1" ht="15.75" customHeight="1" x14ac:dyDescent="0.25">
      <c r="C180" s="117" t="s">
        <v>141</v>
      </c>
      <c r="D180" s="118"/>
      <c r="E180" s="22"/>
      <c r="F180" s="22"/>
      <c r="G180" s="106">
        <f t="shared" si="137"/>
        <v>0</v>
      </c>
      <c r="H180" s="396"/>
      <c r="I180" s="120">
        <v>0</v>
      </c>
      <c r="J180" s="121">
        <v>0</v>
      </c>
      <c r="K180" s="109">
        <f t="shared" ref="K180:K181" si="139">+D180+I180-J180</f>
        <v>0</v>
      </c>
      <c r="L180" s="122">
        <v>0</v>
      </c>
      <c r="M180" s="123">
        <v>0</v>
      </c>
      <c r="N180" s="112">
        <f t="shared" ref="N180:N181" si="140">E180+L180-M180</f>
        <v>0</v>
      </c>
      <c r="O180" s="124">
        <v>0</v>
      </c>
      <c r="P180" s="125">
        <v>0</v>
      </c>
      <c r="Q180" s="126">
        <f>F180+O180-P180</f>
        <v>0</v>
      </c>
      <c r="R180" s="116">
        <f t="shared" ref="R180:R186" si="141">K180+N180+Q180</f>
        <v>0</v>
      </c>
      <c r="S180" s="281"/>
      <c r="T180" s="283"/>
      <c r="U180" s="282"/>
      <c r="V180" s="109"/>
    </row>
    <row r="181" spans="3:22" s="4" customFormat="1" ht="15.75" customHeight="1" x14ac:dyDescent="0.25">
      <c r="C181" s="127" t="s">
        <v>142</v>
      </c>
      <c r="D181" s="118"/>
      <c r="E181" s="22"/>
      <c r="F181" s="22"/>
      <c r="G181" s="106">
        <f t="shared" si="137"/>
        <v>0</v>
      </c>
      <c r="H181" s="396"/>
      <c r="I181" s="120">
        <v>0</v>
      </c>
      <c r="J181" s="121">
        <v>0</v>
      </c>
      <c r="K181" s="109">
        <f t="shared" si="139"/>
        <v>0</v>
      </c>
      <c r="L181" s="122">
        <v>0</v>
      </c>
      <c r="M181" s="123">
        <v>0</v>
      </c>
      <c r="N181" s="112">
        <f t="shared" si="140"/>
        <v>0</v>
      </c>
      <c r="O181" s="124">
        <v>0</v>
      </c>
      <c r="P181" s="125">
        <v>0</v>
      </c>
      <c r="Q181" s="126">
        <f t="shared" ref="Q181:Q186" si="142">F181+O181-P181</f>
        <v>0</v>
      </c>
      <c r="R181" s="116">
        <f t="shared" si="141"/>
        <v>0</v>
      </c>
      <c r="S181" s="281"/>
      <c r="T181" s="283"/>
      <c r="U181" s="282"/>
      <c r="V181" s="109"/>
    </row>
    <row r="182" spans="3:22" s="4" customFormat="1" ht="15.75" customHeight="1" x14ac:dyDescent="0.25">
      <c r="C182" s="127" t="s">
        <v>143</v>
      </c>
      <c r="D182" s="118"/>
      <c r="E182" s="128"/>
      <c r="F182" s="128"/>
      <c r="G182" s="106">
        <f t="shared" si="137"/>
        <v>0</v>
      </c>
      <c r="H182" s="396"/>
      <c r="I182" s="120">
        <v>0</v>
      </c>
      <c r="J182" s="121">
        <v>0</v>
      </c>
      <c r="K182" s="109">
        <v>0</v>
      </c>
      <c r="L182" s="122">
        <v>0</v>
      </c>
      <c r="M182" s="123">
        <v>0</v>
      </c>
      <c r="N182" s="112">
        <f>+E182+L182-M182</f>
        <v>0</v>
      </c>
      <c r="O182" s="122">
        <v>0</v>
      </c>
      <c r="P182" s="123">
        <v>0</v>
      </c>
      <c r="Q182" s="126">
        <f t="shared" si="142"/>
        <v>0</v>
      </c>
      <c r="R182" s="116">
        <f t="shared" si="141"/>
        <v>0</v>
      </c>
      <c r="S182" s="281"/>
      <c r="T182" s="283"/>
      <c r="U182" s="282"/>
      <c r="V182" s="109"/>
    </row>
    <row r="183" spans="3:22" s="4" customFormat="1" ht="15.75" customHeight="1" x14ac:dyDescent="0.25">
      <c r="C183" s="129" t="s">
        <v>144</v>
      </c>
      <c r="D183" s="118"/>
      <c r="E183" s="128"/>
      <c r="F183" s="128"/>
      <c r="G183" s="106">
        <f t="shared" si="137"/>
        <v>0</v>
      </c>
      <c r="H183" s="396"/>
      <c r="I183" s="120">
        <v>0</v>
      </c>
      <c r="J183" s="121">
        <v>0</v>
      </c>
      <c r="K183" s="109">
        <f t="shared" ref="K183:K186" si="143">+D183+I183-J183</f>
        <v>0</v>
      </c>
      <c r="L183" s="122">
        <v>0</v>
      </c>
      <c r="M183" s="123">
        <v>0</v>
      </c>
      <c r="N183" s="112">
        <f t="shared" ref="N183:N186" si="144">E183+L183-M183</f>
        <v>0</v>
      </c>
      <c r="O183" s="122">
        <v>0</v>
      </c>
      <c r="P183" s="123">
        <v>0</v>
      </c>
      <c r="Q183" s="126">
        <f t="shared" si="142"/>
        <v>0</v>
      </c>
      <c r="R183" s="116">
        <f t="shared" si="141"/>
        <v>0</v>
      </c>
      <c r="S183" s="281"/>
      <c r="T183" s="283"/>
      <c r="U183" s="282"/>
      <c r="V183" s="109"/>
    </row>
    <row r="184" spans="3:22" s="4" customFormat="1" ht="15.75" customHeight="1" x14ac:dyDescent="0.25">
      <c r="C184" s="127" t="s">
        <v>145</v>
      </c>
      <c r="D184" s="118"/>
      <c r="E184" s="128"/>
      <c r="F184" s="128"/>
      <c r="G184" s="106">
        <f t="shared" si="137"/>
        <v>0</v>
      </c>
      <c r="H184" s="396"/>
      <c r="I184" s="120">
        <v>0</v>
      </c>
      <c r="J184" s="121">
        <v>0</v>
      </c>
      <c r="K184" s="109">
        <f t="shared" si="143"/>
        <v>0</v>
      </c>
      <c r="L184" s="120">
        <v>0</v>
      </c>
      <c r="M184" s="121">
        <v>0</v>
      </c>
      <c r="N184" s="112">
        <f t="shared" si="144"/>
        <v>0</v>
      </c>
      <c r="O184" s="122">
        <v>0</v>
      </c>
      <c r="P184" s="123">
        <v>0</v>
      </c>
      <c r="Q184" s="126">
        <f t="shared" si="142"/>
        <v>0</v>
      </c>
      <c r="R184" s="116">
        <f t="shared" si="141"/>
        <v>0</v>
      </c>
      <c r="S184" s="281"/>
      <c r="T184" s="283"/>
      <c r="U184" s="282"/>
      <c r="V184" s="109"/>
    </row>
    <row r="185" spans="3:22" s="4" customFormat="1" ht="15.75" customHeight="1" x14ac:dyDescent="0.25">
      <c r="C185" s="127" t="s">
        <v>146</v>
      </c>
      <c r="D185" s="118"/>
      <c r="E185" s="128"/>
      <c r="F185" s="128"/>
      <c r="G185" s="106">
        <f t="shared" si="137"/>
        <v>0</v>
      </c>
      <c r="H185" s="396"/>
      <c r="I185" s="120">
        <v>0</v>
      </c>
      <c r="J185" s="121">
        <v>0</v>
      </c>
      <c r="K185" s="109">
        <f t="shared" si="143"/>
        <v>0</v>
      </c>
      <c r="L185" s="120">
        <v>0</v>
      </c>
      <c r="M185" s="121">
        <v>0</v>
      </c>
      <c r="N185" s="112">
        <f t="shared" si="144"/>
        <v>0</v>
      </c>
      <c r="O185" s="122">
        <v>0</v>
      </c>
      <c r="P185" s="123">
        <v>0</v>
      </c>
      <c r="Q185" s="126">
        <f t="shared" si="142"/>
        <v>0</v>
      </c>
      <c r="R185" s="116">
        <f t="shared" si="141"/>
        <v>0</v>
      </c>
      <c r="S185" s="281"/>
      <c r="T185" s="283"/>
      <c r="U185" s="282"/>
      <c r="V185" s="109"/>
    </row>
    <row r="186" spans="3:22" s="4" customFormat="1" ht="15.75" customHeight="1" x14ac:dyDescent="0.25">
      <c r="C186" s="127" t="s">
        <v>147</v>
      </c>
      <c r="D186" s="118"/>
      <c r="E186" s="128"/>
      <c r="F186" s="128"/>
      <c r="G186" s="106">
        <f t="shared" si="137"/>
        <v>0</v>
      </c>
      <c r="H186" s="396"/>
      <c r="I186" s="120">
        <v>0</v>
      </c>
      <c r="J186" s="121">
        <v>0</v>
      </c>
      <c r="K186" s="109">
        <f t="shared" si="143"/>
        <v>0</v>
      </c>
      <c r="L186" s="122">
        <v>0</v>
      </c>
      <c r="M186" s="123">
        <v>0</v>
      </c>
      <c r="N186" s="112">
        <f t="shared" si="144"/>
        <v>0</v>
      </c>
      <c r="O186" s="122">
        <v>0</v>
      </c>
      <c r="P186" s="123">
        <v>0</v>
      </c>
      <c r="Q186" s="126">
        <f t="shared" si="142"/>
        <v>0</v>
      </c>
      <c r="R186" s="116">
        <f t="shared" si="141"/>
        <v>0</v>
      </c>
      <c r="S186" s="281"/>
      <c r="T186" s="283"/>
      <c r="U186" s="282"/>
      <c r="V186" s="109"/>
    </row>
    <row r="187" spans="3:22" s="4" customFormat="1" ht="15.75" customHeight="1" thickBot="1" x14ac:dyDescent="0.3">
      <c r="C187" s="130" t="s">
        <v>148</v>
      </c>
      <c r="D187" s="131">
        <f>SUM(D180:D186)</f>
        <v>0</v>
      </c>
      <c r="E187" s="132">
        <f>SUM(E180:E186)</f>
        <v>0</v>
      </c>
      <c r="F187" s="132">
        <f>SUM(F180:F186)</f>
        <v>0</v>
      </c>
      <c r="G187" s="200">
        <f t="shared" si="137"/>
        <v>0</v>
      </c>
      <c r="H187" s="396"/>
      <c r="I187" s="134">
        <f>SUM(I180:I186)</f>
        <v>0</v>
      </c>
      <c r="J187" s="135">
        <f>SUM(J180:J186)</f>
        <v>0</v>
      </c>
      <c r="K187" s="136">
        <f>+D187+I187-J187</f>
        <v>0</v>
      </c>
      <c r="L187" s="137">
        <f>SUM(L180:L186)</f>
        <v>0</v>
      </c>
      <c r="M187" s="138">
        <f>SUM(M180:M186)</f>
        <v>0</v>
      </c>
      <c r="N187" s="139">
        <f>E187+L187-M187</f>
        <v>0</v>
      </c>
      <c r="O187" s="140">
        <f>SUM(O180:O186)</f>
        <v>0</v>
      </c>
      <c r="P187" s="141">
        <f>SUM(P180:P186)</f>
        <v>0</v>
      </c>
      <c r="Q187" s="142">
        <f>F187+O187-P187</f>
        <v>0</v>
      </c>
      <c r="R187" s="143">
        <f>+K187+N187+Q187</f>
        <v>0</v>
      </c>
      <c r="S187" s="134"/>
      <c r="T187" s="284"/>
      <c r="U187" s="135"/>
      <c r="V187" s="136"/>
    </row>
    <row r="188" spans="3:22" s="5" customFormat="1" ht="15.75" customHeight="1" thickBot="1" x14ac:dyDescent="0.3">
      <c r="C188" s="393"/>
      <c r="D188" s="394"/>
      <c r="E188" s="394"/>
      <c r="F188" s="394"/>
      <c r="G188" s="394"/>
      <c r="H188" s="394"/>
      <c r="I188" s="395"/>
      <c r="J188" s="395"/>
      <c r="K188" s="395"/>
      <c r="L188" s="395"/>
    </row>
    <row r="189" spans="3:22" s="4" customFormat="1" ht="30.75" customHeight="1" thickBot="1" x14ac:dyDescent="0.3">
      <c r="C189" s="186" t="s">
        <v>95</v>
      </c>
      <c r="D189" s="187"/>
      <c r="E189" s="187"/>
      <c r="F189" s="187"/>
      <c r="G189" s="188"/>
      <c r="H189" s="396"/>
      <c r="I189" s="148" t="s">
        <v>136</v>
      </c>
      <c r="J189" s="149" t="s">
        <v>137</v>
      </c>
      <c r="K189" s="150" t="s">
        <v>150</v>
      </c>
      <c r="L189" s="151" t="s">
        <v>136</v>
      </c>
      <c r="M189" s="152" t="s">
        <v>137</v>
      </c>
      <c r="N189" s="153" t="s">
        <v>150</v>
      </c>
      <c r="O189" s="154" t="s">
        <v>136</v>
      </c>
      <c r="P189" s="155" t="s">
        <v>137</v>
      </c>
      <c r="Q189" s="156" t="s">
        <v>150</v>
      </c>
      <c r="R189" s="157" t="s">
        <v>151</v>
      </c>
    </row>
    <row r="190" spans="3:22" s="4" customFormat="1" ht="22.5" customHeight="1" thickBot="1" x14ac:dyDescent="0.3">
      <c r="C190" s="104" t="s">
        <v>172</v>
      </c>
      <c r="D190" s="105">
        <f>'[1]1) Tableau budgétaire 1'!D180</f>
        <v>0</v>
      </c>
      <c r="E190" s="189">
        <f>'[1]1) Tableau budgétaire 1'!E180</f>
        <v>0</v>
      </c>
      <c r="F190" s="189">
        <f>'[1]1) Tableau budgétaire 1'!F180</f>
        <v>0</v>
      </c>
      <c r="G190" s="106">
        <f t="shared" ref="G190:G198" si="145">SUM(D190:F190)</f>
        <v>0</v>
      </c>
      <c r="H190" s="396"/>
      <c r="I190" s="190">
        <f t="shared" ref="I190:N190" si="146">+I198</f>
        <v>0</v>
      </c>
      <c r="J190" s="191">
        <f t="shared" si="146"/>
        <v>0</v>
      </c>
      <c r="K190" s="192">
        <f t="shared" si="146"/>
        <v>0</v>
      </c>
      <c r="L190" s="193">
        <f t="shared" si="146"/>
        <v>0</v>
      </c>
      <c r="M190" s="194">
        <f t="shared" si="146"/>
        <v>0</v>
      </c>
      <c r="N190" s="195">
        <f t="shared" si="146"/>
        <v>0</v>
      </c>
      <c r="O190" s="196">
        <f>O198</f>
        <v>0</v>
      </c>
      <c r="P190" s="197">
        <f>+P198</f>
        <v>0</v>
      </c>
      <c r="Q190" s="198">
        <f>+Q198</f>
        <v>0</v>
      </c>
      <c r="R190" s="199">
        <f>+R198</f>
        <v>0</v>
      </c>
      <c r="S190" s="190"/>
      <c r="T190" s="285"/>
      <c r="U190" s="191"/>
      <c r="V190" s="280"/>
    </row>
    <row r="191" spans="3:22" s="4" customFormat="1" ht="15.75" customHeight="1" x14ac:dyDescent="0.25">
      <c r="C191" s="117" t="s">
        <v>141</v>
      </c>
      <c r="D191" s="118"/>
      <c r="E191" s="22"/>
      <c r="F191" s="22"/>
      <c r="G191" s="106">
        <f t="shared" si="145"/>
        <v>0</v>
      </c>
      <c r="H191" s="396"/>
      <c r="I191" s="120">
        <v>0</v>
      </c>
      <c r="J191" s="121">
        <v>0</v>
      </c>
      <c r="K191" s="109">
        <f t="shared" ref="K191:K192" si="147">+D191+I191-J191</f>
        <v>0</v>
      </c>
      <c r="L191" s="122">
        <v>0</v>
      </c>
      <c r="M191" s="123">
        <v>0</v>
      </c>
      <c r="N191" s="112">
        <f t="shared" ref="N191:N192" si="148">E191+L191-M191</f>
        <v>0</v>
      </c>
      <c r="O191" s="124">
        <v>0</v>
      </c>
      <c r="P191" s="125">
        <v>0</v>
      </c>
      <c r="Q191" s="126">
        <f>F191+O191-P191</f>
        <v>0</v>
      </c>
      <c r="R191" s="116">
        <f t="shared" ref="R191:R197" si="149">K191+N191+Q191</f>
        <v>0</v>
      </c>
      <c r="S191" s="281"/>
      <c r="T191" s="283"/>
      <c r="U191" s="282"/>
      <c r="V191" s="109"/>
    </row>
    <row r="192" spans="3:22" s="4" customFormat="1" ht="15.75" customHeight="1" x14ac:dyDescent="0.25">
      <c r="C192" s="127" t="s">
        <v>142</v>
      </c>
      <c r="D192" s="118"/>
      <c r="E192" s="22"/>
      <c r="F192" s="22"/>
      <c r="G192" s="106">
        <f t="shared" si="145"/>
        <v>0</v>
      </c>
      <c r="H192" s="396"/>
      <c r="I192" s="120">
        <v>0</v>
      </c>
      <c r="J192" s="121">
        <v>0</v>
      </c>
      <c r="K192" s="109">
        <f t="shared" si="147"/>
        <v>0</v>
      </c>
      <c r="L192" s="122">
        <v>0</v>
      </c>
      <c r="M192" s="123">
        <v>0</v>
      </c>
      <c r="N192" s="112">
        <f t="shared" si="148"/>
        <v>0</v>
      </c>
      <c r="O192" s="124">
        <v>0</v>
      </c>
      <c r="P192" s="125">
        <v>0</v>
      </c>
      <c r="Q192" s="126">
        <f t="shared" ref="Q192:Q197" si="150">F192+O192-P192</f>
        <v>0</v>
      </c>
      <c r="R192" s="116">
        <f t="shared" si="149"/>
        <v>0</v>
      </c>
      <c r="S192" s="281"/>
      <c r="T192" s="283"/>
      <c r="U192" s="282"/>
      <c r="V192" s="109"/>
    </row>
    <row r="193" spans="3:22" s="4" customFormat="1" ht="15.75" customHeight="1" x14ac:dyDescent="0.25">
      <c r="C193" s="127" t="s">
        <v>143</v>
      </c>
      <c r="D193" s="118"/>
      <c r="E193" s="128"/>
      <c r="F193" s="128"/>
      <c r="G193" s="106">
        <f t="shared" si="145"/>
        <v>0</v>
      </c>
      <c r="H193" s="396"/>
      <c r="I193" s="120">
        <v>0</v>
      </c>
      <c r="J193" s="121">
        <v>0</v>
      </c>
      <c r="K193" s="109">
        <v>0</v>
      </c>
      <c r="L193" s="122">
        <v>0</v>
      </c>
      <c r="M193" s="123">
        <v>0</v>
      </c>
      <c r="N193" s="112">
        <f>+E193+L193-M193</f>
        <v>0</v>
      </c>
      <c r="O193" s="122">
        <v>0</v>
      </c>
      <c r="P193" s="123">
        <v>0</v>
      </c>
      <c r="Q193" s="126">
        <f t="shared" si="150"/>
        <v>0</v>
      </c>
      <c r="R193" s="116">
        <f t="shared" si="149"/>
        <v>0</v>
      </c>
      <c r="S193" s="281"/>
      <c r="T193" s="283"/>
      <c r="U193" s="282"/>
      <c r="V193" s="109"/>
    </row>
    <row r="194" spans="3:22" s="4" customFormat="1" ht="15.75" customHeight="1" x14ac:dyDescent="0.25">
      <c r="C194" s="129" t="s">
        <v>144</v>
      </c>
      <c r="D194" s="118"/>
      <c r="E194" s="128"/>
      <c r="F194" s="128"/>
      <c r="G194" s="106">
        <f t="shared" si="145"/>
        <v>0</v>
      </c>
      <c r="H194" s="396"/>
      <c r="I194" s="120">
        <v>0</v>
      </c>
      <c r="J194" s="121">
        <v>0</v>
      </c>
      <c r="K194" s="109">
        <f t="shared" ref="K194:K197" si="151">+D194+I194-J194</f>
        <v>0</v>
      </c>
      <c r="L194" s="122">
        <v>0</v>
      </c>
      <c r="M194" s="123">
        <v>0</v>
      </c>
      <c r="N194" s="112">
        <f t="shared" ref="N194:N197" si="152">E194+L194-M194</f>
        <v>0</v>
      </c>
      <c r="O194" s="122">
        <v>0</v>
      </c>
      <c r="P194" s="123">
        <v>0</v>
      </c>
      <c r="Q194" s="126">
        <f t="shared" si="150"/>
        <v>0</v>
      </c>
      <c r="R194" s="116">
        <f t="shared" si="149"/>
        <v>0</v>
      </c>
      <c r="S194" s="281"/>
      <c r="T194" s="283"/>
      <c r="U194" s="282"/>
      <c r="V194" s="109"/>
    </row>
    <row r="195" spans="3:22" s="4" customFormat="1" ht="15.75" customHeight="1" x14ac:dyDescent="0.25">
      <c r="C195" s="127" t="s">
        <v>145</v>
      </c>
      <c r="D195" s="118"/>
      <c r="E195" s="128"/>
      <c r="F195" s="128"/>
      <c r="G195" s="106">
        <f t="shared" si="145"/>
        <v>0</v>
      </c>
      <c r="H195" s="396"/>
      <c r="I195" s="120">
        <v>0</v>
      </c>
      <c r="J195" s="121">
        <v>0</v>
      </c>
      <c r="K195" s="109">
        <f t="shared" si="151"/>
        <v>0</v>
      </c>
      <c r="L195" s="120">
        <v>0</v>
      </c>
      <c r="M195" s="121">
        <v>0</v>
      </c>
      <c r="N195" s="112">
        <f t="shared" si="152"/>
        <v>0</v>
      </c>
      <c r="O195" s="122">
        <v>0</v>
      </c>
      <c r="P195" s="123">
        <v>0</v>
      </c>
      <c r="Q195" s="126">
        <f t="shared" si="150"/>
        <v>0</v>
      </c>
      <c r="R195" s="116">
        <f t="shared" si="149"/>
        <v>0</v>
      </c>
      <c r="S195" s="281"/>
      <c r="T195" s="283"/>
      <c r="U195" s="282"/>
      <c r="V195" s="109"/>
    </row>
    <row r="196" spans="3:22" s="4" customFormat="1" ht="15.75" customHeight="1" x14ac:dyDescent="0.25">
      <c r="C196" s="127" t="s">
        <v>146</v>
      </c>
      <c r="D196" s="118"/>
      <c r="E196" s="128"/>
      <c r="F196" s="128"/>
      <c r="G196" s="106">
        <f t="shared" si="145"/>
        <v>0</v>
      </c>
      <c r="H196" s="396"/>
      <c r="I196" s="120">
        <v>0</v>
      </c>
      <c r="J196" s="121">
        <v>0</v>
      </c>
      <c r="K196" s="109">
        <f t="shared" si="151"/>
        <v>0</v>
      </c>
      <c r="L196" s="120">
        <v>0</v>
      </c>
      <c r="M196" s="121">
        <v>0</v>
      </c>
      <c r="N196" s="112">
        <f t="shared" si="152"/>
        <v>0</v>
      </c>
      <c r="O196" s="122">
        <v>0</v>
      </c>
      <c r="P196" s="123">
        <v>0</v>
      </c>
      <c r="Q196" s="126">
        <f t="shared" si="150"/>
        <v>0</v>
      </c>
      <c r="R196" s="116">
        <f t="shared" si="149"/>
        <v>0</v>
      </c>
      <c r="S196" s="281"/>
      <c r="T196" s="283"/>
      <c r="U196" s="282"/>
      <c r="V196" s="109"/>
    </row>
    <row r="197" spans="3:22" s="4" customFormat="1" ht="15.75" customHeight="1" x14ac:dyDescent="0.25">
      <c r="C197" s="127" t="s">
        <v>147</v>
      </c>
      <c r="D197" s="118"/>
      <c r="E197" s="128"/>
      <c r="F197" s="128"/>
      <c r="G197" s="106">
        <f t="shared" si="145"/>
        <v>0</v>
      </c>
      <c r="H197" s="396"/>
      <c r="I197" s="120">
        <v>0</v>
      </c>
      <c r="J197" s="121">
        <v>0</v>
      </c>
      <c r="K197" s="109">
        <f t="shared" si="151"/>
        <v>0</v>
      </c>
      <c r="L197" s="122">
        <v>0</v>
      </c>
      <c r="M197" s="123">
        <v>0</v>
      </c>
      <c r="N197" s="112">
        <f t="shared" si="152"/>
        <v>0</v>
      </c>
      <c r="O197" s="122">
        <v>0</v>
      </c>
      <c r="P197" s="123">
        <v>0</v>
      </c>
      <c r="Q197" s="126">
        <f t="shared" si="150"/>
        <v>0</v>
      </c>
      <c r="R197" s="116">
        <f t="shared" si="149"/>
        <v>0</v>
      </c>
      <c r="S197" s="281"/>
      <c r="T197" s="283"/>
      <c r="U197" s="282"/>
      <c r="V197" s="109"/>
    </row>
    <row r="198" spans="3:22" s="4" customFormat="1" ht="15.75" customHeight="1" thickBot="1" x14ac:dyDescent="0.3">
      <c r="C198" s="130" t="s">
        <v>148</v>
      </c>
      <c r="D198" s="131">
        <f>SUM(D191:D197)</f>
        <v>0</v>
      </c>
      <c r="E198" s="132">
        <f>SUM(E191:E197)</f>
        <v>0</v>
      </c>
      <c r="F198" s="132">
        <f>SUM(F191:F197)</f>
        <v>0</v>
      </c>
      <c r="G198" s="200">
        <f t="shared" si="145"/>
        <v>0</v>
      </c>
      <c r="H198" s="396"/>
      <c r="I198" s="134">
        <f>SUM(I191:I197)</f>
        <v>0</v>
      </c>
      <c r="J198" s="135">
        <f>SUM(J191:J197)</f>
        <v>0</v>
      </c>
      <c r="K198" s="136">
        <f>+D198+I198-J198</f>
        <v>0</v>
      </c>
      <c r="L198" s="137">
        <f>SUM(L191:L197)</f>
        <v>0</v>
      </c>
      <c r="M198" s="138">
        <f>SUM(M191:M197)</f>
        <v>0</v>
      </c>
      <c r="N198" s="139">
        <f>E198+L198-M198</f>
        <v>0</v>
      </c>
      <c r="O198" s="140">
        <f>SUM(O191:O197)</f>
        <v>0</v>
      </c>
      <c r="P198" s="141">
        <f>SUM(P191:P197)</f>
        <v>0</v>
      </c>
      <c r="Q198" s="142">
        <f>F198+O198-P198</f>
        <v>0</v>
      </c>
      <c r="R198" s="143">
        <f>+K198+N198+Q198</f>
        <v>0</v>
      </c>
      <c r="S198" s="134"/>
      <c r="T198" s="284"/>
      <c r="U198" s="135"/>
      <c r="V198" s="136"/>
    </row>
    <row r="199" spans="3:22" s="4" customFormat="1" ht="15.75" customHeight="1" thickBot="1" x14ac:dyDescent="0.3">
      <c r="C199" s="397"/>
      <c r="D199" s="397"/>
      <c r="E199" s="397"/>
      <c r="F199" s="397"/>
      <c r="G199" s="397"/>
      <c r="H199" s="397"/>
      <c r="I199" s="398"/>
      <c r="J199" s="398"/>
      <c r="K199" s="398"/>
      <c r="L199" s="398"/>
    </row>
    <row r="200" spans="3:22" s="4" customFormat="1" ht="36.75" customHeight="1" thickBot="1" x14ac:dyDescent="0.3">
      <c r="C200" s="186" t="s">
        <v>173</v>
      </c>
      <c r="D200" s="187"/>
      <c r="E200" s="187"/>
      <c r="F200" s="187"/>
      <c r="G200" s="188"/>
      <c r="H200" s="399"/>
      <c r="I200" s="148" t="s">
        <v>136</v>
      </c>
      <c r="J200" s="149" t="s">
        <v>137</v>
      </c>
      <c r="K200" s="150" t="s">
        <v>150</v>
      </c>
      <c r="L200" s="151" t="s">
        <v>136</v>
      </c>
      <c r="M200" s="152" t="s">
        <v>137</v>
      </c>
      <c r="N200" s="153" t="s">
        <v>150</v>
      </c>
      <c r="O200" s="154" t="s">
        <v>136</v>
      </c>
      <c r="P200" s="155" t="s">
        <v>137</v>
      </c>
      <c r="Q200" s="156" t="s">
        <v>150</v>
      </c>
      <c r="R200" s="157" t="s">
        <v>151</v>
      </c>
    </row>
    <row r="201" spans="3:22" s="75" customFormat="1" ht="36" customHeight="1" thickBot="1" x14ac:dyDescent="0.3">
      <c r="C201" s="158" t="s">
        <v>174</v>
      </c>
      <c r="D201" s="159">
        <f>D209</f>
        <v>167800</v>
      </c>
      <c r="E201" s="159">
        <f t="shared" ref="E201:F201" si="153">E209</f>
        <v>109500</v>
      </c>
      <c r="F201" s="159">
        <f t="shared" si="153"/>
        <v>109500</v>
      </c>
      <c r="G201" s="160">
        <f t="shared" ref="G201:G208" si="154">SUM(D201:F201)</f>
        <v>386800</v>
      </c>
      <c r="H201" s="399"/>
      <c r="I201" s="148">
        <f t="shared" ref="I201:N201" si="155">+I209</f>
        <v>54368</v>
      </c>
      <c r="J201" s="149">
        <f t="shared" si="155"/>
        <v>54368</v>
      </c>
      <c r="K201" s="150">
        <f t="shared" si="155"/>
        <v>167800</v>
      </c>
      <c r="L201" s="151">
        <f t="shared" si="155"/>
        <v>10000</v>
      </c>
      <c r="M201" s="152">
        <f t="shared" si="155"/>
        <v>10000</v>
      </c>
      <c r="N201" s="153">
        <f t="shared" si="155"/>
        <v>109500</v>
      </c>
      <c r="O201" s="154">
        <f>O209</f>
        <v>66700</v>
      </c>
      <c r="P201" s="155">
        <f>+P209</f>
        <v>66700</v>
      </c>
      <c r="Q201" s="156">
        <f>+Q209</f>
        <v>109500</v>
      </c>
      <c r="R201" s="161">
        <f>+R209</f>
        <v>386800</v>
      </c>
      <c r="S201" s="190">
        <f>S209</f>
        <v>34262.899999999994</v>
      </c>
      <c r="T201" s="190">
        <f t="shared" ref="T201" si="156">T209</f>
        <v>42314.369999999995</v>
      </c>
      <c r="U201" s="287">
        <f>+U209</f>
        <v>63714.680000000008</v>
      </c>
      <c r="V201" s="190">
        <f>S201+T201+U201</f>
        <v>140291.95000000001</v>
      </c>
    </row>
    <row r="202" spans="3:22" s="75" customFormat="1" ht="30.75" customHeight="1" x14ac:dyDescent="0.25">
      <c r="C202" s="117" t="s">
        <v>141</v>
      </c>
      <c r="D202" s="162">
        <v>77280</v>
      </c>
      <c r="E202" s="119">
        <v>65000</v>
      </c>
      <c r="F202" s="207">
        <v>64500</v>
      </c>
      <c r="G202" s="160">
        <f t="shared" si="154"/>
        <v>206780</v>
      </c>
      <c r="H202" s="399"/>
      <c r="I202" s="163">
        <v>0</v>
      </c>
      <c r="J202" s="164">
        <v>15464</v>
      </c>
      <c r="K202" s="165">
        <f t="shared" ref="K202:K208" si="157">+D202+I202-J202</f>
        <v>61816</v>
      </c>
      <c r="L202" s="166">
        <v>0</v>
      </c>
      <c r="M202" s="167">
        <v>0</v>
      </c>
      <c r="N202" s="168">
        <f t="shared" ref="N202:N203" si="158">E202+L202-M202</f>
        <v>65000</v>
      </c>
      <c r="O202" s="124">
        <v>0</v>
      </c>
      <c r="P202" s="125">
        <v>45700</v>
      </c>
      <c r="Q202" s="126">
        <f>F202+O202-P202</f>
        <v>18800</v>
      </c>
      <c r="R202" s="169">
        <f t="shared" ref="R202:R208" si="159">K202+N202+Q202</f>
        <v>145616</v>
      </c>
      <c r="S202" s="281">
        <f>2346.96+7350.46+3499.84+3625.61</f>
        <v>16822.87</v>
      </c>
      <c r="T202" s="283">
        <v>20228.55</v>
      </c>
      <c r="U202" s="290">
        <v>280.49</v>
      </c>
      <c r="V202" s="109">
        <f>S202+T202+U202</f>
        <v>37331.909999999996</v>
      </c>
    </row>
    <row r="203" spans="3:22" s="75" customFormat="1" ht="15.75" customHeight="1" x14ac:dyDescent="0.25">
      <c r="C203" s="127" t="s">
        <v>142</v>
      </c>
      <c r="D203" s="162"/>
      <c r="E203" s="21"/>
      <c r="F203" s="22"/>
      <c r="G203" s="160">
        <f t="shared" si="154"/>
        <v>0</v>
      </c>
      <c r="H203" s="399"/>
      <c r="I203" s="163">
        <v>0</v>
      </c>
      <c r="J203" s="164">
        <v>0</v>
      </c>
      <c r="K203" s="165">
        <f t="shared" si="157"/>
        <v>0</v>
      </c>
      <c r="L203" s="166">
        <v>0</v>
      </c>
      <c r="M203" s="167">
        <v>0</v>
      </c>
      <c r="N203" s="168">
        <f t="shared" si="158"/>
        <v>0</v>
      </c>
      <c r="O203" s="124">
        <v>0</v>
      </c>
      <c r="P203" s="125">
        <v>0</v>
      </c>
      <c r="Q203" s="126">
        <f t="shared" ref="Q203:Q208" si="160">F203+O203-P203</f>
        <v>0</v>
      </c>
      <c r="R203" s="169">
        <f t="shared" si="159"/>
        <v>0</v>
      </c>
      <c r="S203" s="281">
        <v>0</v>
      </c>
      <c r="T203" s="283">
        <v>0</v>
      </c>
      <c r="U203" s="290">
        <v>0</v>
      </c>
      <c r="V203" s="109">
        <f t="shared" ref="V203:V208" si="161">S203+T203+U203</f>
        <v>0</v>
      </c>
    </row>
    <row r="204" spans="3:22" s="75" customFormat="1" ht="33" customHeight="1" x14ac:dyDescent="0.25">
      <c r="C204" s="127" t="s">
        <v>143</v>
      </c>
      <c r="D204" s="162"/>
      <c r="E204" s="170">
        <v>15000</v>
      </c>
      <c r="F204" s="170"/>
      <c r="G204" s="160">
        <f t="shared" si="154"/>
        <v>15000</v>
      </c>
      <c r="H204" s="399"/>
      <c r="I204" s="163">
        <f>12368+632</f>
        <v>13000</v>
      </c>
      <c r="J204" s="164">
        <v>0</v>
      </c>
      <c r="K204" s="165">
        <f t="shared" si="157"/>
        <v>13000</v>
      </c>
      <c r="L204" s="166">
        <v>0</v>
      </c>
      <c r="M204" s="167">
        <v>10000</v>
      </c>
      <c r="N204" s="168">
        <f>+E204+L204-M204</f>
        <v>5000</v>
      </c>
      <c r="O204" s="166">
        <v>0</v>
      </c>
      <c r="P204" s="167">
        <v>0</v>
      </c>
      <c r="Q204" s="126">
        <f t="shared" si="160"/>
        <v>0</v>
      </c>
      <c r="R204" s="169">
        <f t="shared" si="159"/>
        <v>18000</v>
      </c>
      <c r="S204" s="281">
        <v>0</v>
      </c>
      <c r="T204" s="283">
        <v>0</v>
      </c>
      <c r="U204" s="290">
        <v>0</v>
      </c>
      <c r="V204" s="109">
        <f t="shared" si="161"/>
        <v>0</v>
      </c>
    </row>
    <row r="205" spans="3:22" s="75" customFormat="1" ht="42.75" customHeight="1" x14ac:dyDescent="0.25">
      <c r="C205" s="129" t="s">
        <v>144</v>
      </c>
      <c r="D205" s="162">
        <v>12000</v>
      </c>
      <c r="E205" s="170"/>
      <c r="F205" s="170"/>
      <c r="G205" s="160">
        <f t="shared" si="154"/>
        <v>12000</v>
      </c>
      <c r="H205" s="399"/>
      <c r="I205" s="163">
        <f>8000+33368</f>
        <v>41368</v>
      </c>
      <c r="J205" s="164">
        <v>0</v>
      </c>
      <c r="K205" s="165">
        <f t="shared" si="157"/>
        <v>53368</v>
      </c>
      <c r="L205" s="166">
        <v>0</v>
      </c>
      <c r="M205" s="167">
        <v>0</v>
      </c>
      <c r="N205" s="168">
        <f t="shared" ref="N205:N208" si="162">E205+L205-M205</f>
        <v>0</v>
      </c>
      <c r="O205" s="166">
        <v>50667</v>
      </c>
      <c r="P205" s="167">
        <v>0</v>
      </c>
      <c r="Q205" s="126">
        <f t="shared" si="160"/>
        <v>50667</v>
      </c>
      <c r="R205" s="169">
        <f t="shared" si="159"/>
        <v>104035</v>
      </c>
      <c r="S205" s="281">
        <f>4763.57+1111.48</f>
        <v>5875.0499999999993</v>
      </c>
      <c r="T205" s="283">
        <v>0</v>
      </c>
      <c r="U205" s="290">
        <v>39786.520000000004</v>
      </c>
      <c r="V205" s="109">
        <f t="shared" si="161"/>
        <v>45661.570000000007</v>
      </c>
    </row>
    <row r="206" spans="3:22" s="75" customFormat="1" ht="38.25" customHeight="1" x14ac:dyDescent="0.25">
      <c r="C206" s="127" t="s">
        <v>145</v>
      </c>
      <c r="D206" s="162">
        <v>8520</v>
      </c>
      <c r="E206" s="170">
        <v>20000</v>
      </c>
      <c r="F206" s="207">
        <v>13000</v>
      </c>
      <c r="G206" s="160">
        <f t="shared" si="154"/>
        <v>41520</v>
      </c>
      <c r="H206" s="399"/>
      <c r="I206" s="163"/>
      <c r="J206" s="164">
        <v>8520</v>
      </c>
      <c r="K206" s="165">
        <f t="shared" si="157"/>
        <v>0</v>
      </c>
      <c r="L206" s="163">
        <v>0</v>
      </c>
      <c r="M206" s="164">
        <v>0</v>
      </c>
      <c r="N206" s="168">
        <f t="shared" si="162"/>
        <v>20000</v>
      </c>
      <c r="O206" s="166">
        <v>0</v>
      </c>
      <c r="P206" s="167">
        <v>0</v>
      </c>
      <c r="Q206" s="126">
        <f t="shared" si="160"/>
        <v>13000</v>
      </c>
      <c r="R206" s="169">
        <f t="shared" si="159"/>
        <v>33000</v>
      </c>
      <c r="S206" s="281">
        <v>0</v>
      </c>
      <c r="T206" s="283">
        <v>8306</v>
      </c>
      <c r="U206" s="290">
        <v>5396.9400000000005</v>
      </c>
      <c r="V206" s="109">
        <f t="shared" si="161"/>
        <v>13702.94</v>
      </c>
    </row>
    <row r="207" spans="3:22" s="75" customFormat="1" ht="35.25" customHeight="1" x14ac:dyDescent="0.25">
      <c r="C207" s="127" t="s">
        <v>146</v>
      </c>
      <c r="D207" s="162"/>
      <c r="E207" s="170"/>
      <c r="F207" s="170">
        <v>21000</v>
      </c>
      <c r="G207" s="160">
        <f t="shared" si="154"/>
        <v>21000</v>
      </c>
      <c r="H207" s="399"/>
      <c r="I207" s="163">
        <v>0</v>
      </c>
      <c r="J207" s="164">
        <v>0</v>
      </c>
      <c r="K207" s="165">
        <f t="shared" si="157"/>
        <v>0</v>
      </c>
      <c r="L207" s="163">
        <v>0</v>
      </c>
      <c r="M207" s="164">
        <v>0</v>
      </c>
      <c r="N207" s="168">
        <f t="shared" si="162"/>
        <v>0</v>
      </c>
      <c r="O207" s="166">
        <v>0</v>
      </c>
      <c r="P207" s="167">
        <v>21000</v>
      </c>
      <c r="Q207" s="126">
        <f t="shared" si="160"/>
        <v>0</v>
      </c>
      <c r="R207" s="169">
        <f t="shared" si="159"/>
        <v>0</v>
      </c>
      <c r="S207" s="281">
        <v>0</v>
      </c>
      <c r="T207" s="283">
        <v>0</v>
      </c>
      <c r="U207" s="290">
        <v>0</v>
      </c>
      <c r="V207" s="109">
        <f t="shared" si="161"/>
        <v>0</v>
      </c>
    </row>
    <row r="208" spans="3:22" s="75" customFormat="1" ht="48.75" customHeight="1" x14ac:dyDescent="0.25">
      <c r="C208" s="127" t="s">
        <v>147</v>
      </c>
      <c r="D208" s="162">
        <v>70000</v>
      </c>
      <c r="E208" s="170">
        <v>9500</v>
      </c>
      <c r="F208" s="207">
        <v>11000</v>
      </c>
      <c r="G208" s="160">
        <f t="shared" si="154"/>
        <v>90500</v>
      </c>
      <c r="H208" s="399"/>
      <c r="I208" s="163">
        <v>0</v>
      </c>
      <c r="J208" s="164">
        <v>30384</v>
      </c>
      <c r="K208" s="165">
        <f t="shared" si="157"/>
        <v>39616</v>
      </c>
      <c r="L208" s="166">
        <v>10000</v>
      </c>
      <c r="M208" s="167">
        <v>0</v>
      </c>
      <c r="N208" s="168">
        <f t="shared" si="162"/>
        <v>19500</v>
      </c>
      <c r="O208" s="166">
        <v>16033</v>
      </c>
      <c r="P208" s="167">
        <v>0</v>
      </c>
      <c r="Q208" s="126">
        <f t="shared" si="160"/>
        <v>27033</v>
      </c>
      <c r="R208" s="169">
        <f t="shared" si="159"/>
        <v>86149</v>
      </c>
      <c r="S208" s="281">
        <f>2800.78+191.27+7988.75+509.64+20.7+53.84</f>
        <v>11564.98</v>
      </c>
      <c r="T208" s="283">
        <v>13779.82</v>
      </c>
      <c r="U208" s="290">
        <v>18250.730000000003</v>
      </c>
      <c r="V208" s="109">
        <f t="shared" si="161"/>
        <v>43595.53</v>
      </c>
    </row>
    <row r="209" spans="3:22" s="75" customFormat="1" ht="27" customHeight="1" thickBot="1" x14ac:dyDescent="0.3">
      <c r="C209" s="171" t="s">
        <v>148</v>
      </c>
      <c r="D209" s="172">
        <f t="shared" ref="D209:G209" si="163">SUM(D202:D208)</f>
        <v>167800</v>
      </c>
      <c r="E209" s="173">
        <f t="shared" si="163"/>
        <v>109500</v>
      </c>
      <c r="F209" s="173">
        <f t="shared" si="163"/>
        <v>109500</v>
      </c>
      <c r="G209" s="174">
        <f t="shared" si="163"/>
        <v>386800</v>
      </c>
      <c r="H209" s="399"/>
      <c r="I209" s="175">
        <f>SUM(I202:I208)</f>
        <v>54368</v>
      </c>
      <c r="J209" s="176">
        <f>SUM(J202:J208)</f>
        <v>54368</v>
      </c>
      <c r="K209" s="177">
        <f>+D209+I209-J209</f>
        <v>167800</v>
      </c>
      <c r="L209" s="178">
        <f>SUM(L202:L208)</f>
        <v>10000</v>
      </c>
      <c r="M209" s="179">
        <f>SUM(M202:M208)</f>
        <v>10000</v>
      </c>
      <c r="N209" s="180">
        <f>E209+L209-M209</f>
        <v>109500</v>
      </c>
      <c r="O209" s="181">
        <f>SUM(O202:O208)</f>
        <v>66700</v>
      </c>
      <c r="P209" s="182">
        <f>SUM(P202:P208)</f>
        <v>66700</v>
      </c>
      <c r="Q209" s="183">
        <f>F209+O209-P209</f>
        <v>109500</v>
      </c>
      <c r="R209" s="184">
        <f>+K209+N209+Q209</f>
        <v>386800</v>
      </c>
      <c r="S209" s="134">
        <f>S202+S204+S203+S205+S206+S207+S208</f>
        <v>34262.899999999994</v>
      </c>
      <c r="T209" s="134">
        <f t="shared" ref="T209:V209" si="164">T202+T204+T203+T205+T206+T207+T208</f>
        <v>42314.369999999995</v>
      </c>
      <c r="U209" s="291">
        <f>+SUM(U202:U208)</f>
        <v>63714.680000000008</v>
      </c>
      <c r="V209" s="134">
        <f t="shared" si="164"/>
        <v>140291.95000000001</v>
      </c>
    </row>
    <row r="210" spans="3:22" s="4" customFormat="1" ht="15.75" customHeight="1" x14ac:dyDescent="0.25">
      <c r="C210" s="1"/>
      <c r="D210" s="5"/>
      <c r="E210" s="5"/>
      <c r="F210" s="5"/>
      <c r="G210" s="1"/>
      <c r="H210" s="5"/>
      <c r="I210" s="5"/>
      <c r="J210" s="5"/>
      <c r="K210" s="5"/>
      <c r="L210" s="1"/>
    </row>
    <row r="211" spans="3:22" s="4" customFormat="1" ht="15.75" customHeight="1" thickBot="1" x14ac:dyDescent="0.3">
      <c r="C211" s="1"/>
      <c r="D211" s="5"/>
      <c r="E211" s="5"/>
      <c r="F211" s="5"/>
      <c r="G211" s="1"/>
      <c r="H211" s="5"/>
      <c r="I211" s="5"/>
      <c r="J211" s="5"/>
      <c r="K211" s="5"/>
      <c r="L211" s="1"/>
    </row>
    <row r="212" spans="3:22" s="4" customFormat="1" ht="19.5" customHeight="1" thickBot="1" x14ac:dyDescent="0.3">
      <c r="C212" s="400" t="s">
        <v>175</v>
      </c>
      <c r="D212" s="401"/>
      <c r="E212" s="401"/>
      <c r="F212" s="401"/>
      <c r="G212" s="402"/>
      <c r="H212" s="396"/>
      <c r="I212" s="403" t="s">
        <v>176</v>
      </c>
      <c r="J212" s="404"/>
      <c r="K212" s="404"/>
      <c r="L212" s="404"/>
      <c r="M212" s="404"/>
      <c r="N212" s="404"/>
      <c r="O212" s="404"/>
      <c r="P212" s="404"/>
      <c r="Q212" s="404"/>
      <c r="R212" s="405"/>
      <c r="S212" s="504" t="s">
        <v>200</v>
      </c>
      <c r="T212" s="505"/>
      <c r="U212" s="505"/>
      <c r="V212" s="505"/>
    </row>
    <row r="213" spans="3:22" s="75" customFormat="1" ht="42.75" customHeight="1" x14ac:dyDescent="0.25">
      <c r="C213" s="208"/>
      <c r="D213" s="209" t="s">
        <v>10</v>
      </c>
      <c r="E213" s="210" t="s">
        <v>11</v>
      </c>
      <c r="F213" s="210" t="s">
        <v>12</v>
      </c>
      <c r="G213" s="406" t="s">
        <v>105</v>
      </c>
      <c r="H213" s="396"/>
      <c r="I213" s="408" t="s">
        <v>177</v>
      </c>
      <c r="J213" s="409"/>
      <c r="K213" s="410" t="s">
        <v>178</v>
      </c>
      <c r="L213" s="412" t="s">
        <v>179</v>
      </c>
      <c r="M213" s="413"/>
      <c r="N213" s="414" t="s">
        <v>180</v>
      </c>
      <c r="O213" s="416" t="s">
        <v>181</v>
      </c>
      <c r="P213" s="417"/>
      <c r="Q213" s="418" t="s">
        <v>182</v>
      </c>
      <c r="R213" s="420" t="s">
        <v>183</v>
      </c>
      <c r="S213" s="278" t="s">
        <v>131</v>
      </c>
      <c r="T213" s="278" t="s">
        <v>132</v>
      </c>
      <c r="U213" s="278" t="s">
        <v>133</v>
      </c>
      <c r="V213" s="478" t="s">
        <v>198</v>
      </c>
    </row>
    <row r="214" spans="3:22" s="75" customFormat="1" ht="19.5" customHeight="1" x14ac:dyDescent="0.25">
      <c r="C214" s="211"/>
      <c r="D214" s="159">
        <f>'[1]1) Tableau budgétaire 1'!D13</f>
        <v>0</v>
      </c>
      <c r="E214" s="205">
        <f>'[1]1) Tableau budgétaire 1'!E13</f>
        <v>0</v>
      </c>
      <c r="F214" s="205">
        <f>'[1]1) Tableau budgétaire 1'!F13</f>
        <v>0</v>
      </c>
      <c r="G214" s="407"/>
      <c r="H214" s="396"/>
      <c r="I214" s="212" t="s">
        <v>136</v>
      </c>
      <c r="J214" s="213" t="s">
        <v>137</v>
      </c>
      <c r="K214" s="411"/>
      <c r="L214" s="214" t="s">
        <v>136</v>
      </c>
      <c r="M214" s="215" t="s">
        <v>137</v>
      </c>
      <c r="N214" s="415"/>
      <c r="O214" s="216" t="s">
        <v>136</v>
      </c>
      <c r="P214" s="217" t="s">
        <v>137</v>
      </c>
      <c r="Q214" s="419"/>
      <c r="R214" s="421"/>
      <c r="S214" s="278" t="s">
        <v>10</v>
      </c>
      <c r="T214" s="278" t="s">
        <v>11</v>
      </c>
      <c r="U214" s="278" t="s">
        <v>12</v>
      </c>
      <c r="V214" s="503"/>
    </row>
    <row r="215" spans="3:22" s="75" customFormat="1" ht="31.5" customHeight="1" x14ac:dyDescent="0.25">
      <c r="C215" s="218" t="s">
        <v>141</v>
      </c>
      <c r="D215" s="219">
        <f t="shared" ref="D215:F221" si="165">SUM(D191,D180,D169,D158,D146,D135,D124,D113,D101,D90,D79,D68,D56,D45,D34,D23,D202)</f>
        <v>77280</v>
      </c>
      <c r="E215" s="220">
        <f t="shared" si="165"/>
        <v>65000</v>
      </c>
      <c r="F215" s="220">
        <f t="shared" si="165"/>
        <v>64500</v>
      </c>
      <c r="G215" s="160">
        <f t="shared" ref="G215:G222" si="166">SUM(D215:F215)</f>
        <v>206780</v>
      </c>
      <c r="H215" s="396"/>
      <c r="I215" s="221">
        <f t="shared" ref="I215:J221" si="167">+I23+I34+I45+I56+I68+I79+I90+I101+I113+I124+I135+I146+I158+I169+I180+I191+I202</f>
        <v>0</v>
      </c>
      <c r="J215" s="222">
        <f t="shared" si="167"/>
        <v>15464</v>
      </c>
      <c r="K215" s="223">
        <f>+D215+I215-J215</f>
        <v>61816</v>
      </c>
      <c r="L215" s="166">
        <f t="shared" ref="L215:M219" si="168">+L23+L34+L45+L56+L68+L79+L90+L101+L113+L124+L135+L146+L158+L169+L180+L191+L202</f>
        <v>0</v>
      </c>
      <c r="M215" s="166">
        <f t="shared" si="168"/>
        <v>0</v>
      </c>
      <c r="N215" s="168">
        <f t="shared" ref="N215:N221" si="169">E215+L215-M215</f>
        <v>65000</v>
      </c>
      <c r="O215" s="124">
        <f t="shared" ref="O215:P221" si="170">+O23+O34+O45+O56+O68+O79+O90+O101+O113+O124+O135+O146+O158+O169+O180+O191+O202</f>
        <v>0</v>
      </c>
      <c r="P215" s="125">
        <f t="shared" si="170"/>
        <v>45700</v>
      </c>
      <c r="Q215" s="224">
        <f>F215+O215-P215</f>
        <v>18800</v>
      </c>
      <c r="R215" s="225">
        <f>+K215+N215+Q215</f>
        <v>145616</v>
      </c>
      <c r="S215" s="279">
        <f>S23+S34+S45+S56+S68+S79+S90+S101+S113+S124+S135+S146+S158+S169+S180+S191+S202</f>
        <v>16822.87</v>
      </c>
      <c r="T215" s="279">
        <f t="shared" ref="S215:U221" si="171">T23+T34+T45+T56+T68+T79+T90+T101+T113+T124+T135+T146+T158+T169+T180+T191+T202</f>
        <v>20228.55</v>
      </c>
      <c r="U215" s="279">
        <f t="shared" si="171"/>
        <v>280.49</v>
      </c>
      <c r="V215" s="109">
        <f t="shared" ref="V215:V221" si="172">S215+U215</f>
        <v>17103.36</v>
      </c>
    </row>
    <row r="216" spans="3:22" s="75" customFormat="1" ht="34.5" customHeight="1" x14ac:dyDescent="0.25">
      <c r="C216" s="226" t="s">
        <v>142</v>
      </c>
      <c r="D216" s="219">
        <f t="shared" si="165"/>
        <v>30000</v>
      </c>
      <c r="E216" s="220">
        <f t="shared" si="165"/>
        <v>1000</v>
      </c>
      <c r="F216" s="220">
        <f t="shared" si="165"/>
        <v>16000</v>
      </c>
      <c r="G216" s="160">
        <f t="shared" si="166"/>
        <v>47000</v>
      </c>
      <c r="H216" s="396"/>
      <c r="I216" s="163">
        <f t="shared" si="167"/>
        <v>3000</v>
      </c>
      <c r="J216" s="164">
        <f t="shared" si="167"/>
        <v>20000</v>
      </c>
      <c r="K216" s="223">
        <f t="shared" ref="K216:K221" si="173">+D216+I216-J216</f>
        <v>13000</v>
      </c>
      <c r="L216" s="166">
        <f t="shared" si="168"/>
        <v>0</v>
      </c>
      <c r="M216" s="166">
        <f t="shared" ref="M216" si="174">+M24+M35+M46+M57+M69+M80+M91+M102+M114+M125+M136+M147+M159+M170+M181+M192+M203</f>
        <v>1000</v>
      </c>
      <c r="N216" s="168">
        <f t="shared" si="169"/>
        <v>0</v>
      </c>
      <c r="O216" s="124">
        <f t="shared" si="170"/>
        <v>25000</v>
      </c>
      <c r="P216" s="125">
        <f t="shared" si="170"/>
        <v>0</v>
      </c>
      <c r="Q216" s="224">
        <f t="shared" ref="Q216:Q221" si="175">F216+O216-P216</f>
        <v>41000</v>
      </c>
      <c r="R216" s="225">
        <f t="shared" ref="R216:R221" si="176">+K216+N216+Q216</f>
        <v>54000</v>
      </c>
      <c r="S216" s="279">
        <f t="shared" si="171"/>
        <v>0</v>
      </c>
      <c r="T216" s="279">
        <f t="shared" si="171"/>
        <v>0</v>
      </c>
      <c r="U216" s="279">
        <f t="shared" si="171"/>
        <v>1250.21</v>
      </c>
      <c r="V216" s="109">
        <f t="shared" si="172"/>
        <v>1250.21</v>
      </c>
    </row>
    <row r="217" spans="3:22" s="75" customFormat="1" ht="48" customHeight="1" x14ac:dyDescent="0.25">
      <c r="C217" s="226" t="s">
        <v>143</v>
      </c>
      <c r="D217" s="219">
        <f t="shared" si="165"/>
        <v>0</v>
      </c>
      <c r="E217" s="220">
        <f t="shared" si="165"/>
        <v>65000</v>
      </c>
      <c r="F217" s="220">
        <f t="shared" si="165"/>
        <v>0</v>
      </c>
      <c r="G217" s="160">
        <f t="shared" si="166"/>
        <v>65000</v>
      </c>
      <c r="H217" s="396"/>
      <c r="I217" s="163">
        <f t="shared" si="167"/>
        <v>13000</v>
      </c>
      <c r="J217" s="164">
        <f t="shared" si="167"/>
        <v>0</v>
      </c>
      <c r="K217" s="223">
        <f t="shared" si="173"/>
        <v>13000</v>
      </c>
      <c r="L217" s="166">
        <f t="shared" si="168"/>
        <v>0</v>
      </c>
      <c r="M217" s="166">
        <f t="shared" ref="M217" si="177">+M25+M36+M47+M58+M70+M81+M92+M103+M115+M126+M137+M148+M160+M171+M182+M193+M204</f>
        <v>14000</v>
      </c>
      <c r="N217" s="168">
        <f t="shared" si="169"/>
        <v>51000</v>
      </c>
      <c r="O217" s="124">
        <f t="shared" si="170"/>
        <v>20000</v>
      </c>
      <c r="P217" s="125">
        <f t="shared" si="170"/>
        <v>0</v>
      </c>
      <c r="Q217" s="224">
        <f t="shared" si="175"/>
        <v>20000</v>
      </c>
      <c r="R217" s="225">
        <f t="shared" si="176"/>
        <v>84000</v>
      </c>
      <c r="S217" s="279">
        <f t="shared" si="171"/>
        <v>0</v>
      </c>
      <c r="T217" s="279">
        <f t="shared" si="171"/>
        <v>0</v>
      </c>
      <c r="U217" s="279">
        <f t="shared" si="171"/>
        <v>2068.02</v>
      </c>
      <c r="V217" s="109">
        <f t="shared" si="172"/>
        <v>2068.02</v>
      </c>
    </row>
    <row r="218" spans="3:22" s="75" customFormat="1" ht="33" customHeight="1" x14ac:dyDescent="0.25">
      <c r="C218" s="227" t="s">
        <v>144</v>
      </c>
      <c r="D218" s="219">
        <f t="shared" si="165"/>
        <v>172000</v>
      </c>
      <c r="E218" s="220">
        <f t="shared" si="165"/>
        <v>50000</v>
      </c>
      <c r="F218" s="220">
        <f t="shared" si="165"/>
        <v>56000</v>
      </c>
      <c r="G218" s="160">
        <f t="shared" si="166"/>
        <v>278000</v>
      </c>
      <c r="H218" s="396"/>
      <c r="I218" s="163">
        <f t="shared" si="167"/>
        <v>218368</v>
      </c>
      <c r="J218" s="164">
        <f t="shared" si="167"/>
        <v>15000</v>
      </c>
      <c r="K218" s="223">
        <f t="shared" si="173"/>
        <v>375368</v>
      </c>
      <c r="L218" s="166">
        <f t="shared" si="168"/>
        <v>0</v>
      </c>
      <c r="M218" s="166">
        <f t="shared" ref="M218" si="178">+M26+M37+M48+M59+M71+M82+M93+M104+M116+M127+M138+M149+M161+M172+M183+M194+M205</f>
        <v>26000</v>
      </c>
      <c r="N218" s="168">
        <f t="shared" si="169"/>
        <v>24000</v>
      </c>
      <c r="O218" s="124">
        <f t="shared" si="170"/>
        <v>128667</v>
      </c>
      <c r="P218" s="125">
        <f t="shared" si="170"/>
        <v>0</v>
      </c>
      <c r="Q218" s="224">
        <f t="shared" si="175"/>
        <v>184667</v>
      </c>
      <c r="R218" s="225">
        <f t="shared" si="176"/>
        <v>584035</v>
      </c>
      <c r="S218" s="279">
        <f t="shared" si="171"/>
        <v>94960.41</v>
      </c>
      <c r="T218" s="279">
        <f t="shared" si="171"/>
        <v>0</v>
      </c>
      <c r="U218" s="279">
        <f t="shared" si="171"/>
        <v>71100.140000000014</v>
      </c>
      <c r="V218" s="109">
        <f t="shared" si="172"/>
        <v>166060.55000000002</v>
      </c>
    </row>
    <row r="219" spans="3:22" s="75" customFormat="1" ht="28.5" customHeight="1" x14ac:dyDescent="0.25">
      <c r="C219" s="226" t="s">
        <v>145</v>
      </c>
      <c r="D219" s="219">
        <f t="shared" si="165"/>
        <v>63520</v>
      </c>
      <c r="E219" s="220">
        <f t="shared" si="165"/>
        <v>26000</v>
      </c>
      <c r="F219" s="220">
        <f t="shared" si="165"/>
        <v>77000</v>
      </c>
      <c r="G219" s="160">
        <f t="shared" si="166"/>
        <v>166520</v>
      </c>
      <c r="H219" s="396"/>
      <c r="I219" s="163">
        <f t="shared" si="167"/>
        <v>5000</v>
      </c>
      <c r="J219" s="164">
        <f t="shared" si="167"/>
        <v>48520</v>
      </c>
      <c r="K219" s="223">
        <f t="shared" si="173"/>
        <v>20000</v>
      </c>
      <c r="L219" s="166">
        <f t="shared" si="168"/>
        <v>0</v>
      </c>
      <c r="M219" s="166">
        <f t="shared" ref="M219" si="179">+M27+M38+M49+M60+M72+M83+M94+M105+M117+M128+M139+M150+M162+M173+M184+M195+M206</f>
        <v>6000</v>
      </c>
      <c r="N219" s="168">
        <f t="shared" si="169"/>
        <v>20000</v>
      </c>
      <c r="O219" s="124">
        <f t="shared" si="170"/>
        <v>53000</v>
      </c>
      <c r="P219" s="125">
        <f t="shared" si="170"/>
        <v>0</v>
      </c>
      <c r="Q219" s="224">
        <f t="shared" si="175"/>
        <v>130000</v>
      </c>
      <c r="R219" s="225">
        <f t="shared" si="176"/>
        <v>170000</v>
      </c>
      <c r="S219" s="279">
        <f t="shared" si="171"/>
        <v>0</v>
      </c>
      <c r="T219" s="279">
        <f t="shared" si="171"/>
        <v>8306</v>
      </c>
      <c r="U219" s="279">
        <f t="shared" si="171"/>
        <v>61324.470000000008</v>
      </c>
      <c r="V219" s="109">
        <f t="shared" si="172"/>
        <v>61324.470000000008</v>
      </c>
    </row>
    <row r="220" spans="3:22" s="75" customFormat="1" ht="39.75" customHeight="1" x14ac:dyDescent="0.25">
      <c r="C220" s="226" t="s">
        <v>146</v>
      </c>
      <c r="D220" s="219">
        <f t="shared" si="165"/>
        <v>120000</v>
      </c>
      <c r="E220" s="220">
        <f t="shared" si="165"/>
        <v>213000</v>
      </c>
      <c r="F220" s="220">
        <f t="shared" si="165"/>
        <v>210000</v>
      </c>
      <c r="G220" s="160">
        <f t="shared" si="166"/>
        <v>543000</v>
      </c>
      <c r="H220" s="396"/>
      <c r="I220" s="163">
        <f t="shared" si="167"/>
        <v>0</v>
      </c>
      <c r="J220" s="164">
        <f t="shared" si="167"/>
        <v>110000</v>
      </c>
      <c r="K220" s="223">
        <f t="shared" si="173"/>
        <v>10000</v>
      </c>
      <c r="L220" s="166">
        <f>+L28+L39+L50+L61+L73+L84+L95+L106+L118+L129+L140+L151+L163+L174+L185+L196+L207</f>
        <v>42000</v>
      </c>
      <c r="M220" s="166">
        <f t="shared" ref="M220" si="180">+M28+M39+M50+M61+M73+M84+M95+M106+M118+M129+M140+M151+M163+M174+M185+M196+M207</f>
        <v>0</v>
      </c>
      <c r="N220" s="168">
        <f t="shared" si="169"/>
        <v>255000</v>
      </c>
      <c r="O220" s="124">
        <f t="shared" si="170"/>
        <v>0</v>
      </c>
      <c r="P220" s="125">
        <f t="shared" si="170"/>
        <v>210000</v>
      </c>
      <c r="Q220" s="224">
        <f t="shared" si="175"/>
        <v>0</v>
      </c>
      <c r="R220" s="225">
        <f t="shared" si="176"/>
        <v>265000</v>
      </c>
      <c r="S220" s="279">
        <f t="shared" si="171"/>
        <v>0</v>
      </c>
      <c r="T220" s="279">
        <f t="shared" si="171"/>
        <v>107546.08000000002</v>
      </c>
      <c r="U220" s="279">
        <f t="shared" si="171"/>
        <v>0</v>
      </c>
      <c r="V220" s="109">
        <f t="shared" si="172"/>
        <v>0</v>
      </c>
    </row>
    <row r="221" spans="3:22" s="75" customFormat="1" ht="39.75" customHeight="1" x14ac:dyDescent="0.25">
      <c r="C221" s="226" t="s">
        <v>147</v>
      </c>
      <c r="D221" s="219">
        <f t="shared" si="165"/>
        <v>70000</v>
      </c>
      <c r="E221" s="220">
        <f t="shared" si="165"/>
        <v>14500</v>
      </c>
      <c r="F221" s="220">
        <f t="shared" si="165"/>
        <v>11000</v>
      </c>
      <c r="G221" s="160">
        <f t="shared" si="166"/>
        <v>95500</v>
      </c>
      <c r="H221" s="396"/>
      <c r="I221" s="163">
        <f t="shared" si="167"/>
        <v>0</v>
      </c>
      <c r="J221" s="164">
        <f t="shared" si="167"/>
        <v>30384</v>
      </c>
      <c r="K221" s="223">
        <f t="shared" si="173"/>
        <v>39616</v>
      </c>
      <c r="L221" s="166">
        <f t="shared" ref="L221:M221" si="181">+L29+L40+L51+L62+L74+L85+L96+L107+L119+L130+L141+L152+L164+L175+L186+L197+L208</f>
        <v>10000</v>
      </c>
      <c r="M221" s="166">
        <f t="shared" si="181"/>
        <v>5000</v>
      </c>
      <c r="N221" s="168">
        <f t="shared" si="169"/>
        <v>19500</v>
      </c>
      <c r="O221" s="124">
        <f t="shared" si="170"/>
        <v>29033</v>
      </c>
      <c r="P221" s="125">
        <f t="shared" si="170"/>
        <v>0</v>
      </c>
      <c r="Q221" s="224">
        <f t="shared" si="175"/>
        <v>40033</v>
      </c>
      <c r="R221" s="225">
        <f t="shared" si="176"/>
        <v>99149</v>
      </c>
      <c r="S221" s="279">
        <f t="shared" si="171"/>
        <v>11564.98</v>
      </c>
      <c r="T221" s="279">
        <f t="shared" si="171"/>
        <v>13779.82</v>
      </c>
      <c r="U221" s="279">
        <f t="shared" si="171"/>
        <v>18531.100000000002</v>
      </c>
      <c r="V221" s="109">
        <f t="shared" si="172"/>
        <v>30096.080000000002</v>
      </c>
    </row>
    <row r="222" spans="3:22" s="75" customFormat="1" ht="30.75" customHeight="1" thickBot="1" x14ac:dyDescent="0.3">
      <c r="C222" s="228" t="s">
        <v>110</v>
      </c>
      <c r="D222" s="229">
        <f>SUM(D215:D221)</f>
        <v>532800</v>
      </c>
      <c r="E222" s="230">
        <f>SUM(E215:E221)</f>
        <v>434500</v>
      </c>
      <c r="F222" s="230">
        <f>SUM(F215:F221)</f>
        <v>434500</v>
      </c>
      <c r="G222" s="231">
        <f t="shared" si="166"/>
        <v>1401800</v>
      </c>
      <c r="H222" s="396"/>
      <c r="I222" s="232">
        <f>SUM(I215:I221)</f>
        <v>239368</v>
      </c>
      <c r="J222" s="233">
        <f>SUM(J215:J221)</f>
        <v>239368</v>
      </c>
      <c r="K222" s="234">
        <f>+D222+I222-J222</f>
        <v>532800</v>
      </c>
      <c r="L222" s="235">
        <f>SUM(L215:L221)</f>
        <v>52000</v>
      </c>
      <c r="M222" s="236">
        <f>SUM(M215:M221)</f>
        <v>52000</v>
      </c>
      <c r="N222" s="237">
        <f>+E222+L222-M222</f>
        <v>434500</v>
      </c>
      <c r="O222" s="238">
        <f>SUM(O215:O221)</f>
        <v>255700</v>
      </c>
      <c r="P222" s="239">
        <f>SUM(P215:P221)</f>
        <v>255700</v>
      </c>
      <c r="Q222" s="240">
        <f>F222+O222-P222</f>
        <v>434500</v>
      </c>
      <c r="R222" s="241">
        <f>SUM(R215:R221)</f>
        <v>1401800</v>
      </c>
      <c r="S222" s="134">
        <f>SUM(S215:S221)</f>
        <v>123348.26</v>
      </c>
      <c r="T222" s="320">
        <f>SUM(T215:T221)</f>
        <v>149860.45000000001</v>
      </c>
      <c r="U222" s="135">
        <f>SUM(U215:U221)</f>
        <v>154554.43000000002</v>
      </c>
      <c r="V222" s="136">
        <f>S222+U222+T222</f>
        <v>427763.14</v>
      </c>
    </row>
    <row r="223" spans="3:22" s="75" customFormat="1" ht="30.75" customHeight="1" thickBot="1" x14ac:dyDescent="0.3">
      <c r="C223" s="228" t="s">
        <v>111</v>
      </c>
      <c r="D223" s="242">
        <f>D222*0.07</f>
        <v>37296</v>
      </c>
      <c r="E223" s="243">
        <f t="shared" ref="E223:G223" si="182">E222*0.07</f>
        <v>30415.000000000004</v>
      </c>
      <c r="F223" s="243">
        <f t="shared" si="182"/>
        <v>30415.000000000004</v>
      </c>
      <c r="G223" s="244">
        <f t="shared" si="182"/>
        <v>98126.000000000015</v>
      </c>
      <c r="H223" s="396"/>
      <c r="I223" s="245"/>
      <c r="J223" s="246"/>
      <c r="K223" s="247">
        <f t="shared" ref="K223:R223" si="183">K222*0.07</f>
        <v>37296</v>
      </c>
      <c r="L223" s="245">
        <f t="shared" si="183"/>
        <v>3640.0000000000005</v>
      </c>
      <c r="M223" s="246">
        <f t="shared" si="183"/>
        <v>3640.0000000000005</v>
      </c>
      <c r="N223" s="247">
        <f t="shared" si="183"/>
        <v>30415.000000000004</v>
      </c>
      <c r="O223" s="245"/>
      <c r="P223" s="246"/>
      <c r="Q223" s="247">
        <f t="shared" si="183"/>
        <v>30415.000000000004</v>
      </c>
      <c r="R223" s="248">
        <f t="shared" si="183"/>
        <v>98126.000000000015</v>
      </c>
      <c r="S223" s="318">
        <f>S222*0.07</f>
        <v>8634.378200000001</v>
      </c>
      <c r="T223" s="319">
        <f t="shared" ref="T223" si="184">T222*0.07</f>
        <v>10490.231500000002</v>
      </c>
      <c r="U223" s="318">
        <f>U222*0.07</f>
        <v>10818.810100000002</v>
      </c>
      <c r="V223" s="318">
        <f>S223+U223+T223</f>
        <v>29943.419800000003</v>
      </c>
    </row>
    <row r="224" spans="3:22" s="75" customFormat="1" ht="23.25" customHeight="1" thickBot="1" x14ac:dyDescent="0.3">
      <c r="C224" s="249" t="s">
        <v>109</v>
      </c>
      <c r="D224" s="250">
        <f>SUM(D222:D223)</f>
        <v>570096</v>
      </c>
      <c r="E224" s="251">
        <f t="shared" ref="E224:G224" si="185">SUM(E222:E223)</f>
        <v>464915</v>
      </c>
      <c r="F224" s="251">
        <f t="shared" si="185"/>
        <v>464915</v>
      </c>
      <c r="G224" s="252">
        <f t="shared" si="185"/>
        <v>1499926</v>
      </c>
      <c r="H224" s="396"/>
      <c r="I224" s="253"/>
      <c r="J224" s="254"/>
      <c r="K224" s="255">
        <f t="shared" ref="K224:R224" si="186">SUM(K222:K223)</f>
        <v>570096</v>
      </c>
      <c r="L224" s="256">
        <f t="shared" si="186"/>
        <v>55640</v>
      </c>
      <c r="M224" s="257">
        <f t="shared" si="186"/>
        <v>55640</v>
      </c>
      <c r="N224" s="258">
        <f t="shared" si="186"/>
        <v>464915</v>
      </c>
      <c r="O224" s="259"/>
      <c r="P224" s="259"/>
      <c r="Q224" s="259">
        <f t="shared" si="186"/>
        <v>464915</v>
      </c>
      <c r="R224" s="260">
        <f t="shared" si="186"/>
        <v>1499926</v>
      </c>
      <c r="S224" s="254">
        <f>SUM(S222:S223)</f>
        <v>131982.63819999999</v>
      </c>
      <c r="T224" s="258">
        <f t="shared" ref="T224" si="187">SUM(T222:T223)</f>
        <v>160350.68150000001</v>
      </c>
      <c r="U224" s="254">
        <f t="shared" ref="U224:V224" si="188">SUM(U222:U223)</f>
        <v>165373.24010000002</v>
      </c>
      <c r="V224" s="254">
        <f t="shared" si="188"/>
        <v>457706.55980000005</v>
      </c>
    </row>
    <row r="226" spans="14:21" x14ac:dyDescent="0.25">
      <c r="N226" s="273">
        <f t="shared" ref="N226" si="189">L226+M226</f>
        <v>0</v>
      </c>
      <c r="U226" s="273"/>
    </row>
  </sheetData>
  <mergeCells count="87">
    <mergeCell ref="V213:V214"/>
    <mergeCell ref="S212:V212"/>
    <mergeCell ref="S17:V17"/>
    <mergeCell ref="S18:S19"/>
    <mergeCell ref="U18:U19"/>
    <mergeCell ref="V18:V21"/>
    <mergeCell ref="S20:S21"/>
    <mergeCell ref="U20:U21"/>
    <mergeCell ref="T18:T19"/>
    <mergeCell ref="T20:T21"/>
    <mergeCell ref="C1:F1"/>
    <mergeCell ref="D3:M3"/>
    <mergeCell ref="D4:M4"/>
    <mergeCell ref="D5:M5"/>
    <mergeCell ref="C6:C7"/>
    <mergeCell ref="D6:M7"/>
    <mergeCell ref="I17:R17"/>
    <mergeCell ref="G18:G19"/>
    <mergeCell ref="I18:K18"/>
    <mergeCell ref="L18:N18"/>
    <mergeCell ref="O18:Q18"/>
    <mergeCell ref="R18:R21"/>
    <mergeCell ref="I19:K19"/>
    <mergeCell ref="L19:N19"/>
    <mergeCell ref="O19:Q19"/>
    <mergeCell ref="I20:I21"/>
    <mergeCell ref="J20:J21"/>
    <mergeCell ref="K20:K21"/>
    <mergeCell ref="L20:L21"/>
    <mergeCell ref="M20:M21"/>
    <mergeCell ref="C10:G10"/>
    <mergeCell ref="C11:G13"/>
    <mergeCell ref="C15:F15"/>
    <mergeCell ref="D17:G17"/>
    <mergeCell ref="H17:H30"/>
    <mergeCell ref="B20:G20"/>
    <mergeCell ref="C64:L64"/>
    <mergeCell ref="N20:N21"/>
    <mergeCell ref="O20:O21"/>
    <mergeCell ref="P20:P21"/>
    <mergeCell ref="Q20:Q21"/>
    <mergeCell ref="C21:G21"/>
    <mergeCell ref="C31:L31"/>
    <mergeCell ref="H32:H41"/>
    <mergeCell ref="D42:L42"/>
    <mergeCell ref="H43:H52"/>
    <mergeCell ref="C53:L53"/>
    <mergeCell ref="H54:H63"/>
    <mergeCell ref="C121:L121"/>
    <mergeCell ref="B65:G65"/>
    <mergeCell ref="H65:H75"/>
    <mergeCell ref="C76:L76"/>
    <mergeCell ref="H77:H86"/>
    <mergeCell ref="C87:L87"/>
    <mergeCell ref="H88:H97"/>
    <mergeCell ref="C98:L98"/>
    <mergeCell ref="H99:H108"/>
    <mergeCell ref="C109:L109"/>
    <mergeCell ref="B110:G110"/>
    <mergeCell ref="H110:H120"/>
    <mergeCell ref="H178:H187"/>
    <mergeCell ref="H122:H131"/>
    <mergeCell ref="C132:L132"/>
    <mergeCell ref="H133:H142"/>
    <mergeCell ref="C143:L143"/>
    <mergeCell ref="H144:H153"/>
    <mergeCell ref="C154:L154"/>
    <mergeCell ref="B155:G155"/>
    <mergeCell ref="H155:H165"/>
    <mergeCell ref="C166:L166"/>
    <mergeCell ref="H167:H176"/>
    <mergeCell ref="C177:L177"/>
    <mergeCell ref="C188:L188"/>
    <mergeCell ref="H189:H198"/>
    <mergeCell ref="C199:L199"/>
    <mergeCell ref="H200:H209"/>
    <mergeCell ref="C212:G212"/>
    <mergeCell ref="H212:H224"/>
    <mergeCell ref="I212:R212"/>
    <mergeCell ref="G213:G214"/>
    <mergeCell ref="I213:J213"/>
    <mergeCell ref="K213:K214"/>
    <mergeCell ref="L213:M213"/>
    <mergeCell ref="N213:N214"/>
    <mergeCell ref="O213:P213"/>
    <mergeCell ref="Q213:Q214"/>
    <mergeCell ref="R213:R214"/>
  </mergeCells>
  <conditionalFormatting sqref="G52">
    <cfRule type="cellIs" dxfId="9" priority="10" operator="notEqual">
      <formula>$G$44</formula>
    </cfRule>
  </conditionalFormatting>
  <conditionalFormatting sqref="G63">
    <cfRule type="cellIs" dxfId="8" priority="9" operator="notEqual">
      <formula>$G$55</formula>
    </cfRule>
  </conditionalFormatting>
  <conditionalFormatting sqref="G97">
    <cfRule type="cellIs" dxfId="7" priority="8" operator="notEqual">
      <formula>$G$89</formula>
    </cfRule>
  </conditionalFormatting>
  <conditionalFormatting sqref="G108">
    <cfRule type="cellIs" dxfId="6" priority="7" operator="notEqual">
      <formula>$G$100</formula>
    </cfRule>
  </conditionalFormatting>
  <conditionalFormatting sqref="G153">
    <cfRule type="cellIs" dxfId="5" priority="6" operator="notEqual">
      <formula>$G$145</formula>
    </cfRule>
  </conditionalFormatting>
  <conditionalFormatting sqref="G165">
    <cfRule type="cellIs" dxfId="4" priority="5" operator="notEqual">
      <formula>$G$157</formula>
    </cfRule>
  </conditionalFormatting>
  <conditionalFormatting sqref="G176">
    <cfRule type="cellIs" dxfId="3" priority="4" operator="notEqual">
      <formula>$G$168</formula>
    </cfRule>
  </conditionalFormatting>
  <conditionalFormatting sqref="G187">
    <cfRule type="cellIs" dxfId="2" priority="3" operator="notEqual">
      <formula>$G$168</formula>
    </cfRule>
  </conditionalFormatting>
  <conditionalFormatting sqref="G198">
    <cfRule type="cellIs" dxfId="1" priority="2" operator="notEqual">
      <formula>$G$190</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97 C29 C40 C51 C62 C74 C85 C96 C107 C119 C130 C141 C152 C164 C175 C186 C208 C22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6 C28 C39 C50 C61 C73 C84 C95 C106 C118 C129 C140 C151 C163 C174 C185 C207 C220"/>
    <dataValidation allowBlank="1" showInputMessage="1" showErrorMessage="1" prompt="Services contracted by an organization which follow the normal procurement processes." sqref="C194 C26 C37 C48 C59 C71 C82 C93 C104 C116 C127 C138 C149 C161 C172 C183 C205 C218"/>
    <dataValidation allowBlank="1" showInputMessage="1" showErrorMessage="1" prompt="Includes staff and non-staff travel paid for by the organization directly related to a project." sqref="C195 C27 C38 C49 C60 C72 C83 C94 C105 C117 C128 C139 C150 C162 C173 C184 C206 C21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3 C25 C36 C47 C58 C70 C81 C92 C103 C115 C126 C137 C148 C160 C171 C182 C204 C21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2 C24 C35 C46 C57 C69 C80 C91 C102 C114 C125 C136 C147 C159 C170 C181 C203 C216"/>
    <dataValidation allowBlank="1" showInputMessage="1" showErrorMessage="1" prompt="Includes all related staff and temporary staff costs including base salary, post adjustment and all staff entitlements." sqref="C191 C23 C34 C45 C56 C68 C79 C90 C101 C113 C124 C135 C146 C158 C169 C180 C202 C215"/>
    <dataValidation allowBlank="1" showInputMessage="1" showErrorMessage="1" prompt="Output totals must match the original total from Table 1, and will show as red if not. " sqref="R222 R30 R41 R52 R63 R75 R86 R97 R108 R120 R131 R142 R153 R165 R176 R187 R198 R209 G30"/>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52C41F48-1E18-4A14-A746-8691E85C05F9}">
            <xm:f>'G:\Users\ICT_PROVIDER\Documents\00.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G224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ANNEXE D</vt:lpstr>
      <vt:lpstr>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2021-08-27T17:11:54Z</dcterms:modified>
</cp:coreProperties>
</file>