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ettarossi/Documents/My Documents/UN SIERRA LEONE/UN WFP-UNDP/REPORTS/"/>
    </mc:Choice>
  </mc:AlternateContent>
  <xr:revisionPtr revIDLastSave="0" documentId="8_{1C12FBAE-2C84-FF4D-B12D-60D8DB56A879}" xr6:coauthVersionLast="47" xr6:coauthVersionMax="47" xr10:uidLastSave="{00000000-0000-0000-0000-000000000000}"/>
  <bookViews>
    <workbookView xWindow="0" yWindow="460" windowWidth="28800" windowHeight="16400" activeTab="2" xr2:uid="{F496D7B6-772A-4433-AC6A-728C22080451}"/>
  </bookViews>
  <sheets>
    <sheet name="Budget summary June  " sheetId="2" r:id="rId1"/>
    <sheet name=" Budget Summary October  " sheetId="3" r:id="rId2"/>
    <sheet name="Budget by outputs October " sheetId="4" r:id="rId3"/>
  </sheets>
  <externalReferences>
    <externalReference r:id="rId4"/>
  </externalReferences>
  <definedNames>
    <definedName name="_xlnm.Print_Area" localSheetId="2">'Budget by outputs October 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4" l="1"/>
  <c r="I34" i="4" s="1"/>
  <c r="I39" i="4"/>
  <c r="I41" i="4"/>
  <c r="I26" i="4"/>
  <c r="I25" i="4"/>
  <c r="I20" i="4"/>
  <c r="I14" i="4"/>
  <c r="I38" i="4"/>
  <c r="I37" i="4"/>
  <c r="I36" i="4"/>
  <c r="I30" i="4"/>
  <c r="I29" i="4"/>
  <c r="I24" i="4"/>
  <c r="I23" i="4"/>
  <c r="I22" i="4"/>
  <c r="I19" i="4"/>
  <c r="I18" i="4"/>
  <c r="I17" i="4"/>
  <c r="I16" i="4"/>
  <c r="I13" i="4"/>
  <c r="I12" i="4"/>
  <c r="I10" i="4"/>
  <c r="H41" i="4"/>
  <c r="H38" i="4"/>
  <c r="H30" i="4"/>
  <c r="G37" i="4" l="1"/>
  <c r="G36" i="4"/>
  <c r="E39" i="4"/>
  <c r="K17" i="3" l="1"/>
  <c r="G25" i="4"/>
  <c r="G20" i="4"/>
  <c r="C14" i="4" l="1"/>
  <c r="E14" i="4"/>
  <c r="E26" i="4" s="1"/>
  <c r="G14" i="4"/>
  <c r="G26" i="4" s="1"/>
  <c r="K20" i="3" s="1"/>
  <c r="C20" i="4"/>
  <c r="E20" i="4"/>
  <c r="C25" i="4"/>
  <c r="E25" i="4"/>
  <c r="C29" i="4"/>
  <c r="C33" i="4" s="1"/>
  <c r="C34" i="4" s="1"/>
  <c r="C30" i="4"/>
  <c r="D30" i="4"/>
  <c r="D31" i="4"/>
  <c r="D32" i="4"/>
  <c r="E33" i="4"/>
  <c r="C37" i="4"/>
  <c r="C38" i="4"/>
  <c r="C39" i="4" l="1"/>
  <c r="E40" i="4"/>
  <c r="E41" i="4"/>
  <c r="C40" i="4" l="1"/>
  <c r="C41" i="4" s="1"/>
  <c r="G8" i="3" l="1"/>
  <c r="J8" i="3"/>
  <c r="L8" i="3" s="1"/>
  <c r="K8" i="3"/>
  <c r="G9" i="3"/>
  <c r="J9" i="3"/>
  <c r="K9" i="3"/>
  <c r="L9" i="3"/>
  <c r="G10" i="3"/>
  <c r="K10" i="3" s="1"/>
  <c r="J10" i="3"/>
  <c r="L10" i="3"/>
  <c r="G11" i="3"/>
  <c r="J11" i="3"/>
  <c r="K11" i="3"/>
  <c r="L11" i="3"/>
  <c r="G12" i="3"/>
  <c r="J12" i="3"/>
  <c r="K12" i="3"/>
  <c r="L12" i="3"/>
  <c r="D13" i="3"/>
  <c r="G13" i="3"/>
  <c r="J13" i="3"/>
  <c r="L13" i="3" s="1"/>
  <c r="K13" i="3"/>
  <c r="G14" i="3"/>
  <c r="J14" i="3"/>
  <c r="K14" i="3"/>
  <c r="L14" i="3"/>
  <c r="C15" i="3"/>
  <c r="D15" i="3"/>
  <c r="D16" i="3" s="1"/>
  <c r="E15" i="3"/>
  <c r="G15" i="3" s="1"/>
  <c r="F15" i="3"/>
  <c r="H15" i="3"/>
  <c r="I15" i="3"/>
  <c r="J15" i="3"/>
  <c r="C16" i="3"/>
  <c r="F16" i="3"/>
  <c r="J16" i="3"/>
  <c r="C17" i="3"/>
  <c r="F17" i="3"/>
  <c r="H17" i="3"/>
  <c r="I17" i="3"/>
  <c r="J17" i="3"/>
  <c r="C21" i="3"/>
  <c r="G8" i="2"/>
  <c r="J8" i="2"/>
  <c r="L8" i="2" s="1"/>
  <c r="K8" i="2"/>
  <c r="G9" i="2"/>
  <c r="J9" i="2"/>
  <c r="K9" i="2"/>
  <c r="L9" i="2"/>
  <c r="G10" i="2"/>
  <c r="J10" i="2"/>
  <c r="L10" i="2" s="1"/>
  <c r="K10" i="2"/>
  <c r="G11" i="2"/>
  <c r="J11" i="2"/>
  <c r="K11" i="2"/>
  <c r="L11" i="2"/>
  <c r="G12" i="2"/>
  <c r="J12" i="2"/>
  <c r="L12" i="2" s="1"/>
  <c r="K12" i="2"/>
  <c r="D13" i="2"/>
  <c r="G13" i="2"/>
  <c r="J13" i="2"/>
  <c r="L13" i="2" s="1"/>
  <c r="K13" i="2"/>
  <c r="G14" i="2"/>
  <c r="K14" i="2" s="1"/>
  <c r="J14" i="2"/>
  <c r="L14" i="2"/>
  <c r="C15" i="2"/>
  <c r="D15" i="2"/>
  <c r="D16" i="2" s="1"/>
  <c r="E15" i="2"/>
  <c r="G15" i="2" s="1"/>
  <c r="F15" i="2"/>
  <c r="H15" i="2"/>
  <c r="I15" i="2"/>
  <c r="J15" i="2"/>
  <c r="C16" i="2"/>
  <c r="C17" i="2" s="1"/>
  <c r="F16" i="2"/>
  <c r="J16" i="2"/>
  <c r="F17" i="2"/>
  <c r="H17" i="2"/>
  <c r="I17" i="2"/>
  <c r="J17" i="2"/>
  <c r="C21" i="2"/>
  <c r="K15" i="3" l="1"/>
  <c r="L15" i="3"/>
  <c r="E16" i="3"/>
  <c r="G16" i="3" s="1"/>
  <c r="D17" i="3"/>
  <c r="K15" i="2"/>
  <c r="L15" i="2"/>
  <c r="E16" i="2"/>
  <c r="G16" i="2" s="1"/>
  <c r="D17" i="2"/>
  <c r="L16" i="3" l="1"/>
  <c r="K16" i="3"/>
  <c r="E17" i="3"/>
  <c r="G17" i="3" s="1"/>
  <c r="L17" i="3" s="1"/>
  <c r="L16" i="2"/>
  <c r="K16" i="2"/>
  <c r="E17" i="2"/>
  <c r="G17" i="2" s="1"/>
  <c r="L17" i="2" s="1"/>
  <c r="K17" i="2"/>
</calcChain>
</file>

<file path=xl/sharedStrings.xml><?xml version="1.0" encoding="utf-8"?>
<sst xmlns="http://schemas.openxmlformats.org/spreadsheetml/2006/main" count="133" uniqueCount="88">
  <si>
    <t>TOTAL</t>
  </si>
  <si>
    <t>8. Indirect Support Costs (must be 7%)</t>
  </si>
  <si>
    <t>Sub-Total Project Costs</t>
  </si>
  <si>
    <t>7. General Operating and other Direct Costs</t>
  </si>
  <si>
    <t>6. Transfers and Grants to Counterparts</t>
  </si>
  <si>
    <t>5.Travel</t>
  </si>
  <si>
    <t>4. Contractual services</t>
  </si>
  <si>
    <t>3. Equipment, Vehicles, and Furniture (including Depreciation)</t>
  </si>
  <si>
    <t>2. Supplies, Commodities, Materials</t>
  </si>
  <si>
    <t>1. Staff and other personnel</t>
  </si>
  <si>
    <t>Cumulative Delivery%</t>
  </si>
  <si>
    <t xml:space="preserve">Resources Balance $ </t>
  </si>
  <si>
    <t>Total Utilisation                 $</t>
  </si>
  <si>
    <t xml:space="preserve">Total Commitment              $ </t>
  </si>
  <si>
    <t>Total Expense           $</t>
  </si>
  <si>
    <t>Total Tranches              $</t>
  </si>
  <si>
    <t>Tranche 2 (30%)</t>
  </si>
  <si>
    <t>Tranche 1 (70%)</t>
  </si>
  <si>
    <t>Amount Recipient  Agency UNDP</t>
  </si>
  <si>
    <t>Amount Recipient  Agency WFP</t>
  </si>
  <si>
    <t>CATEGORIES</t>
  </si>
  <si>
    <t>Note: If this is a budget revision, insert extra columns to show budget changes.</t>
  </si>
  <si>
    <t>Table 2 - PBF project budget by UN cost category</t>
  </si>
  <si>
    <t>(61.3 percent)</t>
  </si>
  <si>
    <t>TOTAL PROJECT BUDGET:</t>
  </si>
  <si>
    <t>N/A</t>
  </si>
  <si>
    <t xml:space="preserve">Indirect support costs (7%): </t>
  </si>
  <si>
    <t xml:space="preserve">SUB-TOTAL PROJECT BUDGET: </t>
  </si>
  <si>
    <t>NA</t>
  </si>
  <si>
    <t xml:space="preserve"> </t>
  </si>
  <si>
    <t>Project M&amp;E budget</t>
  </si>
  <si>
    <t>Project operational costs if not included in activities above</t>
  </si>
  <si>
    <t>Project personnel costs if not included in activities above</t>
  </si>
  <si>
    <t>TOTAL $ FOR PERSONNEL, OPERATIONAL &amp; M&amp;E COSTS</t>
  </si>
  <si>
    <t>TOTAL $ FOR OUTCOME 2:</t>
  </si>
  <si>
    <t>TOTAL $ FOR OUTPUT 2.1</t>
  </si>
  <si>
    <t>Linkages to existing CSR initiatives</t>
  </si>
  <si>
    <t>Activity 2.1.4</t>
  </si>
  <si>
    <t>Alternative livelihoods support</t>
  </si>
  <si>
    <t>Activity 2.1.3</t>
  </si>
  <si>
    <t>Agricultural livelihoods</t>
  </si>
  <si>
    <t>Activity 2.1.2</t>
  </si>
  <si>
    <t>Community based participatory planning</t>
  </si>
  <si>
    <t>Activity 2.1.1</t>
  </si>
  <si>
    <t>Output 2.1: Resilience of households is enhanced, and access to food improved, through the promotion of climate-smart agriculture practices and alternative sources of livelihoods and building linkages with local markets</t>
  </si>
  <si>
    <t>OUTCOME 2: Community resilience is strengthened through reducing social tension by enhancing  sustainable livelihoods and improving food security in Pujehun and Moyamba</t>
  </si>
  <si>
    <t>TOTAL $ FOR OUTCOME 1:</t>
  </si>
  <si>
    <t>TOTAL $ FOR OUTPUT 1.3</t>
  </si>
  <si>
    <t>Building capacity of companies</t>
  </si>
  <si>
    <t>Activity 1.3.3</t>
  </si>
  <si>
    <t>Building accountability capacity of security sectors</t>
  </si>
  <si>
    <t>Activity 1.3.2</t>
  </si>
  <si>
    <t xml:space="preserve">
Support to the SLEITI and VGGT process through Capacity Strengthening 
</t>
  </si>
  <si>
    <t>Activity 1.3.1</t>
  </si>
  <si>
    <t xml:space="preserve">Output 1.3: Capacity of government institutions, national security stakeholders and companies in human rights approaches, gender-sensitivity and grievance redress are strengthened. </t>
  </si>
  <si>
    <t>TOTAL $ FOR OUTPUT 1.2</t>
  </si>
  <si>
    <t>Strengthening Capacity of Women Groups</t>
  </si>
  <si>
    <t>Activity 1.2.4</t>
  </si>
  <si>
    <t>Supporting District Multi Stakeholders Platforms</t>
  </si>
  <si>
    <t>Activity 1.2.3</t>
  </si>
  <si>
    <t>Community Development Fund Mechanism</t>
  </si>
  <si>
    <t>Activity 1.2.2</t>
  </si>
  <si>
    <t>Grievance Redress Mechanism</t>
  </si>
  <si>
    <t>Activity 1.2.1</t>
  </si>
  <si>
    <t>Output 1.2 Infrastructure for gender inclusive mediation and dialogue is strengthened to manage conflicts within communities and between communities and companies and security institutions.</t>
  </si>
  <si>
    <t>TOTAL $ FOR OUTPUT 1.1</t>
  </si>
  <si>
    <t>Promoting lesson learned from the innovative approach</t>
  </si>
  <si>
    <t>Activity 1.1.4</t>
  </si>
  <si>
    <t xml:space="preserve">Educating stakeholders on land policy </t>
  </si>
  <si>
    <t>Activity 1.1.3</t>
  </si>
  <si>
    <t>Developing simplified checklist to guide land acquisition and land use</t>
  </si>
  <si>
    <t>Activity 1.1.2</t>
  </si>
  <si>
    <t>Land conflict analysis and land degradation assessments in four chiefdoms</t>
  </si>
  <si>
    <t>Activity 1.1.1</t>
  </si>
  <si>
    <t>Output 1.1 Implementation of the policy frameworks on land acquisitions and land use are made more inclusive.</t>
  </si>
  <si>
    <t xml:space="preserve">OUTCOME 1: Communities in Pujehun and Moyamba districts benefit from more accountable institutions and mechanisms that promote peaceful relations between communities and private companies. </t>
  </si>
  <si>
    <t>Any remarks (e.g. on types of inputs provided or budget justification, for example if high TA or travel costs)</t>
  </si>
  <si>
    <t>Percent of budget for each output reserved for direct action on gender eqaulity (if any):</t>
  </si>
  <si>
    <r>
      <t xml:space="preserve">Budget by recipient organization (not including staff, general operating costs and indirect fee) - </t>
    </r>
    <r>
      <rPr>
        <b/>
        <sz val="12"/>
        <color rgb="FFC00000"/>
        <rFont val="Times New Roman"/>
        <family val="1"/>
      </rPr>
      <t>UNDP</t>
    </r>
  </si>
  <si>
    <r>
      <t>Budget by recipient organization (not including staff, general operating costs and indirect fee)  </t>
    </r>
    <r>
      <rPr>
        <b/>
        <sz val="12"/>
        <color indexed="8"/>
        <rFont val="Times New Roman"/>
        <family val="1"/>
      </rPr>
      <t>WFP</t>
    </r>
  </si>
  <si>
    <t>Outcome/ output/ activity formulation:</t>
  </si>
  <si>
    <t>Outcome/ Output number</t>
  </si>
  <si>
    <t>Table 1 - PBF project budget by Outcome, output and activity</t>
  </si>
  <si>
    <t>Annex D - PBF project budget</t>
  </si>
  <si>
    <t>Levels of Expenditure/Commitments (USD) as at October 15th 2021, UNDP</t>
  </si>
  <si>
    <t>Levels of Expenditure/Commitments (USD) as at October 15th 2021, WFP</t>
  </si>
  <si>
    <t>Levels of Expenditure/Commitments (USD) as at October 15th 2021 for direct action on gender equality</t>
  </si>
  <si>
    <t>Budget change as per 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</si>
</sst>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  <font>
      <sz val="10"/>
      <color rgb="FFC00000"/>
      <name val="Times New Roman"/>
      <family val="1"/>
    </font>
    <font>
      <sz val="10"/>
      <color rgb="FF00206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43" fontId="3" fillId="0" borderId="0" xfId="1" applyFont="1"/>
    <xf numFmtId="0" fontId="3" fillId="0" borderId="0" xfId="0" applyFont="1"/>
    <xf numFmtId="0" fontId="2" fillId="0" borderId="0" xfId="0" applyFont="1"/>
    <xf numFmtId="9" fontId="4" fillId="2" borderId="1" xfId="2" applyFont="1" applyFill="1" applyBorder="1" applyAlignment="1">
      <alignment horizontal="right" vertical="center" wrapText="1"/>
    </xf>
    <xf numFmtId="43" fontId="4" fillId="2" borderId="2" xfId="1" applyFont="1" applyFill="1" applyBorder="1" applyAlignment="1">
      <alignment horizontal="right" vertical="center" wrapText="1"/>
    </xf>
    <xf numFmtId="43" fontId="4" fillId="3" borderId="2" xfId="1" applyFont="1" applyFill="1" applyBorder="1" applyAlignment="1">
      <alignment horizontal="right" vertical="center" wrapText="1"/>
    </xf>
    <xf numFmtId="43" fontId="5" fillId="2" borderId="2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10" fontId="7" fillId="0" borderId="4" xfId="1" applyNumberFormat="1" applyFont="1" applyBorder="1" applyAlignment="1">
      <alignment horizontal="right" vertical="center" wrapText="1"/>
    </xf>
    <xf numFmtId="43" fontId="7" fillId="0" borderId="5" xfId="1" applyFont="1" applyBorder="1" applyAlignment="1">
      <alignment horizontal="right" vertical="center" wrapText="1"/>
    </xf>
    <xf numFmtId="43" fontId="3" fillId="0" borderId="5" xfId="1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10" fontId="7" fillId="3" borderId="4" xfId="1" applyNumberFormat="1" applyFont="1" applyFill="1" applyBorder="1" applyAlignment="1">
      <alignment horizontal="right" vertical="center" wrapText="1"/>
    </xf>
    <xf numFmtId="43" fontId="7" fillId="3" borderId="5" xfId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horizontal="right"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43" fontId="7" fillId="0" borderId="5" xfId="1" applyFont="1" applyFill="1" applyBorder="1" applyAlignment="1">
      <alignment horizontal="right" vertical="center" wrapText="1"/>
    </xf>
    <xf numFmtId="43" fontId="4" fillId="4" borderId="4" xfId="1" applyFont="1" applyFill="1" applyBorder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43" fontId="5" fillId="4" borderId="5" xfId="1" applyFont="1" applyFill="1" applyBorder="1" applyAlignment="1">
      <alignment horizontal="center" vertical="center" wrapText="1"/>
    </xf>
    <xf numFmtId="43" fontId="3" fillId="0" borderId="13" xfId="1" applyFont="1" applyBorder="1"/>
    <xf numFmtId="43" fontId="3" fillId="0" borderId="0" xfId="1" applyFont="1" applyBorder="1"/>
    <xf numFmtId="0" fontId="3" fillId="0" borderId="14" xfId="0" applyFont="1" applyBorder="1"/>
    <xf numFmtId="43" fontId="5" fillId="0" borderId="0" xfId="1" applyFont="1" applyBorder="1"/>
    <xf numFmtId="0" fontId="5" fillId="0" borderId="14" xfId="0" applyFont="1" applyBorder="1"/>
    <xf numFmtId="43" fontId="3" fillId="0" borderId="15" xfId="1" applyFont="1" applyBorder="1"/>
    <xf numFmtId="43" fontId="3" fillId="0" borderId="16" xfId="1" applyFont="1" applyBorder="1"/>
    <xf numFmtId="43" fontId="5" fillId="0" borderId="16" xfId="1" applyFont="1" applyBorder="1"/>
    <xf numFmtId="0" fontId="5" fillId="0" borderId="17" xfId="0" applyFont="1" applyBorder="1"/>
    <xf numFmtId="43" fontId="0" fillId="0" borderId="0" xfId="0" applyNumberFormat="1"/>
    <xf numFmtId="4" fontId="0" fillId="0" borderId="0" xfId="0" applyNumberFormat="1"/>
    <xf numFmtId="43" fontId="10" fillId="0" borderId="0" xfId="1" applyFont="1" applyAlignment="1">
      <alignment horizontal="right"/>
    </xf>
    <xf numFmtId="43" fontId="9" fillId="0" borderId="0" xfId="1" applyFont="1"/>
    <xf numFmtId="3" fontId="0" fillId="0" borderId="0" xfId="0" applyNumberFormat="1"/>
    <xf numFmtId="165" fontId="14" fillId="0" borderId="18" xfId="1" applyNumberFormat="1" applyFont="1" applyBorder="1" applyAlignment="1">
      <alignment vertical="center" wrapText="1"/>
    </xf>
    <xf numFmtId="0" fontId="19" fillId="0" borderId="0" xfId="0" applyFont="1"/>
    <xf numFmtId="43" fontId="20" fillId="0" borderId="0" xfId="1" applyFont="1" applyAlignment="1">
      <alignment horizontal="right"/>
    </xf>
    <xf numFmtId="43" fontId="21" fillId="0" borderId="0" xfId="1" applyFont="1"/>
    <xf numFmtId="43" fontId="22" fillId="0" borderId="0" xfId="1" applyFont="1" applyAlignment="1">
      <alignment horizontal="right"/>
    </xf>
    <xf numFmtId="43" fontId="23" fillId="0" borderId="0" xfId="1" applyFont="1"/>
    <xf numFmtId="0" fontId="24" fillId="0" borderId="0" xfId="0" applyFont="1"/>
    <xf numFmtId="0" fontId="25" fillId="0" borderId="0" xfId="0" applyFont="1"/>
    <xf numFmtId="165" fontId="14" fillId="0" borderId="18" xfId="1" applyNumberFormat="1" applyFont="1" applyBorder="1" applyAlignment="1">
      <alignment horizontal="center" vertical="center" wrapText="1"/>
    </xf>
    <xf numFmtId="165" fontId="14" fillId="0" borderId="18" xfId="1" applyNumberFormat="1" applyFont="1" applyBorder="1" applyAlignment="1">
      <alignment horizontal="right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165" fontId="16" fillId="0" borderId="18" xfId="1" applyNumberFormat="1" applyFont="1" applyBorder="1" applyAlignment="1">
      <alignment horizontal="center" vertical="center" wrapText="1"/>
    </xf>
    <xf numFmtId="165" fontId="15" fillId="0" borderId="18" xfId="1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vertical="center" wrapText="1"/>
    </xf>
    <xf numFmtId="165" fontId="16" fillId="0" borderId="18" xfId="1" applyNumberFormat="1" applyFont="1" applyBorder="1" applyAlignment="1">
      <alignment vertical="center" wrapText="1"/>
    </xf>
    <xf numFmtId="165" fontId="15" fillId="0" borderId="18" xfId="1" applyNumberFormat="1" applyFont="1" applyBorder="1" applyAlignment="1">
      <alignment horizontal="right" vertical="center" wrapText="1"/>
    </xf>
    <xf numFmtId="165" fontId="11" fillId="7" borderId="18" xfId="0" applyNumberFormat="1" applyFont="1" applyFill="1" applyBorder="1" applyAlignment="1">
      <alignment vertical="center" wrapText="1"/>
    </xf>
    <xf numFmtId="165" fontId="13" fillId="7" borderId="18" xfId="1" applyNumberFormat="1" applyFont="1" applyFill="1" applyBorder="1" applyAlignment="1">
      <alignment vertical="center" wrapText="1"/>
    </xf>
    <xf numFmtId="165" fontId="12" fillId="7" borderId="18" xfId="1" applyNumberFormat="1" applyFont="1" applyFill="1" applyBorder="1" applyAlignment="1">
      <alignment horizontal="right" vertical="center" wrapText="1"/>
    </xf>
    <xf numFmtId="165" fontId="17" fillId="0" borderId="18" xfId="0" applyNumberFormat="1" applyFont="1" applyBorder="1" applyAlignment="1">
      <alignment horizontal="left" vertical="center" wrapText="1"/>
    </xf>
    <xf numFmtId="165" fontId="16" fillId="0" borderId="18" xfId="1" applyNumberFormat="1" applyFont="1" applyBorder="1" applyAlignment="1">
      <alignment horizontal="left" vertical="center" wrapText="1"/>
    </xf>
    <xf numFmtId="165" fontId="17" fillId="0" borderId="18" xfId="0" applyNumberFormat="1" applyFont="1" applyBorder="1" applyAlignment="1">
      <alignment vertical="center" wrapText="1"/>
    </xf>
    <xf numFmtId="165" fontId="11" fillId="8" borderId="18" xfId="0" applyNumberFormat="1" applyFont="1" applyFill="1" applyBorder="1" applyAlignment="1">
      <alignment vertical="center" wrapText="1"/>
    </xf>
    <xf numFmtId="165" fontId="13" fillId="8" borderId="18" xfId="1" applyNumberFormat="1" applyFont="1" applyFill="1" applyBorder="1" applyAlignment="1">
      <alignment vertical="center" wrapText="1"/>
    </xf>
    <xf numFmtId="165" fontId="12" fillId="8" borderId="18" xfId="1" applyNumberFormat="1" applyFont="1" applyFill="1" applyBorder="1" applyAlignment="1">
      <alignment horizontal="right" vertical="center" wrapText="1"/>
    </xf>
    <xf numFmtId="165" fontId="14" fillId="0" borderId="18" xfId="3" applyNumberFormat="1" applyFont="1" applyBorder="1" applyAlignment="1">
      <alignment horizontal="right" vertical="center" wrapText="1"/>
    </xf>
    <xf numFmtId="165" fontId="16" fillId="0" borderId="18" xfId="1" applyNumberFormat="1" applyFont="1" applyBorder="1" applyAlignment="1">
      <alignment horizontal="right" vertical="center" wrapText="1"/>
    </xf>
    <xf numFmtId="165" fontId="16" fillId="0" borderId="18" xfId="0" applyNumberFormat="1" applyFont="1" applyBorder="1" applyAlignment="1">
      <alignment vertical="center" wrapText="1"/>
    </xf>
    <xf numFmtId="165" fontId="16" fillId="0" borderId="18" xfId="3" applyNumberFormat="1" applyFont="1" applyBorder="1" applyAlignment="1">
      <alignment horizontal="right" vertical="center" wrapText="1"/>
    </xf>
    <xf numFmtId="165" fontId="0" fillId="0" borderId="0" xfId="0" applyNumberFormat="1"/>
    <xf numFmtId="165" fontId="14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165" fontId="9" fillId="0" borderId="0" xfId="1" applyNumberFormat="1" applyFont="1" applyFill="1" applyAlignment="1">
      <alignment vertical="center"/>
    </xf>
    <xf numFmtId="165" fontId="15" fillId="0" borderId="18" xfId="1" applyNumberFormat="1" applyFont="1" applyFill="1" applyBorder="1" applyAlignment="1">
      <alignment horizontal="right" vertical="center" wrapText="1"/>
    </xf>
    <xf numFmtId="165" fontId="16" fillId="0" borderId="18" xfId="1" applyNumberFormat="1" applyFont="1" applyFill="1" applyBorder="1" applyAlignment="1">
      <alignment vertical="center" wrapText="1"/>
    </xf>
    <xf numFmtId="165" fontId="11" fillId="7" borderId="18" xfId="0" applyNumberFormat="1" applyFont="1" applyFill="1" applyBorder="1" applyAlignment="1">
      <alignment horizontal="center" vertical="center" wrapText="1"/>
    </xf>
    <xf numFmtId="165" fontId="11" fillId="6" borderId="18" xfId="0" applyNumberFormat="1" applyFont="1" applyFill="1" applyBorder="1" applyAlignment="1">
      <alignment vertical="center" wrapText="1"/>
    </xf>
    <xf numFmtId="165" fontId="13" fillId="6" borderId="18" xfId="1" applyNumberFormat="1" applyFont="1" applyFill="1" applyBorder="1" applyAlignment="1">
      <alignment vertical="center" wrapText="1"/>
    </xf>
    <xf numFmtId="165" fontId="12" fillId="6" borderId="18" xfId="1" applyNumberFormat="1" applyFont="1" applyFill="1" applyBorder="1" applyAlignment="1">
      <alignment horizontal="right" vertical="center" wrapText="1"/>
    </xf>
    <xf numFmtId="165" fontId="11" fillId="6" borderId="18" xfId="3" applyNumberFormat="1" applyFont="1" applyFill="1" applyBorder="1" applyAlignment="1">
      <alignment horizontal="right" vertical="center" wrapText="1"/>
    </xf>
    <xf numFmtId="165" fontId="26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3" fontId="5" fillId="5" borderId="11" xfId="1" applyFont="1" applyFill="1" applyBorder="1" applyAlignment="1">
      <alignment horizontal="center" vertical="center" wrapText="1"/>
    </xf>
    <xf numFmtId="43" fontId="5" fillId="5" borderId="10" xfId="1" applyFont="1" applyFill="1" applyBorder="1" applyAlignment="1">
      <alignment horizontal="center" vertical="center" wrapText="1"/>
    </xf>
    <xf numFmtId="43" fontId="4" fillId="5" borderId="9" xfId="1" applyFont="1" applyFill="1" applyBorder="1" applyAlignment="1">
      <alignment horizontal="center" vertical="center" wrapText="1"/>
    </xf>
    <xf numFmtId="43" fontId="4" fillId="5" borderId="8" xfId="1" applyFont="1" applyFill="1" applyBorder="1" applyAlignment="1">
      <alignment horizontal="center" vertical="center" wrapText="1"/>
    </xf>
    <xf numFmtId="43" fontId="4" fillId="5" borderId="7" xfId="1" applyFont="1" applyFill="1" applyBorder="1" applyAlignment="1">
      <alignment horizontal="center" vertical="center" wrapText="1"/>
    </xf>
    <xf numFmtId="165" fontId="11" fillId="7" borderId="18" xfId="0" applyNumberFormat="1" applyFont="1" applyFill="1" applyBorder="1" applyAlignment="1">
      <alignment horizontal="left" vertical="center" wrapText="1"/>
    </xf>
    <xf numFmtId="165" fontId="11" fillId="6" borderId="18" xfId="0" applyNumberFormat="1" applyFont="1" applyFill="1" applyBorder="1" applyAlignment="1">
      <alignment horizontal="left" vertical="center" wrapText="1"/>
    </xf>
    <xf numFmtId="165" fontId="11" fillId="0" borderId="18" xfId="0" applyNumberFormat="1" applyFont="1" applyBorder="1" applyAlignment="1">
      <alignment vertical="center" wrapText="1"/>
    </xf>
  </cellXfs>
  <cellStyles count="4">
    <cellStyle name="Comma" xfId="1" builtinId="3"/>
    <cellStyle name="Comma [0] 2" xfId="3" xr:uid="{A7CA83D5-AB08-4EDB-A141-90AB25EF0F5D}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ichael.stanley/AppData/Local/Microsoft/Windows/INetCache/Content.Outlook/C2PQ1C2I/PBF%20project%20document%20-%20Annex%20D%20on%20budget%20-%20WFP%20UNDP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>
        <row r="8">
          <cell r="P8">
            <v>94666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31273-03AF-494F-B0CD-7B87999D8C33}">
  <sheetPr>
    <pageSetUpPr fitToPage="1"/>
  </sheetPr>
  <dimension ref="A1:M21"/>
  <sheetViews>
    <sheetView zoomScale="70" zoomScaleNormal="70" workbookViewId="0">
      <selection activeCell="E18" sqref="E18"/>
    </sheetView>
  </sheetViews>
  <sheetFormatPr baseColWidth="10" defaultColWidth="8.83203125" defaultRowHeight="15" x14ac:dyDescent="0.2"/>
  <cols>
    <col min="1" max="1" width="0.83203125" customWidth="1"/>
    <col min="2" max="2" width="27" style="2" customWidth="1"/>
    <col min="3" max="3" width="19.5" style="1" customWidth="1"/>
    <col min="4" max="4" width="20.5" style="1" customWidth="1"/>
    <col min="5" max="5" width="14" style="1" customWidth="1"/>
    <col min="6" max="6" width="17" style="1" customWidth="1"/>
    <col min="7" max="7" width="18.33203125" style="1" bestFit="1" customWidth="1"/>
    <col min="8" max="8" width="13.5" style="1" customWidth="1"/>
    <col min="9" max="9" width="15.83203125" style="1" customWidth="1"/>
    <col min="10" max="10" width="16.5" style="1" customWidth="1"/>
    <col min="11" max="11" width="15.5" style="1" customWidth="1"/>
    <col min="12" max="12" width="18.33203125" style="1" customWidth="1"/>
  </cols>
  <sheetData>
    <row r="1" spans="1:12" ht="5.5" customHeight="1" thickBo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">
      <c r="A2" s="79"/>
      <c r="B2" s="30" t="s">
        <v>22</v>
      </c>
      <c r="C2" s="29"/>
      <c r="D2" s="29"/>
      <c r="E2" s="28"/>
      <c r="F2" s="28"/>
      <c r="G2" s="28"/>
      <c r="H2" s="28"/>
      <c r="I2" s="28"/>
      <c r="J2" s="28"/>
      <c r="K2" s="28"/>
      <c r="L2" s="27"/>
    </row>
    <row r="3" spans="1:12" ht="9" customHeight="1" x14ac:dyDescent="0.2">
      <c r="A3" s="79"/>
      <c r="B3" s="26"/>
      <c r="C3" s="25"/>
      <c r="D3" s="25"/>
      <c r="E3" s="23"/>
      <c r="F3" s="23"/>
      <c r="G3" s="23"/>
      <c r="H3" s="23"/>
      <c r="I3" s="23"/>
      <c r="J3" s="23"/>
      <c r="K3" s="23"/>
      <c r="L3" s="22"/>
    </row>
    <row r="4" spans="1:12" x14ac:dyDescent="0.2">
      <c r="A4" s="79"/>
      <c r="B4" s="26" t="s">
        <v>21</v>
      </c>
      <c r="C4" s="25"/>
      <c r="D4" s="25"/>
      <c r="E4" s="23"/>
      <c r="F4" s="23"/>
      <c r="G4" s="23"/>
      <c r="H4" s="23"/>
      <c r="I4" s="23"/>
      <c r="J4" s="23"/>
      <c r="K4" s="23"/>
      <c r="L4" s="22"/>
    </row>
    <row r="5" spans="1:12" ht="6" customHeight="1" thickBot="1" x14ac:dyDescent="0.25">
      <c r="A5" s="79"/>
      <c r="B5" s="24"/>
      <c r="C5" s="23"/>
      <c r="D5" s="23"/>
      <c r="E5" s="23"/>
      <c r="F5" s="23"/>
      <c r="G5" s="23"/>
      <c r="H5" s="23"/>
      <c r="I5" s="23"/>
      <c r="J5" s="23"/>
      <c r="K5" s="23"/>
      <c r="L5" s="22"/>
    </row>
    <row r="6" spans="1:12" ht="29" customHeight="1" thickBot="1" x14ac:dyDescent="0.25">
      <c r="A6" s="79"/>
      <c r="B6" s="80" t="s">
        <v>20</v>
      </c>
      <c r="C6" s="82" t="s">
        <v>19</v>
      </c>
      <c r="D6" s="83"/>
      <c r="E6" s="84" t="s">
        <v>18</v>
      </c>
      <c r="F6" s="85"/>
      <c r="G6" s="85"/>
      <c r="H6" s="85"/>
      <c r="I6" s="85"/>
      <c r="J6" s="85"/>
      <c r="K6" s="85"/>
      <c r="L6" s="86"/>
    </row>
    <row r="7" spans="1:12" ht="36.5" customHeight="1" thickBot="1" x14ac:dyDescent="0.25">
      <c r="A7" s="79"/>
      <c r="B7" s="81"/>
      <c r="C7" s="21" t="s">
        <v>17</v>
      </c>
      <c r="D7" s="21" t="s">
        <v>16</v>
      </c>
      <c r="E7" s="20" t="s">
        <v>17</v>
      </c>
      <c r="F7" s="20" t="s">
        <v>16</v>
      </c>
      <c r="G7" s="20" t="s">
        <v>15</v>
      </c>
      <c r="H7" s="20" t="s">
        <v>14</v>
      </c>
      <c r="I7" s="20" t="s">
        <v>13</v>
      </c>
      <c r="J7" s="20" t="s">
        <v>12</v>
      </c>
      <c r="K7" s="20" t="s">
        <v>11</v>
      </c>
      <c r="L7" s="19" t="s">
        <v>10</v>
      </c>
    </row>
    <row r="8" spans="1:12" ht="25.5" customHeight="1" thickBot="1" x14ac:dyDescent="0.25">
      <c r="A8" s="79"/>
      <c r="B8" s="12" t="s">
        <v>9</v>
      </c>
      <c r="C8" s="11">
        <v>264260.5</v>
      </c>
      <c r="D8" s="11">
        <v>113254.5</v>
      </c>
      <c r="E8" s="10">
        <v>174998.69158878503</v>
      </c>
      <c r="F8" s="10">
        <v>74999.439252336437</v>
      </c>
      <c r="G8" s="10">
        <f t="shared" ref="G8:G17" si="0">E8+F8</f>
        <v>249998.13084112148</v>
      </c>
      <c r="H8" s="10">
        <v>283854.11</v>
      </c>
      <c r="I8" s="10">
        <v>0</v>
      </c>
      <c r="J8" s="10">
        <f t="shared" ref="J8:J16" si="1">H8+I8</f>
        <v>283854.11</v>
      </c>
      <c r="K8" s="10">
        <f t="shared" ref="K8:K16" si="2">G8-J8</f>
        <v>-33855.979158878501</v>
      </c>
      <c r="L8" s="9">
        <f t="shared" ref="L8:L17" si="3">J8/G8</f>
        <v>1.1354249291583489</v>
      </c>
    </row>
    <row r="9" spans="1:12" ht="16" thickBot="1" x14ac:dyDescent="0.25">
      <c r="A9" s="79"/>
      <c r="B9" s="12" t="s">
        <v>8</v>
      </c>
      <c r="C9" s="11">
        <v>21000</v>
      </c>
      <c r="D9" s="11">
        <v>9000</v>
      </c>
      <c r="E9" s="10">
        <v>203020</v>
      </c>
      <c r="F9" s="10">
        <v>85580</v>
      </c>
      <c r="G9" s="10">
        <f t="shared" si="0"/>
        <v>288600</v>
      </c>
      <c r="H9" s="10">
        <v>218472.60000000015</v>
      </c>
      <c r="I9" s="10">
        <v>0</v>
      </c>
      <c r="J9" s="10">
        <f t="shared" si="1"/>
        <v>218472.60000000015</v>
      </c>
      <c r="K9" s="10">
        <f t="shared" si="2"/>
        <v>70127.399999999849</v>
      </c>
      <c r="L9" s="9">
        <f t="shared" si="3"/>
        <v>0.75700831600831653</v>
      </c>
    </row>
    <row r="10" spans="1:12" ht="31" customHeight="1" thickBot="1" x14ac:dyDescent="0.25">
      <c r="A10" s="79"/>
      <c r="B10" s="12" t="s">
        <v>7</v>
      </c>
      <c r="C10" s="11">
        <v>20000</v>
      </c>
      <c r="D10" s="11">
        <v>20000</v>
      </c>
      <c r="E10" s="10">
        <v>10000</v>
      </c>
      <c r="F10" s="10">
        <v>10000</v>
      </c>
      <c r="G10" s="10">
        <f t="shared" si="0"/>
        <v>20000</v>
      </c>
      <c r="H10" s="10">
        <v>7489.1</v>
      </c>
      <c r="I10" s="10">
        <v>0</v>
      </c>
      <c r="J10" s="10">
        <f t="shared" si="1"/>
        <v>7489.1</v>
      </c>
      <c r="K10" s="10">
        <f t="shared" si="2"/>
        <v>12510.9</v>
      </c>
      <c r="L10" s="9">
        <f t="shared" si="3"/>
        <v>0.37445500000000004</v>
      </c>
    </row>
    <row r="11" spans="1:12" ht="27.5" customHeight="1" thickBot="1" x14ac:dyDescent="0.25">
      <c r="A11" s="79"/>
      <c r="B11" s="12" t="s">
        <v>6</v>
      </c>
      <c r="C11" s="11">
        <v>101906.03499999999</v>
      </c>
      <c r="D11" s="11">
        <v>43674.014999999992</v>
      </c>
      <c r="E11" s="10">
        <v>56000</v>
      </c>
      <c r="F11" s="10">
        <v>24000</v>
      </c>
      <c r="G11" s="10">
        <f t="shared" si="0"/>
        <v>80000</v>
      </c>
      <c r="H11" s="10">
        <v>79348.100000000006</v>
      </c>
      <c r="I11" s="10">
        <v>0</v>
      </c>
      <c r="J11" s="10">
        <f t="shared" si="1"/>
        <v>79348.100000000006</v>
      </c>
      <c r="K11" s="18">
        <f t="shared" si="2"/>
        <v>651.89999999999418</v>
      </c>
      <c r="L11" s="9">
        <f t="shared" si="3"/>
        <v>0.99185125000000007</v>
      </c>
    </row>
    <row r="12" spans="1:12" ht="29" customHeight="1" thickBot="1" x14ac:dyDescent="0.25">
      <c r="A12" s="79"/>
      <c r="B12" s="12" t="s">
        <v>5</v>
      </c>
      <c r="C12" s="11">
        <v>59418.799999999996</v>
      </c>
      <c r="D12" s="11">
        <v>25465.200000000001</v>
      </c>
      <c r="E12" s="10">
        <v>35000</v>
      </c>
      <c r="F12" s="10">
        <v>15000</v>
      </c>
      <c r="G12" s="10">
        <f t="shared" si="0"/>
        <v>50000</v>
      </c>
      <c r="H12" s="10">
        <v>8572.42</v>
      </c>
      <c r="I12" s="10">
        <v>0</v>
      </c>
      <c r="J12" s="10">
        <f t="shared" si="1"/>
        <v>8572.42</v>
      </c>
      <c r="K12" s="10">
        <f t="shared" si="2"/>
        <v>41427.58</v>
      </c>
      <c r="L12" s="9">
        <f t="shared" si="3"/>
        <v>0.1714484</v>
      </c>
    </row>
    <row r="13" spans="1:12" ht="29" thickBot="1" x14ac:dyDescent="0.25">
      <c r="A13" s="79"/>
      <c r="B13" s="12" t="s">
        <v>4</v>
      </c>
      <c r="C13" s="11">
        <v>523270</v>
      </c>
      <c r="D13" s="11">
        <f>167700+45130</f>
        <v>212830</v>
      </c>
      <c r="E13" s="10">
        <v>360000</v>
      </c>
      <c r="F13" s="10">
        <v>150000</v>
      </c>
      <c r="G13" s="10">
        <f t="shared" si="0"/>
        <v>510000</v>
      </c>
      <c r="H13" s="10">
        <v>283591.71999999997</v>
      </c>
      <c r="I13" s="10">
        <v>0</v>
      </c>
      <c r="J13" s="10">
        <f t="shared" si="1"/>
        <v>283591.71999999997</v>
      </c>
      <c r="K13" s="10">
        <f t="shared" si="2"/>
        <v>226408.28000000003</v>
      </c>
      <c r="L13" s="9">
        <f t="shared" si="3"/>
        <v>0.55606219607843133</v>
      </c>
    </row>
    <row r="14" spans="1:12" ht="31.5" customHeight="1" thickBot="1" x14ac:dyDescent="0.25">
      <c r="A14" s="79"/>
      <c r="B14" s="12" t="s">
        <v>3</v>
      </c>
      <c r="C14" s="11">
        <v>98742.795841121391</v>
      </c>
      <c r="D14" s="11">
        <v>42318.341074766307</v>
      </c>
      <c r="E14" s="10">
        <v>35000</v>
      </c>
      <c r="F14" s="10">
        <v>15000</v>
      </c>
      <c r="G14" s="10">
        <f t="shared" si="0"/>
        <v>50000</v>
      </c>
      <c r="H14" s="10">
        <v>30884.799999999999</v>
      </c>
      <c r="I14" s="10">
        <v>0</v>
      </c>
      <c r="J14" s="10">
        <f t="shared" si="1"/>
        <v>30884.799999999999</v>
      </c>
      <c r="K14" s="10">
        <f t="shared" si="2"/>
        <v>19115.2</v>
      </c>
      <c r="L14" s="9">
        <f t="shared" si="3"/>
        <v>0.61769600000000002</v>
      </c>
    </row>
    <row r="15" spans="1:12" ht="30" customHeight="1" thickBot="1" x14ac:dyDescent="0.25">
      <c r="A15" s="79"/>
      <c r="B15" s="17" t="s">
        <v>2</v>
      </c>
      <c r="C15" s="16">
        <f>SUM(C8:C14)</f>
        <v>1088598.1308411213</v>
      </c>
      <c r="D15" s="16">
        <f>SUM(D8:D14)</f>
        <v>466542.05607476627</v>
      </c>
      <c r="E15" s="15">
        <f>SUM(E8:E14)</f>
        <v>874018.69158878503</v>
      </c>
      <c r="F15" s="15">
        <f>SUM(F8:F14)</f>
        <v>374579.43925233645</v>
      </c>
      <c r="G15" s="14">
        <f t="shared" si="0"/>
        <v>1248598.1308411215</v>
      </c>
      <c r="H15" s="15">
        <f>SUM(H8:H14)</f>
        <v>912212.85000000021</v>
      </c>
      <c r="I15" s="15">
        <f>SUM(I8:I14)</f>
        <v>0</v>
      </c>
      <c r="J15" s="14">
        <f t="shared" si="1"/>
        <v>912212.85000000021</v>
      </c>
      <c r="K15" s="14">
        <f t="shared" si="2"/>
        <v>336385.28084112133</v>
      </c>
      <c r="L15" s="13">
        <f t="shared" si="3"/>
        <v>0.73058963285928158</v>
      </c>
    </row>
    <row r="16" spans="1:12" ht="30" customHeight="1" thickBot="1" x14ac:dyDescent="0.25">
      <c r="A16" s="79"/>
      <c r="B16" s="12" t="s">
        <v>1</v>
      </c>
      <c r="C16" s="11">
        <f>C15*7%</f>
        <v>76201.8691588785</v>
      </c>
      <c r="D16" s="11">
        <f>D15*7%</f>
        <v>32657.943925233641</v>
      </c>
      <c r="E16" s="10">
        <f>E15*7%</f>
        <v>61181.308411214959</v>
      </c>
      <c r="F16" s="10">
        <f>F15*7%</f>
        <v>26220.560747663552</v>
      </c>
      <c r="G16" s="10">
        <f t="shared" si="0"/>
        <v>87401.869158878515</v>
      </c>
      <c r="H16" s="10">
        <v>63555.08</v>
      </c>
      <c r="I16" s="10">
        <v>0</v>
      </c>
      <c r="J16" s="10">
        <f t="shared" si="1"/>
        <v>63555.08</v>
      </c>
      <c r="K16" s="10">
        <f t="shared" si="2"/>
        <v>23846.789158878513</v>
      </c>
      <c r="L16" s="9">
        <f t="shared" si="3"/>
        <v>0.72715927715996576</v>
      </c>
    </row>
    <row r="17" spans="1:13" ht="32.5" customHeight="1" thickBot="1" x14ac:dyDescent="0.25">
      <c r="A17" s="79"/>
      <c r="B17" s="8" t="s">
        <v>0</v>
      </c>
      <c r="C17" s="7">
        <f>C15+C16</f>
        <v>1164799.9999999998</v>
      </c>
      <c r="D17" s="7">
        <f>D15+D16</f>
        <v>499199.99999999988</v>
      </c>
      <c r="E17" s="5">
        <f>E15+E16</f>
        <v>935200</v>
      </c>
      <c r="F17" s="5">
        <f>F15+F16</f>
        <v>400800</v>
      </c>
      <c r="G17" s="6">
        <f t="shared" si="0"/>
        <v>1336000</v>
      </c>
      <c r="H17" s="5">
        <f>SUM(H15:H16)</f>
        <v>975767.93000000017</v>
      </c>
      <c r="I17" s="5">
        <f>SUM(I15:I16)</f>
        <v>0</v>
      </c>
      <c r="J17" s="5">
        <f>J15+J16</f>
        <v>975767.93000000017</v>
      </c>
      <c r="K17" s="5">
        <f>K15+K16</f>
        <v>360232.06999999983</v>
      </c>
      <c r="L17" s="4">
        <f t="shared" si="3"/>
        <v>0.73036521706586843</v>
      </c>
      <c r="M17" s="3"/>
    </row>
    <row r="21" spans="1:13" x14ac:dyDescent="0.2">
      <c r="C21" s="1">
        <f>C10-20000</f>
        <v>0</v>
      </c>
    </row>
  </sheetData>
  <mergeCells count="5">
    <mergeCell ref="B1:L1"/>
    <mergeCell ref="A2:A17"/>
    <mergeCell ref="B6:B7"/>
    <mergeCell ref="C6:D6"/>
    <mergeCell ref="E6:L6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2A9A-69DF-442E-BC18-863B924613E2}">
  <sheetPr>
    <pageSetUpPr fitToPage="1"/>
  </sheetPr>
  <dimension ref="A1:P21"/>
  <sheetViews>
    <sheetView topLeftCell="A4" zoomScale="70" zoomScaleNormal="70" workbookViewId="0">
      <selection activeCell="C14" sqref="C14"/>
    </sheetView>
  </sheetViews>
  <sheetFormatPr baseColWidth="10" defaultColWidth="8.83203125" defaultRowHeight="15" x14ac:dyDescent="0.2"/>
  <cols>
    <col min="1" max="1" width="0.83203125" customWidth="1"/>
    <col min="2" max="2" width="27" style="2" customWidth="1"/>
    <col min="3" max="3" width="19.5" style="1" customWidth="1"/>
    <col min="4" max="4" width="20.5" style="1" customWidth="1"/>
    <col min="5" max="5" width="14" style="1" customWidth="1"/>
    <col min="6" max="6" width="17" style="1" customWidth="1"/>
    <col min="7" max="8" width="17.5" style="1" customWidth="1"/>
    <col min="9" max="9" width="15.83203125" style="1" customWidth="1"/>
    <col min="10" max="10" width="19.1640625" style="1" customWidth="1"/>
    <col min="11" max="11" width="15.5" style="1" customWidth="1"/>
    <col min="12" max="12" width="18.33203125" style="1" customWidth="1"/>
    <col min="15" max="15" width="15.6640625" customWidth="1"/>
    <col min="16" max="16" width="11.83203125" customWidth="1"/>
  </cols>
  <sheetData>
    <row r="1" spans="1:16" ht="5.5" customHeight="1" thickBo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x14ac:dyDescent="0.2">
      <c r="A2" s="79"/>
      <c r="B2" s="30" t="s">
        <v>22</v>
      </c>
      <c r="C2" s="29"/>
      <c r="D2" s="29"/>
      <c r="E2" s="28"/>
      <c r="F2" s="28"/>
      <c r="G2" s="28"/>
      <c r="H2" s="28"/>
      <c r="I2" s="28"/>
      <c r="J2" s="28"/>
      <c r="K2" s="28"/>
      <c r="L2" s="27"/>
    </row>
    <row r="3" spans="1:16" ht="9" customHeight="1" x14ac:dyDescent="0.2">
      <c r="A3" s="79"/>
      <c r="B3" s="26"/>
      <c r="C3" s="25"/>
      <c r="D3" s="25"/>
      <c r="E3" s="23"/>
      <c r="F3" s="23"/>
      <c r="G3" s="23"/>
      <c r="H3" s="23"/>
      <c r="I3" s="23"/>
      <c r="J3" s="23"/>
      <c r="K3" s="23"/>
      <c r="L3" s="22"/>
    </row>
    <row r="4" spans="1:16" x14ac:dyDescent="0.2">
      <c r="A4" s="79"/>
      <c r="B4" s="26" t="s">
        <v>21</v>
      </c>
      <c r="C4" s="25"/>
      <c r="D4" s="25"/>
      <c r="E4" s="23"/>
      <c r="F4" s="23"/>
      <c r="G4" s="23"/>
      <c r="H4" s="23"/>
      <c r="I4" s="23"/>
      <c r="J4" s="23"/>
      <c r="K4" s="23"/>
      <c r="L4" s="22"/>
    </row>
    <row r="5" spans="1:16" ht="6" customHeight="1" thickBot="1" x14ac:dyDescent="0.25">
      <c r="A5" s="79"/>
      <c r="B5" s="24"/>
      <c r="C5" s="23"/>
      <c r="D5" s="23"/>
      <c r="E5" s="23"/>
      <c r="F5" s="23"/>
      <c r="G5" s="23"/>
      <c r="H5" s="23"/>
      <c r="I5" s="23"/>
      <c r="J5" s="23"/>
      <c r="K5" s="23"/>
      <c r="L5" s="22"/>
    </row>
    <row r="6" spans="1:16" ht="29" customHeight="1" thickBot="1" x14ac:dyDescent="0.25">
      <c r="A6" s="79"/>
      <c r="B6" s="80" t="s">
        <v>20</v>
      </c>
      <c r="C6" s="82" t="s">
        <v>19</v>
      </c>
      <c r="D6" s="83"/>
      <c r="E6" s="84" t="s">
        <v>18</v>
      </c>
      <c r="F6" s="85"/>
      <c r="G6" s="85"/>
      <c r="H6" s="85"/>
      <c r="I6" s="85"/>
      <c r="J6" s="85"/>
      <c r="K6" s="85"/>
      <c r="L6" s="86"/>
    </row>
    <row r="7" spans="1:16" ht="36.5" customHeight="1" thickBot="1" x14ac:dyDescent="0.25">
      <c r="A7" s="79"/>
      <c r="B7" s="81"/>
      <c r="C7" s="21" t="s">
        <v>17</v>
      </c>
      <c r="D7" s="21" t="s">
        <v>16</v>
      </c>
      <c r="E7" s="20" t="s">
        <v>17</v>
      </c>
      <c r="F7" s="20" t="s">
        <v>16</v>
      </c>
      <c r="G7" s="20" t="s">
        <v>15</v>
      </c>
      <c r="H7" s="20" t="s">
        <v>14</v>
      </c>
      <c r="I7" s="20" t="s">
        <v>13</v>
      </c>
      <c r="J7" s="20" t="s">
        <v>12</v>
      </c>
      <c r="K7" s="20" t="s">
        <v>11</v>
      </c>
      <c r="L7" s="19" t="s">
        <v>10</v>
      </c>
    </row>
    <row r="8" spans="1:16" ht="25.5" customHeight="1" thickBot="1" x14ac:dyDescent="0.25">
      <c r="A8" s="79"/>
      <c r="B8" s="12" t="s">
        <v>9</v>
      </c>
      <c r="C8" s="11">
        <v>264260.5</v>
      </c>
      <c r="D8" s="11">
        <v>113254.5</v>
      </c>
      <c r="E8" s="10">
        <v>174998.69158878503</v>
      </c>
      <c r="F8" s="10">
        <v>74999.439252336437</v>
      </c>
      <c r="G8" s="10">
        <f t="shared" ref="G8:G17" si="0">E8+F8</f>
        <v>249998.13084112148</v>
      </c>
      <c r="H8" s="10">
        <v>287489.32</v>
      </c>
      <c r="I8" s="10">
        <v>0</v>
      </c>
      <c r="J8" s="10">
        <f t="shared" ref="J8:J16" si="1">H8+I8</f>
        <v>287489.32</v>
      </c>
      <c r="K8" s="10">
        <f t="shared" ref="K8:K16" si="2">G8-J8</f>
        <v>-37491.189158878522</v>
      </c>
      <c r="L8" s="9">
        <f t="shared" ref="L8:L17" si="3">J8/G8</f>
        <v>1.1499658778757225</v>
      </c>
      <c r="O8" s="31"/>
    </row>
    <row r="9" spans="1:16" ht="42" customHeight="1" thickBot="1" x14ac:dyDescent="0.25">
      <c r="A9" s="79"/>
      <c r="B9" s="12" t="s">
        <v>8</v>
      </c>
      <c r="C9" s="11">
        <v>21000</v>
      </c>
      <c r="D9" s="11">
        <v>9000</v>
      </c>
      <c r="E9" s="10">
        <v>203020</v>
      </c>
      <c r="F9" s="10">
        <v>85580</v>
      </c>
      <c r="G9" s="10">
        <f t="shared" si="0"/>
        <v>288600</v>
      </c>
      <c r="H9" s="10">
        <v>226599.71</v>
      </c>
      <c r="I9" s="10">
        <v>0</v>
      </c>
      <c r="J9" s="10">
        <f t="shared" si="1"/>
        <v>226599.71</v>
      </c>
      <c r="K9" s="10">
        <f t="shared" si="2"/>
        <v>62000.290000000008</v>
      </c>
      <c r="L9" s="9">
        <f t="shared" si="3"/>
        <v>0.78516878031878035</v>
      </c>
      <c r="O9" s="31"/>
    </row>
    <row r="10" spans="1:16" ht="43.5" customHeight="1" thickBot="1" x14ac:dyDescent="0.25">
      <c r="A10" s="79"/>
      <c r="B10" s="12" t="s">
        <v>7</v>
      </c>
      <c r="C10" s="11">
        <v>20000</v>
      </c>
      <c r="D10" s="11">
        <v>20000</v>
      </c>
      <c r="E10" s="10">
        <v>10000</v>
      </c>
      <c r="F10" s="10">
        <v>10000</v>
      </c>
      <c r="G10" s="10">
        <f t="shared" si="0"/>
        <v>20000</v>
      </c>
      <c r="H10" s="10">
        <v>8034.11</v>
      </c>
      <c r="I10" s="10">
        <v>0</v>
      </c>
      <c r="J10" s="10">
        <f t="shared" si="1"/>
        <v>8034.11</v>
      </c>
      <c r="K10" s="10">
        <f t="shared" si="2"/>
        <v>11965.89</v>
      </c>
      <c r="L10" s="9">
        <f t="shared" si="3"/>
        <v>0.40170549999999999</v>
      </c>
    </row>
    <row r="11" spans="1:16" ht="27.5" customHeight="1" thickBot="1" x14ac:dyDescent="0.25">
      <c r="A11" s="79"/>
      <c r="B11" s="12" t="s">
        <v>6</v>
      </c>
      <c r="C11" s="11">
        <v>101906.03499999999</v>
      </c>
      <c r="D11" s="11">
        <v>43674.014999999992</v>
      </c>
      <c r="E11" s="10">
        <v>56000</v>
      </c>
      <c r="F11" s="10">
        <v>24000</v>
      </c>
      <c r="G11" s="10">
        <f t="shared" si="0"/>
        <v>80000</v>
      </c>
      <c r="H11" s="10">
        <v>79348.100000000006</v>
      </c>
      <c r="I11" s="10">
        <v>0</v>
      </c>
      <c r="J11" s="10">
        <f t="shared" si="1"/>
        <v>79348.100000000006</v>
      </c>
      <c r="K11" s="18">
        <f t="shared" si="2"/>
        <v>651.89999999999418</v>
      </c>
      <c r="L11" s="9">
        <f t="shared" si="3"/>
        <v>0.99185125000000007</v>
      </c>
      <c r="O11" s="31"/>
      <c r="P11" s="32"/>
    </row>
    <row r="12" spans="1:16" ht="29" customHeight="1" thickBot="1" x14ac:dyDescent="0.25">
      <c r="A12" s="79"/>
      <c r="B12" s="12" t="s">
        <v>5</v>
      </c>
      <c r="C12" s="11">
        <v>59418.799999999996</v>
      </c>
      <c r="D12" s="11">
        <v>25465.200000000001</v>
      </c>
      <c r="E12" s="10">
        <v>35000</v>
      </c>
      <c r="F12" s="10">
        <v>15000</v>
      </c>
      <c r="G12" s="10">
        <f t="shared" si="0"/>
        <v>50000</v>
      </c>
      <c r="H12" s="10">
        <v>46565.38</v>
      </c>
      <c r="I12" s="10">
        <v>0</v>
      </c>
      <c r="J12" s="10">
        <f t="shared" si="1"/>
        <v>46565.38</v>
      </c>
      <c r="K12" s="10">
        <f t="shared" si="2"/>
        <v>3434.6200000000026</v>
      </c>
      <c r="L12" s="9">
        <f t="shared" si="3"/>
        <v>0.9313075999999999</v>
      </c>
      <c r="O12" s="31"/>
      <c r="P12" s="31"/>
    </row>
    <row r="13" spans="1:16" ht="29" thickBot="1" x14ac:dyDescent="0.25">
      <c r="A13" s="79"/>
      <c r="B13" s="12" t="s">
        <v>4</v>
      </c>
      <c r="C13" s="11">
        <v>523270</v>
      </c>
      <c r="D13" s="11">
        <f>167700+45130</f>
        <v>212830</v>
      </c>
      <c r="E13" s="10">
        <v>360000</v>
      </c>
      <c r="F13" s="10">
        <v>150000</v>
      </c>
      <c r="G13" s="10">
        <f t="shared" si="0"/>
        <v>510000</v>
      </c>
      <c r="H13" s="10">
        <v>323031.59999999998</v>
      </c>
      <c r="I13" s="10">
        <v>0</v>
      </c>
      <c r="J13" s="10">
        <f t="shared" si="1"/>
        <v>323031.59999999998</v>
      </c>
      <c r="K13" s="10">
        <f t="shared" si="2"/>
        <v>186968.40000000002</v>
      </c>
      <c r="L13" s="9">
        <f t="shared" si="3"/>
        <v>0.63339529411764706</v>
      </c>
      <c r="O13" s="31"/>
      <c r="P13" s="31"/>
    </row>
    <row r="14" spans="1:16" ht="31.5" customHeight="1" thickBot="1" x14ac:dyDescent="0.25">
      <c r="A14" s="79"/>
      <c r="B14" s="12" t="s">
        <v>3</v>
      </c>
      <c r="C14" s="11">
        <v>98742.795841121391</v>
      </c>
      <c r="D14" s="11">
        <v>42318.341074766307</v>
      </c>
      <c r="E14" s="10">
        <v>35000</v>
      </c>
      <c r="F14" s="10">
        <v>15000</v>
      </c>
      <c r="G14" s="10">
        <f t="shared" si="0"/>
        <v>50000</v>
      </c>
      <c r="H14" s="10">
        <v>40884</v>
      </c>
      <c r="I14" s="10">
        <v>0</v>
      </c>
      <c r="J14" s="10">
        <f t="shared" si="1"/>
        <v>40884</v>
      </c>
      <c r="K14" s="10">
        <f t="shared" si="2"/>
        <v>9116</v>
      </c>
      <c r="L14" s="9">
        <f t="shared" si="3"/>
        <v>0.81767999999999996</v>
      </c>
      <c r="O14" s="31"/>
    </row>
    <row r="15" spans="1:16" ht="30" customHeight="1" thickBot="1" x14ac:dyDescent="0.25">
      <c r="A15" s="79"/>
      <c r="B15" s="17" t="s">
        <v>2</v>
      </c>
      <c r="C15" s="16">
        <f>SUM(C8:C14)</f>
        <v>1088598.1308411213</v>
      </c>
      <c r="D15" s="16">
        <f>SUM(D8:D14)</f>
        <v>466542.05607476627</v>
      </c>
      <c r="E15" s="15">
        <f>SUM(E8:E14)</f>
        <v>874018.69158878503</v>
      </c>
      <c r="F15" s="15">
        <f>SUM(F8:F14)</f>
        <v>374579.43925233645</v>
      </c>
      <c r="G15" s="14">
        <f t="shared" si="0"/>
        <v>1248598.1308411215</v>
      </c>
      <c r="H15" s="15">
        <f>SUM(H8:H14)</f>
        <v>1011952.22</v>
      </c>
      <c r="I15" s="15">
        <f>SUM(I8:I14)</f>
        <v>0</v>
      </c>
      <c r="J15" s="14">
        <f t="shared" si="1"/>
        <v>1011952.22</v>
      </c>
      <c r="K15" s="14">
        <f t="shared" si="2"/>
        <v>236645.91084112157</v>
      </c>
      <c r="L15" s="13">
        <f t="shared" si="3"/>
        <v>0.81047071511976043</v>
      </c>
      <c r="O15" s="31"/>
    </row>
    <row r="16" spans="1:16" ht="30" customHeight="1" thickBot="1" x14ac:dyDescent="0.25">
      <c r="A16" s="79"/>
      <c r="B16" s="12" t="s">
        <v>1</v>
      </c>
      <c r="C16" s="11">
        <f>C15*7%</f>
        <v>76201.8691588785</v>
      </c>
      <c r="D16" s="11">
        <f>D15*7%</f>
        <v>32657.943925233641</v>
      </c>
      <c r="E16" s="10">
        <f>E15*7%</f>
        <v>61181.308411214959</v>
      </c>
      <c r="F16" s="10">
        <f>F15*7%</f>
        <v>26220.560747663552</v>
      </c>
      <c r="G16" s="10">
        <f t="shared" si="0"/>
        <v>87401.869158878515</v>
      </c>
      <c r="H16" s="10">
        <v>70277.570000000007</v>
      </c>
      <c r="I16" s="10">
        <v>0</v>
      </c>
      <c r="J16" s="10">
        <f t="shared" si="1"/>
        <v>70277.570000000007</v>
      </c>
      <c r="K16" s="10">
        <f t="shared" si="2"/>
        <v>17124.299158878508</v>
      </c>
      <c r="L16" s="9">
        <f t="shared" si="3"/>
        <v>0.80407399379811806</v>
      </c>
    </row>
    <row r="17" spans="1:15" ht="32.5" customHeight="1" thickBot="1" x14ac:dyDescent="0.25">
      <c r="A17" s="79"/>
      <c r="B17" s="8" t="s">
        <v>0</v>
      </c>
      <c r="C17" s="7">
        <f>C15+C16</f>
        <v>1164799.9999999998</v>
      </c>
      <c r="D17" s="7">
        <f>D15+D16</f>
        <v>499199.99999999988</v>
      </c>
      <c r="E17" s="5">
        <f>E15+E16</f>
        <v>935200</v>
      </c>
      <c r="F17" s="5">
        <f>F15+F16</f>
        <v>400800</v>
      </c>
      <c r="G17" s="6">
        <f t="shared" si="0"/>
        <v>1336000</v>
      </c>
      <c r="H17" s="5">
        <f>SUM(H15:H16)</f>
        <v>1082229.79</v>
      </c>
      <c r="I17" s="5">
        <f>SUM(I15:I16)</f>
        <v>0</v>
      </c>
      <c r="J17" s="5">
        <f>J15+J16</f>
        <v>1082229.79</v>
      </c>
      <c r="K17" s="5">
        <f>K15+K16</f>
        <v>253770.21000000008</v>
      </c>
      <c r="L17" s="4">
        <f t="shared" si="3"/>
        <v>0.8100522380239521</v>
      </c>
      <c r="M17" s="3"/>
      <c r="O17" s="31"/>
    </row>
    <row r="20" spans="1:15" x14ac:dyDescent="0.2">
      <c r="K20" s="1">
        <f>K19-K17</f>
        <v>-253770.21000000008</v>
      </c>
    </row>
    <row r="21" spans="1:15" x14ac:dyDescent="0.2">
      <c r="C21" s="1">
        <f>C10-20000</f>
        <v>0</v>
      </c>
    </row>
  </sheetData>
  <mergeCells count="5">
    <mergeCell ref="B1:L1"/>
    <mergeCell ref="A2:A17"/>
    <mergeCell ref="B6:B7"/>
    <mergeCell ref="C6:D6"/>
    <mergeCell ref="E6:L6"/>
  </mergeCells>
  <pageMargins left="0.7" right="0.7" top="0.75" bottom="0.75" header="0.3" footer="0.3"/>
  <pageSetup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AA59-A566-4E47-8DAE-74D36B912EC1}">
  <dimension ref="A1:J47"/>
  <sheetViews>
    <sheetView tabSelected="1" view="pageBreakPreview" zoomScale="90" zoomScaleNormal="100" zoomScaleSheetLayoutView="90" workbookViewId="0">
      <selection activeCell="E45" sqref="E44:E45"/>
    </sheetView>
  </sheetViews>
  <sheetFormatPr baseColWidth="10" defaultColWidth="8.83203125" defaultRowHeight="15" x14ac:dyDescent="0.2"/>
  <cols>
    <col min="1" max="1" width="30.5" customWidth="1"/>
    <col min="2" max="3" width="24.6640625" customWidth="1"/>
    <col min="4" max="4" width="24.6640625" style="34" customWidth="1"/>
    <col min="5" max="5" width="24.6640625" style="33" customWidth="1"/>
    <col min="6" max="9" width="25.6640625" customWidth="1"/>
    <col min="10" max="10" width="24.5" customWidth="1"/>
    <col min="11" max="11" width="50.1640625" customWidth="1"/>
    <col min="12" max="14" width="28.6640625" customWidth="1"/>
    <col min="15" max="15" width="34.1640625" customWidth="1"/>
  </cols>
  <sheetData>
    <row r="1" spans="1:10" ht="21" x14ac:dyDescent="0.25">
      <c r="A1" s="43" t="s">
        <v>83</v>
      </c>
      <c r="B1" s="42"/>
      <c r="C1" s="42"/>
      <c r="D1" s="41"/>
      <c r="E1" s="40"/>
    </row>
    <row r="2" spans="1:10" ht="16" x14ac:dyDescent="0.2">
      <c r="A2" s="37"/>
      <c r="B2" s="37"/>
      <c r="C2" s="37"/>
      <c r="D2" s="39"/>
      <c r="E2" s="38"/>
    </row>
    <row r="3" spans="1:10" ht="16" x14ac:dyDescent="0.2">
      <c r="A3" s="37" t="s">
        <v>21</v>
      </c>
      <c r="B3" s="37"/>
      <c r="C3" s="37"/>
      <c r="D3" s="39"/>
      <c r="E3" s="38"/>
    </row>
    <row r="5" spans="1:10" ht="16" x14ac:dyDescent="0.2">
      <c r="A5" s="37" t="s">
        <v>82</v>
      </c>
    </row>
    <row r="7" spans="1:10" ht="110.25" customHeight="1" x14ac:dyDescent="0.2">
      <c r="A7" s="46" t="s">
        <v>81</v>
      </c>
      <c r="B7" s="46" t="s">
        <v>80</v>
      </c>
      <c r="C7" s="46" t="s">
        <v>79</v>
      </c>
      <c r="D7" s="47" t="s">
        <v>87</v>
      </c>
      <c r="E7" s="48" t="s">
        <v>78</v>
      </c>
      <c r="F7" s="46" t="s">
        <v>77</v>
      </c>
      <c r="G7" s="46" t="s">
        <v>84</v>
      </c>
      <c r="H7" s="46" t="s">
        <v>85</v>
      </c>
      <c r="I7" s="46" t="s">
        <v>86</v>
      </c>
      <c r="J7" s="46" t="s">
        <v>76</v>
      </c>
    </row>
    <row r="8" spans="1:10" ht="36.75" customHeight="1" x14ac:dyDescent="0.2">
      <c r="A8" s="89" t="s">
        <v>75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33.75" customHeight="1" x14ac:dyDescent="0.2">
      <c r="A9" s="89" t="s">
        <v>74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68" x14ac:dyDescent="0.2">
      <c r="A10" s="49" t="s">
        <v>73</v>
      </c>
      <c r="B10" s="49" t="s">
        <v>72</v>
      </c>
      <c r="C10" s="49"/>
      <c r="D10" s="50"/>
      <c r="E10" s="51">
        <v>100000</v>
      </c>
      <c r="F10" s="46">
        <v>70</v>
      </c>
      <c r="G10" s="46">
        <v>53225.599999999999</v>
      </c>
      <c r="H10" s="46"/>
      <c r="I10" s="46">
        <f>G10*0.7</f>
        <v>37257.919999999998</v>
      </c>
      <c r="J10" s="46" t="s">
        <v>28</v>
      </c>
    </row>
    <row r="11" spans="1:10" ht="51" x14ac:dyDescent="0.2">
      <c r="A11" s="49" t="s">
        <v>71</v>
      </c>
      <c r="B11" s="49" t="s">
        <v>70</v>
      </c>
      <c r="C11" s="49"/>
      <c r="D11" s="50"/>
      <c r="E11" s="51">
        <v>10000</v>
      </c>
      <c r="F11" s="46">
        <v>60</v>
      </c>
      <c r="G11" s="46"/>
      <c r="H11" s="46"/>
      <c r="I11" s="46"/>
      <c r="J11" s="46" t="s">
        <v>28</v>
      </c>
    </row>
    <row r="12" spans="1:10" ht="34" x14ac:dyDescent="0.2">
      <c r="A12" s="49" t="s">
        <v>69</v>
      </c>
      <c r="B12" s="49" t="s">
        <v>68</v>
      </c>
      <c r="C12" s="49"/>
      <c r="D12" s="50"/>
      <c r="E12" s="51">
        <v>80000</v>
      </c>
      <c r="F12" s="46">
        <v>70</v>
      </c>
      <c r="G12" s="46">
        <v>56071</v>
      </c>
      <c r="H12" s="46"/>
      <c r="I12" s="46">
        <f>G12*0.7</f>
        <v>39249.699999999997</v>
      </c>
      <c r="J12" s="46" t="s">
        <v>28</v>
      </c>
    </row>
    <row r="13" spans="1:10" ht="51" x14ac:dyDescent="0.2">
      <c r="A13" s="49" t="s">
        <v>67</v>
      </c>
      <c r="B13" s="49" t="s">
        <v>66</v>
      </c>
      <c r="C13" s="49"/>
      <c r="D13" s="50"/>
      <c r="E13" s="51">
        <v>65000</v>
      </c>
      <c r="F13" s="46">
        <v>60</v>
      </c>
      <c r="G13" s="46">
        <v>55721.33</v>
      </c>
      <c r="H13" s="46"/>
      <c r="I13" s="46">
        <f>G13*0.6</f>
        <v>33432.798000000003</v>
      </c>
      <c r="J13" s="46" t="s">
        <v>28</v>
      </c>
    </row>
    <row r="14" spans="1:10" s="3" customFormat="1" ht="16" x14ac:dyDescent="0.2">
      <c r="A14" s="87" t="s">
        <v>65</v>
      </c>
      <c r="B14" s="87"/>
      <c r="C14" s="52">
        <f>SUM(C10:C12)</f>
        <v>0</v>
      </c>
      <c r="D14" s="53"/>
      <c r="E14" s="54">
        <f>SUM(E10:E13)</f>
        <v>255000</v>
      </c>
      <c r="F14" s="52"/>
      <c r="G14" s="52">
        <f>SUM(G10:G13)</f>
        <v>165017.93</v>
      </c>
      <c r="H14" s="52"/>
      <c r="I14" s="52">
        <f>SUM(I10:I13)</f>
        <v>109940.41800000001</v>
      </c>
      <c r="J14" s="52"/>
    </row>
    <row r="15" spans="1:10" ht="33.75" customHeight="1" x14ac:dyDescent="0.2">
      <c r="A15" s="89" t="s">
        <v>64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34" x14ac:dyDescent="0.2">
      <c r="A16" s="49" t="s">
        <v>63</v>
      </c>
      <c r="B16" s="49" t="s">
        <v>62</v>
      </c>
      <c r="C16" s="49"/>
      <c r="D16" s="50"/>
      <c r="E16" s="51">
        <v>150000</v>
      </c>
      <c r="F16" s="46">
        <v>60</v>
      </c>
      <c r="G16" s="77">
        <v>132448</v>
      </c>
      <c r="H16" s="77"/>
      <c r="I16" s="77">
        <f>G16*0.6</f>
        <v>79468.800000000003</v>
      </c>
      <c r="J16" s="46" t="s">
        <v>28</v>
      </c>
    </row>
    <row r="17" spans="1:10" ht="34" x14ac:dyDescent="0.2">
      <c r="A17" s="49" t="s">
        <v>61</v>
      </c>
      <c r="B17" s="49" t="s">
        <v>60</v>
      </c>
      <c r="C17" s="49"/>
      <c r="D17" s="50"/>
      <c r="E17" s="51">
        <v>150000</v>
      </c>
      <c r="F17" s="46">
        <v>60</v>
      </c>
      <c r="G17" s="77">
        <v>141625</v>
      </c>
      <c r="H17" s="77"/>
      <c r="I17" s="77">
        <f>G17*0.6</f>
        <v>84975</v>
      </c>
      <c r="J17" s="46" t="s">
        <v>28</v>
      </c>
    </row>
    <row r="18" spans="1:10" ht="34" x14ac:dyDescent="0.2">
      <c r="A18" s="49" t="s">
        <v>59</v>
      </c>
      <c r="B18" s="55" t="s">
        <v>58</v>
      </c>
      <c r="C18" s="55"/>
      <c r="D18" s="56"/>
      <c r="E18" s="51">
        <v>75000</v>
      </c>
      <c r="F18" s="46">
        <v>70</v>
      </c>
      <c r="G18" s="77">
        <v>53754</v>
      </c>
      <c r="H18" s="77"/>
      <c r="I18" s="77">
        <f>G18*0.7</f>
        <v>37627.799999999996</v>
      </c>
      <c r="J18" s="46" t="s">
        <v>28</v>
      </c>
    </row>
    <row r="19" spans="1:10" ht="34" x14ac:dyDescent="0.2">
      <c r="A19" s="49" t="s">
        <v>57</v>
      </c>
      <c r="B19" s="55" t="s">
        <v>56</v>
      </c>
      <c r="C19" s="55"/>
      <c r="D19" s="56"/>
      <c r="E19" s="51">
        <v>54600</v>
      </c>
      <c r="F19" s="46">
        <v>100</v>
      </c>
      <c r="G19" s="77">
        <v>9600</v>
      </c>
      <c r="H19" s="77"/>
      <c r="I19" s="77">
        <f>G19</f>
        <v>9600</v>
      </c>
      <c r="J19" s="46" t="s">
        <v>28</v>
      </c>
    </row>
    <row r="20" spans="1:10" s="3" customFormat="1" ht="16" x14ac:dyDescent="0.2">
      <c r="A20" s="87" t="s">
        <v>55</v>
      </c>
      <c r="B20" s="87"/>
      <c r="C20" s="52">
        <f>SUM(C17:C19)</f>
        <v>0</v>
      </c>
      <c r="D20" s="53"/>
      <c r="E20" s="54">
        <f>SUM(E16:E19)</f>
        <v>429600</v>
      </c>
      <c r="F20" s="52"/>
      <c r="G20" s="52">
        <f>SUM(G16:G19)</f>
        <v>337427</v>
      </c>
      <c r="H20" s="52"/>
      <c r="I20" s="52">
        <f>SUM(I16:I19)</f>
        <v>211671.59999999998</v>
      </c>
      <c r="J20" s="52"/>
    </row>
    <row r="21" spans="1:10" ht="29.25" customHeight="1" x14ac:dyDescent="0.2">
      <c r="A21" s="89" t="s">
        <v>54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80" customHeight="1" x14ac:dyDescent="0.2">
      <c r="A22" s="49" t="s">
        <v>53</v>
      </c>
      <c r="B22" s="49" t="s">
        <v>52</v>
      </c>
      <c r="C22" s="49"/>
      <c r="D22" s="50"/>
      <c r="E22" s="51">
        <v>90000</v>
      </c>
      <c r="F22" s="46">
        <v>50</v>
      </c>
      <c r="G22" s="46">
        <v>58384.71</v>
      </c>
      <c r="H22" s="46"/>
      <c r="I22" s="46">
        <f>G22*0.5</f>
        <v>29192.355</v>
      </c>
      <c r="J22" s="46" t="s">
        <v>28</v>
      </c>
    </row>
    <row r="23" spans="1:10" ht="34" x14ac:dyDescent="0.2">
      <c r="A23" s="49" t="s">
        <v>51</v>
      </c>
      <c r="B23" s="49" t="s">
        <v>50</v>
      </c>
      <c r="C23" s="49"/>
      <c r="D23" s="50"/>
      <c r="E23" s="51">
        <v>84000</v>
      </c>
      <c r="F23" s="46">
        <v>60</v>
      </c>
      <c r="G23" s="46">
        <v>44000.15</v>
      </c>
      <c r="H23" s="46"/>
      <c r="I23" s="46">
        <f>G23*0.6</f>
        <v>26400.09</v>
      </c>
      <c r="J23" s="46" t="s">
        <v>28</v>
      </c>
    </row>
    <row r="24" spans="1:10" ht="34" x14ac:dyDescent="0.2">
      <c r="A24" s="49" t="s">
        <v>49</v>
      </c>
      <c r="B24" s="57" t="s">
        <v>48</v>
      </c>
      <c r="C24" s="36">
        <v>10000</v>
      </c>
      <c r="D24" s="50"/>
      <c r="E24" s="51">
        <v>40000</v>
      </c>
      <c r="F24" s="46">
        <v>60</v>
      </c>
      <c r="G24" s="46">
        <v>40000</v>
      </c>
      <c r="H24" s="46"/>
      <c r="I24" s="46">
        <f>G24*0.6</f>
        <v>24000</v>
      </c>
      <c r="J24" s="46" t="s">
        <v>28</v>
      </c>
    </row>
    <row r="25" spans="1:10" s="3" customFormat="1" ht="16" x14ac:dyDescent="0.2">
      <c r="A25" s="87" t="s">
        <v>47</v>
      </c>
      <c r="B25" s="87"/>
      <c r="C25" s="52">
        <f>SUM(C23:C24)</f>
        <v>10000</v>
      </c>
      <c r="D25" s="53"/>
      <c r="E25" s="54">
        <f>SUM(E22:E24)</f>
        <v>214000</v>
      </c>
      <c r="F25" s="52"/>
      <c r="G25" s="52">
        <f>SUM(G22:G24)</f>
        <v>142384.85999999999</v>
      </c>
      <c r="H25" s="52"/>
      <c r="I25" s="52">
        <f>SUM(I22:I24)</f>
        <v>79592.445000000007</v>
      </c>
      <c r="J25" s="52"/>
    </row>
    <row r="26" spans="1:10" s="3" customFormat="1" ht="16" x14ac:dyDescent="0.2">
      <c r="A26" s="87" t="s">
        <v>46</v>
      </c>
      <c r="B26" s="87"/>
      <c r="C26" s="58"/>
      <c r="D26" s="59"/>
      <c r="E26" s="60">
        <f>SUM(E25+E20+E14)</f>
        <v>898600</v>
      </c>
      <c r="F26" s="58"/>
      <c r="G26" s="58">
        <f>G25+G20+G14</f>
        <v>644829.79</v>
      </c>
      <c r="H26" s="58"/>
      <c r="I26" s="58">
        <f>I25+I20+I14</f>
        <v>401204.46299999999</v>
      </c>
      <c r="J26" s="58"/>
    </row>
    <row r="27" spans="1:10" ht="36.75" customHeight="1" x14ac:dyDescent="0.2">
      <c r="A27" s="89" t="s">
        <v>45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35.25" customHeight="1" x14ac:dyDescent="0.2">
      <c r="A28" s="89" t="s">
        <v>44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34" x14ac:dyDescent="0.2">
      <c r="A29" s="49" t="s">
        <v>43</v>
      </c>
      <c r="B29" s="49" t="s">
        <v>42</v>
      </c>
      <c r="C29" s="61">
        <f>[1]Sheet2!$P$8</f>
        <v>94666</v>
      </c>
      <c r="D29" s="62"/>
      <c r="E29" s="51"/>
      <c r="F29" s="46">
        <v>75</v>
      </c>
      <c r="G29" s="46"/>
      <c r="H29" s="44">
        <v>26031</v>
      </c>
      <c r="I29" s="44">
        <f>H29*0.75</f>
        <v>19523.25</v>
      </c>
      <c r="J29" s="46" t="s">
        <v>28</v>
      </c>
    </row>
    <row r="30" spans="1:10" ht="34.5" customHeight="1" x14ac:dyDescent="0.2">
      <c r="A30" s="63" t="s">
        <v>41</v>
      </c>
      <c r="B30" s="63" t="s">
        <v>40</v>
      </c>
      <c r="C30" s="64">
        <f>744150+81239+20000</f>
        <v>845389</v>
      </c>
      <c r="D30" s="62">
        <f>81239+20000</f>
        <v>101239</v>
      </c>
      <c r="E30" s="51"/>
      <c r="F30" s="46">
        <v>75</v>
      </c>
      <c r="G30" s="65"/>
      <c r="H30" s="44">
        <f>572978.05+120185.8</f>
        <v>693163.85000000009</v>
      </c>
      <c r="I30" s="44">
        <f>H30*0.75</f>
        <v>519872.88750000007</v>
      </c>
      <c r="J30" s="46" t="s">
        <v>28</v>
      </c>
    </row>
    <row r="31" spans="1:10" ht="34" x14ac:dyDescent="0.2">
      <c r="A31" s="63" t="s">
        <v>39</v>
      </c>
      <c r="B31" s="63" t="s">
        <v>38</v>
      </c>
      <c r="C31" s="64">
        <v>25000</v>
      </c>
      <c r="D31" s="62">
        <f>-81239</f>
        <v>-81239</v>
      </c>
      <c r="E31" s="51"/>
      <c r="F31" s="46">
        <v>70</v>
      </c>
      <c r="G31" s="46"/>
      <c r="H31" s="66">
        <v>0</v>
      </c>
      <c r="I31" s="66"/>
      <c r="J31" s="46" t="s">
        <v>28</v>
      </c>
    </row>
    <row r="32" spans="1:10" ht="34" x14ac:dyDescent="0.2">
      <c r="A32" s="63" t="s">
        <v>37</v>
      </c>
      <c r="B32" s="63" t="s">
        <v>36</v>
      </c>
      <c r="C32" s="64">
        <v>0</v>
      </c>
      <c r="D32" s="62">
        <f>-20000</f>
        <v>-20000</v>
      </c>
      <c r="E32" s="51"/>
      <c r="F32" s="46">
        <v>60</v>
      </c>
      <c r="G32" s="46"/>
      <c r="H32" s="66">
        <v>0</v>
      </c>
      <c r="I32" s="66"/>
      <c r="J32" s="46" t="s">
        <v>28</v>
      </c>
    </row>
    <row r="33" spans="1:10" s="3" customFormat="1" ht="16" x14ac:dyDescent="0.2">
      <c r="A33" s="87" t="s">
        <v>35</v>
      </c>
      <c r="B33" s="87"/>
      <c r="C33" s="52">
        <f>SUM(C29:C32)</f>
        <v>965055</v>
      </c>
      <c r="D33" s="53"/>
      <c r="E33" s="54">
        <f>SUM(E29:E32)</f>
        <v>0</v>
      </c>
      <c r="F33" s="52"/>
      <c r="G33" s="52"/>
      <c r="H33" s="52"/>
      <c r="I33" s="52">
        <f>SUM(I29:I32)</f>
        <v>539396.13750000007</v>
      </c>
      <c r="J33" s="52"/>
    </row>
    <row r="34" spans="1:10" s="3" customFormat="1" ht="16" x14ac:dyDescent="0.2">
      <c r="A34" s="87" t="s">
        <v>34</v>
      </c>
      <c r="B34" s="87"/>
      <c r="C34" s="58">
        <f>C33</f>
        <v>965055</v>
      </c>
      <c r="D34" s="59"/>
      <c r="E34" s="60">
        <v>0</v>
      </c>
      <c r="F34" s="58"/>
      <c r="G34" s="58"/>
      <c r="H34" s="58"/>
      <c r="I34" s="58">
        <f>I33</f>
        <v>539396.13750000007</v>
      </c>
      <c r="J34" s="58"/>
    </row>
    <row r="35" spans="1:10" ht="16" x14ac:dyDescent="0.2">
      <c r="A35" s="89" t="s">
        <v>33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34" x14ac:dyDescent="0.2">
      <c r="A36" s="49" t="s">
        <v>32</v>
      </c>
      <c r="B36" s="49"/>
      <c r="C36" s="49">
        <v>340000</v>
      </c>
      <c r="D36" s="50"/>
      <c r="E36" s="51">
        <v>260000</v>
      </c>
      <c r="F36" s="46">
        <v>60</v>
      </c>
      <c r="G36" s="46">
        <f>' Budget Summary October  '!J8</f>
        <v>287489.32</v>
      </c>
      <c r="H36" s="46">
        <v>320000</v>
      </c>
      <c r="I36" s="46">
        <f>H36*0.6</f>
        <v>192000</v>
      </c>
      <c r="J36" s="44" t="s">
        <v>28</v>
      </c>
    </row>
    <row r="37" spans="1:10" ht="34" x14ac:dyDescent="0.2">
      <c r="A37" s="49" t="s">
        <v>31</v>
      </c>
      <c r="B37" s="67"/>
      <c r="C37" s="68">
        <f>71061.136915888+6560</f>
        <v>77621.136915887997</v>
      </c>
      <c r="D37" s="69"/>
      <c r="E37" s="70">
        <v>40000</v>
      </c>
      <c r="F37" s="46">
        <v>50</v>
      </c>
      <c r="G37" s="46">
        <f>' Budget Summary October  '!J14</f>
        <v>40884</v>
      </c>
      <c r="H37" s="46">
        <v>58463.35</v>
      </c>
      <c r="I37" s="46">
        <f>H37*0.5</f>
        <v>29231.674999999999</v>
      </c>
      <c r="J37" s="44" t="s">
        <v>28</v>
      </c>
    </row>
    <row r="38" spans="1:10" ht="17" x14ac:dyDescent="0.2">
      <c r="A38" s="49" t="s">
        <v>30</v>
      </c>
      <c r="B38" s="49" t="s">
        <v>29</v>
      </c>
      <c r="C38" s="49">
        <f>92464.05+70000</f>
        <v>162464.04999999999</v>
      </c>
      <c r="D38" s="71"/>
      <c r="E38" s="70">
        <v>50000</v>
      </c>
      <c r="F38" s="46">
        <v>60</v>
      </c>
      <c r="G38" s="45">
        <v>400000</v>
      </c>
      <c r="H38" s="45">
        <f>55940.9+11844.01</f>
        <v>67784.91</v>
      </c>
      <c r="I38" s="45">
        <f>H38*0.6</f>
        <v>40670.946000000004</v>
      </c>
      <c r="J38" s="44" t="s">
        <v>28</v>
      </c>
    </row>
    <row r="39" spans="1:10" ht="16" x14ac:dyDescent="0.2">
      <c r="A39" s="87" t="s">
        <v>27</v>
      </c>
      <c r="B39" s="87"/>
      <c r="C39" s="52">
        <f>C38+C37+C36+C25+C33</f>
        <v>1555140.186915888</v>
      </c>
      <c r="D39" s="53"/>
      <c r="E39" s="54">
        <f>E38+E37+E36+E26</f>
        <v>1248600</v>
      </c>
      <c r="F39" s="52"/>
      <c r="G39" s="72"/>
      <c r="H39" s="72"/>
      <c r="I39" s="72">
        <f>SUM(I36:I38)</f>
        <v>261902.62099999998</v>
      </c>
      <c r="J39" s="52"/>
    </row>
    <row r="40" spans="1:10" ht="17" x14ac:dyDescent="0.2">
      <c r="A40" s="49" t="s">
        <v>26</v>
      </c>
      <c r="B40" s="49"/>
      <c r="C40" s="36">
        <f>C39*0.07</f>
        <v>108859.81308411217</v>
      </c>
      <c r="D40" s="50"/>
      <c r="E40" s="51">
        <f>(E34+E39)*7%-2</f>
        <v>87400.000000000015</v>
      </c>
      <c r="F40" s="46"/>
      <c r="G40" s="46"/>
      <c r="H40" s="44">
        <v>59886.890000000007</v>
      </c>
      <c r="I40" s="44"/>
      <c r="J40" s="46" t="s">
        <v>25</v>
      </c>
    </row>
    <row r="41" spans="1:10" ht="17" x14ac:dyDescent="0.2">
      <c r="A41" s="88" t="s">
        <v>24</v>
      </c>
      <c r="B41" s="88"/>
      <c r="C41" s="73">
        <f>C39+C40</f>
        <v>1664000.0000000002</v>
      </c>
      <c r="D41" s="74"/>
      <c r="E41" s="75">
        <f>E34+E39+E40</f>
        <v>1336000</v>
      </c>
      <c r="F41" s="76" t="s">
        <v>23</v>
      </c>
      <c r="G41" s="76"/>
      <c r="H41" s="76">
        <f>H40+H38+H37+H36+H30+H29</f>
        <v>1225330</v>
      </c>
      <c r="I41" s="76">
        <f>I38+I37+I36+I30+I29+I24+I23+I22+I19+I18+I17+I16+I13+I12+I10</f>
        <v>1202503.2214999998</v>
      </c>
      <c r="J41" s="76"/>
    </row>
    <row r="44" spans="1:10" x14ac:dyDescent="0.2">
      <c r="J44" s="35"/>
    </row>
    <row r="46" spans="1:10" x14ac:dyDescent="0.2">
      <c r="J46" s="35"/>
    </row>
    <row r="47" spans="1:10" ht="25.5" customHeight="1" x14ac:dyDescent="0.2"/>
  </sheetData>
  <mergeCells count="15">
    <mergeCell ref="A39:B39"/>
    <mergeCell ref="A34:B34"/>
    <mergeCell ref="A41:B41"/>
    <mergeCell ref="A8:J8"/>
    <mergeCell ref="A35:J35"/>
    <mergeCell ref="A21:J21"/>
    <mergeCell ref="A28:J28"/>
    <mergeCell ref="A15:J15"/>
    <mergeCell ref="A9:J9"/>
    <mergeCell ref="A14:B14"/>
    <mergeCell ref="A20:B20"/>
    <mergeCell ref="A33:B33"/>
    <mergeCell ref="A25:B25"/>
    <mergeCell ref="A27:J27"/>
    <mergeCell ref="A26:B26"/>
  </mergeCells>
  <pageMargins left="0.7" right="0.7" top="0.75" bottom="0.75" header="0.3" footer="0.3"/>
  <pageSetup paperSize="9" scale="59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summary June  </vt:lpstr>
      <vt:lpstr> Budget Summary October  </vt:lpstr>
      <vt:lpstr>Budget by outputs October </vt:lpstr>
      <vt:lpstr>'Budget by outputs October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Ogundeji</dc:creator>
  <cp:lastModifiedBy>PDA</cp:lastModifiedBy>
  <dcterms:created xsi:type="dcterms:W3CDTF">2021-10-25T10:57:13Z</dcterms:created>
  <dcterms:modified xsi:type="dcterms:W3CDTF">2021-11-23T16:57:35Z</dcterms:modified>
</cp:coreProperties>
</file>