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rancisco.altamar\Norwegian Refugee Council\CO West Area - Projects\PCM\04 Informes\2021\COFY2102 PBF\3. 30092021 Financial report\"/>
    </mc:Choice>
  </mc:AlternateContent>
  <bookViews>
    <workbookView xWindow="0" yWindow="0" windowWidth="28800" windowHeight="12450" firstSheet="1" activeTab="1"/>
  </bookViews>
  <sheets>
    <sheet name="Instructions" sheetId="8" r:id="rId1"/>
    <sheet name="1) Budget Tables" sheetId="1" r:id="rId2"/>
    <sheet name="GL NRC" sheetId="10" r:id="rId3"/>
    <sheet name="ACONC " sheetId="11" r:id="rId4"/>
    <sheet name="PACIFISTA" sheetId="12" r:id="rId5"/>
    <sheet name="2) By Category" sheetId="5" r:id="rId6"/>
    <sheet name="3) Explanatory Notes" sheetId="3" r:id="rId7"/>
    <sheet name="4) For PBSO Use" sheetId="6" r:id="rId8"/>
    <sheet name="5) For MPTF Use" sheetId="4" r:id="rId9"/>
    <sheet name="DRAFT" sheetId="9" r:id="rId10"/>
    <sheet name="Sheet2" sheetId="7" state="hidden" r:id="rId11"/>
  </sheets>
  <externalReferences>
    <externalReference r:id="rId12"/>
    <externalReference r:id="rId13"/>
    <externalReference r:id="rId14"/>
  </externalReferences>
  <definedNames>
    <definedName name="_xlnm._FilterDatabase" localSheetId="9" hidden="1">DRAFT!$A$1:$Y$123</definedName>
    <definedName name="_xlnm._FilterDatabase" localSheetId="2" hidden="1">'GL NRC'!$A$1:$AD$1054</definedName>
    <definedName name="OneZero">[1]_SetUP!$I$70:$I$71</definedName>
    <definedName name="UnitName">[2]!Table46[Name]</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8" i="1" l="1"/>
  <c r="J55" i="12"/>
  <c r="J133" i="11"/>
  <c r="I87" i="1"/>
  <c r="I86" i="1"/>
  <c r="I85" i="1"/>
  <c r="I84" i="1"/>
  <c r="I83" i="1"/>
  <c r="I78" i="1"/>
  <c r="I77" i="1"/>
  <c r="I76" i="1"/>
  <c r="I75" i="1"/>
  <c r="I74" i="1"/>
  <c r="I73" i="1"/>
  <c r="I72" i="1"/>
  <c r="I71" i="1"/>
  <c r="I70" i="1"/>
  <c r="I69" i="1"/>
  <c r="I68" i="1"/>
  <c r="I67" i="1"/>
  <c r="I66" i="1"/>
  <c r="I65" i="1"/>
  <c r="I64" i="1"/>
  <c r="I63" i="1"/>
  <c r="I62" i="1"/>
  <c r="I61" i="1"/>
  <c r="I60" i="1"/>
  <c r="I51" i="1"/>
  <c r="I52" i="1"/>
  <c r="I53" i="1"/>
  <c r="I54" i="1"/>
  <c r="I50" i="1"/>
  <c r="I193" i="1"/>
  <c r="I192" i="1"/>
  <c r="I191" i="1"/>
  <c r="I29" i="1"/>
  <c r="I28" i="1"/>
  <c r="I19" i="1"/>
  <c r="I18" i="1"/>
  <c r="I9" i="1" l="1"/>
  <c r="I10" i="1"/>
  <c r="I8" i="1"/>
  <c r="M50" i="12" l="1"/>
  <c r="I50" i="12"/>
  <c r="H50" i="12"/>
  <c r="G50" i="12"/>
  <c r="N49" i="12"/>
  <c r="J49" i="12"/>
  <c r="O49" i="12" s="1"/>
  <c r="P49" i="12" s="1"/>
  <c r="N48" i="12"/>
  <c r="J48" i="12"/>
  <c r="O48" i="12" s="1"/>
  <c r="P48" i="12" s="1"/>
  <c r="N47" i="12"/>
  <c r="J47" i="12"/>
  <c r="L47" i="12" s="1"/>
  <c r="N46" i="12"/>
  <c r="J46" i="12"/>
  <c r="L46" i="12" s="1"/>
  <c r="N45" i="12"/>
  <c r="J45" i="12"/>
  <c r="O45" i="12" s="1"/>
  <c r="P45" i="12" s="1"/>
  <c r="N44" i="12"/>
  <c r="J44" i="12"/>
  <c r="O44" i="12" s="1"/>
  <c r="P44" i="12" s="1"/>
  <c r="N43" i="12"/>
  <c r="J43" i="12"/>
  <c r="L43" i="12" s="1"/>
  <c r="N42" i="12"/>
  <c r="J42" i="12"/>
  <c r="L42" i="12" s="1"/>
  <c r="N41" i="12"/>
  <c r="J41" i="12"/>
  <c r="O41" i="12" s="1"/>
  <c r="P41" i="12" s="1"/>
  <c r="N40" i="12"/>
  <c r="J40" i="12"/>
  <c r="P39" i="12"/>
  <c r="N39" i="12"/>
  <c r="K39" i="12"/>
  <c r="J39" i="12"/>
  <c r="O39" i="12" s="1"/>
  <c r="I36" i="12"/>
  <c r="H36" i="12"/>
  <c r="G36" i="12"/>
  <c r="N35" i="12"/>
  <c r="J35" i="12"/>
  <c r="O35" i="12" s="1"/>
  <c r="P35" i="12" s="1"/>
  <c r="N34" i="12"/>
  <c r="J34" i="12"/>
  <c r="L34" i="12" s="1"/>
  <c r="M33" i="12"/>
  <c r="N33" i="12" s="1"/>
  <c r="J33" i="12"/>
  <c r="L33" i="12" s="1"/>
  <c r="M32" i="12"/>
  <c r="N32" i="12" s="1"/>
  <c r="J32" i="12"/>
  <c r="L32" i="12" s="1"/>
  <c r="M31" i="12"/>
  <c r="J31" i="12"/>
  <c r="O31" i="12" s="1"/>
  <c r="H28" i="12"/>
  <c r="G28" i="12"/>
  <c r="P27" i="12"/>
  <c r="N27" i="12"/>
  <c r="K27" i="12"/>
  <c r="J27" i="12"/>
  <c r="O27" i="12" s="1"/>
  <c r="N26" i="12"/>
  <c r="J26" i="12"/>
  <c r="O26" i="12" s="1"/>
  <c r="P26" i="12" s="1"/>
  <c r="M25" i="12"/>
  <c r="N25" i="12" s="1"/>
  <c r="J25" i="12"/>
  <c r="K25" i="12" s="1"/>
  <c r="M24" i="12"/>
  <c r="N24" i="12" s="1"/>
  <c r="I24" i="12"/>
  <c r="J24" i="12" s="1"/>
  <c r="M23" i="12"/>
  <c r="N23" i="12" s="1"/>
  <c r="J23" i="12"/>
  <c r="K23" i="12" s="1"/>
  <c r="N22" i="12"/>
  <c r="J22" i="12"/>
  <c r="K22" i="12" s="1"/>
  <c r="M21" i="12"/>
  <c r="N21" i="12" s="1"/>
  <c r="J21" i="12"/>
  <c r="M20" i="12"/>
  <c r="N20" i="12" s="1"/>
  <c r="J20" i="12"/>
  <c r="L20" i="12" s="1"/>
  <c r="M19" i="12"/>
  <c r="N19" i="12" s="1"/>
  <c r="J19" i="12"/>
  <c r="O19" i="12" s="1"/>
  <c r="P19" i="12" s="1"/>
  <c r="N18" i="12"/>
  <c r="J18" i="12"/>
  <c r="O18" i="12" s="1"/>
  <c r="H15" i="12"/>
  <c r="G15" i="12"/>
  <c r="P14" i="12"/>
  <c r="N14" i="12"/>
  <c r="K14" i="12"/>
  <c r="J14" i="12"/>
  <c r="O14" i="12" s="1"/>
  <c r="P13" i="12"/>
  <c r="N13" i="12"/>
  <c r="K13" i="12"/>
  <c r="J13" i="12"/>
  <c r="L13" i="12" s="1"/>
  <c r="N12" i="12"/>
  <c r="J12" i="12"/>
  <c r="O12" i="12" s="1"/>
  <c r="P12" i="12" s="1"/>
  <c r="N11" i="12"/>
  <c r="J11" i="12"/>
  <c r="O11" i="12" s="1"/>
  <c r="P11" i="12" s="1"/>
  <c r="M10" i="12"/>
  <c r="N10" i="12" s="1"/>
  <c r="J10" i="12"/>
  <c r="M9" i="12"/>
  <c r="N9" i="12" s="1"/>
  <c r="J9" i="12"/>
  <c r="L9" i="12" s="1"/>
  <c r="M8" i="12"/>
  <c r="N8" i="12" s="1"/>
  <c r="I8" i="12"/>
  <c r="J8" i="12" s="1"/>
  <c r="M7" i="12"/>
  <c r="N7" i="12" s="1"/>
  <c r="I7" i="12"/>
  <c r="J7" i="12" s="1"/>
  <c r="M6" i="12"/>
  <c r="N6" i="12" s="1"/>
  <c r="I6" i="12"/>
  <c r="J6" i="12" s="1"/>
  <c r="M5" i="12"/>
  <c r="I5" i="12"/>
  <c r="J5" i="12" s="1"/>
  <c r="L25" i="12" l="1"/>
  <c r="K12" i="12"/>
  <c r="O22" i="12"/>
  <c r="P22" i="12" s="1"/>
  <c r="O10" i="12"/>
  <c r="P10" i="12" s="1"/>
  <c r="N50" i="12"/>
  <c r="O21" i="12"/>
  <c r="P21" i="12" s="1"/>
  <c r="K32" i="12"/>
  <c r="O43" i="12"/>
  <c r="P43" i="12" s="1"/>
  <c r="O13" i="12"/>
  <c r="O47" i="12"/>
  <c r="P47" i="12" s="1"/>
  <c r="O9" i="12"/>
  <c r="P9" i="12" s="1"/>
  <c r="O42" i="12"/>
  <c r="P42" i="12" s="1"/>
  <c r="O46" i="12"/>
  <c r="P46" i="12" s="1"/>
  <c r="M15" i="12"/>
  <c r="M36" i="12"/>
  <c r="K34" i="12"/>
  <c r="K41" i="12"/>
  <c r="K45" i="12"/>
  <c r="K49" i="12"/>
  <c r="L18" i="12"/>
  <c r="L21" i="12"/>
  <c r="L27" i="12"/>
  <c r="L31" i="12"/>
  <c r="N5" i="12"/>
  <c r="N15" i="12" s="1"/>
  <c r="G52" i="12"/>
  <c r="O20" i="12"/>
  <c r="P20" i="12" s="1"/>
  <c r="O25" i="12"/>
  <c r="P25" i="12" s="1"/>
  <c r="O32" i="12"/>
  <c r="P32" i="12" s="1"/>
  <c r="L41" i="12"/>
  <c r="K43" i="12"/>
  <c r="L45" i="12"/>
  <c r="K47" i="12"/>
  <c r="L49" i="12"/>
  <c r="L23" i="12"/>
  <c r="H52" i="12"/>
  <c r="K20" i="12"/>
  <c r="L22" i="12"/>
  <c r="O23" i="12"/>
  <c r="P23" i="12" s="1"/>
  <c r="O34" i="12"/>
  <c r="P34" i="12" s="1"/>
  <c r="K18" i="12"/>
  <c r="I28" i="12"/>
  <c r="K35" i="12"/>
  <c r="K42" i="12"/>
  <c r="K46" i="12"/>
  <c r="J50" i="12"/>
  <c r="L12" i="12"/>
  <c r="K21" i="12"/>
  <c r="K31" i="12"/>
  <c r="O8" i="12"/>
  <c r="P8" i="12" s="1"/>
  <c r="L8" i="12"/>
  <c r="K8" i="12"/>
  <c r="L5" i="12"/>
  <c r="K5" i="12"/>
  <c r="J15" i="12"/>
  <c r="O5" i="12"/>
  <c r="P18" i="12"/>
  <c r="L24" i="12"/>
  <c r="K24" i="12"/>
  <c r="O24" i="12"/>
  <c r="P24" i="12" s="1"/>
  <c r="L7" i="12"/>
  <c r="K7" i="12"/>
  <c r="O7" i="12"/>
  <c r="P7" i="12" s="1"/>
  <c r="P31" i="12"/>
  <c r="L6" i="12"/>
  <c r="O6" i="12"/>
  <c r="P6" i="12" s="1"/>
  <c r="K6" i="12"/>
  <c r="N28" i="12"/>
  <c r="K44" i="12"/>
  <c r="K10" i="12"/>
  <c r="L11" i="12"/>
  <c r="I15" i="12"/>
  <c r="L19" i="12"/>
  <c r="K26" i="12"/>
  <c r="O33" i="12"/>
  <c r="P33" i="12" s="1"/>
  <c r="L40" i="12"/>
  <c r="L44" i="12"/>
  <c r="L48" i="12"/>
  <c r="K11" i="12"/>
  <c r="K40" i="12"/>
  <c r="K48" i="12"/>
  <c r="K9" i="12"/>
  <c r="L10" i="12"/>
  <c r="L26" i="12"/>
  <c r="M28" i="12"/>
  <c r="M52" i="12" s="1"/>
  <c r="N31" i="12"/>
  <c r="N36" i="12" s="1"/>
  <c r="J36" i="12"/>
  <c r="K19" i="12"/>
  <c r="L14" i="12"/>
  <c r="L35" i="12"/>
  <c r="L39" i="12"/>
  <c r="O40" i="12"/>
  <c r="P40" i="12" s="1"/>
  <c r="J28" i="12"/>
  <c r="K33" i="12"/>
  <c r="I52" i="12" l="1"/>
  <c r="L36" i="12"/>
  <c r="O36" i="12"/>
  <c r="N52" i="12"/>
  <c r="P50" i="12"/>
  <c r="K28" i="12"/>
  <c r="K50" i="12"/>
  <c r="L28" i="12"/>
  <c r="K36" i="12"/>
  <c r="J52" i="12"/>
  <c r="P5" i="12"/>
  <c r="P15" i="12" s="1"/>
  <c r="O15" i="12"/>
  <c r="L15" i="12"/>
  <c r="K15" i="12"/>
  <c r="P36" i="12"/>
  <c r="O28" i="12"/>
  <c r="L50" i="12"/>
  <c r="P28" i="12"/>
  <c r="O50" i="12"/>
  <c r="K52" i="12" l="1"/>
  <c r="L52" i="12"/>
  <c r="O52" i="12"/>
  <c r="P52" i="12"/>
  <c r="I126" i="11" l="1"/>
  <c r="H126" i="11"/>
  <c r="J125" i="11"/>
  <c r="G125" i="11"/>
  <c r="L124" i="11"/>
  <c r="J124" i="11"/>
  <c r="J126" i="11" s="1"/>
  <c r="G124" i="11"/>
  <c r="J122" i="11"/>
  <c r="G122" i="11"/>
  <c r="O122" i="11" s="1"/>
  <c r="N121" i="11"/>
  <c r="K121" i="11"/>
  <c r="J121" i="11"/>
  <c r="O121" i="11" s="1"/>
  <c r="P121" i="11" s="1"/>
  <c r="N120" i="11"/>
  <c r="J120" i="11"/>
  <c r="O120" i="11" s="1"/>
  <c r="P120" i="11" s="1"/>
  <c r="N119" i="11"/>
  <c r="J119" i="11"/>
  <c r="L119" i="11" s="1"/>
  <c r="O118" i="11"/>
  <c r="P118" i="11" s="1"/>
  <c r="N118" i="11"/>
  <c r="L118" i="11"/>
  <c r="K118" i="11"/>
  <c r="J118" i="11"/>
  <c r="I116" i="11"/>
  <c r="H116" i="11"/>
  <c r="N115" i="11"/>
  <c r="K115" i="11"/>
  <c r="J115" i="11"/>
  <c r="O115" i="11" s="1"/>
  <c r="P115" i="11" s="1"/>
  <c r="N114" i="11"/>
  <c r="J114" i="11"/>
  <c r="O114" i="11" s="1"/>
  <c r="P114" i="11" s="1"/>
  <c r="M113" i="11"/>
  <c r="N113" i="11" s="1"/>
  <c r="J113" i="11"/>
  <c r="O113" i="11" s="1"/>
  <c r="P113" i="11" s="1"/>
  <c r="O112" i="11"/>
  <c r="P112" i="11" s="1"/>
  <c r="N112" i="11"/>
  <c r="K112" i="11"/>
  <c r="J112" i="11"/>
  <c r="L112" i="11" s="1"/>
  <c r="M111" i="11"/>
  <c r="J111" i="11"/>
  <c r="L111" i="11" s="1"/>
  <c r="N109" i="11"/>
  <c r="K109" i="11"/>
  <c r="J109" i="11"/>
  <c r="O109" i="11" s="1"/>
  <c r="P109" i="11" s="1"/>
  <c r="P108" i="11"/>
  <c r="N108" i="11"/>
  <c r="K108" i="11"/>
  <c r="J108" i="11"/>
  <c r="O108" i="11" s="1"/>
  <c r="J107" i="11"/>
  <c r="G107" i="11"/>
  <c r="O106" i="11"/>
  <c r="P106" i="11" s="1"/>
  <c r="J106" i="11"/>
  <c r="G106" i="11"/>
  <c r="N106" i="11" s="1"/>
  <c r="O105" i="11"/>
  <c r="N105" i="11"/>
  <c r="J105" i="11"/>
  <c r="G105" i="11"/>
  <c r="P105" i="11" s="1"/>
  <c r="M103" i="11"/>
  <c r="O103" i="11" s="1"/>
  <c r="J103" i="11"/>
  <c r="G103" i="11"/>
  <c r="N102" i="11"/>
  <c r="J102" i="11"/>
  <c r="L102" i="11" s="1"/>
  <c r="G102" i="11"/>
  <c r="O102" i="11" s="1"/>
  <c r="J101" i="11"/>
  <c r="G101" i="11"/>
  <c r="N101" i="11" s="1"/>
  <c r="M100" i="11"/>
  <c r="L100" i="11"/>
  <c r="J100" i="11"/>
  <c r="G100" i="11"/>
  <c r="J99" i="11"/>
  <c r="G99" i="11"/>
  <c r="N99" i="11" s="1"/>
  <c r="P98" i="11"/>
  <c r="N98" i="11"/>
  <c r="K98" i="11"/>
  <c r="J98" i="11"/>
  <c r="O98" i="11" s="1"/>
  <c r="N97" i="11"/>
  <c r="J97" i="11"/>
  <c r="O97" i="11" s="1"/>
  <c r="P97" i="11" s="1"/>
  <c r="N96" i="11"/>
  <c r="J96" i="11"/>
  <c r="G96" i="11"/>
  <c r="L96" i="11" s="1"/>
  <c r="J95" i="11"/>
  <c r="G95" i="11"/>
  <c r="O95" i="11" s="1"/>
  <c r="N94" i="11"/>
  <c r="K94" i="11"/>
  <c r="J94" i="11"/>
  <c r="L94" i="11" s="1"/>
  <c r="G94" i="11"/>
  <c r="J93" i="11"/>
  <c r="L93" i="11" s="1"/>
  <c r="G93" i="11"/>
  <c r="N93" i="11" s="1"/>
  <c r="M91" i="11"/>
  <c r="N91" i="11" s="1"/>
  <c r="J91" i="11"/>
  <c r="L91" i="11" s="1"/>
  <c r="N90" i="11"/>
  <c r="M90" i="11"/>
  <c r="J90" i="11"/>
  <c r="M89" i="11"/>
  <c r="N89" i="11" s="1"/>
  <c r="J89" i="11"/>
  <c r="L88" i="11"/>
  <c r="M88" i="11" s="1"/>
  <c r="J88" i="11"/>
  <c r="K88" i="11" s="1"/>
  <c r="P86" i="11"/>
  <c r="O86" i="11"/>
  <c r="N86" i="11"/>
  <c r="J86" i="11"/>
  <c r="L86" i="11" s="1"/>
  <c r="O85" i="11"/>
  <c r="N85" i="11"/>
  <c r="L85" i="11"/>
  <c r="J85" i="11"/>
  <c r="K85" i="11" s="1"/>
  <c r="J83" i="11"/>
  <c r="G83" i="11"/>
  <c r="M82" i="11"/>
  <c r="N82" i="11" s="1"/>
  <c r="J82" i="11"/>
  <c r="M81" i="11"/>
  <c r="N81" i="11" s="1"/>
  <c r="J81" i="11"/>
  <c r="O81" i="11" s="1"/>
  <c r="P81" i="11" s="1"/>
  <c r="I79" i="11"/>
  <c r="H79" i="11"/>
  <c r="G79" i="11"/>
  <c r="N78" i="11"/>
  <c r="J78" i="11"/>
  <c r="O78" i="11" s="1"/>
  <c r="P78" i="11" s="1"/>
  <c r="O77" i="11"/>
  <c r="P77" i="11" s="1"/>
  <c r="M77" i="11"/>
  <c r="N77" i="11" s="1"/>
  <c r="L77" i="11"/>
  <c r="J77" i="11"/>
  <c r="K77" i="11" s="1"/>
  <c r="P76" i="11"/>
  <c r="O76" i="11"/>
  <c r="N76" i="11"/>
  <c r="J76" i="11"/>
  <c r="L76" i="11" s="1"/>
  <c r="N75" i="11"/>
  <c r="L75" i="11"/>
  <c r="K75" i="11"/>
  <c r="J75" i="11"/>
  <c r="O75" i="11" s="1"/>
  <c r="P75" i="11" s="1"/>
  <c r="N74" i="11"/>
  <c r="M74" i="11"/>
  <c r="J74" i="11"/>
  <c r="O74" i="11" s="1"/>
  <c r="P74" i="11" s="1"/>
  <c r="M73" i="11"/>
  <c r="M79" i="11" s="1"/>
  <c r="K73" i="11"/>
  <c r="J73" i="11"/>
  <c r="I71" i="11"/>
  <c r="H71" i="11"/>
  <c r="G71" i="11"/>
  <c r="N70" i="11"/>
  <c r="J70" i="11"/>
  <c r="O70" i="11" s="1"/>
  <c r="P70" i="11" s="1"/>
  <c r="N69" i="11"/>
  <c r="L69" i="11"/>
  <c r="J69" i="11"/>
  <c r="K69" i="11" s="1"/>
  <c r="O68" i="11"/>
  <c r="P68" i="11" s="1"/>
  <c r="N68" i="11"/>
  <c r="M68" i="11"/>
  <c r="K68" i="11"/>
  <c r="J68" i="11"/>
  <c r="L68" i="11" s="1"/>
  <c r="O67" i="11"/>
  <c r="P67" i="11" s="1"/>
  <c r="N67" i="11"/>
  <c r="L67" i="11"/>
  <c r="K67" i="11"/>
  <c r="J67" i="11"/>
  <c r="N66" i="11"/>
  <c r="J66" i="11"/>
  <c r="M65" i="11"/>
  <c r="N65" i="11" s="1"/>
  <c r="J65" i="11"/>
  <c r="N64" i="11"/>
  <c r="L64" i="11"/>
  <c r="J64" i="11"/>
  <c r="K64" i="11" s="1"/>
  <c r="N63" i="11"/>
  <c r="M63" i="11"/>
  <c r="J63" i="11"/>
  <c r="O63" i="11" s="1"/>
  <c r="P63" i="11" s="1"/>
  <c r="M62" i="11"/>
  <c r="L62" i="11"/>
  <c r="J62" i="11"/>
  <c r="K62" i="11" s="1"/>
  <c r="I60" i="11"/>
  <c r="H60" i="11"/>
  <c r="G60" i="11"/>
  <c r="P59" i="11"/>
  <c r="O59" i="11"/>
  <c r="N59" i="11"/>
  <c r="K59" i="11"/>
  <c r="J59" i="11"/>
  <c r="L59" i="11" s="1"/>
  <c r="M58" i="11"/>
  <c r="L58" i="11"/>
  <c r="J58" i="11"/>
  <c r="K58" i="11" s="1"/>
  <c r="N57" i="11"/>
  <c r="J57" i="11"/>
  <c r="L57" i="11" s="1"/>
  <c r="N56" i="11"/>
  <c r="M56" i="11"/>
  <c r="J56" i="11"/>
  <c r="M55" i="11"/>
  <c r="N55" i="11" s="1"/>
  <c r="J55" i="11"/>
  <c r="J54" i="11"/>
  <c r="I51" i="11"/>
  <c r="H51" i="11"/>
  <c r="G51" i="11"/>
  <c r="P50" i="11"/>
  <c r="N50" i="11"/>
  <c r="K50" i="11"/>
  <c r="J50" i="11"/>
  <c r="O50" i="11" s="1"/>
  <c r="P49" i="11"/>
  <c r="O49" i="11"/>
  <c r="N49" i="11"/>
  <c r="L49" i="11"/>
  <c r="K49" i="11"/>
  <c r="J49" i="11"/>
  <c r="P48" i="11"/>
  <c r="N48" i="11"/>
  <c r="K48" i="11"/>
  <c r="J48" i="11"/>
  <c r="L48" i="11" s="1"/>
  <c r="P47" i="11"/>
  <c r="N47" i="11"/>
  <c r="K47" i="11"/>
  <c r="J47" i="11"/>
  <c r="O47" i="11" s="1"/>
  <c r="M46" i="11"/>
  <c r="M51" i="11" s="1"/>
  <c r="J46" i="11"/>
  <c r="L46" i="11" s="1"/>
  <c r="P45" i="11"/>
  <c r="N45" i="11"/>
  <c r="K45" i="11"/>
  <c r="J45" i="11"/>
  <c r="O45" i="11" s="1"/>
  <c r="P44" i="11"/>
  <c r="N44" i="11"/>
  <c r="K44" i="11"/>
  <c r="J44" i="11"/>
  <c r="L44" i="11" s="1"/>
  <c r="P43" i="11"/>
  <c r="N43" i="11"/>
  <c r="L43" i="11"/>
  <c r="K43" i="11"/>
  <c r="J43" i="11"/>
  <c r="O43" i="11" s="1"/>
  <c r="I40" i="11"/>
  <c r="H40" i="11"/>
  <c r="G40" i="11"/>
  <c r="P39" i="11"/>
  <c r="O39" i="11"/>
  <c r="N39" i="11"/>
  <c r="L39" i="11"/>
  <c r="K39" i="11"/>
  <c r="J39" i="11"/>
  <c r="P38" i="11"/>
  <c r="N38" i="11"/>
  <c r="K38" i="11"/>
  <c r="J38" i="11"/>
  <c r="L38" i="11" s="1"/>
  <c r="M37" i="11"/>
  <c r="N37" i="11" s="1"/>
  <c r="J37" i="11"/>
  <c r="P36" i="11"/>
  <c r="N36" i="11"/>
  <c r="K36" i="11"/>
  <c r="J36" i="11"/>
  <c r="O36" i="11" s="1"/>
  <c r="P35" i="11"/>
  <c r="O35" i="11"/>
  <c r="N35" i="11"/>
  <c r="K35" i="11"/>
  <c r="J35" i="11"/>
  <c r="L35" i="11" s="1"/>
  <c r="N34" i="11"/>
  <c r="L34" i="11"/>
  <c r="J34" i="11"/>
  <c r="O34" i="11" s="1"/>
  <c r="P34" i="11" s="1"/>
  <c r="M33" i="11"/>
  <c r="N33" i="11" s="1"/>
  <c r="J33" i="11"/>
  <c r="O33" i="11" s="1"/>
  <c r="P33" i="11" s="1"/>
  <c r="N32" i="11"/>
  <c r="M32" i="11"/>
  <c r="J32" i="11"/>
  <c r="O32" i="11" s="1"/>
  <c r="P32" i="11" s="1"/>
  <c r="M31" i="11"/>
  <c r="N31" i="11" s="1"/>
  <c r="J31" i="11"/>
  <c r="O31" i="11" s="1"/>
  <c r="P31" i="11" s="1"/>
  <c r="M30" i="11"/>
  <c r="N30" i="11" s="1"/>
  <c r="L30" i="11"/>
  <c r="J30" i="11"/>
  <c r="K30" i="11" s="1"/>
  <c r="O29" i="11"/>
  <c r="P29" i="11" s="1"/>
  <c r="M29" i="11"/>
  <c r="N29" i="11" s="1"/>
  <c r="N40" i="11" s="1"/>
  <c r="J29" i="11"/>
  <c r="I26" i="11"/>
  <c r="H26" i="11"/>
  <c r="G26" i="11"/>
  <c r="O25" i="11"/>
  <c r="P25" i="11" s="1"/>
  <c r="N25" i="11"/>
  <c r="K25" i="11"/>
  <c r="J25" i="11"/>
  <c r="L25" i="11" s="1"/>
  <c r="N24" i="11"/>
  <c r="J24" i="11"/>
  <c r="O24" i="11" s="1"/>
  <c r="P24" i="11" s="1"/>
  <c r="N23" i="11"/>
  <c r="J23" i="11"/>
  <c r="L23" i="11" s="1"/>
  <c r="M22" i="11"/>
  <c r="N22" i="11" s="1"/>
  <c r="K22" i="11"/>
  <c r="J22" i="11"/>
  <c r="M21" i="11"/>
  <c r="N21" i="11" s="1"/>
  <c r="J21" i="11"/>
  <c r="O21" i="11" s="1"/>
  <c r="P21" i="11" s="1"/>
  <c r="O20" i="11"/>
  <c r="P20" i="11" s="1"/>
  <c r="N20" i="11"/>
  <c r="M20" i="11"/>
  <c r="L20" i="11"/>
  <c r="K20" i="11"/>
  <c r="J20" i="11"/>
  <c r="O19" i="11"/>
  <c r="P19" i="11" s="1"/>
  <c r="M19" i="11"/>
  <c r="N19" i="11" s="1"/>
  <c r="J19" i="11"/>
  <c r="L19" i="11" s="1"/>
  <c r="M18" i="11"/>
  <c r="O18" i="11" s="1"/>
  <c r="P18" i="11" s="1"/>
  <c r="J18" i="11"/>
  <c r="L18" i="11" s="1"/>
  <c r="M17" i="11"/>
  <c r="N17" i="11" s="1"/>
  <c r="L17" i="11"/>
  <c r="K17" i="11"/>
  <c r="J17" i="11"/>
  <c r="M16" i="11"/>
  <c r="N16" i="11" s="1"/>
  <c r="L16" i="11"/>
  <c r="K16" i="11"/>
  <c r="J16" i="11"/>
  <c r="I13" i="11"/>
  <c r="H13" i="11"/>
  <c r="G13" i="11"/>
  <c r="P12" i="11"/>
  <c r="N12" i="11"/>
  <c r="K12" i="11"/>
  <c r="J12" i="11"/>
  <c r="O12" i="11" s="1"/>
  <c r="P11" i="11"/>
  <c r="N11" i="11"/>
  <c r="K11" i="11"/>
  <c r="J11" i="11"/>
  <c r="O11" i="11" s="1"/>
  <c r="P10" i="11"/>
  <c r="N10" i="11"/>
  <c r="L10" i="11"/>
  <c r="K10" i="11"/>
  <c r="J10" i="11"/>
  <c r="O10" i="11" s="1"/>
  <c r="P9" i="11"/>
  <c r="O9" i="11"/>
  <c r="N9" i="11"/>
  <c r="K9" i="11"/>
  <c r="J9" i="11"/>
  <c r="L9" i="11" s="1"/>
  <c r="N8" i="11"/>
  <c r="L8" i="11"/>
  <c r="K8" i="11"/>
  <c r="J8" i="11"/>
  <c r="O8" i="11" s="1"/>
  <c r="P8" i="11" s="1"/>
  <c r="N7" i="11"/>
  <c r="M7" i="11"/>
  <c r="J7" i="11"/>
  <c r="M6" i="11"/>
  <c r="N6" i="11" s="1"/>
  <c r="J6" i="11"/>
  <c r="M5" i="11"/>
  <c r="N5" i="11" s="1"/>
  <c r="J5" i="11"/>
  <c r="O5" i="11" s="1"/>
  <c r="P5" i="11" s="1"/>
  <c r="P4" i="11"/>
  <c r="N4" i="11"/>
  <c r="K4" i="11"/>
  <c r="J4" i="11"/>
  <c r="L4" i="11" s="1"/>
  <c r="J13" i="11" l="1"/>
  <c r="N60" i="11"/>
  <c r="J26" i="11"/>
  <c r="K24" i="11"/>
  <c r="K32" i="11"/>
  <c r="L36" i="11"/>
  <c r="L47" i="11"/>
  <c r="O56" i="11"/>
  <c r="P56" i="11" s="1"/>
  <c r="M60" i="11"/>
  <c r="K63" i="11"/>
  <c r="O90" i="11"/>
  <c r="P90" i="11" s="1"/>
  <c r="L95" i="11"/>
  <c r="L99" i="11"/>
  <c r="O111" i="11"/>
  <c r="P111" i="11" s="1"/>
  <c r="K114" i="11"/>
  <c r="O119" i="11"/>
  <c r="P119" i="11" s="1"/>
  <c r="L122" i="11"/>
  <c r="J71" i="11"/>
  <c r="H129" i="11"/>
  <c r="O4" i="11"/>
  <c r="O7" i="11"/>
  <c r="P7" i="11" s="1"/>
  <c r="L12" i="11"/>
  <c r="O22" i="11"/>
  <c r="P22" i="11" s="1"/>
  <c r="L24" i="11"/>
  <c r="K56" i="11"/>
  <c r="N58" i="11"/>
  <c r="L63" i="11"/>
  <c r="O64" i="11"/>
  <c r="P64" i="11" s="1"/>
  <c r="O69" i="11"/>
  <c r="P69" i="11" s="1"/>
  <c r="O73" i="11"/>
  <c r="K90" i="11"/>
  <c r="N95" i="11"/>
  <c r="L97" i="11"/>
  <c r="K101" i="11"/>
  <c r="L103" i="11"/>
  <c r="N122" i="11"/>
  <c r="K125" i="11"/>
  <c r="O100" i="11"/>
  <c r="P100" i="11" s="1"/>
  <c r="L101" i="11"/>
  <c r="G126" i="11"/>
  <c r="L125" i="11"/>
  <c r="M125" i="11" s="1"/>
  <c r="N125" i="11" s="1"/>
  <c r="J40" i="11"/>
  <c r="O65" i="11"/>
  <c r="P65" i="11" s="1"/>
  <c r="O37" i="11"/>
  <c r="P37" i="11" s="1"/>
  <c r="N13" i="11"/>
  <c r="O17" i="11"/>
  <c r="P17" i="11" s="1"/>
  <c r="K19" i="11"/>
  <c r="K29" i="11"/>
  <c r="O30" i="11"/>
  <c r="P30" i="11" s="1"/>
  <c r="K37" i="11"/>
  <c r="M40" i="11"/>
  <c r="K65" i="11"/>
  <c r="K70" i="11"/>
  <c r="N73" i="11"/>
  <c r="N79" i="11" s="1"/>
  <c r="N83" i="11"/>
  <c r="K96" i="11"/>
  <c r="K100" i="11"/>
  <c r="K102" i="11"/>
  <c r="L105" i="11"/>
  <c r="O107" i="11"/>
  <c r="P107" i="11" s="1"/>
  <c r="L109" i="11"/>
  <c r="L115" i="11"/>
  <c r="K124" i="11"/>
  <c r="K126" i="11" s="1"/>
  <c r="O6" i="11"/>
  <c r="P6" i="11" s="1"/>
  <c r="O82" i="11"/>
  <c r="P82" i="11" s="1"/>
  <c r="I129" i="11"/>
  <c r="I131" i="11" s="1"/>
  <c r="K6" i="11"/>
  <c r="K34" i="11"/>
  <c r="O44" i="11"/>
  <c r="O48" i="11"/>
  <c r="O55" i="11"/>
  <c r="O62" i="11"/>
  <c r="P62" i="11" s="1"/>
  <c r="K82" i="11"/>
  <c r="O89" i="11"/>
  <c r="P89" i="11" s="1"/>
  <c r="G116" i="11"/>
  <c r="K95" i="11"/>
  <c r="O96" i="11"/>
  <c r="P96" i="11" s="1"/>
  <c r="M124" i="11"/>
  <c r="M126" i="11" s="1"/>
  <c r="P73" i="11"/>
  <c r="O79" i="11"/>
  <c r="P79" i="11" s="1"/>
  <c r="P122" i="11"/>
  <c r="H131" i="11"/>
  <c r="N88" i="11"/>
  <c r="M116" i="11"/>
  <c r="O88" i="11"/>
  <c r="P88" i="11" s="1"/>
  <c r="K51" i="11"/>
  <c r="P55" i="11"/>
  <c r="G129" i="11"/>
  <c r="G131" i="11" s="1"/>
  <c r="J116" i="11"/>
  <c r="K7" i="11"/>
  <c r="N18" i="11"/>
  <c r="N26" i="11" s="1"/>
  <c r="K23" i="11"/>
  <c r="K33" i="11"/>
  <c r="K46" i="11"/>
  <c r="K57" i="11"/>
  <c r="N62" i="11"/>
  <c r="N71" i="11" s="1"/>
  <c r="K66" i="11"/>
  <c r="K71" i="11" s="1"/>
  <c r="K74" i="11"/>
  <c r="K91" i="11"/>
  <c r="K93" i="11"/>
  <c r="K99" i="11"/>
  <c r="N103" i="11"/>
  <c r="N111" i="11"/>
  <c r="K122" i="11"/>
  <c r="M26" i="11"/>
  <c r="K5" i="11"/>
  <c r="K13" i="11" s="1"/>
  <c r="L6" i="11"/>
  <c r="L11" i="11"/>
  <c r="M13" i="11"/>
  <c r="K21" i="11"/>
  <c r="L22" i="11"/>
  <c r="K31" i="11"/>
  <c r="L32" i="11"/>
  <c r="L37" i="11"/>
  <c r="L50" i="11"/>
  <c r="K55" i="11"/>
  <c r="L56" i="11"/>
  <c r="O58" i="11"/>
  <c r="P58" i="11" s="1"/>
  <c r="L65" i="11"/>
  <c r="L71" i="11" s="1"/>
  <c r="L70" i="11"/>
  <c r="L73" i="11"/>
  <c r="K78" i="11"/>
  <c r="J79" i="11"/>
  <c r="K81" i="11"/>
  <c r="L82" i="11"/>
  <c r="L83" i="11"/>
  <c r="K89" i="11"/>
  <c r="L90" i="11"/>
  <c r="O94" i="11"/>
  <c r="P94" i="11" s="1"/>
  <c r="P95" i="11"/>
  <c r="L98" i="11"/>
  <c r="N100" i="11"/>
  <c r="O101" i="11"/>
  <c r="P101" i="11" s="1"/>
  <c r="P102" i="11"/>
  <c r="P103" i="11"/>
  <c r="L108" i="11"/>
  <c r="K113" i="11"/>
  <c r="L114" i="11"/>
  <c r="L121" i="11"/>
  <c r="L7" i="11"/>
  <c r="L33" i="11"/>
  <c r="L5" i="11"/>
  <c r="O16" i="11"/>
  <c r="L21" i="11"/>
  <c r="L26" i="11" s="1"/>
  <c r="O23" i="11"/>
  <c r="P23" i="11" s="1"/>
  <c r="L31" i="11"/>
  <c r="O38" i="11"/>
  <c r="L45" i="11"/>
  <c r="L51" i="11" s="1"/>
  <c r="N46" i="11"/>
  <c r="N51" i="11" s="1"/>
  <c r="L55" i="11"/>
  <c r="O57" i="11"/>
  <c r="P57" i="11" s="1"/>
  <c r="O66" i="11"/>
  <c r="P66" i="11" s="1"/>
  <c r="L78" i="11"/>
  <c r="L81" i="11"/>
  <c r="P85" i="11"/>
  <c r="L89" i="11"/>
  <c r="O93" i="11"/>
  <c r="P93" i="11" s="1"/>
  <c r="K97" i="11"/>
  <c r="O99" i="11"/>
  <c r="P99" i="11" s="1"/>
  <c r="K107" i="11"/>
  <c r="L113" i="11"/>
  <c r="K120" i="11"/>
  <c r="J51" i="11"/>
  <c r="L66" i="11"/>
  <c r="L74" i="11"/>
  <c r="K83" i="11"/>
  <c r="O46" i="11"/>
  <c r="P46" i="11" s="1"/>
  <c r="M71" i="11"/>
  <c r="O83" i="11"/>
  <c r="P83" i="11" s="1"/>
  <c r="O91" i="11"/>
  <c r="P91" i="11" s="1"/>
  <c r="K106" i="11"/>
  <c r="L107" i="11"/>
  <c r="L120" i="11"/>
  <c r="K18" i="11"/>
  <c r="L29" i="11"/>
  <c r="J60" i="11"/>
  <c r="K76" i="11"/>
  <c r="K86" i="11"/>
  <c r="K103" i="11"/>
  <c r="K105" i="11"/>
  <c r="L106" i="11"/>
  <c r="N107" i="11"/>
  <c r="K111" i="11"/>
  <c r="K119" i="11"/>
  <c r="J129" i="11" l="1"/>
  <c r="K79" i="11"/>
  <c r="N116" i="11"/>
  <c r="K40" i="11"/>
  <c r="K26" i="11"/>
  <c r="L60" i="11"/>
  <c r="L13" i="11"/>
  <c r="L126" i="11"/>
  <c r="O125" i="11"/>
  <c r="P125" i="11" s="1"/>
  <c r="L116" i="11"/>
  <c r="O13" i="11"/>
  <c r="K116" i="11"/>
  <c r="O124" i="11"/>
  <c r="O40" i="11"/>
  <c r="P40" i="11" s="1"/>
  <c r="N124" i="11"/>
  <c r="N126" i="11" s="1"/>
  <c r="K60" i="11"/>
  <c r="J131" i="11"/>
  <c r="O71" i="11"/>
  <c r="P71" i="11" s="1"/>
  <c r="L40" i="11"/>
  <c r="O26" i="11"/>
  <c r="P26" i="11" s="1"/>
  <c r="P16" i="11"/>
  <c r="L79" i="11"/>
  <c r="O60" i="11"/>
  <c r="P60" i="11" s="1"/>
  <c r="O116" i="11"/>
  <c r="O51" i="11"/>
  <c r="P51" i="11" s="1"/>
  <c r="P13" i="11"/>
  <c r="O126" i="11"/>
  <c r="P126" i="11" s="1"/>
  <c r="P124" i="11"/>
  <c r="M129" i="11"/>
  <c r="M131" i="11" s="1"/>
  <c r="L129" i="11" l="1"/>
  <c r="L131" i="11"/>
  <c r="O129" i="11"/>
  <c r="P129" i="11" s="1"/>
  <c r="P116" i="11"/>
  <c r="O131" i="11" l="1"/>
  <c r="P131" i="11" s="1"/>
  <c r="D193" i="1" l="1"/>
  <c r="X1" i="9" l="1"/>
  <c r="I16" i="1" l="1"/>
  <c r="G78" i="1" l="1"/>
  <c r="G77" i="1"/>
  <c r="G76" i="1"/>
  <c r="G75" i="1"/>
  <c r="G74" i="1"/>
  <c r="G73" i="1"/>
  <c r="D191" i="1" l="1"/>
  <c r="D195" i="5"/>
  <c r="D189" i="5"/>
  <c r="D192" i="1"/>
  <c r="G92" i="1"/>
  <c r="G91" i="1"/>
  <c r="G90" i="1"/>
  <c r="G89" i="1"/>
  <c r="G88" i="1"/>
  <c r="G87" i="1"/>
  <c r="G86" i="1"/>
  <c r="G85" i="1"/>
  <c r="G84" i="1"/>
  <c r="G72" i="1"/>
  <c r="G71" i="1"/>
  <c r="G70" i="1"/>
  <c r="G69" i="1"/>
  <c r="G68" i="1"/>
  <c r="G67" i="1"/>
  <c r="G66" i="1"/>
  <c r="G65" i="1"/>
  <c r="G64" i="1"/>
  <c r="G63" i="1"/>
  <c r="G62" i="1"/>
  <c r="G61" i="1"/>
  <c r="G60" i="1"/>
  <c r="D81" i="1"/>
  <c r="H81" i="1" l="1"/>
  <c r="D223" i="1"/>
  <c r="G195" i="1"/>
  <c r="G194" i="1"/>
  <c r="F196" i="1"/>
  <c r="F188" i="5" s="1"/>
  <c r="E196" i="1"/>
  <c r="D196" i="1"/>
  <c r="D188" i="5" s="1"/>
  <c r="I196" i="1"/>
  <c r="G191" i="1"/>
  <c r="G192" i="1"/>
  <c r="G193" i="1"/>
  <c r="C20" i="4"/>
  <c r="C6" i="4"/>
  <c r="D199" i="5"/>
  <c r="D6" i="5"/>
  <c r="D213" i="1"/>
  <c r="D205" i="1"/>
  <c r="F24" i="4"/>
  <c r="F23" i="4"/>
  <c r="F22" i="4"/>
  <c r="I188" i="1"/>
  <c r="I178" i="1"/>
  <c r="I168" i="1"/>
  <c r="I158" i="1"/>
  <c r="I146" i="1"/>
  <c r="I136" i="1"/>
  <c r="I126" i="1"/>
  <c r="I116" i="1"/>
  <c r="I104" i="1"/>
  <c r="I94" i="1"/>
  <c r="I81" i="1"/>
  <c r="I58" i="1"/>
  <c r="I46" i="1"/>
  <c r="I36" i="1"/>
  <c r="I26" i="1"/>
  <c r="G181" i="1"/>
  <c r="G182" i="1"/>
  <c r="G183" i="1"/>
  <c r="G184" i="1"/>
  <c r="G185" i="1"/>
  <c r="G186" i="1"/>
  <c r="G187" i="1"/>
  <c r="G180" i="1"/>
  <c r="G171" i="1"/>
  <c r="G172" i="1"/>
  <c r="G173" i="1"/>
  <c r="G174" i="1"/>
  <c r="G175" i="1"/>
  <c r="G176" i="1"/>
  <c r="G177" i="1"/>
  <c r="G170" i="1"/>
  <c r="G161" i="1"/>
  <c r="G162" i="1"/>
  <c r="G163" i="1"/>
  <c r="G164" i="1"/>
  <c r="G165" i="1"/>
  <c r="G166" i="1"/>
  <c r="G167" i="1"/>
  <c r="G160" i="1"/>
  <c r="G151" i="1"/>
  <c r="G152" i="1"/>
  <c r="G153" i="1"/>
  <c r="G154" i="1"/>
  <c r="G155" i="1"/>
  <c r="G156" i="1"/>
  <c r="G157" i="1"/>
  <c r="G150" i="1"/>
  <c r="G139" i="1"/>
  <c r="G140" i="1"/>
  <c r="G141" i="1"/>
  <c r="G142" i="1"/>
  <c r="G143" i="1"/>
  <c r="G144" i="1"/>
  <c r="G145" i="1"/>
  <c r="G138" i="1"/>
  <c r="G129" i="1"/>
  <c r="G130" i="1"/>
  <c r="G131" i="1"/>
  <c r="G132" i="1"/>
  <c r="G133" i="1"/>
  <c r="G134" i="1"/>
  <c r="G135" i="1"/>
  <c r="G128" i="1"/>
  <c r="G119" i="1"/>
  <c r="G120" i="1"/>
  <c r="G121" i="1"/>
  <c r="G122" i="1"/>
  <c r="G123" i="1"/>
  <c r="G124" i="1"/>
  <c r="G125" i="1"/>
  <c r="G118" i="1"/>
  <c r="G109" i="1"/>
  <c r="G110" i="1"/>
  <c r="G111" i="1"/>
  <c r="G112" i="1"/>
  <c r="G113" i="1"/>
  <c r="G114" i="1"/>
  <c r="G115" i="1"/>
  <c r="G108" i="1"/>
  <c r="G97" i="1"/>
  <c r="G98" i="1"/>
  <c r="G99" i="1"/>
  <c r="G100" i="1"/>
  <c r="G101" i="1"/>
  <c r="G102" i="1"/>
  <c r="G103" i="1"/>
  <c r="G96" i="1"/>
  <c r="G83" i="1"/>
  <c r="G93" i="1"/>
  <c r="G80" i="1"/>
  <c r="G51" i="1"/>
  <c r="G52" i="1"/>
  <c r="G53" i="1"/>
  <c r="G54" i="1"/>
  <c r="G55" i="1"/>
  <c r="G56" i="1"/>
  <c r="G57" i="1"/>
  <c r="G50" i="1"/>
  <c r="G39" i="1"/>
  <c r="G40" i="1"/>
  <c r="G41" i="1"/>
  <c r="G42" i="1"/>
  <c r="G43" i="1"/>
  <c r="G44" i="1"/>
  <c r="G45" i="1"/>
  <c r="G38" i="1"/>
  <c r="G29" i="1"/>
  <c r="G30" i="1"/>
  <c r="G31" i="1"/>
  <c r="G32" i="1"/>
  <c r="G33" i="1"/>
  <c r="G34" i="1"/>
  <c r="G35" i="1"/>
  <c r="G28" i="1"/>
  <c r="G19" i="1"/>
  <c r="G20" i="1"/>
  <c r="G21" i="1"/>
  <c r="G22" i="1"/>
  <c r="G23" i="1"/>
  <c r="G24" i="1"/>
  <c r="G25" i="1"/>
  <c r="G18" i="1"/>
  <c r="G9" i="1"/>
  <c r="G10" i="1"/>
  <c r="G11" i="1"/>
  <c r="G12" i="1"/>
  <c r="G13" i="1"/>
  <c r="G14" i="1"/>
  <c r="G15" i="1"/>
  <c r="G8" i="1"/>
  <c r="D207" i="5"/>
  <c r="D202" i="5"/>
  <c r="C9" i="4" s="1"/>
  <c r="D203" i="5"/>
  <c r="C10" i="4" s="1"/>
  <c r="D204" i="5"/>
  <c r="C11" i="4" s="1"/>
  <c r="D205" i="5"/>
  <c r="D206" i="5"/>
  <c r="C13" i="4" s="1"/>
  <c r="D201" i="5"/>
  <c r="D168" i="1"/>
  <c r="D155" i="5" s="1"/>
  <c r="E168" i="1"/>
  <c r="E155" i="5" s="1"/>
  <c r="F196" i="5"/>
  <c r="E196" i="5"/>
  <c r="D196" i="5"/>
  <c r="G195" i="5"/>
  <c r="G194" i="5"/>
  <c r="G193" i="5"/>
  <c r="G192" i="5"/>
  <c r="G191" i="5"/>
  <c r="G190" i="5"/>
  <c r="G189" i="5"/>
  <c r="E188" i="5"/>
  <c r="E207" i="5"/>
  <c r="D14" i="4" s="1"/>
  <c r="F207" i="5"/>
  <c r="E14" i="4" s="1"/>
  <c r="E206" i="5"/>
  <c r="F206" i="5"/>
  <c r="E13" i="4" s="1"/>
  <c r="E205" i="5"/>
  <c r="D12" i="4" s="1"/>
  <c r="F205" i="5"/>
  <c r="E12" i="4" s="1"/>
  <c r="E204" i="5"/>
  <c r="D11" i="4" s="1"/>
  <c r="F204" i="5"/>
  <c r="E11" i="4" s="1"/>
  <c r="E203" i="5"/>
  <c r="F203" i="5"/>
  <c r="E10" i="4" s="1"/>
  <c r="E202" i="5"/>
  <c r="D9" i="4" s="1"/>
  <c r="F202" i="5"/>
  <c r="E9" i="4" s="1"/>
  <c r="E201" i="5"/>
  <c r="D8" i="4" s="1"/>
  <c r="F201" i="5"/>
  <c r="E8" i="4"/>
  <c r="G156" i="5"/>
  <c r="G157" i="5"/>
  <c r="G158" i="5"/>
  <c r="G159" i="5"/>
  <c r="G160" i="5"/>
  <c r="G161" i="5"/>
  <c r="G162" i="5"/>
  <c r="D163" i="5"/>
  <c r="E163" i="5"/>
  <c r="F163" i="5"/>
  <c r="G167" i="5"/>
  <c r="G168" i="5"/>
  <c r="G169" i="5"/>
  <c r="G170" i="5"/>
  <c r="G171" i="5"/>
  <c r="G172" i="5"/>
  <c r="G173" i="5"/>
  <c r="D174" i="5"/>
  <c r="E174" i="5"/>
  <c r="F174" i="5"/>
  <c r="G178" i="5"/>
  <c r="G179" i="5"/>
  <c r="G180" i="5"/>
  <c r="G181" i="5"/>
  <c r="G182" i="5"/>
  <c r="G183" i="5"/>
  <c r="G184" i="5"/>
  <c r="D185" i="5"/>
  <c r="E185" i="5"/>
  <c r="F185" i="5"/>
  <c r="F152" i="5"/>
  <c r="E152" i="5"/>
  <c r="D152" i="5"/>
  <c r="G152" i="5" s="1"/>
  <c r="G151" i="5"/>
  <c r="G150" i="5"/>
  <c r="G149" i="5"/>
  <c r="G148" i="5"/>
  <c r="G147" i="5"/>
  <c r="G146" i="5"/>
  <c r="G145" i="5"/>
  <c r="G111" i="5"/>
  <c r="G112" i="5"/>
  <c r="G113" i="5"/>
  <c r="G114" i="5"/>
  <c r="G115" i="5"/>
  <c r="G116" i="5"/>
  <c r="G117" i="5"/>
  <c r="D118" i="5"/>
  <c r="E118" i="5"/>
  <c r="F118" i="5"/>
  <c r="G122" i="5"/>
  <c r="G123" i="5"/>
  <c r="G124" i="5"/>
  <c r="G125" i="5"/>
  <c r="G126" i="5"/>
  <c r="G127" i="5"/>
  <c r="G128" i="5"/>
  <c r="D129" i="5"/>
  <c r="E129" i="5"/>
  <c r="F129" i="5"/>
  <c r="G133" i="5"/>
  <c r="G134" i="5"/>
  <c r="G135" i="5"/>
  <c r="G136" i="5"/>
  <c r="G137" i="5"/>
  <c r="G138" i="5"/>
  <c r="G139" i="5"/>
  <c r="D140" i="5"/>
  <c r="E140" i="5"/>
  <c r="F140" i="5"/>
  <c r="F107" i="5"/>
  <c r="E107" i="5"/>
  <c r="D107" i="5"/>
  <c r="G106" i="5"/>
  <c r="G105" i="5"/>
  <c r="G104" i="5"/>
  <c r="G103" i="5"/>
  <c r="G102" i="5"/>
  <c r="G101" i="5"/>
  <c r="G100" i="5"/>
  <c r="G66" i="5"/>
  <c r="G67" i="5"/>
  <c r="G68" i="5"/>
  <c r="G69" i="5"/>
  <c r="G70" i="5"/>
  <c r="G71" i="5"/>
  <c r="G72" i="5"/>
  <c r="D73" i="5"/>
  <c r="E73" i="5"/>
  <c r="F73" i="5"/>
  <c r="G77" i="5"/>
  <c r="G78" i="5"/>
  <c r="G79" i="5"/>
  <c r="G80" i="5"/>
  <c r="G81" i="5"/>
  <c r="G82" i="5"/>
  <c r="G83" i="5"/>
  <c r="D84" i="5"/>
  <c r="E84" i="5"/>
  <c r="F84" i="5"/>
  <c r="G88" i="5"/>
  <c r="G89" i="5"/>
  <c r="G90" i="5"/>
  <c r="G91" i="5"/>
  <c r="G92" i="5"/>
  <c r="G93" i="5"/>
  <c r="G94" i="5"/>
  <c r="D95" i="5"/>
  <c r="E95" i="5"/>
  <c r="F95" i="5"/>
  <c r="G55" i="5"/>
  <c r="G56" i="5"/>
  <c r="G57" i="5"/>
  <c r="G58" i="5"/>
  <c r="G59" i="5"/>
  <c r="G60" i="5"/>
  <c r="G61" i="5"/>
  <c r="D62" i="5"/>
  <c r="E62" i="5"/>
  <c r="F62" i="5"/>
  <c r="G21" i="5"/>
  <c r="G22" i="5"/>
  <c r="G23" i="5"/>
  <c r="G24" i="5"/>
  <c r="G25" i="5"/>
  <c r="G26" i="5"/>
  <c r="G27" i="5"/>
  <c r="D28" i="5"/>
  <c r="E28" i="5"/>
  <c r="F28" i="5"/>
  <c r="G32" i="5"/>
  <c r="G33" i="5"/>
  <c r="G34" i="5"/>
  <c r="G35" i="5"/>
  <c r="G36" i="5"/>
  <c r="G37" i="5"/>
  <c r="G38" i="5"/>
  <c r="D39" i="5"/>
  <c r="E39" i="5"/>
  <c r="F39" i="5"/>
  <c r="G43" i="5"/>
  <c r="G44" i="5"/>
  <c r="G45" i="5"/>
  <c r="G46" i="5"/>
  <c r="G47" i="5"/>
  <c r="G48" i="5"/>
  <c r="G49" i="5"/>
  <c r="D50" i="5"/>
  <c r="E50" i="5"/>
  <c r="F50" i="5"/>
  <c r="G50" i="5" s="1"/>
  <c r="E17" i="5"/>
  <c r="F17" i="5"/>
  <c r="G10" i="5"/>
  <c r="G11" i="5"/>
  <c r="G12" i="5"/>
  <c r="G13" i="5"/>
  <c r="G14" i="5"/>
  <c r="G15" i="5"/>
  <c r="G16" i="5"/>
  <c r="D17" i="5"/>
  <c r="G17" i="5" s="1"/>
  <c r="G163" i="5"/>
  <c r="E188" i="1"/>
  <c r="E177" i="5" s="1"/>
  <c r="F188" i="1"/>
  <c r="F177" i="5" s="1"/>
  <c r="E178" i="1"/>
  <c r="E166" i="5" s="1"/>
  <c r="F178" i="1"/>
  <c r="F166" i="5" s="1"/>
  <c r="F168" i="1"/>
  <c r="F155" i="5" s="1"/>
  <c r="E158" i="1"/>
  <c r="E144" i="5" s="1"/>
  <c r="F158" i="1"/>
  <c r="F144" i="5" s="1"/>
  <c r="E146" i="1"/>
  <c r="E132" i="5" s="1"/>
  <c r="F146" i="1"/>
  <c r="F132" i="5" s="1"/>
  <c r="E136" i="1"/>
  <c r="E121" i="5" s="1"/>
  <c r="F136" i="1"/>
  <c r="F121" i="5" s="1"/>
  <c r="E126" i="1"/>
  <c r="E110" i="5" s="1"/>
  <c r="F126" i="1"/>
  <c r="F110" i="5"/>
  <c r="E116" i="1"/>
  <c r="E99" i="5" s="1"/>
  <c r="F116" i="1"/>
  <c r="F99" i="5"/>
  <c r="E104" i="1"/>
  <c r="E87" i="5" s="1"/>
  <c r="F104" i="1"/>
  <c r="E94" i="1"/>
  <c r="E76" i="5"/>
  <c r="F94" i="1"/>
  <c r="F76" i="5" s="1"/>
  <c r="E81" i="1"/>
  <c r="E65" i="5" s="1"/>
  <c r="F81" i="1"/>
  <c r="F65" i="5" s="1"/>
  <c r="E58" i="1"/>
  <c r="E54" i="5" s="1"/>
  <c r="F58" i="1"/>
  <c r="F54" i="5" s="1"/>
  <c r="E46" i="1"/>
  <c r="E42" i="5" s="1"/>
  <c r="F46" i="1"/>
  <c r="F42" i="5" s="1"/>
  <c r="E36" i="1"/>
  <c r="F36" i="1"/>
  <c r="F31" i="5" s="1"/>
  <c r="E26" i="1"/>
  <c r="E20" i="5" s="1"/>
  <c r="F26" i="1"/>
  <c r="F20" i="5" s="1"/>
  <c r="D26" i="1"/>
  <c r="D20" i="5" s="1"/>
  <c r="F16" i="1"/>
  <c r="E16" i="1"/>
  <c r="E207" i="1" s="1"/>
  <c r="E208" i="1" s="1"/>
  <c r="F87" i="5"/>
  <c r="E31" i="5"/>
  <c r="D188" i="1"/>
  <c r="D178" i="1"/>
  <c r="D166" i="5" s="1"/>
  <c r="D158" i="1"/>
  <c r="D144" i="5" s="1"/>
  <c r="D146" i="1"/>
  <c r="D132" i="5"/>
  <c r="D136" i="1"/>
  <c r="D121" i="5" s="1"/>
  <c r="D126" i="1"/>
  <c r="D110" i="5" s="1"/>
  <c r="D116" i="1"/>
  <c r="D99" i="5" s="1"/>
  <c r="D104" i="1"/>
  <c r="D87" i="5" s="1"/>
  <c r="D94" i="1"/>
  <c r="D76" i="5" s="1"/>
  <c r="D65" i="5"/>
  <c r="D58" i="1"/>
  <c r="D54" i="5" s="1"/>
  <c r="D46" i="1"/>
  <c r="D42" i="5" s="1"/>
  <c r="D36" i="1"/>
  <c r="D31" i="5" s="1"/>
  <c r="D16" i="1"/>
  <c r="D177" i="5"/>
  <c r="I220" i="1" l="1"/>
  <c r="E9" i="5"/>
  <c r="F207" i="1"/>
  <c r="F208" i="1" s="1"/>
  <c r="F209" i="1" s="1"/>
  <c r="D207" i="1"/>
  <c r="D208" i="1" s="1"/>
  <c r="F9" i="5"/>
  <c r="H146" i="1"/>
  <c r="G39" i="5"/>
  <c r="G28" i="5"/>
  <c r="G62" i="5"/>
  <c r="G95" i="5"/>
  <c r="G140" i="5"/>
  <c r="G129" i="5"/>
  <c r="G185" i="5"/>
  <c r="G174" i="5"/>
  <c r="G205" i="5"/>
  <c r="H94" i="1"/>
  <c r="G158" i="1"/>
  <c r="G73" i="5"/>
  <c r="H65" i="5"/>
  <c r="G84" i="5"/>
  <c r="H76" i="5"/>
  <c r="G136" i="1"/>
  <c r="G146" i="1"/>
  <c r="G178" i="1"/>
  <c r="H116" i="1"/>
  <c r="H126" i="1"/>
  <c r="H158" i="1"/>
  <c r="H168" i="1"/>
  <c r="H178" i="1"/>
  <c r="G188" i="1"/>
  <c r="H196" i="1"/>
  <c r="G196" i="1"/>
  <c r="C40" i="6"/>
  <c r="D45" i="6" s="1"/>
  <c r="H188" i="1"/>
  <c r="G168" i="1"/>
  <c r="G118" i="5"/>
  <c r="G107" i="5"/>
  <c r="G196" i="5"/>
  <c r="G203" i="5"/>
  <c r="G206" i="5"/>
  <c r="C12" i="4"/>
  <c r="D10" i="4"/>
  <c r="G202" i="5"/>
  <c r="F208" i="5"/>
  <c r="D13" i="4"/>
  <c r="G204" i="5"/>
  <c r="E15" i="4"/>
  <c r="E208" i="5"/>
  <c r="G207" i="5"/>
  <c r="D208" i="5"/>
  <c r="D209" i="5" s="1"/>
  <c r="C14" i="4"/>
  <c r="C8" i="4"/>
  <c r="G201" i="5"/>
  <c r="H136" i="1"/>
  <c r="G126" i="1"/>
  <c r="G116" i="1"/>
  <c r="C29" i="6"/>
  <c r="D35" i="6" s="1"/>
  <c r="H104" i="1"/>
  <c r="G104" i="1"/>
  <c r="G177" i="5"/>
  <c r="G76" i="5"/>
  <c r="G94" i="1"/>
  <c r="G65" i="5"/>
  <c r="G188" i="5"/>
  <c r="G26" i="1"/>
  <c r="G132" i="5"/>
  <c r="G121" i="5"/>
  <c r="G31" i="5"/>
  <c r="G166" i="5"/>
  <c r="G58" i="1"/>
  <c r="G144" i="5"/>
  <c r="G110" i="5"/>
  <c r="G99" i="5"/>
  <c r="G155" i="5"/>
  <c r="G42" i="5"/>
  <c r="H46" i="1"/>
  <c r="G87" i="5"/>
  <c r="H26" i="1"/>
  <c r="G81" i="1"/>
  <c r="G36" i="1"/>
  <c r="G46" i="1"/>
  <c r="H16" i="1"/>
  <c r="G20" i="5"/>
  <c r="H36" i="1"/>
  <c r="C18" i="6"/>
  <c r="D25" i="6" s="1"/>
  <c r="H58" i="1"/>
  <c r="G54" i="5"/>
  <c r="D9" i="5"/>
  <c r="G9" i="5" s="1"/>
  <c r="G16" i="1"/>
  <c r="C7" i="6"/>
  <c r="D209" i="1" l="1"/>
  <c r="I221" i="1"/>
  <c r="D220" i="1"/>
  <c r="D221" i="1" s="1"/>
  <c r="D47" i="6"/>
  <c r="D44" i="6"/>
  <c r="D46" i="6"/>
  <c r="D43" i="6"/>
  <c r="D15" i="4"/>
  <c r="C15" i="4"/>
  <c r="G208" i="5"/>
  <c r="D210" i="5"/>
  <c r="D33" i="6"/>
  <c r="D32" i="6"/>
  <c r="D36" i="6"/>
  <c r="D34" i="6"/>
  <c r="F216" i="1"/>
  <c r="E23" i="4" s="1"/>
  <c r="D22" i="6"/>
  <c r="D24" i="6"/>
  <c r="D23" i="6"/>
  <c r="D21" i="6"/>
  <c r="E215" i="1"/>
  <c r="D22" i="4" s="1"/>
  <c r="G207" i="1"/>
  <c r="E209" i="1"/>
  <c r="E216" i="1"/>
  <c r="D23" i="4" s="1"/>
  <c r="F215" i="1"/>
  <c r="E22" i="4" s="1"/>
  <c r="D217" i="1"/>
  <c r="C24" i="4" s="1"/>
  <c r="D215" i="1"/>
  <c r="D216" i="1"/>
  <c r="C23" i="4" s="1"/>
  <c r="D224" i="1"/>
  <c r="D12" i="6"/>
  <c r="D11" i="6"/>
  <c r="D14" i="6"/>
  <c r="D10" i="6"/>
  <c r="D13" i="6"/>
  <c r="G208" i="1" l="1"/>
  <c r="G209" i="1" s="1"/>
  <c r="C16" i="4"/>
  <c r="D17" i="4"/>
  <c r="C41" i="6"/>
  <c r="C17" i="4"/>
  <c r="C30" i="6"/>
  <c r="F218" i="1"/>
  <c r="E218" i="1"/>
  <c r="C19" i="6"/>
  <c r="D218" i="1"/>
  <c r="C25" i="4" s="1"/>
  <c r="C22" i="4"/>
  <c r="C8" i="6"/>
</calcChain>
</file>

<file path=xl/sharedStrings.xml><?xml version="1.0" encoding="utf-8"?>
<sst xmlns="http://schemas.openxmlformats.org/spreadsheetml/2006/main" count="18905" uniqueCount="2324">
  <si>
    <t>Annex D - PBF Project Budget</t>
  </si>
  <si>
    <t>CSO Version</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</si>
  <si>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</si>
  <si>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 xml:space="preserve">Annex D - PBF Project Budget </t>
  </si>
  <si>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</si>
  <si>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</si>
  <si>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</si>
  <si>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t>Recipient Organization</t>
  </si>
  <si>
    <t>Recipient Organization 2 Budget</t>
  </si>
  <si>
    <t>Recipient Organization 3 Budget</t>
  </si>
  <si>
    <t>Total</t>
  </si>
  <si>
    <r>
      <rPr>
        <b/>
        <sz val="12"/>
        <color theme="1"/>
        <rFont val="Calibri"/>
        <family val="2"/>
        <scheme val="minor"/>
      </rPr>
      <t xml:space="preserve">% of budget </t>
    </r>
    <r>
      <rPr>
        <sz val="12"/>
        <color theme="1"/>
        <rFont val="Calibri"/>
        <family val="2"/>
        <scheme val="minor"/>
      </rPr>
      <t xml:space="preserve">per activity allocated to </t>
    </r>
    <r>
      <rPr>
        <b/>
        <sz val="12"/>
        <color theme="1"/>
        <rFont val="Calibri"/>
        <family val="2"/>
        <scheme val="minor"/>
      </rPr>
      <t xml:space="preserve">Gender Equality and Women's Empowerment (GEWE) </t>
    </r>
    <r>
      <rPr>
        <sz val="12"/>
        <color theme="1"/>
        <rFont val="Calibri"/>
        <family val="2"/>
        <scheme val="minor"/>
      </rPr>
      <t>(if any):</t>
    </r>
  </si>
  <si>
    <r>
      <t xml:space="preserve">Current level of </t>
    </r>
    <r>
      <rPr>
        <b/>
        <sz val="12"/>
        <color theme="1"/>
        <rFont val="Calibri"/>
        <family val="2"/>
        <scheme val="minor"/>
      </rPr>
      <t>expenditure/ commitment</t>
    </r>
    <r>
      <rPr>
        <sz val="12"/>
        <color theme="1"/>
        <rFont val="Calibri"/>
        <family val="2"/>
        <scheme val="minor"/>
      </rPr>
      <t xml:space="preserve"> (to be completed at time of project progress reporting) </t>
    </r>
  </si>
  <si>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</si>
  <si>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</si>
  <si>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OUTCOME 1: </t>
  </si>
  <si>
    <t xml:space="preserve">OUTCOME 1: % Young female and male leaders in Northern Cauca participate in spaces of representation, decision-making and self-government contributing to democratic governance and increasing their capacities as community peacebuilders. </t>
  </si>
  <si>
    <t>Output 1.1:</t>
  </si>
  <si>
    <t xml:space="preserve">Young female and male leaders in Northern Cauca participate in decision-making spaces for the identification of risks aiming at the creation of risk mitigation plan 
Young female and male leaders in Northern Cauca participate in decision-making spaces for the identification of risks aiming at the creation of risk mitigation plans </t>
  </si>
  <si>
    <t>1.1.1</t>
  </si>
  <si>
    <t>Risk identification and assessment workshops / sessions. Three in each micro-basin: 15 workshops</t>
  </si>
  <si>
    <t>4 out of 15 workshops will review the gender approach in the assessment of protection risks, threats, and vulnerabilities</t>
  </si>
  <si>
    <t>1.1.2</t>
  </si>
  <si>
    <t>Workshops to develop work plans to mitigate identified risks. One workshop per micro basin and one with authorities: 5 workshops</t>
  </si>
  <si>
    <t xml:space="preserve">2 out od 4 workshops will develop a gender approach to be included in the work plan and mitigation risks documents </t>
  </si>
  <si>
    <t>1.1.3</t>
  </si>
  <si>
    <t>General assembly for socialization and approval of work plan</t>
  </si>
  <si>
    <t>Gender parity and women participation will be promoted in the General Assembly with the participant authorities</t>
  </si>
  <si>
    <t>Activity 1.1.4</t>
  </si>
  <si>
    <t>Activity 1.1.5</t>
  </si>
  <si>
    <t>Activity 1.1.6</t>
  </si>
  <si>
    <t>Activity 1.1.7</t>
  </si>
  <si>
    <t>Activity 1.1.8</t>
  </si>
  <si>
    <t>Output Total</t>
  </si>
  <si>
    <t>Output 1.2:</t>
  </si>
  <si>
    <t>Young female and male leaders are trained to strengthen their knowledge and ability promote community protection in self-government spaces through replica sessions</t>
  </si>
  <si>
    <t>1.2.1</t>
  </si>
  <si>
    <t>Activity 1.2.1</t>
  </si>
  <si>
    <t>Training workshops on leadership, peacebuilding, non-violent strategic action, etc. 8 Workshops. School of Ancestral Justice and Political Empowerment consolidation</t>
  </si>
  <si>
    <t>2 out of 8 workshops will incluude a gender equality approach to be included in the trainings</t>
  </si>
  <si>
    <t>1.2.2</t>
  </si>
  <si>
    <t>Activity 1.2.2</t>
  </si>
  <si>
    <t xml:space="preserve">Replica spaces/sessions In each of the 43 community councils.
on self-government instruments  and use of pedagogical tools for self-protection </t>
  </si>
  <si>
    <t xml:space="preserve">In the self-government instruments replica and multiplication workshops in the 43 Community Councils, specific sessions will included raising  awareness on issues of prevention of GBV </t>
  </si>
  <si>
    <t>Activity 1.2.3</t>
  </si>
  <si>
    <t>Activity 1.2.4</t>
  </si>
  <si>
    <t>Activity 1.2.5</t>
  </si>
  <si>
    <t>Activity 1.2.6</t>
  </si>
  <si>
    <t>Activity 1.2.7</t>
  </si>
  <si>
    <t>Activity 1.2.8</t>
  </si>
  <si>
    <t>Output 1.3:</t>
  </si>
  <si>
    <t>Young female and male leaders design/update their self-government instruments increasing their capacities as community peacebuilders</t>
  </si>
  <si>
    <t>1.3.1</t>
  </si>
  <si>
    <t>Activity 1.3.1</t>
  </si>
  <si>
    <t>Self-government instrument construction / update workshops. Five workshops per microbasin. Two workshops with authorities for approval</t>
  </si>
  <si>
    <t>5 out of 12 workshops to create or strengthen self-government instruments will include a gender approach</t>
  </si>
  <si>
    <t>1.3.2</t>
  </si>
  <si>
    <t>Activity 1.3.2</t>
  </si>
  <si>
    <t>Production / development of self-government instruments / self-protection strategies. One for each micro-basin</t>
  </si>
  <si>
    <t xml:space="preserve"> Three of the 5 self-government instruments and community initiatives are expected to include GBV prevention as strategic components</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</si>
  <si>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</si>
  <si>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</si>
  <si>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</si>
  <si>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</si>
  <si>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</si>
  <si>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</si>
  <si>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</si>
  <si>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</si>
  <si>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</si>
  <si>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</si>
  <si>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</si>
  <si>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</si>
  <si>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</si>
  <si>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</si>
  <si>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</si>
  <si>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</si>
  <si>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 xml:space="preserve">% Of young women leaders empowered and strengthened to participate in decision-making spaces to develop community policies or plans to promote gender equality as a peacebuilding tool </t>
  </si>
  <si>
    <t>Outcome 2.1</t>
  </si>
  <si>
    <t>Young female and male leaders design/update their self-government instruments increasing their capacities as community peacebuilders.</t>
  </si>
  <si>
    <t>2.1.1</t>
  </si>
  <si>
    <t>Community pot 100 people who will participate in the diagnostic workshops 20,0000COP per 100 people (20 people x 5 micro basin, 2 workshops in each) for 10 workshops</t>
  </si>
  <si>
    <t>Young women leaders representing each of the 43 Community Councils will participate in workshops for the assessment and identification of GBV risks in the 5 micro-basins</t>
  </si>
  <si>
    <t>2.1.2</t>
  </si>
  <si>
    <t>Transportation to 100 people 40,000COP each for 10 workshops</t>
  </si>
  <si>
    <t>2.1.3</t>
  </si>
  <si>
    <t>Pedagogical materials $250.000 COP for 10 workshops</t>
  </si>
  <si>
    <t>2.1.4</t>
  </si>
  <si>
    <t xml:space="preserve">Location rental 300,000COP for each workshop, for 10 workshops </t>
  </si>
  <si>
    <t>2.1.5</t>
  </si>
  <si>
    <t>PPE  Kits 30,000COP 100 kits for 10 workshops</t>
  </si>
  <si>
    <t>Activity 2.1.6</t>
  </si>
  <si>
    <t>Activity 2.1.7</t>
  </si>
  <si>
    <t>Activity 2.1.8</t>
  </si>
  <si>
    <t>Output 2.2</t>
  </si>
  <si>
    <t xml:space="preserve">Female and male young leaders, leaders and local authorities in Northern Cauca participate in training workshops and develop community policies or plans for the prevention of GBV in self-government spaces as a tool for peacebuilding  </t>
  </si>
  <si>
    <t>2.2.1</t>
  </si>
  <si>
    <t>Activity 2.2.1</t>
  </si>
  <si>
    <t>5 workshops for young leaders and ethnic authorities to assess and identify risks to prevent GBV. Community pot 20,000COP per 100 people in 5 workshops</t>
  </si>
  <si>
    <t xml:space="preserve">Young women leaders representing each of the 43 Community Councils will participate in workshops for the assessment and identification of GBV risks in the 5 micro-basins 
</t>
  </si>
  <si>
    <t>2.2.2</t>
  </si>
  <si>
    <t>Activity 2.2.2</t>
  </si>
  <si>
    <t>Transportation for 100 people 40,000COP in 5 workshops</t>
  </si>
  <si>
    <t>2.2.3</t>
  </si>
  <si>
    <t>Activity 2.2.3</t>
  </si>
  <si>
    <t>Pedagogical materials</t>
  </si>
  <si>
    <t>2.2.4</t>
  </si>
  <si>
    <t>Activity 2.2.4</t>
  </si>
  <si>
    <t xml:space="preserve">Location rental 300,000COP for each workshop, for5 workshops </t>
  </si>
  <si>
    <t>2.2.5</t>
  </si>
  <si>
    <t>Activity 2.2.5</t>
  </si>
  <si>
    <t xml:space="preserve">PPE  Kits 30,000COP 100 kits for 5 workshops </t>
  </si>
  <si>
    <t>2.2.6</t>
  </si>
  <si>
    <t>Activity 2.2.6</t>
  </si>
  <si>
    <t>Workshop  facilitatior 500.000COP 6 hours per workshops/5 workshops</t>
  </si>
  <si>
    <t>The main issues discussed in this workshops will be differential approach, gender equality and GBV mitigation strategies for the construction of community policies or plans for the prevention of GBV</t>
  </si>
  <si>
    <t>2.2.7</t>
  </si>
  <si>
    <t>Activity 2.2.7</t>
  </si>
  <si>
    <t>Official clothing (t-shirts) to women participating in the training workshops 35,000 COP each/ 100 units</t>
  </si>
  <si>
    <t>2.2.8</t>
  </si>
  <si>
    <t>Activity 2.2.8</t>
  </si>
  <si>
    <t>Official notebook for women participating in the training workshops 20,000 COP each/ 100 units</t>
  </si>
  <si>
    <t>2.2.9</t>
  </si>
  <si>
    <t>Activity 2.2.9</t>
  </si>
  <si>
    <t xml:space="preserve"> ID for women participating in the training workshops 20,000 COP each/ 100 units</t>
  </si>
  <si>
    <t>2.2.10</t>
  </si>
  <si>
    <t>Activity 2.2.10</t>
  </si>
  <si>
    <t>Printer to produce educational material that will be used in training workshops</t>
  </si>
  <si>
    <t>2.2.11</t>
  </si>
  <si>
    <t>Activity 2.2.11</t>
  </si>
  <si>
    <t>Desktop computer needed to compile and produce the information from each of the training workshops</t>
  </si>
  <si>
    <t>2.2.12</t>
  </si>
  <si>
    <t>Activity 2.2.12</t>
  </si>
  <si>
    <t>Digital screens to project in training workshops</t>
  </si>
  <si>
    <t>2.2.13</t>
  </si>
  <si>
    <t>Activity 2.2.13</t>
  </si>
  <si>
    <t xml:space="preserve">Transportation for 100 women participating in the replica activities </t>
  </si>
  <si>
    <t>2.2.14</t>
  </si>
  <si>
    <t>Activity 2.2.14</t>
  </si>
  <si>
    <t xml:space="preserve">10 meetings for the construction of GBVprevention routes / community strategies against GBV, included in strategies / plans /self-government instruments. Community pot  20,000COP /170 people for 10workshop </t>
  </si>
  <si>
    <t>In these meetings community gender equality will be promoted by creating community policies or plans for the prevention GBV developed in decision making spaces in each micro-basin</t>
  </si>
  <si>
    <t>2.2.15</t>
  </si>
  <si>
    <t>Activity 2.2.15</t>
  </si>
  <si>
    <t xml:space="preserve">Transportation for 170 people 40,000 COP each for 10 workshops </t>
  </si>
  <si>
    <t>2.2.16</t>
  </si>
  <si>
    <t>Activity 2.2.16</t>
  </si>
  <si>
    <t>2.2.17</t>
  </si>
  <si>
    <t>Activity 2.2.17</t>
  </si>
  <si>
    <t>2.2.18</t>
  </si>
  <si>
    <t>Activity 2.2.18</t>
  </si>
  <si>
    <t xml:space="preserve">consultant 3000000COP x 5 meses </t>
  </si>
  <si>
    <t>This consultant promotes gender equality as a peace building tool by encouraging women participation in decision making scenarios</t>
  </si>
  <si>
    <t>2.2.19</t>
  </si>
  <si>
    <t>Activity 2.2.19</t>
  </si>
  <si>
    <t xml:space="preserve">3 Meetings with authorities for approval of documents (Community pot 20,000COP x 70 people and transportation 40,000 x 70 people 3 meetings)  </t>
  </si>
  <si>
    <t>In these meetings ethnic authorities will review, discuss and approve community policies or plans for the prevention GBV developed in decision making spaces in each micro-basin</t>
  </si>
  <si>
    <t>Activity 2.2.20</t>
  </si>
  <si>
    <t>Activity 2.2.21</t>
  </si>
  <si>
    <t>this activity promotes gender equality as a peace building tool by encouraging women participation in decision making scenarios</t>
  </si>
  <si>
    <t>Output 2.3</t>
  </si>
  <si>
    <t xml:space="preserve">Young and female leaders in northern Cauca strengthen local organizational structures through community initiatives and advocacy activities to promote self-protection, women participation and gender equality </t>
  </si>
  <si>
    <t>2.3.1</t>
  </si>
  <si>
    <t>Activity 2.3.1</t>
  </si>
  <si>
    <t>Observatory for the promotion of gender equality set-up</t>
  </si>
  <si>
    <t>This is a community initiative or self-protection strategy with a gender approach implemented as a result of this intervention</t>
  </si>
  <si>
    <t>2.3.2</t>
  </si>
  <si>
    <t>Activity 2.3.2</t>
  </si>
  <si>
    <t xml:space="preserve"> 2 Preparatory promotional advocacy and 2 advocacy events with institutional authorities, leaders, ethnic authorities (Community pot 200 people to 20,000COP each and transportation 40,000COP each for 4 events) </t>
  </si>
  <si>
    <t>With the participation of institutional authorities at the regional and national level to socialize the strategies and self-government documents of community self-protection developed, and articulate actions for the protection and access of women's rights</t>
  </si>
  <si>
    <t>2.3.3</t>
  </si>
  <si>
    <t>Activity 2.3.3</t>
  </si>
  <si>
    <t xml:space="preserve">1 meeting/Assembly of authorities to socialise the results (Community pot 200 people to 20,000 each and transport to 40,000 each </t>
  </si>
  <si>
    <t>This Assembly with ethnic authorities will socialise the result of the project regarding the initiatives with a gender approach</t>
  </si>
  <si>
    <t>2.3.4</t>
  </si>
  <si>
    <t>Activity 2.3.4</t>
  </si>
  <si>
    <t xml:space="preserve">1000 informative brochures </t>
  </si>
  <si>
    <t xml:space="preserve">This elements are design to socialise the result of the interventions related to this result and the initiatives with gender approach </t>
  </si>
  <si>
    <t>2.3.5</t>
  </si>
  <si>
    <t>Activity 2.3.5</t>
  </si>
  <si>
    <t xml:space="preserve"> 2000 booklets containing general information on the documents and routes built 5000COP each</t>
  </si>
  <si>
    <t>Activity 2.3.12</t>
  </si>
  <si>
    <t>Activity 2.3.13</t>
  </si>
  <si>
    <t>Activity 2.3.14</t>
  </si>
  <si>
    <t>Activity 2.3.15</t>
  </si>
  <si>
    <t>Activity 2.3.16</t>
  </si>
  <si>
    <t>Activity 2.3.8</t>
  </si>
  <si>
    <t>Output 2.4</t>
  </si>
  <si>
    <t>Activity 2.4.1</t>
  </si>
  <si>
    <t>Activity 2.4.2</t>
  </si>
  <si>
    <t>Activity 2.4.3</t>
  </si>
  <si>
    <t>Activity 2.4.4</t>
  </si>
  <si>
    <t>Activity 2.4.5</t>
  </si>
  <si>
    <t>Activity 2.4.6</t>
  </si>
  <si>
    <t>Activity 2.4.7</t>
  </si>
  <si>
    <t>Activity 2.4.8</t>
  </si>
  <si>
    <t xml:space="preserve">OUTCOME 3: </t>
  </si>
  <si>
    <t>% of young female and male leaders that strengthen their peace-building capacities by sharing and using Innovative Communication Pedagogical Tools (ICPT).</t>
  </si>
  <si>
    <t>Output 3.1</t>
  </si>
  <si>
    <t xml:space="preserve"> 
Female and male young leaders and community authorities participate in workshops on ICPT design </t>
  </si>
  <si>
    <t>3.1.1</t>
  </si>
  <si>
    <t>Activity 3.1.1</t>
  </si>
  <si>
    <t>Mapping young community leaders and authorities who will participate in the process</t>
  </si>
  <si>
    <t>The inclusion of women in the project targeting, particularly young women, will be addressed in this activity</t>
  </si>
  <si>
    <t>3.1.2</t>
  </si>
  <si>
    <t>Activity 3.1.2</t>
  </si>
  <si>
    <t>Methodological design of ICPT workshops</t>
  </si>
  <si>
    <t>It is expected that the methodological design be carried out by a woman who is an expert in working with communities and strategic communication focused on women. Within the design, spaces will be included to empower leaders and young women leaders selected for the process. expected leaders Empowerment of young women leaders will be crosscutting to the design</t>
  </si>
  <si>
    <t>3.1.3</t>
  </si>
  <si>
    <t>Activity 3.1.3</t>
  </si>
  <si>
    <t>Meetings for the establishment of nodes with main representatives</t>
  </si>
  <si>
    <t xml:space="preserve">The participation of young  women  leaders in the process of construction of the nodes in each micro-basin is considered fundamental for the inclusion, voice and ancestral narratives of the communities. </t>
  </si>
  <si>
    <t>3.1.4</t>
  </si>
  <si>
    <t>Activity 3.1.4</t>
  </si>
  <si>
    <t xml:space="preserve"> Five Implementation  workshops each node formed</t>
  </si>
  <si>
    <t>The workshops will include empowerment spaces for young  women leaders, which allow participation and equitable knowledge of the tools to be developed.</t>
  </si>
  <si>
    <t>3.1.5</t>
  </si>
  <si>
    <t>Activity 3.1.5</t>
  </si>
  <si>
    <t xml:space="preserve"> ICPT implementation plans Design </t>
  </si>
  <si>
    <t>As a result of the workshops carried out, the ICPTl implementation plans will have a fair view of the participating women leaders of the nodes. Being specially structured to ensure the emergence of collective leadership where women are a central figure</t>
  </si>
  <si>
    <t>Activity 3.1.6</t>
  </si>
  <si>
    <t>Activity 3.1.7</t>
  </si>
  <si>
    <t>Activity 3.1.8</t>
  </si>
  <si>
    <t>Output 3.2:</t>
  </si>
  <si>
    <t>Female and male young leaders and community authorities participate in meetings and discussion to develop ICPT</t>
  </si>
  <si>
    <t>3.2.1</t>
  </si>
  <si>
    <t>Activity 3.2.1</t>
  </si>
  <si>
    <t xml:space="preserve">Two training workshops the the nodes representatives to carry out the interviews that will collect relevant information about the community. </t>
  </si>
  <si>
    <t xml:space="preserve">The workshops will have a special module aimed at women members to strengthen their communication and thus their leadership within the basins they represent. Additionally,methodological  tools will be provided so that the survey is inclusive and representative, bearing in mind the women of the community. </t>
  </si>
  <si>
    <t>3.2.2</t>
  </si>
  <si>
    <t>Activity 3.2.2</t>
  </si>
  <si>
    <t>Follow-up on interviews conducted  community</t>
  </si>
  <si>
    <t>The Pacifista team! will monitor the implementation of the interviews in each basin in order to guarantee the gender approach in each area.</t>
  </si>
  <si>
    <t>3.2.3</t>
  </si>
  <si>
    <t>Activity 3.2.3</t>
  </si>
  <si>
    <t xml:space="preserve">Virtual Creative sessions with each of the nodes to define the thematic and conceptual structuring of the tools </t>
  </si>
  <si>
    <t>Conceptual and thematic structure of the ICPT will have a differential approach allowing for the vision, knowledge, expectations and leadership of women within each basin, and will seek to encourage the empowerement of women leaders</t>
  </si>
  <si>
    <t>3.2.4</t>
  </si>
  <si>
    <t>Activity 3.2.4</t>
  </si>
  <si>
    <t xml:space="preserve">Virtual ICPT production  to what was developed in each node </t>
  </si>
  <si>
    <t>The production of communication tools will develop technical communication and content development skills within the women of the community.</t>
  </si>
  <si>
    <t>3.2.5</t>
  </si>
  <si>
    <t>Activity 3.2.5</t>
  </si>
  <si>
    <t xml:space="preserve">2  consultaiton activities on the HPCI production </t>
  </si>
  <si>
    <t>Consultancies will propose spaces for listening and for collective construction, especially aimed at the young female leaders participating in each communication node.</t>
  </si>
  <si>
    <t>3.2.6</t>
  </si>
  <si>
    <t>Activity 3.2.6</t>
  </si>
  <si>
    <t>3.2.7</t>
  </si>
  <si>
    <t>Activity 3.2.7</t>
  </si>
  <si>
    <t>3.2.8</t>
  </si>
  <si>
    <t>Activity 3.2.8</t>
  </si>
  <si>
    <t>Output 3.3</t>
  </si>
  <si>
    <t xml:space="preserve">Female and male young leaders generate communication strategies for the replica and use of innovative communication pedagogical tools as self-protection strategies </t>
  </si>
  <si>
    <t>3.3.1</t>
  </si>
  <si>
    <t>Activity 3.3.1</t>
  </si>
  <si>
    <t>Virtual meetings with representatives of the nodes to design the replication possibilities of the HPCIs designed within each node</t>
  </si>
  <si>
    <t>The methodology of the virtual meetings will develop dynamics that will strengthen the relationship between the different basins, strengthen the ties between the women belonging to the different nodes, strengthen leadership skills, decision-making, and generate support networks within the different basins. .</t>
  </si>
  <si>
    <t>3.3.2</t>
  </si>
  <si>
    <t>Activity 3.3.2</t>
  </si>
  <si>
    <t>Virtual micro-workshop on audiences</t>
  </si>
  <si>
    <t>The microworkshopwill feature an audience generation session that encourages equality between men and women, discourages micromachisms and invites women in the community to actively participate in the different political and communication spaces within each basin.</t>
  </si>
  <si>
    <t>3.3.3</t>
  </si>
  <si>
    <t>Activity 3.3.3</t>
  </si>
  <si>
    <t>ICPT Publishing and Deployment</t>
  </si>
  <si>
    <t>Before and during the publication of the tools developed, the content director of the project will monitor the editorial and provide guidelines so that the publication of the content is influential and has a wide dissemination within the community, especially among women.</t>
  </si>
  <si>
    <t>3.3.4</t>
  </si>
  <si>
    <t>Activity 3.3.4</t>
  </si>
  <si>
    <t>Follow up on ICPT implementation</t>
  </si>
  <si>
    <t>There will be a workflow within each node that allows verifying the equitable participation of the node's members and also identifies the successes and improvements, to achieve a greater impact and dissemination within the different nodes.</t>
  </si>
  <si>
    <t>3.3.5</t>
  </si>
  <si>
    <t>Activity 3.3.5</t>
  </si>
  <si>
    <t>Strengthening of existing communication tools</t>
  </si>
  <si>
    <t>Through spaces for discussion, decision-making and joint construction, the communication tools to be strengthened will be defined. Methodologies will be implemented that allow the production and content to invite the strengthening of the collective leadership of women in each basin.</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</si>
  <si>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</si>
  <si>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</si>
  <si>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</si>
  <si>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</si>
  <si>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</si>
  <si>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</si>
  <si>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</si>
  <si>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</si>
  <si>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</si>
  <si>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</si>
  <si>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</si>
  <si>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</si>
  <si>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</si>
  <si>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</si>
  <si>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</si>
  <si>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</si>
  <si>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</si>
  <si>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</si>
  <si>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</si>
  <si>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</si>
  <si>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</si>
  <si>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</si>
  <si>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</si>
  <si>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</si>
  <si>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</si>
  <si>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</si>
  <si>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</si>
  <si>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</si>
  <si>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</si>
  <si>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</si>
  <si>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</si>
  <si>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</si>
  <si>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</si>
  <si>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</si>
  <si>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</si>
  <si>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</si>
  <si>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</si>
  <si>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</si>
  <si>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</si>
  <si>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</si>
  <si>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</si>
  <si>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</si>
  <si>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</si>
  <si>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</si>
  <si>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</si>
  <si>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</si>
  <si>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</si>
  <si>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</si>
  <si>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</si>
  <si>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 xml:space="preserve">SALARY SUPPORT </t>
  </si>
  <si>
    <t>Additional personnel costs</t>
  </si>
  <si>
    <t>Support Cost</t>
  </si>
  <si>
    <t>SUPPORT</t>
  </si>
  <si>
    <t>Additional operational costs</t>
  </si>
  <si>
    <t>MAE</t>
  </si>
  <si>
    <t>Monitoring budget</t>
  </si>
  <si>
    <t>M&amp;E (5%)</t>
  </si>
  <si>
    <t>Budget for independent final evaluation</t>
  </si>
  <si>
    <t>Budget for independent audit</t>
  </si>
  <si>
    <t>AUDITORIA (0,75%)</t>
  </si>
  <si>
    <t>Total Additional Costs</t>
  </si>
  <si>
    <t>Totals</t>
  </si>
  <si>
    <t>Recipient Organization 2</t>
  </si>
  <si>
    <t>Recipient Organization 3</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</si>
  <si>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</si>
  <si>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</si>
  <si>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</si>
  <si>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</si>
  <si>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</si>
  <si>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</si>
  <si>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</si>
  <si>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</si>
  <si>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</si>
  <si>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</si>
  <si>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</si>
  <si>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</si>
  <si>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</si>
  <si>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</si>
  <si>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</si>
  <si>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Cost Center</t>
  </si>
  <si>
    <t>Account</t>
  </si>
  <si>
    <t>User</t>
  </si>
  <si>
    <t>Cur</t>
  </si>
  <si>
    <t>Y4</t>
  </si>
  <si>
    <t/>
  </si>
  <si>
    <t>COP</t>
  </si>
  <si>
    <t>Z4</t>
  </si>
  <si>
    <t>CO339</t>
  </si>
  <si>
    <t>CO609</t>
  </si>
  <si>
    <t>CO106</t>
  </si>
  <si>
    <t>CO330</t>
  </si>
  <si>
    <t>CO366</t>
  </si>
  <si>
    <t>CO441</t>
  </si>
  <si>
    <t>CO476</t>
  </si>
  <si>
    <t>CO532</t>
  </si>
  <si>
    <t>CO632</t>
  </si>
  <si>
    <t>CO273</t>
  </si>
  <si>
    <t>CO187</t>
  </si>
  <si>
    <t>CO276</t>
  </si>
  <si>
    <t>CO527</t>
  </si>
  <si>
    <t>Table 2 - Output breakdown by UN budget categories</t>
  </si>
  <si>
    <t>Recipient Agency 2</t>
  </si>
  <si>
    <t>Recipient Agency 3</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</si>
  <si>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</si>
  <si>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</si>
  <si>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</si>
  <si>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</si>
  <si>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</si>
  <si>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</si>
  <si>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</si>
  <si>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</si>
  <si>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</si>
  <si>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</si>
  <si>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</si>
  <si>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</si>
  <si>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</si>
  <si>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</si>
  <si>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</si>
  <si>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</si>
  <si>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</si>
  <si>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</si>
  <si>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</si>
  <si>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</si>
  <si>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</si>
  <si>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Subtotal</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</si>
  <si>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</si>
  <si>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</si>
  <si>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</si>
  <si>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</si>
  <si>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</si>
  <si>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</si>
  <si>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</si>
  <si>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</si>
  <si>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</si>
  <si>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</si>
  <si>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</si>
  <si>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</si>
  <si>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</si>
  <si>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</si>
  <si>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</si>
  <si>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</si>
  <si>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</si>
  <si>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</si>
  <si>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</si>
  <si>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</si>
  <si>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</si>
  <si>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</si>
  <si>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Recip Agency 2</t>
  </si>
  <si>
    <t>Recip Agency 3</t>
  </si>
  <si>
    <t>Third Tranche:</t>
  </si>
  <si>
    <t>Description</t>
  </si>
  <si>
    <t>Location</t>
  </si>
  <si>
    <t>Period from</t>
  </si>
  <si>
    <t>Period to</t>
  </si>
  <si>
    <t>Unit_type</t>
  </si>
  <si>
    <t>No of Units</t>
  </si>
  <si>
    <t>Frequency / timefram</t>
  </si>
  <si>
    <t>Unit price</t>
  </si>
  <si>
    <t>%</t>
  </si>
  <si>
    <t>Activity Code</t>
  </si>
  <si>
    <t>ResNO</t>
  </si>
  <si>
    <t>Output/result</t>
  </si>
  <si>
    <t>Donor account</t>
  </si>
  <si>
    <t>Master_ref</t>
  </si>
  <si>
    <t>Site</t>
  </si>
  <si>
    <t>Currency amount</t>
  </si>
  <si>
    <t>This grant NOK</t>
  </si>
  <si>
    <t>IP personnel cost</t>
  </si>
  <si>
    <t>Number</t>
  </si>
  <si>
    <t>3</t>
  </si>
  <si>
    <t>2</t>
  </si>
  <si>
    <t>IP operating costs</t>
  </si>
  <si>
    <t>IP transport &amp; travel cost</t>
  </si>
  <si>
    <t>IP Project activities (N3)</t>
  </si>
  <si>
    <t>Computers and printers purchase</t>
  </si>
  <si>
    <t>LOG</t>
  </si>
  <si>
    <t>Producción/desarrollo de instrumentos de gobierno propio/estrategias de autoprotección. Uno por cada microzona</t>
  </si>
  <si>
    <t>talleres de construcción/actualización de instrumento de gobierno propio. Bioseguridad y materiales para escuela de justicia ancestral</t>
  </si>
  <si>
    <t>talleres de construcción/actualización de instrumento de gobierno propio. Cinco talleres por microzona. Dos talleres con autoridades para aprobación. Alimentación, transporte, alquiler de salón, talleristas sabedores y autoridades</t>
  </si>
  <si>
    <t>espacios/sesiones de gobierno propio para la réplica. En cada uno de los 43 consejos comunitarios. actividades de replica de instrumentos de gobierno propio y uso de herramientas pedagógicas de autoprotección</t>
  </si>
  <si>
    <t>espacios/sesiones de gobierno propio para la réplica. En cada uno de los 43 consejos comunitarios. actividades de replica de instrumentos de gobierno propio y uso de herramientas pedagógicas de autoprotección . Alimentación y transporte</t>
  </si>
  <si>
    <t>Talleres de capacitación en leadership, peacebuilding, non-violent strategic action, etc. bioseguridad, materiales, dotación elementos para escuela de Justicia propia y empoderameinto político</t>
  </si>
  <si>
    <t>Talleres de capacitación en leadership, peacebuilding, non-violent strategic action, etc. 8 Talleres Alimentación, transporte, alquiler de lugar, talleristas sabedores y autoridades</t>
  </si>
  <si>
    <t>Asamblea general de socialización y aprobación de plan de trabajo. Alimentación, Transporte, bioseguridad, materiales</t>
  </si>
  <si>
    <t>Talleres para desarrollo de planes de trabajo para la mitigación de riesgos identificados. gastos de materiales y producción de plan y documentos de mitigación de riesgos</t>
  </si>
  <si>
    <t>Talleres para desarrollo de planes de trabajo para la mitigación de riesgos identificados. Un taller por microzona: 6 talleres</t>
  </si>
  <si>
    <t>talleres/sesiones de identificación y evaluación de riesgos . gastos de materiales y elementos de bioseguridad</t>
  </si>
  <si>
    <t>talleres/sesiones de identificación y evaluación de riesgos . Tres en cada microzona: 15 talleres gastos de desarrollo de la actividad</t>
  </si>
  <si>
    <t>Month</t>
  </si>
  <si>
    <t>SUP</t>
  </si>
  <si>
    <t>Other wage costs local staff</t>
  </si>
  <si>
    <t>HR</t>
  </si>
  <si>
    <t>CO999</t>
  </si>
  <si>
    <t>Technical Assistant_P género</t>
  </si>
  <si>
    <t>Team Leader P</t>
  </si>
  <si>
    <t>Driver</t>
  </si>
  <si>
    <t>Finance Technical Assistant</t>
  </si>
  <si>
    <t>FIN</t>
  </si>
  <si>
    <t>CO435</t>
  </si>
  <si>
    <t>Finance Oficier</t>
  </si>
  <si>
    <t>HR Team Leader</t>
  </si>
  <si>
    <t>CO363</t>
  </si>
  <si>
    <t>Support Service</t>
  </si>
  <si>
    <t>CO679</t>
  </si>
  <si>
    <t>Support Manager</t>
  </si>
  <si>
    <t>Grands  Officer</t>
  </si>
  <si>
    <t>Team Lider M&amp;E</t>
  </si>
  <si>
    <t>Asistant General</t>
  </si>
  <si>
    <t>Logistic Technical Assistant</t>
  </si>
  <si>
    <t>Area Manager</t>
  </si>
  <si>
    <t>Security Officer</t>
  </si>
  <si>
    <t>SEC</t>
  </si>
  <si>
    <t>Finance Team Leader</t>
  </si>
  <si>
    <t>PQR Assistant</t>
  </si>
  <si>
    <t>Logistic Coordinator</t>
  </si>
  <si>
    <t>CO404</t>
  </si>
  <si>
    <t>Finance Oficier IP</t>
  </si>
  <si>
    <t>HR Technical Assistant</t>
  </si>
  <si>
    <t>Logistic Team Lider</t>
  </si>
  <si>
    <t>Technical Assistant M&amp;E</t>
  </si>
  <si>
    <t>Office rent (TC-PP-QBI-GP-IPI)</t>
  </si>
  <si>
    <t>Warehouse rent</t>
  </si>
  <si>
    <t>Water &amp; waste removal</t>
  </si>
  <si>
    <t>Electricity and power</t>
  </si>
  <si>
    <t>Computer Systems- ICT GLOBAL</t>
  </si>
  <si>
    <t>Repair and maintenance buildings</t>
  </si>
  <si>
    <t>AUDIT/EXTERNAL EVALUATION COFL2103</t>
  </si>
  <si>
    <t>Office supplies</t>
  </si>
  <si>
    <t>Office meetings</t>
  </si>
  <si>
    <t>Mobile phones CO</t>
  </si>
  <si>
    <t>Satellite phones</t>
  </si>
  <si>
    <t>Internet services</t>
  </si>
  <si>
    <t>Postage</t>
  </si>
  <si>
    <t>Delivery services</t>
  </si>
  <si>
    <t>Fuel NRC vehicles</t>
  </si>
  <si>
    <t>Maintenance vehicles</t>
  </si>
  <si>
    <t>Insurance vehicles</t>
  </si>
  <si>
    <t>Domestic travel cost CO</t>
  </si>
  <si>
    <t>Visibility costs</t>
  </si>
  <si>
    <t>Other financial expenses</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</si>
  <si>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</si>
  <si>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</si>
  <si>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</si>
  <si>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</si>
  <si>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</si>
  <si>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</si>
  <si>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</si>
  <si>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</si>
  <si>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</si>
  <si>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</si>
  <si>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</si>
  <si>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</si>
  <si>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</si>
  <si>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</si>
  <si>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</si>
  <si>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</si>
  <si>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</si>
  <si>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</si>
  <si>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</si>
  <si>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</si>
  <si>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</si>
  <si>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</si>
  <si>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</si>
  <si>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</si>
  <si>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</si>
  <si>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</si>
  <si>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</si>
  <si>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</si>
  <si>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</si>
  <si>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</si>
  <si>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</si>
  <si>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</si>
  <si>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</si>
  <si>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</si>
  <si>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</si>
  <si>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</si>
  <si>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</si>
  <si>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</si>
  <si>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</si>
  <si>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</si>
  <si>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</si>
  <si>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</si>
  <si>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</si>
  <si>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</si>
  <si>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</si>
  <si>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</si>
  <si>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</si>
  <si>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</si>
  <si>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</si>
  <si>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</si>
  <si>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</si>
  <si>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</si>
  <si>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</si>
  <si>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</si>
  <si>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</si>
  <si>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</si>
  <si>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</si>
  <si>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</si>
  <si>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</si>
  <si>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</si>
  <si>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</si>
  <si>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</si>
  <si>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</si>
  <si>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</si>
  <si>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</si>
  <si>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</si>
  <si>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</si>
  <si>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</si>
  <si>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</si>
  <si>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</si>
  <si>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</si>
  <si>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</si>
  <si>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</si>
  <si>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</si>
  <si>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</si>
  <si>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</si>
  <si>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</si>
  <si>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</si>
  <si>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</si>
  <si>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</si>
  <si>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</si>
  <si>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</si>
  <si>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</si>
  <si>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</si>
  <si>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</si>
  <si>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</si>
  <si>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</si>
  <si>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</si>
  <si>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</si>
  <si>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</si>
  <si>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</si>
  <si>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</si>
  <si>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</si>
  <si>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</si>
  <si>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</si>
  <si>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</si>
  <si>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</si>
  <si>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</si>
  <si>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</si>
  <si>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</si>
  <si>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</si>
  <si>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</si>
  <si>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</si>
  <si>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</si>
  <si>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</si>
  <si>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</si>
  <si>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</si>
  <si>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</si>
  <si>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</si>
  <si>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</si>
  <si>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</si>
  <si>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</si>
  <si>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</si>
  <si>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</si>
  <si>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</si>
  <si>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</si>
  <si>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</si>
  <si>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</si>
  <si>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</si>
  <si>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</si>
  <si>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</si>
  <si>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</si>
  <si>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</si>
  <si>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</si>
  <si>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</si>
  <si>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</si>
  <si>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</si>
  <si>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</si>
  <si>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</si>
  <si>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</si>
  <si>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</si>
  <si>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</si>
  <si>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</si>
  <si>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</si>
  <si>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</si>
  <si>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</si>
  <si>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</si>
  <si>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</si>
  <si>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</si>
  <si>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</si>
  <si>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</si>
  <si>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</si>
  <si>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</si>
  <si>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</si>
  <si>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</si>
  <si>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</si>
  <si>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</si>
  <si>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</si>
  <si>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</si>
  <si>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</si>
  <si>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</si>
  <si>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</si>
  <si>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</si>
  <si>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</si>
  <si>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</si>
  <si>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</si>
  <si>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</si>
  <si>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</si>
  <si>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</si>
  <si>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</si>
  <si>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</si>
  <si>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</si>
  <si>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</si>
  <si>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</si>
  <si>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</si>
  <si>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</si>
  <si>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</si>
  <si>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</si>
  <si>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</si>
  <si>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</si>
  <si>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</si>
  <si>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</si>
  <si>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</si>
  <si>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</si>
  <si>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</si>
  <si>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</si>
  <si>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</si>
  <si>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</si>
  <si>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</si>
  <si>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</si>
  <si>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</si>
  <si>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</si>
  <si>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</si>
  <si>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</si>
  <si>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</si>
  <si>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</si>
  <si>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</si>
  <si>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</si>
  <si>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</si>
  <si>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</si>
  <si>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</si>
  <si>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</si>
  <si>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</si>
  <si>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</si>
  <si>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</si>
  <si>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</si>
  <si>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</si>
  <si>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</si>
  <si>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</si>
  <si>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</si>
  <si>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</si>
  <si>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</si>
  <si>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</si>
  <si>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</si>
  <si>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</si>
  <si>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</si>
  <si>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</si>
  <si>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</si>
  <si>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</si>
  <si>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</si>
  <si>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</si>
  <si>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</si>
  <si>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</si>
  <si>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</si>
  <si>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</si>
  <si>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</si>
  <si>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</si>
  <si>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</si>
  <si>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</si>
  <si>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</si>
  <si>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</si>
  <si>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</si>
  <si>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</si>
  <si>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</si>
  <si>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</si>
  <si>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</si>
  <si>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</si>
  <si>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</si>
  <si>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</si>
  <si>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</si>
  <si>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</si>
  <si>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</si>
  <si>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</si>
  <si>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</si>
  <si>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</si>
  <si>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</si>
  <si>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</si>
  <si>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</si>
  <si>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</si>
  <si>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</si>
  <si>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</si>
  <si>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</si>
  <si>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</si>
  <si>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</si>
  <si>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</si>
  <si>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</si>
  <si>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</si>
  <si>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</si>
  <si>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</si>
  <si>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</si>
  <si>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</si>
  <si>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</si>
  <si>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</si>
  <si>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</si>
  <si>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</si>
  <si>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</si>
  <si>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</si>
  <si>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</si>
  <si>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</si>
  <si>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</si>
  <si>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</si>
  <si>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</si>
  <si>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</si>
  <si>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</si>
  <si>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</si>
  <si>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</si>
  <si>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</si>
  <si>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</si>
  <si>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</si>
  <si>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</si>
  <si>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</si>
  <si>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</si>
  <si>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</si>
  <si>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</si>
  <si>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</si>
  <si>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</si>
  <si>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</si>
  <si>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</si>
  <si>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</si>
  <si>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</si>
  <si>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</si>
  <si>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</si>
  <si>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</si>
  <si>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</si>
  <si>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</si>
  <si>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</si>
  <si>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</si>
  <si>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</si>
  <si>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</si>
  <si>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</si>
  <si>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</si>
  <si>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</si>
  <si>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</si>
  <si>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</si>
  <si>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</si>
  <si>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</si>
  <si>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</si>
  <si>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</si>
  <si>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</si>
  <si>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</si>
  <si>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</si>
  <si>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</si>
  <si>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</si>
  <si>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</si>
  <si>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</si>
  <si>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</si>
  <si>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</si>
  <si>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</si>
  <si>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</si>
  <si>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</si>
  <si>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</si>
  <si>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</si>
  <si>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</si>
  <si>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</si>
  <si>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</si>
  <si>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</si>
  <si>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</si>
  <si>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</si>
  <si>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</si>
  <si>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</si>
  <si>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</si>
  <si>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</si>
  <si>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</si>
  <si>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</si>
  <si>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</si>
  <si>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</si>
  <si>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</si>
  <si>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</si>
  <si>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</si>
  <si>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</si>
  <si>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</si>
  <si>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</si>
  <si>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</si>
  <si>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</si>
  <si>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</si>
  <si>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</si>
  <si>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</si>
  <si>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</si>
  <si>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</si>
  <si>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</si>
  <si>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Budget_ID</t>
  </si>
  <si>
    <t>LINK IDs</t>
  </si>
  <si>
    <t>Last update</t>
  </si>
  <si>
    <t>PRT</t>
  </si>
  <si>
    <t>Advance to Implementing Partners (IP)</t>
  </si>
  <si>
    <t>Planeación 2021</t>
  </si>
  <si>
    <t>Cali (CL)</t>
  </si>
  <si>
    <t>Result three M&amp;E activities</t>
  </si>
  <si>
    <t>Result two M&amp;E activities</t>
  </si>
  <si>
    <t>Result one M&amp;E activities</t>
  </si>
  <si>
    <t>Accountability activities</t>
  </si>
  <si>
    <t>Independent evaluation</t>
  </si>
  <si>
    <t>Endline data collection</t>
  </si>
  <si>
    <t>Baseline data collection</t>
  </si>
  <si>
    <t>JUCA</t>
  </si>
  <si>
    <t>Coordinator P</t>
  </si>
  <si>
    <t>FRAL</t>
  </si>
  <si>
    <t>GRT</t>
  </si>
  <si>
    <t>Security services &amp; alarm costs</t>
  </si>
  <si>
    <t>ICT</t>
  </si>
  <si>
    <t>Travel Cost M&amp;E</t>
  </si>
  <si>
    <t>Insurance inventory and equipment</t>
  </si>
  <si>
    <t>Total presupuesto aprobado</t>
  </si>
  <si>
    <t>Total del gasto desde el ultimo reporte</t>
  </si>
  <si>
    <t>Gasto del periodo actual</t>
  </si>
  <si>
    <t>Total del gasto al cierre de este periodo</t>
  </si>
  <si>
    <t>SALDO DEL PRESUPUESTO</t>
  </si>
  <si>
    <t>Gasto planeado para el siguiente periodo</t>
  </si>
  <si>
    <t>Saldo del presupuesto despues del siguiente periodo</t>
  </si>
  <si>
    <t>SOCIO 
Cod de Cuenta</t>
  </si>
  <si>
    <t>CODIGO DONANTE</t>
  </si>
  <si>
    <t>NRC Cod Cuenta</t>
  </si>
  <si>
    <t>Sub-cuenta</t>
  </si>
  <si>
    <t>S/P</t>
  </si>
  <si>
    <t>Descripcio</t>
  </si>
  <si>
    <t>COP/USD</t>
  </si>
  <si>
    <t>1.</t>
  </si>
  <si>
    <t>INVERSIONES</t>
  </si>
  <si>
    <t>Flota y equipo de transporte</t>
  </si>
  <si>
    <t>COFY2102- IP1011-1</t>
  </si>
  <si>
    <t xml:space="preserve">Muebles y enseres </t>
  </si>
  <si>
    <t>Computadores</t>
  </si>
  <si>
    <t>Impresoras</t>
  </si>
  <si>
    <t>Equipo de telecomunicaciones</t>
  </si>
  <si>
    <t xml:space="preserve"> </t>
  </si>
  <si>
    <t>Otras inversiones (si no estan en los grupos anteriores - especifique los items)</t>
  </si>
  <si>
    <t>Subtotal, Inversiones</t>
  </si>
  <si>
    <t>2.</t>
  </si>
  <si>
    <t>PERSONAL</t>
  </si>
  <si>
    <t>Coordinador(a) / contrato por prestación de servicios</t>
  </si>
  <si>
    <t>Psicologo(a) / contrato por prestación de servicios</t>
  </si>
  <si>
    <t>Trabajador(a) Social / contrato por prestación de servicios</t>
  </si>
  <si>
    <t>Secretaria / contrato por prestación de servicios</t>
  </si>
  <si>
    <t>Contador(a) / contrato por prestación de servicios</t>
  </si>
  <si>
    <t>Auxiliar Contable / contrato por prestación de servicios</t>
  </si>
  <si>
    <t>Consultor impulsor / contrato por prestación de servicios</t>
  </si>
  <si>
    <t>Coordinador Mujer / contrato por prestación de servicios</t>
  </si>
  <si>
    <t>Coordinador Comunicaciones / contrato por prestación de servicios</t>
  </si>
  <si>
    <t>Coordinador Jovenes / contrato por prestación de servicios</t>
  </si>
  <si>
    <t>Subtotal, Personal</t>
  </si>
  <si>
    <t xml:space="preserve">3. </t>
  </si>
  <si>
    <t>GASTOS OPERACIONALES LOCALES (N2)</t>
  </si>
  <si>
    <t>Arriendo de oficina y otros costos de oficina</t>
  </si>
  <si>
    <t>Servicio de Luz</t>
  </si>
  <si>
    <t>Servicio de Agua</t>
  </si>
  <si>
    <t>Teléfono, internet, maul y otros costos de comunicación</t>
  </si>
  <si>
    <t xml:space="preserve">Elementos deaseo y cafeteria </t>
  </si>
  <si>
    <t>Seguro de equipos asignados al proyecto</t>
  </si>
  <si>
    <t>Servicio Técnico</t>
  </si>
  <si>
    <t>Mantenimientos y reparaciones</t>
  </si>
  <si>
    <r>
      <t xml:space="preserve">Gastos Bancarios - Comisiones e Impuestos </t>
    </r>
    <r>
      <rPr>
        <b/>
        <sz val="11"/>
        <rFont val="Arial"/>
        <family val="2"/>
      </rPr>
      <t>(*)</t>
    </r>
  </si>
  <si>
    <t>Otros costos (especifque en sub-lineas)</t>
  </si>
  <si>
    <t>Subtotal, Gastos Operacionales Locales</t>
  </si>
  <si>
    <t>4.</t>
  </si>
  <si>
    <t>TRANSPORTE Y GASTOS DE VIAJE</t>
  </si>
  <si>
    <t>Alojamiento</t>
  </si>
  <si>
    <t>Alimentaciòn</t>
  </si>
  <si>
    <t>Transporte Aereo</t>
  </si>
  <si>
    <t xml:space="preserve">Transporte Terrestre </t>
  </si>
  <si>
    <t>Mantenimiento de vehiculos</t>
  </si>
  <si>
    <t>Otros costos de transporte</t>
  </si>
  <si>
    <t>Subtotal, Gastos de Viaje</t>
  </si>
  <si>
    <t>ACTIVIDADES DEL PROYECTO (F)</t>
  </si>
  <si>
    <t xml:space="preserve">5. </t>
  </si>
  <si>
    <t>ACTIVIDADES DELPROYECTO (N3)</t>
  </si>
  <si>
    <t>Actividad 1.1.caracterización e identidicación de  población Mujeres.
Dos talleres por microcuenca.  Total 10 talleres</t>
  </si>
  <si>
    <t>Transporte de los participantes</t>
  </si>
  <si>
    <t>Alquiler salones</t>
  </si>
  <si>
    <t>Fotocopias / Folletos</t>
  </si>
  <si>
    <t>Alimentacion</t>
  </si>
  <si>
    <t xml:space="preserve">Kit de bioseguridad (Gel antibaterial, 2 tapabocas,Toallas antibateriales, Jabon liquido personal) </t>
  </si>
  <si>
    <t>Sub-total, Actividad 1.1.</t>
  </si>
  <si>
    <t xml:space="preserve">Actividad 1.2. 5 talleres dirigidos líderesas/líderes jovenes y autoridades étnicas sobre: identificación de riesgos, prevención de VBG, derechos y equidad de género, rutas de protección individuales y colectivas, estrategias de mitigación, y medidas de autoprotección (Son talleres Vinculados al observación) </t>
  </si>
  <si>
    <t>Facilitadores para actividades concretas: Se cancelará $ 500.000  a un tallerista por cada taller  (secciones de 6 horas x 5 talleres)</t>
  </si>
  <si>
    <t>Insumos y/o Materiales (Agendas distintivas que se entregaran a las 100 mujeres que participaran)</t>
  </si>
  <si>
    <t>Dotacion para los Participantes (Camibusos para mujeres lideresas)</t>
  </si>
  <si>
    <t>Alimentacion por medio de olla comunitaria</t>
  </si>
  <si>
    <t>Carnets  distintivos para las 100 mujeres que participan de los talleres de  formacion</t>
  </si>
  <si>
    <t>Sub-total, Actividad 1.2</t>
  </si>
  <si>
    <t xml:space="preserve">Actividad 1.3. 10 reuniones para la construcion de (rutas de prevención/estrategias comunitarias de violencia basada en genero VBG, incluidas en estrategias/planes/instrumentos de gobierno propio)  170 personas cada uno (Instrumento de monitoreo, Ruta para la atencion de las Mujeres con enfoque de la mujer negra y ruta de trabajo con el tribunal) </t>
  </si>
  <si>
    <t>Sistematizador / Orden de compra</t>
  </si>
  <si>
    <t>Transporte del personal del proyecto</t>
  </si>
  <si>
    <t>Cartilla Ruta de mujeres</t>
  </si>
  <si>
    <t>Sub-total, Actividad 1.3</t>
  </si>
  <si>
    <t xml:space="preserve">Actividad 1.4 3 Reuniones de autoridades para  aprobación de documentos ruta 70 personas cada una (Instrumento de monitoreo, Ruta para la atencion de las Mujeres con enfoque de la mujer negra y ruta de trabajo con el tribunal) </t>
  </si>
  <si>
    <t>Sub-total, Actividad 1.4.</t>
  </si>
  <si>
    <t>Actividad 1.5. Puesta en marcha del observatorio de violencias basadas en genero de las mujeres negras del Norte del Cauca.</t>
  </si>
  <si>
    <t>Diseño, implementacion y manejo de software que permita el analisis de la situacion de las mujeres del pueblo negra del Norte del Cauca actividad 2.3.3</t>
  </si>
  <si>
    <t>Asesoria para puesta en marcha de la ruta del observatorio - Prestación de servicios</t>
  </si>
  <si>
    <t>Actividad 1.5.1.Consejos de protecion Violencia de Basada en genero 3 Consejos de proteción por Microcuenca, para la identificacion y solucion de casos de liderezas que han sufrido algun tipo de afectación por su labor 30 personas por cada consejo proteción</t>
  </si>
  <si>
    <t xml:space="preserve">Enlaces etnicos (Facilitadores para enlances de campo )- Prestación de servicios </t>
  </si>
  <si>
    <t>Actividad 1.5.2. 25 seciones de atencion a las mujeres con atencion psicosocial, actividades de esparcimiento  y encuentros con el ser. Se atenderan 10 mujeres por microcuenca para un total de 50 mujeres(Actividad de iniviativas Comunitarias 5 seciones por microcuenca)</t>
  </si>
  <si>
    <t>Insumos y/o Materiales</t>
  </si>
  <si>
    <t>Retiro e intercambio de experiencia con mujeres palenque de san  Basilio 100 mujeres</t>
  </si>
  <si>
    <t>Actividad 1.5.3 recorridos para la  identificacion de 5 sitios emblematicos de mujeres y reconocimiento por medio arte cultural carateristico del pueblo negro 20 personas por recorrido</t>
  </si>
  <si>
    <t>Investigador de campo / contrato por prestación de servicios</t>
  </si>
  <si>
    <t>Artista cultural / contrato por prestación de servicios</t>
  </si>
  <si>
    <t>Insumos artisticos</t>
  </si>
  <si>
    <t>Actividad 1.5.4 Reconocimiento de mujeres matronas ejemplares, una por cada microzona 1 taller por microcuenca de 30 personas  para identificar aportes significativos de mujeres y actividad  conjunta  de 70 personas para homeneajear a estas mujeres"20"(Actividades iniciativas comunitarias)</t>
  </si>
  <si>
    <t>Actividades de conmemoraciones a mujeres líderes</t>
  </si>
  <si>
    <t>Actividad 1.5.6 Implementacion del centro de pensamiento  y recuperacion de la memomria de mujeres negras del norte del Cauca(Inicitativas Propias)(2.3.1)</t>
  </si>
  <si>
    <t>Actividades centro de pensamiento afro</t>
  </si>
  <si>
    <t>Actividad 1.5.7 5 Encuentros interetnicos de mujeres para la construcion del eje de mujer del plan de vida inteetnico e intercultural, de las comunidades Negras, Indigenas Y campesinas en el Norte del Cauca 80 Mujeres cada uno 2 dias cada taller</t>
  </si>
  <si>
    <t>Cartilla plan de vida Actualizado</t>
  </si>
  <si>
    <t>Sub-total, Actividad 1.5.</t>
  </si>
  <si>
    <t>Actividad 1.6 3 Cuarto encuentro de consejos comunitarios  3 seciones 200 personas cada una,  3 espacios de preencuentro y preparacion por microcuenca 30 persona cada uno.</t>
  </si>
  <si>
    <t>Talleristas, artistas nacionales y gastos logistico</t>
  </si>
  <si>
    <t>Sub-total, Actividad 1.6.</t>
  </si>
  <si>
    <t>Actividad 1.7  Reuniones de Consejo mayor para evaluacion  de actividades y avance del proyecto 15 reuniones, una reunión Mensual con 11 delegados del consejo mayor.</t>
  </si>
  <si>
    <t>Sub-total, Actividad 1.7.</t>
  </si>
  <si>
    <t>Subtotal, Actividades del Proyecto</t>
  </si>
  <si>
    <t xml:space="preserve">TOTAL </t>
  </si>
  <si>
    <t>Se adjuntará una lista de gastos del sistema contable del socio (libro mayor), que mostrará los totales por código de cuenta.</t>
  </si>
  <si>
    <t xml:space="preserve">ROSANA MEJIA CAICEDO </t>
  </si>
  <si>
    <t>Aprobado por (Socio):</t>
  </si>
  <si>
    <t>Representante Legal y Consejera Mayor</t>
  </si>
  <si>
    <t xml:space="preserve">Nombre  y cargo </t>
  </si>
  <si>
    <t>Firma</t>
  </si>
  <si>
    <t>Lugar y Fecha</t>
  </si>
  <si>
    <t>Director de cooperación</t>
  </si>
  <si>
    <t>Productora general</t>
  </si>
  <si>
    <t>Director administrativo</t>
  </si>
  <si>
    <t>Director de contenidos</t>
  </si>
  <si>
    <t>Diseño metodológico</t>
  </si>
  <si>
    <t>Coordinador del proyecto</t>
  </si>
  <si>
    <t>Persona de AV</t>
  </si>
  <si>
    <t>Director de Arte</t>
  </si>
  <si>
    <t>Arriendo de Oficina Sede</t>
  </si>
  <si>
    <t>Electricidad</t>
  </si>
  <si>
    <t>Acueducto</t>
  </si>
  <si>
    <t>Teléfono y fax</t>
  </si>
  <si>
    <t>Cuota de internet</t>
  </si>
  <si>
    <t>Elementos de Aseo // Bioseguridad</t>
  </si>
  <si>
    <t>Papeleria</t>
  </si>
  <si>
    <t>Seguro equipos adquiridos para el o los proyectos</t>
  </si>
  <si>
    <t>Gastos Bancarios  (Comisiones e Impuestos Bancarios) (*)</t>
  </si>
  <si>
    <t>Alojamiento para el personal</t>
  </si>
  <si>
    <t>Alimentación para el personal</t>
  </si>
  <si>
    <t>Transporte aéreo para el personal</t>
  </si>
  <si>
    <t>Transporte terrestre local para el personal</t>
  </si>
  <si>
    <t>Transporte Fluvial para el personal</t>
  </si>
  <si>
    <t>Actividad 1.1.</t>
  </si>
  <si>
    <t>Facilitadores para actividades concretas</t>
  </si>
  <si>
    <t>Transporte de participantes para reunión de nodos</t>
  </si>
  <si>
    <t>Transporte de los participantes a los demás talleres</t>
  </si>
  <si>
    <t>Insumos y/o Materiales (papelería y demás)</t>
  </si>
  <si>
    <t>Alquiler salones para talleres</t>
  </si>
  <si>
    <t>Alquiler de salones para el resto de reuniones</t>
  </si>
  <si>
    <t>Alquiler Equipos (cámaras fotográficas, de video, micrófonos,tripode, entre otros)</t>
  </si>
  <si>
    <t>Producción de herramientas de comunicación</t>
  </si>
  <si>
    <t>Refrigerios para jornada de talleres</t>
  </si>
  <si>
    <t>Publicación</t>
  </si>
  <si>
    <t>TASA DESEMBOLSO</t>
  </si>
  <si>
    <t>Client</t>
  </si>
  <si>
    <t>Head Account</t>
  </si>
  <si>
    <t>TT</t>
  </si>
  <si>
    <t>TT(T)</t>
  </si>
  <si>
    <t>TransNo</t>
  </si>
  <si>
    <t>Period</t>
  </si>
  <si>
    <t>Trans.date</t>
  </si>
  <si>
    <t>Project</t>
  </si>
  <si>
    <t>Res No</t>
  </si>
  <si>
    <t>Resno Name</t>
  </si>
  <si>
    <t xml:space="preserve">Out Put </t>
  </si>
  <si>
    <t>LCO AP ID</t>
  </si>
  <si>
    <t>LCO AP ID NAME</t>
  </si>
  <si>
    <t>Activity</t>
  </si>
  <si>
    <t>Budget ID</t>
  </si>
  <si>
    <t>InvoiceNo</t>
  </si>
  <si>
    <t>Voucher no</t>
  </si>
  <si>
    <t>Text</t>
  </si>
  <si>
    <t>Curr. amount</t>
  </si>
  <si>
    <t>USD</t>
  </si>
  <si>
    <t>NOK</t>
  </si>
  <si>
    <t>Local Currency</t>
  </si>
  <si>
    <t>Tax code</t>
  </si>
  <si>
    <t>Last Update</t>
  </si>
  <si>
    <t>CATEGORIA</t>
  </si>
  <si>
    <t xml:space="preserve">CAT UN </t>
  </si>
  <si>
    <t>HK</t>
  </si>
  <si>
    <t>CO</t>
  </si>
  <si>
    <t>3445</t>
  </si>
  <si>
    <t>EL</t>
  </si>
  <si>
    <t>General Ledger Posting (eARCHIVE)</t>
  </si>
  <si>
    <t>ELR</t>
  </si>
  <si>
    <t>COFY2102</t>
  </si>
  <si>
    <t>From UNDP COFY2102 - PBF/IRF-401-COL</t>
  </si>
  <si>
    <t>4042</t>
  </si>
  <si>
    <t>51250537</t>
  </si>
  <si>
    <t>A6</t>
  </si>
  <si>
    <t>GL Posting Popayán (CO)</t>
  </si>
  <si>
    <t>IP1010</t>
  </si>
  <si>
    <t>FUNDACION PACIFISTA</t>
  </si>
  <si>
    <t>P901329558</t>
  </si>
  <si>
    <t>901329558 FUNDACION PACIFISTA</t>
  </si>
  <si>
    <t>4042_SALARIO_DIRECTORA DE COOPERACIÓN_IP1010_COFY2102_PACIFISTA_PRIMER_INFORME_MARZO_2021</t>
  </si>
  <si>
    <t>IP1011</t>
  </si>
  <si>
    <t>ASOCIACION DE CONSEJOS COMUNITARIOS DEL NORTE DEL CAUCA</t>
  </si>
  <si>
    <t>P900274651</t>
  </si>
  <si>
    <t>900274651 ASOCIACION DE CONSEJOS COMUNITARIOS DEL NORTE DEL CAUCA</t>
  </si>
  <si>
    <t>IP1011-1</t>
  </si>
  <si>
    <t>4042_GASTOS_PERSONAL_COFY2102_IP1011_ACONC_TERCER_INFORME_MAYO_2021</t>
  </si>
  <si>
    <t>4042_SALARIOS_IP1010_COFY2102_PACIFISTA_SEGUNDO_INFORME_ABRIL A JUNIO_2021</t>
  </si>
  <si>
    <t>4042_GASTOS_PERSONAL_COFY2102_IP1011_ACONC_CUARTO_INFORME_JUNIO_2021_</t>
  </si>
  <si>
    <t>4042_GASTOS DE PERSONAL_COFY2102_IP1011_ACONC_SEXTO INFORME_AGOSTO 2021</t>
  </si>
  <si>
    <t>4042_GASTOS DE PERSONAL_COFY2102_IP1011_ACONC_QUINTO_INFORME_JULIO_2021</t>
  </si>
  <si>
    <t>4043</t>
  </si>
  <si>
    <t>51250538</t>
  </si>
  <si>
    <t>4043_GASTOS_ADMINISTRATIVOS_COFY2102_IP1010_PACIFISTA_PRIMER_INFORME_MARZO_2021</t>
  </si>
  <si>
    <t>4043_GASTOS_ADMINISTRATIVOS_COFY2102_IP1011_ACONC_SEGUNDO_INFORME_ABRIL_2021</t>
  </si>
  <si>
    <t>4043_GASTOS_ADMINISTRATIVOS_COFY2102_IP1011_ACONC_TERCER_INFORME_MAYO_2021</t>
  </si>
  <si>
    <t>4043_GASTOS OPERACIONALES_IP1010_COFY2102_PACIFISTA_SEGUNDO_INFORME_ABRIL A JUNIO_2021</t>
  </si>
  <si>
    <t>4043_GASTOS_ADMINISTRATIVOS_COFY2102_IP1011_ACONC_CUARTO_INFORME_JUNIO_2021_</t>
  </si>
  <si>
    <t>4043_GASTOS ADMINISTRATIVOS_COFY2102_IP1011_ACONC_QUINTO_INFORME_JULIO_2021</t>
  </si>
  <si>
    <t>4043_GASTOS ADMINISTRATIVOS_COFY2102_IP1011_ACONC_SEXTO INFORME_AGOSTO 2021</t>
  </si>
  <si>
    <t>4044</t>
  </si>
  <si>
    <t>51250539</t>
  </si>
  <si>
    <t>4044_GASTOS DE VIAJE_IP1010_COFY2102_PACIFISTA_SEGUNDO_INFORME_ABRIL A JUNIO_2021</t>
  </si>
  <si>
    <t>4045</t>
  </si>
  <si>
    <t>51250540</t>
  </si>
  <si>
    <t>4045_GASTOS_ACTIVIDADES_COFY2102_IP1011_ACONC_CUARTO_INFORME_JUNIO_2021_</t>
  </si>
  <si>
    <t>4045_GASTOS_ACTIVIDADES_COFY2102_IP1011_ACONC_SEXTO INFORME_AGOSTO 2021</t>
  </si>
  <si>
    <t>4050</t>
  </si>
  <si>
    <t>13609501</t>
  </si>
  <si>
    <t>A1</t>
  </si>
  <si>
    <t>GL Posting Bogota (CO)</t>
  </si>
  <si>
    <t>CLVA</t>
  </si>
  <si>
    <t>IP1010-1</t>
  </si>
  <si>
    <t>PRIMER DESEMBOLSO FUNDACION PACIFISTA IP1010-1</t>
  </si>
  <si>
    <t>IP1010_PACIFISTA_PRIMER_INFORME_MARZO_2021</t>
  </si>
  <si>
    <t>1ER DESEMBOLSO A ASOCIACION DE CONSEJOS COMUNITARIOS DEL NORTE DEL CAUCA</t>
  </si>
  <si>
    <t>4050_COFY2102_IP1011_ACONC_SEGUNDO_INFORME_ABRIL_2021</t>
  </si>
  <si>
    <t>4050_COFY2102_IP1011_ACONC_TERCER_INFORME_MAYO_2021</t>
  </si>
  <si>
    <t>IP1010_PACIFISTA_SEGUNDO_INFORME_ABRIL A JUNIO_2021</t>
  </si>
  <si>
    <t>IP1011_ACONC_CUARTO_INFORME_JUNIO_2021</t>
  </si>
  <si>
    <t>CO4PP</t>
  </si>
  <si>
    <t>AJUSTE_BID_MAL ALOCADO_4050_IP1011_ACONC_CUARTO_INFORME_JUNIO_2021</t>
  </si>
  <si>
    <t>4050_COFY2102_IP1011_ACONC_QUINTO_INFORME_JULIO_2021</t>
  </si>
  <si>
    <t>4050_COFY2102_IP1011_ACONC_SEXTO INFORME_AGOSTO 2021</t>
  </si>
  <si>
    <t>4240</t>
  </si>
  <si>
    <t>51157005</t>
  </si>
  <si>
    <t>SO04-262</t>
  </si>
  <si>
    <t>LAPTOP</t>
  </si>
  <si>
    <t>P807004387</t>
  </si>
  <si>
    <t>807004387 DOCUXER LTDA</t>
  </si>
  <si>
    <t>AJ_6101615_CUENTA_IVA_CLO0981-1_FC002302_COMPRA_PORTATIL__ELITEBOOK 840 G7 Core i7_5CG1224730_SO04-262</t>
  </si>
  <si>
    <t>M326</t>
  </si>
  <si>
    <t>CLO0981-1_FC002302_COMPRA_PORTATIL__ELITEBOOK 840 G7 Core i7_5CG1224730_SO04-262</t>
  </si>
  <si>
    <t>SO04-263</t>
  </si>
  <si>
    <t>CLO0981-1_FC002302_COMPRA_PORTATIL__ELITEBOOK 840 G7 Core i7_5CG12247Q9_SO04-263</t>
  </si>
  <si>
    <t>AJ_6101615_CUENTA_IVA_CLO0981-1_FC002302_COMPRA_PORTATIL__ELITEBOOK 840 G7 Core i7_5CG12247Q9_SO04-263</t>
  </si>
  <si>
    <t>SO04-264</t>
  </si>
  <si>
    <t>AJ_6101615_CUENTA_IVA_CLO0981-1_FC002302_COMPRA_PORTATIL__ELITEBOOK 840 G7 Core i7_5CG1213SGK_SO04-264</t>
  </si>
  <si>
    <t>CLO0981-1_FC002302_COMPRA_PORTATIL__ELITEBOOK 840 G7 Core i7_5CG1213SGK_SO04-264</t>
  </si>
  <si>
    <t>SO04-265</t>
  </si>
  <si>
    <t>CLO0981-1_FC002302_COMPRA_PORTATIL__ELITEBOOK 840 G7 Core i7_5CG1213SGB_SO04-265</t>
  </si>
  <si>
    <t>AJ_6101615_CUENTA_IVA_CLO0981-1_FC002302_COMPRA_PORTATIL__ELITEBOOK 840 G7 Core i7_5CG1213SGB_SO04-265</t>
  </si>
  <si>
    <t>SO04-266</t>
  </si>
  <si>
    <t>AJ_6101615_CUENTA_IVA_CLO0981-1_FC002302_COMPRA_PORTATIL__ELITEBOOK 840 G7 Core i7_5CG1213SG3_SO04-266</t>
  </si>
  <si>
    <t>CLO0981-1_FC002302_COMPRA_PORTATIL__ELITEBOOK 840 G7 Core i7_5CG1213SG3_SO04-266</t>
  </si>
  <si>
    <t>SO04-267</t>
  </si>
  <si>
    <t>CLO0981-1_FC002302_COMPRA_PORTATIL__ELITEBOOK 840 G7 Core i7_5CG1213SFX_SO04-267</t>
  </si>
  <si>
    <t>AJ_6101615_CUENTA_IVA_CLO0981-1_FC002302_COMPRA_PORTATIL__ELITEBOOK 840 G7 Core i7_5CG1213SFX_SO04-267</t>
  </si>
  <si>
    <t>4251</t>
  </si>
  <si>
    <t>51157007</t>
  </si>
  <si>
    <t>CLO0981-1_FC002302_GARANTIA_COMPRA_PORTATIL__ELITEBOOK 840 G7 Core i7_5CG122491S_SO04-262</t>
  </si>
  <si>
    <t>CLO0981-1_FC002302_GARANTIA_COMPRA_PORTATIL__ELITEBOOK 840 G7 Core i7_5CG122491S_SO04-263</t>
  </si>
  <si>
    <t>CLO0981-1_FC002302_GARANTIA_COMPRA_PORTATIL__ELITEBOOK 840 G7 Core i7_5CG122491S_SO04-264</t>
  </si>
  <si>
    <t>CLO0981-1_FC002302_GARANTIA_COMPRA_PORTATIL__ELITEBOOK 840 G7 Core i7_5CG122491S_SO04-265</t>
  </si>
  <si>
    <t>CLO0981-1_FC002302_GARANTIA_COMPRA_PORTATIL__ELITEBOOK 840 G7 Core i7_5CG122491S_SO04-266</t>
  </si>
  <si>
    <t>CLO0981-1_FC002302_GARANTIA_COMPRA_PORTATIL__ELITEBOOK 840 G7 Core i7_5CG122491S_SO04-267</t>
  </si>
  <si>
    <t>51452506</t>
  </si>
  <si>
    <t>4491</t>
  </si>
  <si>
    <t>51157086</t>
  </si>
  <si>
    <t>P890300279</t>
  </si>
  <si>
    <t>890300279 BANCO DE OCCIDENTE</t>
  </si>
  <si>
    <t>AJUST_TRANS_6101768_IVAS_CUENTA_1862_202108_CARGUES_WA</t>
  </si>
  <si>
    <t>IVAS_CUENTA_1862_202108_CARGUES_WA</t>
  </si>
  <si>
    <t>IVAS_1852_202108_CARGUES_WA</t>
  </si>
  <si>
    <t>AJUST_TRANS_6101771_IVAS_1852_202108_CARGUES_WA</t>
  </si>
  <si>
    <t>4500</t>
  </si>
  <si>
    <t>51109503</t>
  </si>
  <si>
    <t>P1062310736</t>
  </si>
  <si>
    <t>1062310736 LISET ALEJANDRA LARRAHONDO VASQUEZ</t>
  </si>
  <si>
    <t>E4</t>
  </si>
  <si>
    <t>WA003892</t>
  </si>
  <si>
    <t>CLO0932_WA003892_ALQUILER_ESPACIO_ PARA ACTIVIDAD PROYECTO PBF ACONC 2 Y 3 DE JULIO EN SANTANDER DE QUILICHAO CAUCA</t>
  </si>
  <si>
    <t>P1059986410</t>
  </si>
  <si>
    <t>1059986410 YILBER FABIAN LOPEZ GUAZA</t>
  </si>
  <si>
    <t>CLO1161-2_WA013003_HONORARIOS_CONTRATACIÓN_TALLERISTAS_ESCUELA_JÓVENES_EL_10_Y_11_DE_SEPTIEMBRE_EN_SANTANDER_DE_QUILICHAO_CAUCA</t>
  </si>
  <si>
    <t>P10554857</t>
  </si>
  <si>
    <t>10554857 RAMIRO BALLESTEROS</t>
  </si>
  <si>
    <t>CLO1137_WA008889_CONTRATACIÓN _TALLERISTAS_ESCUELA_JÓVENES_EL_27_Y_28_DE_AGOSTO_EN_VILLA_RICA CAUCA</t>
  </si>
  <si>
    <t>P1149686393</t>
  </si>
  <si>
    <t>1149686393 YAN CARLOS ROMERO MANCILLA</t>
  </si>
  <si>
    <t>CLO1137-1_WA008890_CONTRATACIÓN_TALLERISTAS_ESCUELA_JÓVENES_EL_27_Y_28_DE_AGOSTO_EN_VILLA_RICA_CAUCA</t>
  </si>
  <si>
    <t>P3885386</t>
  </si>
  <si>
    <t>3885386 MANUEL HERNANDEZ VALDES</t>
  </si>
  <si>
    <t>CLO1161-1_WA013002_HONORARIOS_CONTRATACIÓN_TALLERISTAS_ESCUELA_JÓVENES_EL_10_Y_11_DE_SEPTIEMBRE_EN_SANTANDER_DE_QUILICHAO_CAUCA</t>
  </si>
  <si>
    <t>P10740071</t>
  </si>
  <si>
    <t>10740071 BALANTA QUINTERO HEBERTO</t>
  </si>
  <si>
    <t>CLO1137-2__WA008992_COFY2102_HERIBERTO_BALANTA_QUINTERO_CONTRATACIÓN_TALLERISTAS_ESCUELA_JÓVENES_EL_27_Y_28_DE_AGOSTO_EN_VILLA_RICA_CAUCA</t>
  </si>
  <si>
    <t>51157013</t>
  </si>
  <si>
    <t>P890100577</t>
  </si>
  <si>
    <t>890100577 AVIANCA S.A</t>
  </si>
  <si>
    <t>TKT_FC769812_L.MORENO_BOG_CLO_BOG_23_02_2021_25_02_2021</t>
  </si>
  <si>
    <t>P900815663</t>
  </si>
  <si>
    <t>900815663 FROSCH COLOMBIA SAS</t>
  </si>
  <si>
    <t>P25281355</t>
  </si>
  <si>
    <t>25281355 MANA AUTOSERVICIO BELLA VISTA</t>
  </si>
  <si>
    <t>FC034247</t>
  </si>
  <si>
    <t>ALIMNETAC_GERARDO_FLETCHER_ACOMPAÑ_PROTECCION_SANTANDER_QUILICHAO</t>
  </si>
  <si>
    <t>C2</t>
  </si>
  <si>
    <t>GL Posting UCM (CO)</t>
  </si>
  <si>
    <t>BRBE</t>
  </si>
  <si>
    <t>FC770521</t>
  </si>
  <si>
    <t>FC770521_COFY2102_TIQUETE AEREO LEIDY MORENO</t>
  </si>
  <si>
    <t>TKT_FC770521_L.MORENO_BOG_CLO_BOG_07_A_10_03_2021</t>
  </si>
  <si>
    <t>TKT_FC770751_J.MORENO_BOG_CLO_BOG_07_03_A_09_03_2021</t>
  </si>
  <si>
    <t>Reversed Tr 12100576 FC770521_COFY2102_TIQUETE AEREO LEIDY MORENO</t>
  </si>
  <si>
    <t>TKT_FC773202_G.DIAZ_FLA_BOG_CLO_26_04_2021</t>
  </si>
  <si>
    <t>P900589600</t>
  </si>
  <si>
    <t>900589600 COMERCIALIZADORA Y DISTRIBUIDORA RAYGO</t>
  </si>
  <si>
    <t>FC000419</t>
  </si>
  <si>
    <t>CLO0772__FC000419__COMPRA_ELEMNTOS_BIOSEGURIDAD_ACTIV_PROYECTO_PBF_ACONC_PACIFISTA</t>
  </si>
  <si>
    <t>P900943243</t>
  </si>
  <si>
    <t>900943243 SURAMERICANA COMERCIAL SAS</t>
  </si>
  <si>
    <t>FC287883</t>
  </si>
  <si>
    <t>FC287883_A_ALIMNETAC_GERARDO_FLETCHER_TRANSP_REUNION_EQUIPO_IMPLEMENTAD_ACONCN_PACIFISTA</t>
  </si>
  <si>
    <t>P800190654</t>
  </si>
  <si>
    <t>800190654 PAPELERIA LOS COLORES SAS</t>
  </si>
  <si>
    <t>FC006658</t>
  </si>
  <si>
    <t>CLO0940_FC006658_COMPRA DE MATERIALES DE PAPELERÍA ACTIVIDADES ACONC</t>
  </si>
  <si>
    <t>P69030950</t>
  </si>
  <si>
    <t>69030950 MELO ROMERO AGLAY LILIAM</t>
  </si>
  <si>
    <t>FC430141</t>
  </si>
  <si>
    <t>FC430141_COMPRA_INSUMOS_PAPELERIA_RIESGO_PROYECTO_PBF</t>
  </si>
  <si>
    <t>TKT_FC781434_M.HERNANDEZ_BAQ_BOG_CLO_BOG_BAQ_09_A_12_09_2021</t>
  </si>
  <si>
    <t>P900941915</t>
  </si>
  <si>
    <t>900941915 INNTEGROUP SAS</t>
  </si>
  <si>
    <t>CLO1149_FC001182_COMPRA_DE_MATERIALES_PARA_LA_ESCUELA_DE_JÓVENES</t>
  </si>
  <si>
    <t>51201006</t>
  </si>
  <si>
    <t>P31219010</t>
  </si>
  <si>
    <t>31219010 DORALICE CAMACHO</t>
  </si>
  <si>
    <t>WA003834_CLO0095_DP_SERVICIO_ALQUILER_SALON_SOLICALIZACION_PROYECTO_ACONC_PROTECCION</t>
  </si>
  <si>
    <t>P34596339</t>
  </si>
  <si>
    <t>34596339 LEDEZMA SAMBONI GLORIA STELLA</t>
  </si>
  <si>
    <t>FC000086</t>
  </si>
  <si>
    <t>CLO0847_FC000086_ALQUILER_SALON_ACTIVIDAD PROYECTO PBF ACONC</t>
  </si>
  <si>
    <t>WA003886</t>
  </si>
  <si>
    <t>CLO0923-1_WA003886_ALQUILER DE ESPACIO PARA ACTIVIDAD PROYECTO PBF ACONC 21 Y 22 DE JUNIO EN PADILLA CAUCA</t>
  </si>
  <si>
    <t>P1059066786</t>
  </si>
  <si>
    <t>1059066786 PAULA ANDREA VERGARA CARABALI</t>
  </si>
  <si>
    <t>WA003896</t>
  </si>
  <si>
    <t>CLO0928_WA003896_SERVICIO DE ALQUILER DE ESPACIO PARA ACTIVIDAD PROYECTO PBF ACONC 28 Y 29 DE JUNIO EN VILLA RICA CAUCA</t>
  </si>
  <si>
    <t>FC000116</t>
  </si>
  <si>
    <t>CLO0982_FC000116_SERVICIO_ALQUILER DE ESPACIO CONSTRUCCIÓN PLAN DE TRABAJO PBF 12 Y 13 EN SANTANDER DE QUILICHAO</t>
  </si>
  <si>
    <t>FC000122</t>
  </si>
  <si>
    <t>CLO1018_FC000122_SERVICIO_ALQUILER_SALON_ CONSTRUCCIÓN PLAN DE TRABAJO PBF 22 DE JULIO EN SANTANDER DE QUILICHAO</t>
  </si>
  <si>
    <t>P1060418106</t>
  </si>
  <si>
    <t>1060418106 CLAUDIA MARCELA GARCIA DIAZ</t>
  </si>
  <si>
    <t>CLO0213_DP__WA009635_COFY2102_CLAUDIA_MARCELA_GARCIA_DIAZ__ALQUILER_ESPACIO_REUNIÓN_EN_VILLA_RICA__|</t>
  </si>
  <si>
    <t>CLO1127_WA008888_SERVICIO_DE_ALQUILER_SALON_ESCUELA_JÓVENES_EL_28_DE_AGOSTO_EN_SANTANDER_DE_QUILICHAO</t>
  </si>
  <si>
    <t>51354002</t>
  </si>
  <si>
    <t>CLO0772__FC000419_TRANSP_COMPRA_ELEMNTOS_BIOSEGURIDAD_ACTIV_PROYECTO_PBF_ACONC_PACIFISTA</t>
  </si>
  <si>
    <t>51559504</t>
  </si>
  <si>
    <t>P10539667</t>
  </si>
  <si>
    <t>10539667 DIAZ POLANCO ABSALON</t>
  </si>
  <si>
    <t>WA003212_ALIMENTACION_MARLON_GALINDO_TRANSP_ACOMPAÑ_PPY_SANTAMDER_QUILICHO</t>
  </si>
  <si>
    <t>P34659809</t>
  </si>
  <si>
    <t>34659809 NARVAEZ OLGA</t>
  </si>
  <si>
    <t>WA003213_ALIMENTACION_MARLON_GALINDO_TRANSP_ACOMPAÑ_PPY_SANTAMDER_QUILICHO</t>
  </si>
  <si>
    <t>WA003214_ALIMENTACION_MARLON_GALINDO_TRANSP_ACOMPAÑ_PPY_SANTAMDER_QUILICHO</t>
  </si>
  <si>
    <t>P800215807</t>
  </si>
  <si>
    <t>800215807 INSTITUTO NACIONAL DE VIAS</t>
  </si>
  <si>
    <t>FC580016_PEAJE_VEHICULO_HTY157_MARLON_GALINDO_TRANSP_ACOMPAÑ_PPY_SANTAMDER_QUILICHO</t>
  </si>
  <si>
    <t>FC471077_PEAJE_VEHICULO_HTY157_MARLON_GALINDO_TRANSP_ACOMPAÑ_PPY_SANTAMDER_QUILICHO</t>
  </si>
  <si>
    <t>FC624956_PEAJE_VEHICULO_HTY157_MARLON_GALINDO_TRANSP_ACOMPAÑ_PPY_SANTAMDER_QUILICHO</t>
  </si>
  <si>
    <t>FC523138_PEAJE_VEHICULO_HTY157_MARLON_GALINDO_TRANSP_ACOMPAÑ_PPY_SANTAMDER_QUILICHO</t>
  </si>
  <si>
    <t>FC279010_PEAJE_VEHICULO_HTY157_MARLON_GALINDO_TRANSP_ACOMPAÑ_PPY_SANTAMDER_QUILICHO</t>
  </si>
  <si>
    <t>FC261623_PEAJE_VEHICULO_HTY157_MARLON_GALINDO_TRANSP_ACOMPAÑ_PPY_SANTAMDER_QUILICHO</t>
  </si>
  <si>
    <t>P444444053</t>
  </si>
  <si>
    <t>444444053 TRANSPORTE INTERNO NRC</t>
  </si>
  <si>
    <t>PTUCO187_TRANSP_URB_MARLON_GALINDO_TRANSP_ACOMPAÑ_PPY_SANTAMDER_QUILICHO</t>
  </si>
  <si>
    <t>P900545230</t>
  </si>
  <si>
    <t>900545230 GRUPO ARGURI SAS</t>
  </si>
  <si>
    <t>FC106355_COMPRA_COMBUST_13,9GL_TRANSP_ACOMPAÑ_PPY_SANTAMDER_QUILICHO</t>
  </si>
  <si>
    <t>P34602194</t>
  </si>
  <si>
    <t>34602194 ZUNIGA GLORIA ELENA</t>
  </si>
  <si>
    <t>FC038943_ALIMENTAC_MARLON_GALINDO_TRANSP_ACOMPAÑ_PPY_SANTAMDER_QUILICHO</t>
  </si>
  <si>
    <t>P1006513240</t>
  </si>
  <si>
    <t>1006513240 ANDRES DAVID MORALES SALGUERO</t>
  </si>
  <si>
    <t>WA003216_ALIMENTAC_MARLON_GALINDO_CAROLINA_BUSBANO_FUCNIONARIOS_PACIFISTAS_ACOMPAÑ_PPY_SANTAMDER_QUILICHO</t>
  </si>
  <si>
    <t>P16917294</t>
  </si>
  <si>
    <t>16917294 FERNANDEZ PENILLA IVAN ALFONSO</t>
  </si>
  <si>
    <t>WA003217_LAVADO_VEHICULO_INST_HTY157_ACOMPAÑ_PPY_SANTAMDER_QUILICHO</t>
  </si>
  <si>
    <t>FC166422_COMPRA_COMBUST_5,3GL_TRANSP_ACOMPAÑ_PPY_SANTAMDER_QUILICHO</t>
  </si>
  <si>
    <t>P10490246</t>
  </si>
  <si>
    <t>10490246 LOPEZ HURTADO JUAN RUBIEL</t>
  </si>
  <si>
    <t>WA003064</t>
  </si>
  <si>
    <t>ALIMENTAC_GERARDO_FLETCHER_ACOMPAÑ_PROTECCION_SANTANDER_QUILICHAO</t>
  </si>
  <si>
    <t>FC857204</t>
  </si>
  <si>
    <t>PEAJE_VEHICULO_INSTITUC_URW110_ACOMPAÑ_PROTECCION_SANTANDER_QUILICHAO</t>
  </si>
  <si>
    <t>FC477067</t>
  </si>
  <si>
    <t>FC534428</t>
  </si>
  <si>
    <t>FC285139</t>
  </si>
  <si>
    <t>FC038944</t>
  </si>
  <si>
    <t>P6064073</t>
  </si>
  <si>
    <t>6064073 FERNANDEZ PAZ FABIAN</t>
  </si>
  <si>
    <t>FC052880</t>
  </si>
  <si>
    <t>FC052880_COMPRA_COMBUST_7,12GL_ACOMPAÑ_PROTECCION_SANTANDER_QUILICHAO</t>
  </si>
  <si>
    <t>WA003401</t>
  </si>
  <si>
    <t>WA003401_AIMENTAC_GERARDO_FLETCHER_ACOMPAÑ_PROTECCION_SANTANDER_QUILICHAO</t>
  </si>
  <si>
    <t>P24675910</t>
  </si>
  <si>
    <t>24675910 LELIS LEANDRA MADROÑERO PEREZ</t>
  </si>
  <si>
    <t>WA003402</t>
  </si>
  <si>
    <t>AIMENTAC_GERARDO_FLETCHER_ACOMPAÑ_PROTECCION_SANTANDER_QUILICHAO</t>
  </si>
  <si>
    <t>P10532988</t>
  </si>
  <si>
    <t>10532988 FRANCISCO LOPEZ MUÑOZ</t>
  </si>
  <si>
    <t>WA003403</t>
  </si>
  <si>
    <t>PTUCO276</t>
  </si>
  <si>
    <t>PTUCO276_TRANSP_URB_GERARDO_FLETCHER_ACOMPAÑ_PROTECCION_SANTANDER_QUILICHAO</t>
  </si>
  <si>
    <t>P14229592</t>
  </si>
  <si>
    <t>14229592 LUBIN VILLARREAL</t>
  </si>
  <si>
    <t>WA003404</t>
  </si>
  <si>
    <t>FC055333</t>
  </si>
  <si>
    <t>COMISION_RETIRO_ANTICIPO_GERARDO_FLETCHER_ACOMPAÑ_PROTECCION_SANTANDER_QUILICHAO</t>
  </si>
  <si>
    <t>FC046425</t>
  </si>
  <si>
    <t>AJUSTE_PESO_COMISION_RETIRO_ANTICIPO_GERARDO_FLETCHER_ACOMPAÑ_PROTECCION_SANTANDER_QUILICHAO</t>
  </si>
  <si>
    <t>WA003526_ALIMENTAC_JESICA_PERDOMO_REUNION_ACONT_SANTADER_QUILICHAO</t>
  </si>
  <si>
    <t>WA003525_ALIMENTAC_JESICA_PERDOMO_REUNION_ACONT_SANTADER_QUILICHAO</t>
  </si>
  <si>
    <t>PTU119010_TRANSP_URB_JESICA_PERDOMO_REUNION_ACONT_SANTADER_QUILICHAO</t>
  </si>
  <si>
    <t>P900843898</t>
  </si>
  <si>
    <t>900843898 RAPPI SAS</t>
  </si>
  <si>
    <t>FC033482</t>
  </si>
  <si>
    <t>ALIMENTAC_CAROLINA_BURBANO_REUNION_COORDINACION_EQUIPO_PROTECCION</t>
  </si>
  <si>
    <t>P800128709</t>
  </si>
  <si>
    <t>800128709 BASILO KLONIS &amp; CIA SA</t>
  </si>
  <si>
    <t>FC033135</t>
  </si>
  <si>
    <t>B6</t>
  </si>
  <si>
    <t>AP Posting Popayán (CO)</t>
  </si>
  <si>
    <t>P901431910</t>
  </si>
  <si>
    <t>901431910 ALILAT S.A.S.</t>
  </si>
  <si>
    <t>FC000587_ALIMENTAC_GERARDO_FLETCHER_REUNIN_ACOMPAÑ_PADILLA_Y_SANTANDER_QUILICHAO</t>
  </si>
  <si>
    <t>FC324705_PEAJE_CALI_VILLARICA_URW110_TRANSP_JORNADA_ICLA_MIGRANTES_SANTA_ELENA</t>
  </si>
  <si>
    <t>FC687733_PEAJE_CALI_VILLARICA_URW110_TRANSP_JORNADA_ICLA_MIGRANTES_SANTA_ELENA</t>
  </si>
  <si>
    <t>P10487595</t>
  </si>
  <si>
    <t>10487595 MONTENEGRO ACOSTA ALVEIRO</t>
  </si>
  <si>
    <t>WA003453_ALIMENTAC_GERARDO_F_TRANSP_JORNADA_ICLA_MIGRANTES_SANTA_ELENA</t>
  </si>
  <si>
    <t>PTUCO276_TRABSP_URB_GERARDO_F_TRANSP_JORNADA_ICLA_MIGRANTES_SANTA_ELENA</t>
  </si>
  <si>
    <t>FC663873_COMBUST_5,01GL_URW110_TRANSP_JORNADA_ICLA_MIGRANTES_SANTA_ELENA</t>
  </si>
  <si>
    <t>WA003454_ALIMENTAC_GERARDO_F_TRANSP_JORNADA_ICLA_MIGRANTES_SANTA_ELENA</t>
  </si>
  <si>
    <t>P10485843</t>
  </si>
  <si>
    <t>10485843 LOBOA JUAN CARLOS</t>
  </si>
  <si>
    <t>WA003452_ALIMENTAC_GERARDO_F_TRANSP_JORNADA_ICLA_MIGRANTES_SANTA_ELENA</t>
  </si>
  <si>
    <t>WA003455_ALIMENTAC_GERARDO_F_TRANSP_JORNADA_ICLA_MIGRANTES_SANTA_ELENA</t>
  </si>
  <si>
    <t>JE11</t>
  </si>
  <si>
    <t>RECLAS_H_FC001338_C.BURBANO_CALI_22_A_24_02_2021_PROYECTO MAL ALOCADO</t>
  </si>
  <si>
    <t>FC001401</t>
  </si>
  <si>
    <t>CLO0068_DPFC001401_SERVC_ALOJAM_LEIDY_MORENO_REPRESENTA_PACIFISTA</t>
  </si>
  <si>
    <t>CLO0078_DP_FC001496_ALOJAMIENTO_LEIDY_MORENO_PACIFISTAS_CALI_07_A_08</t>
  </si>
  <si>
    <t>CLO0100_DP_FC001512_ALOJAMIENTO_LEIDY_MORENO_PACIFISTAS_CALI_08_A_09_03</t>
  </si>
  <si>
    <t>FC034029</t>
  </si>
  <si>
    <t>ALIMENTAC_MAYRA_ACUÑA_MISION_MULTICOMPET:LOPEZ_MICAY</t>
  </si>
  <si>
    <t>FC034036</t>
  </si>
  <si>
    <t>PTU123780</t>
  </si>
  <si>
    <t>TRANSP_URB_MAYRA_ACUÑA_MISION_MULTICOMPET:LOPEZ_MICAY</t>
  </si>
  <si>
    <t>P34329404</t>
  </si>
  <si>
    <t>34329404 MUÑOZ MUÑOZ MARIA DEL PILAR</t>
  </si>
  <si>
    <t>WA003546</t>
  </si>
  <si>
    <t>P805008909</t>
  </si>
  <si>
    <t>805008909 AUTOCENTRO CAPRI SA</t>
  </si>
  <si>
    <t>FC326841</t>
  </si>
  <si>
    <t>FC326841_COMBUST_10,04GL_HTY157_MISION_MULTICOMPET:LOPEZ_MICAY</t>
  </si>
  <si>
    <t>P901166056</t>
  </si>
  <si>
    <t>901166056 EDS TEXACO 17 IMBAMACO</t>
  </si>
  <si>
    <t>FC211090</t>
  </si>
  <si>
    <t>FC211090_COMBUST_7,89GL_HTY157__TRANSP_ACOMPAÑ_MISION_PROTECCION_MARZO</t>
  </si>
  <si>
    <t>FC780920</t>
  </si>
  <si>
    <t>PEAJE_CALI_TUNIA__HTY157__TRANSP_ACOMPAÑ_MISION_PROTECCION_MARZO</t>
  </si>
  <si>
    <t>FC663178</t>
  </si>
  <si>
    <t>FC301137</t>
  </si>
  <si>
    <t>FC573457</t>
  </si>
  <si>
    <t>WA003418</t>
  </si>
  <si>
    <t>ALIMENTAC_GERARDO_FLETCHER_TRANSP_ACOMPAÑ_MISION_PROTECCION_MARZO</t>
  </si>
  <si>
    <t>P34537020</t>
  </si>
  <si>
    <t>34537020 DIONICIA AMPARO GOMEZ COLLAZOS</t>
  </si>
  <si>
    <t>WA003419</t>
  </si>
  <si>
    <t>PARQUEO_VEHICULO_INSTITUC_URW110_TRANSP_ACOMPAÑ_MISION_PROTECCION_MARZO</t>
  </si>
  <si>
    <t>WA003420</t>
  </si>
  <si>
    <t>P67021540</t>
  </si>
  <si>
    <t>67021540 MUNOZ MILENA</t>
  </si>
  <si>
    <t>WA003421</t>
  </si>
  <si>
    <t>TRANSP_URB_GERARDO_FLETCHER_TRANSP_ACOMPAÑ_MISION_PROTECCION_MARZO</t>
  </si>
  <si>
    <t>WA003423</t>
  </si>
  <si>
    <t>WA003422</t>
  </si>
  <si>
    <t>P10491539</t>
  </si>
  <si>
    <t>10491539 CRUZ MESTIZO WILMER</t>
  </si>
  <si>
    <t>CLO0848_WA003839_TRANSPORTE STAFF DE PARA ACTIVIDAD PROYECTO PBF ACONC</t>
  </si>
  <si>
    <t>P34592657</t>
  </si>
  <si>
    <t>34592657 GARCES MAZORRA YOLANDA LUCIA</t>
  </si>
  <si>
    <t>H_FC000182_M.ACUÑA_G.FLETCHER_SANTANDER_DE_QUILICHAO_26_A_27_03_2021</t>
  </si>
  <si>
    <t>P811034562</t>
  </si>
  <si>
    <t>811034562 LA RECETA Y CIA SAS</t>
  </si>
  <si>
    <t>FC429995_ALIMNETAC_MAYRA_ACUÑA_ENTREGA_MALETAS_PEDAGOGICAS_CASA_MATRIA</t>
  </si>
  <si>
    <t>WA003552_ALIMNETAC_MAYRA_ACUÑA_SOCIALIZA_MICROCUENCA_ALTO_SUAREZ</t>
  </si>
  <si>
    <t>PTUCO167_TRANSP_URB_MAYRA_ACUÑA_SOCIALIZA_MICROCUENCA_ALTO_SUAREZ</t>
  </si>
  <si>
    <t>FC000588_ALIMNETAC_MAYRA_ACUÑA_ENTREGA_MALETAS_PEDAGOGICAS_CASA_MATRIA</t>
  </si>
  <si>
    <t>FC004078_ALIMNETAC_MAYRA_ACUÑA_ENTREGA_MALETAS_PEDAGOGICAS_CASA_MATRIA</t>
  </si>
  <si>
    <t>WA003551_ALIMNETAC_MAYRA_ACUÑA_ENTREGA_MALETAS_PEDAGOGICAS_CASA_MATRIA</t>
  </si>
  <si>
    <t>H_FC00240_C.BURBANO_SANTANDER_DE_QUILICHAO_26_A_27_04_2021</t>
  </si>
  <si>
    <t>H_FC00237_M.ACUÑA_SANTANDER_DE_QUILICHAO_26_A_27_04_2021</t>
  </si>
  <si>
    <t>P900478797</t>
  </si>
  <si>
    <t>900478797 SUBVALLE S.A.S.</t>
  </si>
  <si>
    <t>FC213099_ALIMENTAC_CAROLINA_BURBANOReuniones cooridnación PBf- ACONC y PACIFISTA</t>
  </si>
  <si>
    <t>PTUCO339_TRANSP_URB_CAROLINA_BURBANO_Reuniones cooridnación PBf- ACONC y PACIFISTA</t>
  </si>
  <si>
    <t>P1061750527</t>
  </si>
  <si>
    <t>1061750527 BURBANO GOMEZ ANGIE CAROLINA</t>
  </si>
  <si>
    <t>WA003181_ALIMENTAC_CAROLINA_BURBANOReuniones cooridnación PBf- ACONC y PACIFISTA</t>
  </si>
  <si>
    <t>P34612374</t>
  </si>
  <si>
    <t>34612374 GUILLERMINA GARCIA ANGARITA</t>
  </si>
  <si>
    <t>WA003180_ALIMENTAC_CAROLINA_BURBANOReuniones cooridnación PBf- ACONC y PACIFISTA</t>
  </si>
  <si>
    <t>FC006760</t>
  </si>
  <si>
    <t>ALIMENTAC_MAYRA_ACUÑA_ACTIVIDADES_CAPACITAC_EQUIPO_ACONC</t>
  </si>
  <si>
    <t>P1107064934</t>
  </si>
  <si>
    <t>1107064934 GABRIELA ROJAS PELAEZ</t>
  </si>
  <si>
    <t>WA003553</t>
  </si>
  <si>
    <t>A_WA003949_COFY2102_DESAYUNO_ANGELA_GONZALEZ</t>
  </si>
  <si>
    <t>A_DE070866_COFY2102_DESAYUNO_ANGELA_GONZALEZ</t>
  </si>
  <si>
    <t>H_FC000330_C.BURBANO_SANTADER_DE_QUILICHAO_17_A_18_06_2021</t>
  </si>
  <si>
    <t>H_FC000336_J.JARAMILLO_SANTANDER_DE_QUILICHAO_17_A_22_06_2021</t>
  </si>
  <si>
    <t>H_FC000337_M.ACUÑA_SANTANDER_DE_QUILICHAO_17_A_22_06_2021</t>
  </si>
  <si>
    <t>H_FC000338_A.GONZALEZ_SANTANDER_DE_QUILICHAO_21_A_22_06_2021</t>
  </si>
  <si>
    <t>P901312723</t>
  </si>
  <si>
    <t>901312723 INVERSIONES LEEI SA</t>
  </si>
  <si>
    <t>FC037260</t>
  </si>
  <si>
    <t>A_ALMU_CAROLINA_BURBANO_ACTIVIADDES_MONITOREO_ACONC_PAEO_RIESGO</t>
  </si>
  <si>
    <t>PTUCO339</t>
  </si>
  <si>
    <t>T_TRANSP_URBA_PTUCO339_CAROLINA_BURBANO_ACTIVID_MONITORE_ESPACIOS_PROTECTORES_MAPEOS_RIESGO_PBF_</t>
  </si>
  <si>
    <t>P1116263938</t>
  </si>
  <si>
    <t>1116263938 LAURA ISABEL JARAMILLO ZUÑIGA</t>
  </si>
  <si>
    <t>WA003490</t>
  </si>
  <si>
    <t>A_HIDRATC_WA03490__GERARDO_FLETCHER_MAPEO_RIESGO_PBF</t>
  </si>
  <si>
    <t>P10492849</t>
  </si>
  <si>
    <t>10492849 VASQUEZ FRANCO MAURICIO</t>
  </si>
  <si>
    <t>WA003491</t>
  </si>
  <si>
    <t>A_CENA_WA03491__GERARDO_FLETCHER_MAPEO_RIESGO_PBF</t>
  </si>
  <si>
    <t>P1112489080</t>
  </si>
  <si>
    <t>1112489080 SANTIAGO LOZADA BAHOS</t>
  </si>
  <si>
    <t>WA003492</t>
  </si>
  <si>
    <t>A_DESAY_WA03492__GERARDO_FLETCHER_MAPEO_RIESGO_PBF</t>
  </si>
  <si>
    <t>P830101778</t>
  </si>
  <si>
    <t>830101778 FRANQUICIAS Y CONCESIONES S.A.S.</t>
  </si>
  <si>
    <t>FC025201</t>
  </si>
  <si>
    <t>A_CENA_WFC025201__GERARDO_FLETCHER_MAPEO_RIESGO_PBF</t>
  </si>
  <si>
    <t>T_TRANSP_URB_PTUCO276__GERARDO_FLETCHER_MAPEO_RIESGO_PBF</t>
  </si>
  <si>
    <t>P48656904</t>
  </si>
  <si>
    <t>48656904 MARIA MARGARITA PIÑEROS MORA</t>
  </si>
  <si>
    <t>WA003487</t>
  </si>
  <si>
    <t>A_ALMU_WA3487_GERARDO_FLETCHER_MAPEO_RIESGO_PBF</t>
  </si>
  <si>
    <t>P830053812</t>
  </si>
  <si>
    <t>830053812 ALIANZA FIDUCIARIA FIDEICOMISO</t>
  </si>
  <si>
    <t>FC054985</t>
  </si>
  <si>
    <t>PEAJE_FC054986_HTY157_CLO_SANTANDER_QUILICHAO_GERARDO_FLETCHER_MAPEO_RIESGO_PBF</t>
  </si>
  <si>
    <t>FC059474</t>
  </si>
  <si>
    <t>PEAJE_FC059474_HTY157_CLO_SANTANDER_QUILICHAO_GERARDO_FLETCHER_MAPEO_RIESGO_PBF</t>
  </si>
  <si>
    <t>P900796282</t>
  </si>
  <si>
    <t>900796282 SLAZAR SAENZ SAS</t>
  </si>
  <si>
    <t>FC326697</t>
  </si>
  <si>
    <t>FC326697_COMBUSTIB_9,58GL_HTY157_CLO_SANTANDER_QUILICHAO_GERARDO_FLETCHER_MAPEO_RIESGO_PBF</t>
  </si>
  <si>
    <t>WA003488</t>
  </si>
  <si>
    <t>WA003488_LAVADO_VEHICULO_INSTIT_HTY157_CLO_SANTANDER_QUILICHAO_GERARDO_FLETCHER_MAPEO_RIESGO_PBF</t>
  </si>
  <si>
    <t>WA003489</t>
  </si>
  <si>
    <t>A_ALMU_WA03489__GERARDO_FLETCHER_MAPEO_RIESGO_PBF</t>
  </si>
  <si>
    <t>P70162496</t>
  </si>
  <si>
    <t>70162496 FABIO DE JESUS MEJIA ZULUAGA</t>
  </si>
  <si>
    <t>WA003497</t>
  </si>
  <si>
    <t>WA003497_A_ALIMENTAC_GERARDO_FLETCHER_TRANSP_MAPEO_RIESGO_PROYECTO_PBF</t>
  </si>
  <si>
    <t>P830513729</t>
  </si>
  <si>
    <t>830513729 COMBUSTIBLES DE COLOMBIA S.A.</t>
  </si>
  <si>
    <t>FC177417</t>
  </si>
  <si>
    <t>FC177417_AJUSTE_PESO_COMPRA_COMBUST_9,11_GL_URW110_GERARDO_FLETCHER_TRANSP_MAPEO_RIESGO_PROYECTO_PBF</t>
  </si>
  <si>
    <t>P900981453</t>
  </si>
  <si>
    <t>900981453 INVERSIONES MAYA RAMOS S.A.S.</t>
  </si>
  <si>
    <t>FC239887</t>
  </si>
  <si>
    <t>FC239887_A_ALIMETAC_GERARDO_FLETCHER_TRANSP_MAPEO_RIESGO_PROYECTO_PBF</t>
  </si>
  <si>
    <t>WA003494</t>
  </si>
  <si>
    <t>WA003494_A_ALIMETAC_GERARDO_FLETCHER_TRANSP_MAPEO_RIESGO_PROYECTO_PBF</t>
  </si>
  <si>
    <t>P10490624</t>
  </si>
  <si>
    <t>10490624 PECHUCHE DAGUA RUBIEL</t>
  </si>
  <si>
    <t>WA003496</t>
  </si>
  <si>
    <t>WA003496_A_ALIMETAC_GERARDO_FLETCHER_TRANSP_MAPEO_RIESGO_PROYECTO_PBF</t>
  </si>
  <si>
    <t>WA003495</t>
  </si>
  <si>
    <t>WA003495_A_ALIMETAC_GERARDO_FLETCHER_TRANSP_MAPEO_RIESGO_PROYECTO_PBF</t>
  </si>
  <si>
    <t>FC07709_A_ALIMENTAC_CAROLINA_BURBANO_ACTIVIDADES_MAPEO_RIESGO_PBF</t>
  </si>
  <si>
    <t>WA008337_A_ALIMENTAC_CAROLINA_BURBANO_ACTIVIDADES_MAPEO_RIESGO_PBF</t>
  </si>
  <si>
    <t>WA005143_A_ALIMENTAC_CAROLINA_BURBANO_ACTIVIDADES_MAPEO_RIESGO_PBF</t>
  </si>
  <si>
    <t>PTUCO339_TRANSP_URB_CAROLINA_BURBANO_ACTIVIDADES_MAPEO_RIESGO_PBF</t>
  </si>
  <si>
    <t>FC069481_A_ALIMENTAC_CAROLINA_BURBANO_ACTIVIDADES_MAPEO_SANTANDER_QUILICHAO</t>
  </si>
  <si>
    <t>ORDEN_SERVICIO_0028_FACTURADA_DOBLE_H_FC000353_A.GONZALEZ_SANTANDER_DE_QUILICHAO_28_A_29_06_2021</t>
  </si>
  <si>
    <t>ORDEN_SERVICIO_0028_FACTURADA_DOBLE_H_NC000016_A.GONZALEZ_SANTANDER_DE_QUILICHAO_28_A_29_06_2021</t>
  </si>
  <si>
    <t>FC016743</t>
  </si>
  <si>
    <t>FC016743_COMISION_RETIRO_ANTICIPO_GERARDO_FLETCHER_MAPEO_RIESGO_PROYECTO_PBF</t>
  </si>
  <si>
    <t>FC024917</t>
  </si>
  <si>
    <t>FC024917_COMISION_RETIRO_ANTICIPO_GERARDO_FLETCHER_MAPEO_RIESGO_PROYECTO_PBF</t>
  </si>
  <si>
    <t>PTUCO276_T_TRANSP_URB_GERARDO_FLETCHER_MAPEO_RIESGO_PROYECTO_PBF</t>
  </si>
  <si>
    <t>FC040788</t>
  </si>
  <si>
    <t>FC040788_PEAJE_GERARDO_FLETCHER_TRANSP_MAPEO_RIESGO_PROYECTO_PBF</t>
  </si>
  <si>
    <t>FC043115</t>
  </si>
  <si>
    <t>FC043115_PEAJE_GERARDO_FLETCHER_TRANSP_MAPEO_RIESGO_PROYECTO_PBF</t>
  </si>
  <si>
    <t>FC177417_COMPRA_COMBUST_9,11_GL_HTY157_GERARDO_FLETCHER_TRANSP_MAPEO_RIESGO_PROYECTO_PBF</t>
  </si>
  <si>
    <t>WA003281</t>
  </si>
  <si>
    <t>WA003281_A_ALIMNETAC_GERARDO_FLETCHER_TRANSP_REUNION_EQUIPO_IMPLEMENTAD_ACONCN_PACIFISTA</t>
  </si>
  <si>
    <t>WA003280</t>
  </si>
  <si>
    <t>WA003280_A_ALIMNETAC_GERARDO_FLETCHER_TRANSP_REUNION_EQUIPO_IMPLEMENTAD_ACONCN_PACIFISTA</t>
  </si>
  <si>
    <t>WA003279</t>
  </si>
  <si>
    <t>WA003279_A_ALIMNETAC_GERARDO_FLETCHER_TRANSP_REUNION_EQUIPO_IMPLEMENTAD_ACONCN_PACIFISTA</t>
  </si>
  <si>
    <t>P901241386</t>
  </si>
  <si>
    <t>901241386 RIVERA BRAVA S.A.S.</t>
  </si>
  <si>
    <t>FC336327</t>
  </si>
  <si>
    <t>FC336327_COMPRA_COMBUSTI_11,809GL_HTY157_TRANSP_REUNION_EQUIPO_IMPLEMENTAD_ACONCN_PACIFISTA</t>
  </si>
  <si>
    <t>P31527412</t>
  </si>
  <si>
    <t>31527412 ESPERANZA DEL SOCORRO AMAYA</t>
  </si>
  <si>
    <t>WA003499</t>
  </si>
  <si>
    <t>WA003499_LAVADO_VEHIC_INST_HTY157_TRANSP_REUNION_EQUIPO_IMPLEMENTAD_ACONCN_PACIFISTA</t>
  </si>
  <si>
    <t>PTUCO276_T_TRANSP_URB_GERARDO_FLETCHER_TRANSP_REUNION_EQUIPO_IMPLEMENTAD_ACONCN_PACIFISTA</t>
  </si>
  <si>
    <t>FC050288</t>
  </si>
  <si>
    <t>FC050288_COMISION_RETIRO_ANTICIPO_GERARDO_FLETCHER_MAPEO_RIESGO_PROYECTO_PBF</t>
  </si>
  <si>
    <t>FC336327_AJUSTE_PESO_COMPRA_COMBUSTI_11,809GL_HTY157_TRANSP_REUNION_EQUIPO_IMPLEMENTAD_ACONCN_PACIFISTA</t>
  </si>
  <si>
    <t>FC011343</t>
  </si>
  <si>
    <t>FC011343_PEAJE_HTY157_TRANSP_REUNION_EQUIPO_IMPLEMENTAD_ACONCN_PACIFISTA</t>
  </si>
  <si>
    <t>FC137172</t>
  </si>
  <si>
    <t>FC137172_PEAJE_HTY157_TRANSP_REUNION_EQUIPO_IMPLEMENTAD_ACONCN_PACIFISTA</t>
  </si>
  <si>
    <t>FC010591</t>
  </si>
  <si>
    <t>FC010591_PEAJE_HTY157_TRANSP_REUNION_EQUIPO_IMPLEMENTAD_ACONCN_PACIFISTA</t>
  </si>
  <si>
    <t>FC013660</t>
  </si>
  <si>
    <t>FC013660_PEAJE_HTY157_TRANSP_REUNION_EQUIPO_IMPLEMENTAD_ACONCN_PACIFISTA</t>
  </si>
  <si>
    <t>P860533413</t>
  </si>
  <si>
    <t>860533413 I.R.C.C LTDA</t>
  </si>
  <si>
    <t>FC016202</t>
  </si>
  <si>
    <t>FC016202_A_ALIMNETAC_GERARDO_FLETCHER_TRANSP_REUNION_EQUIPO_IMPLEMENTAD_ACONCN_PACIFISTA</t>
  </si>
  <si>
    <t>WA003282</t>
  </si>
  <si>
    <t>WA003282_A_ALIMNETAC_GERARDO_FLETCHER_TRANSP_REUNION_EQUIPO_IMPLEMENTAD_ACONCN_PACIFISTA</t>
  </si>
  <si>
    <t>P901465184</t>
  </si>
  <si>
    <t>901465184 GRUPO TIERRA DE ORO ZOMAC SAS</t>
  </si>
  <si>
    <t>H_FC000011_C.BURBANO_SANTANDER_DE_QUILICHAO_12_A_13_07_2021</t>
  </si>
  <si>
    <t>H_FC000012_J.JARAMILLO_SANTANDER_DE_QUILICHAO_12_A_13_07_2021</t>
  </si>
  <si>
    <t>H_FC000013_G.FLETCHER_SANTANDER_DE_QUILICHAO_12_A_13_07_2021</t>
  </si>
  <si>
    <t>H_FC000014_M.ACUÑA_SANTANDER_DE_QUILICHAO_12_A_13_07_2021</t>
  </si>
  <si>
    <t>FC069754</t>
  </si>
  <si>
    <t>DESAY_FC069754_MAYRA_ACUÑA_MAPEO_RIESGO_PROYECTO_PBF</t>
  </si>
  <si>
    <t>P76308702</t>
  </si>
  <si>
    <t>76308702 JOSE LUIS PECHENE SANDOVAL</t>
  </si>
  <si>
    <t>WA003769</t>
  </si>
  <si>
    <t>DESAY_WA003769_MAYRA_ACUÑA_MAPEO_RIESGO_PROYECTO_PBF</t>
  </si>
  <si>
    <t>WA003772</t>
  </si>
  <si>
    <t>CENA_WA003772_MAYRA_ACUÑA_MAPEO_RIESGO_PROYECTO_PBF</t>
  </si>
  <si>
    <t>FC070350</t>
  </si>
  <si>
    <t>DESAY_FC070350_MAYRA_ACUÑA_MAPEO_RIESGO_PROYECTO_PBF</t>
  </si>
  <si>
    <t>FC070575</t>
  </si>
  <si>
    <t>DESAY_FC070575_MAYRA_ACUÑA_MAPEO_RIESGO_PROYECTO_PBF</t>
  </si>
  <si>
    <t>WA003770</t>
  </si>
  <si>
    <t>CENA_WA003770_MAYRA_ACUÑA_MAPEO_RIESGO_PROYECTO_PBF</t>
  </si>
  <si>
    <t>FC070865</t>
  </si>
  <si>
    <t>DESAY_FC070865_MAYRA_ACUÑA_MAPEO_RIESGO_PROYECTO_PBF</t>
  </si>
  <si>
    <t>FC070864</t>
  </si>
  <si>
    <t>DESAY_FC070864_MAYRA_ACUÑA_MAPEO_RIESGO_PROYECTO_PBF</t>
  </si>
  <si>
    <t>FC058106</t>
  </si>
  <si>
    <t>DESAY_FC058106_MAYRA_ACUÑA_MAPEO_RIESGO_PROYECTO_PBF</t>
  </si>
  <si>
    <t>P900962695</t>
  </si>
  <si>
    <t>900962695 TURK HOUSE SAS</t>
  </si>
  <si>
    <t>FC204377</t>
  </si>
  <si>
    <t>ALMU_FC204377_MAYRA_ACUÑA_MAPEO_RIESGO_PROYECTO_PBF</t>
  </si>
  <si>
    <t>PTU123780_TRANSP_URB_MAYRA_ACUÑA_MAPEO_RIESGO_PROYECTO_PBF</t>
  </si>
  <si>
    <t>FC070010</t>
  </si>
  <si>
    <t>DESAY_FC070010_MAYRA_ACUÑA_MAPEO_RIESGO_PROYECTO_PBF</t>
  </si>
  <si>
    <t>FC069477</t>
  </si>
  <si>
    <t>DESAY_FC069477_MAYRA_ACUÑA_MAPEO_RIESGO_PROYECTO_PBF</t>
  </si>
  <si>
    <t>WA008336</t>
  </si>
  <si>
    <t>CENA_WA008336_MAYRA_ACUÑA_MAPEO_RIESGO_PROYECTO_PBF</t>
  </si>
  <si>
    <t>P700120426</t>
  </si>
  <si>
    <t>700120426 VICTOR HUGO ORTEGA CAICEDO</t>
  </si>
  <si>
    <t>WA003771</t>
  </si>
  <si>
    <t>H_FC000365_M.ACUNA_SANTANDER_DE_QUILICHAO_02_A_03_07_2021</t>
  </si>
  <si>
    <t>H_FC000367_J.JARAMILLO_SANTANDER_DE_QUILICHAO_02_A_03_07_2021</t>
  </si>
  <si>
    <t>H_FC000354_J.JARAMILLO_SANTANDER_DE_QUILICHAO_28_A_29_06_2021</t>
  </si>
  <si>
    <t>H_FC000355_M.ACUNA_SANTANDER_DE_QUILICHAO_28_A_29_06_2021</t>
  </si>
  <si>
    <t>H_FC000356_G.FLETCHER_SANTANDER_DE_QUILICHAO_28_A_29_06_2021</t>
  </si>
  <si>
    <t>H_FC000361_A.GONZALEZ_SANTANDER_DE_QUILICHAO_28_A_29_06_2021</t>
  </si>
  <si>
    <t>H_FC000144_G.FLETCHER_STDER_DE_QUILICHAO_12_A_13_07_2021</t>
  </si>
  <si>
    <t>P1031172235</t>
  </si>
  <si>
    <t>1031172235 LINA MARCELA HURTADO MOLINA</t>
  </si>
  <si>
    <t>A_WA008300_ALMUERZO_MAYRA_ACUÑA_REUNIÓN_CON_AUTORIDADES_PLAN_DE_TRABAJO_PROYECTO_PBF_EN_VILLA_RICA</t>
  </si>
  <si>
    <t>A_WA008299_DESAYUNO_MAYRA_ACUÑA_REUNIÓN_CON_AUTORIDADES_PLAN_DE_TRABAJO_PROYECTO_PBF_EN_VILLA_RICA</t>
  </si>
  <si>
    <t>T_PTU123780_MAYRA_ACUÑA_REUNIÓN_CON_AUTORIDADES_PLAN_DE_TRABAJO_PROYECTO_PBF_EN_VILLA_RICA</t>
  </si>
  <si>
    <t>A_FC008294_ALMUERZO_MAYRA_ACUÑA_CONSTRUCCIÓN_PLAN_DE_TRABAJO_PROYECTO_PBF</t>
  </si>
  <si>
    <t>A_DESAYUNO_HIDRATACION_MAYRA_ACUÑA_CONSTRUCCIÓN_PLAN_DE_TRABAJO_PROYECTO_PBF</t>
  </si>
  <si>
    <t>P31228378</t>
  </si>
  <si>
    <t>31228378 HILDA LEYDA QUINTERO DEL GIL</t>
  </si>
  <si>
    <t>A_WA008298_DESAYUNO_MAYRA_ACUÑA_REUNIÓN_CON_AUTORIDADES_PLAN_DE_TRABAJO_PROYECTO_PBF_EN_VILLA_RICA</t>
  </si>
  <si>
    <t>P34600401</t>
  </si>
  <si>
    <t>34600401 FERNANDEZ NOELIA</t>
  </si>
  <si>
    <t>A_FC054853_DESAYUNO_MAYRA_ACUÑA_REUNIÓN_CON_AUTORIDADES_PLAN_DE_TRABAJO_PROYECTO_PBF_EN_VILLA_RICA</t>
  </si>
  <si>
    <t>P1112775702</t>
  </si>
  <si>
    <t>1112775702 ANA MICHEL VASQUEZ MACHADO</t>
  </si>
  <si>
    <t>WA002290</t>
  </si>
  <si>
    <t>O - Otros gastos_WA002290_MAYRA_ACUÑA_Mapeo de riesgos microcuencas proyecto PBF</t>
  </si>
  <si>
    <t>P1053851959</t>
  </si>
  <si>
    <t>1053851959 NATALIA DAVILA SUAZA</t>
  </si>
  <si>
    <t>WA002292</t>
  </si>
  <si>
    <t>A - Alimentación_WA002292_MAYRA_ACUÑA_Mapeo de riesgos microcuencas proyecto PBF</t>
  </si>
  <si>
    <t>P16692589</t>
  </si>
  <si>
    <t>16692589 GUSTAVO VALENCIA ESCOBAR</t>
  </si>
  <si>
    <t>WA002293</t>
  </si>
  <si>
    <t>A - Alimentación_WA002293_MAYRA_ACUÑA_Mapeo de riesgos microcuencas proyecto PBF</t>
  </si>
  <si>
    <t>WA003773</t>
  </si>
  <si>
    <t>A - Alimentación_WA003773_MAYRA_ACUÑA_Mapeo de riesgos microcuencas proyecto PBF</t>
  </si>
  <si>
    <t>WA008334</t>
  </si>
  <si>
    <t>A - Alimentación_WA008334_MAYRA_ACUÑA_Mapeo de riesgos microcuencas proyecto PBF</t>
  </si>
  <si>
    <t>FC002960</t>
  </si>
  <si>
    <t>A - Alimentación_FC002960_MAYRA_ACUÑA_Mapeo de riesgos microcuencas proyecto PBF</t>
  </si>
  <si>
    <t>FC002869</t>
  </si>
  <si>
    <t>A - Alimentación_FC002869_MAYRA_ACUÑA_Mapeo de riesgos microcuencas proyecto PBF</t>
  </si>
  <si>
    <t>P31528378</t>
  </si>
  <si>
    <t>31528378 MIRANDA CENEIDA</t>
  </si>
  <si>
    <t>WA008603</t>
  </si>
  <si>
    <t>A_ALIMENTAC_WA008603_HENRY_SAMBONI_REUNION_AUTORID_ACONC_PBF</t>
  </si>
  <si>
    <t>FC008700</t>
  </si>
  <si>
    <t>PEAJE_FC008700_URW110_HENRY_SAMBONI_REUNION_AUTORID_ACONC_PBF</t>
  </si>
  <si>
    <t>FC008070</t>
  </si>
  <si>
    <t>PEAJE_FC008070_URW110__HENRY_SAMBONI_REUNION_AUTORID_ACONC_PBF</t>
  </si>
  <si>
    <t>FC00515</t>
  </si>
  <si>
    <t>FC000515_LAVADA_VEHICULO_URW110__HENRY_SAMBONI_REUNION_AUTORID_ACONC_PBF</t>
  </si>
  <si>
    <t>PTU125338</t>
  </si>
  <si>
    <t>T_TRANSP_URB_PTO125338_HENRY_SAMBONI_REUNION_AUTORID_ACONC_PBF</t>
  </si>
  <si>
    <t>WA008333</t>
  </si>
  <si>
    <t>A - Alimentación_WA008333_MAYRA_ACUÑA_construccion plan de trabajo proyecto PBF</t>
  </si>
  <si>
    <t>WA008296</t>
  </si>
  <si>
    <t>A - Alimentación_WA008296_MAYRA_ACUÑA_construccion plan de trabajo proyecto PBF</t>
  </si>
  <si>
    <t>WA002294</t>
  </si>
  <si>
    <t>A - Alimentación_WA002294_MAYRA_ACUÑA_construccion plan de trabajo proyecto PBF</t>
  </si>
  <si>
    <t>FC009809</t>
  </si>
  <si>
    <t>A - Alimentación_FC009809_MAYRA_ACUÑA_construccion plan de trabajo proyecto PBF</t>
  </si>
  <si>
    <t>T_PTUCO339_ANGIE_BURBANO_REUNIONES DE PLANEACIÓN SANTANDER PBF</t>
  </si>
  <si>
    <t>P901059059</t>
  </si>
  <si>
    <t>901059059 SISTEMA OPERATIVO Y LOGISTICO EN TRANSPORTE Y MOVILIDAD PRIVADA ESCOBAR VIP S.A.S.</t>
  </si>
  <si>
    <t>CLO0250_DP_FC000229_COFY2102_SON_COSAS_DEL_CORAZÓN_SERVICIO_DE_TRANSPORTE_STAFF_JÓVENES_EL_27_Y_28_DE_AGOSTO_VILLA_RICA_-_SANTANDER_DE_QUILICHAO</t>
  </si>
  <si>
    <t>H_FC000190_J.JARAMILLO_STDER_DE_QUILICHAO_27_A_28_08_2021</t>
  </si>
  <si>
    <t>CLO1126_ FC000230_COFY2102_SON_COSAS_DEL_CORAZÓN_TRANSPORTE_STAFF_JÓVENES_EL_27_Y_28_DE_AGOSTO_EN_SANTANDER_DE_QUILICHAO</t>
  </si>
  <si>
    <t>H_FC000236_J.JARAMILLO_STDER_DE_QUILICHAO_07_A_08_09_2021</t>
  </si>
  <si>
    <t>H_FC000251_M.ACUÑA_STDER_DE_QUILICHAO_10_A_11_09_2021</t>
  </si>
  <si>
    <t>H_FC000252_J.JARAMILLO_STDER_DE_QUILICHAO_10_A_11_09_2021</t>
  </si>
  <si>
    <t>H_FC000191_M.ACUNA_STDER_DE_QUILICHAO_27_A_28_08_2021</t>
  </si>
  <si>
    <t>H_FC000232_A.GOMEZ_STDER_DE_QUILICHAO_07_A_08_09_2021</t>
  </si>
  <si>
    <t>H_FC000233_M.ACUÑA_STDER_DE_QUILICHAO_07_A_08_09_2021</t>
  </si>
  <si>
    <t>A_FC094152_ALIMENT_M.ACUÑA_ESCUELA_JOVENES_PBF</t>
  </si>
  <si>
    <t>A_FC0000591_ALIMENT_M.ACUÑA_ESCUELA_JOVENES_PBF</t>
  </si>
  <si>
    <t>A_WA008927_ALIMENT_M.ACUÑA_ESCUELA_JOVENES_PBF</t>
  </si>
  <si>
    <t>A_WA13020_ALIMENT_M.ACUÑA_ESCUELA_JOVENES_PBF</t>
  </si>
  <si>
    <t>A_WA013018_ALIMENT_M.ACUÑA_ESCUELA_JOVENES_PBF</t>
  </si>
  <si>
    <t>P1061737525</t>
  </si>
  <si>
    <t>1061737525 MARLEN LISETH MANCILLA TORO</t>
  </si>
  <si>
    <t>A_WA008924_ALIMENT_M.ACUÑA_ESCUELA_JOVENES_PBF</t>
  </si>
  <si>
    <t>A_WA008931_ALIMENT_M.ACUÑA_ESCUELA_JOVENES_PBF</t>
  </si>
  <si>
    <t>A_WA013019_ALIMENT_M.ACUÑA_ESCUELA_JOVENES_PBF</t>
  </si>
  <si>
    <t>P18603511</t>
  </si>
  <si>
    <t>18603511 ORLANDO DAVILA RAIGOZA</t>
  </si>
  <si>
    <t>A_FC000064_ALIMENT_M.ACUÑA_ESCUELA_JOVENES_PBF</t>
  </si>
  <si>
    <t>A_WA013021_ALIMENT_M.ACUÑA_ESCUELA_JOVENES_PBF</t>
  </si>
  <si>
    <t>P1062276352</t>
  </si>
  <si>
    <t>1062276352 LIZETH IVONE BALANTA GARCIA</t>
  </si>
  <si>
    <t>A_WA013022_ALIMENT_M.ACUÑA_ESCUELA_JOVENES_PBF</t>
  </si>
  <si>
    <t>T_PTU123780_TRANSPORT_M.ACUÑA_ENCUELA_JOVENES_PBR</t>
  </si>
  <si>
    <t>A_WA008920_ALIMENT_M.ACUÑA_ESCUELA_JOVENES_PBF</t>
  </si>
  <si>
    <t>P1061432175</t>
  </si>
  <si>
    <t>1061432175 SABY APNAZA</t>
  </si>
  <si>
    <t>A_WA008923_ALIMENT_M.ACUÑA_ESCUELA_JOVENES_PBF</t>
  </si>
  <si>
    <t>A_WA008930_ALIMENT_M.ACUÑA_ESCUELA_JOVENES_PBF</t>
  </si>
  <si>
    <t>A_WA008929_ALIMENT_M.ACUÑA_ESCUELA_JOVENES_PBF</t>
  </si>
  <si>
    <t>A_WA008448_ALIMENTACION_ALEJANDRA_GONZALEZ_SEGUIMIENTO_COFY2102</t>
  </si>
  <si>
    <t>A_WA008449_ALIMENTACION_ALEJANDRA_GONZALEZ_SEGUIMIENTO_COFY2102</t>
  </si>
  <si>
    <t>A_WA008238_DESAYUNO_JULIAN_JARAMILLO_MISION_MONITOREO_SANTANDER_DE_QUILICHAO_PBF</t>
  </si>
  <si>
    <t>P1107099227</t>
  </si>
  <si>
    <t>1107099227 ALVAREZ ESCOBAR LUIS FERNANDO</t>
  </si>
  <si>
    <t>O_WA008893_FOTOCOPIAS_JULIAN_JARAMILLO_MISION_MONITOREO_SANTANDER_DE_QUILICHAO_PBF</t>
  </si>
  <si>
    <t>A_WA008894_DESAYUNO_JULIAN_JARAMILLO_MISION_MONITOREO_SANTANDER_DE_QUILICHAO_PBF</t>
  </si>
  <si>
    <t>A_WA008895_ALMUERZO_JULIAN_JARAMILLO_MISION_MONITOREO_SANTANDER_DE_QUILICHAO_PBF</t>
  </si>
  <si>
    <t>A_WA008872_ALMINTACION_HENRY_SAMBONI_ESCUELA_JOVENES_PROYECTO_PBF</t>
  </si>
  <si>
    <t>P91361728</t>
  </si>
  <si>
    <t>91361728 MATEUS JOSE HERNE</t>
  </si>
  <si>
    <t>A_WA008874_ALMINTACION_HENRY_SAMBONI_ESCUELA_JOVENES_PROYECTO_PBF</t>
  </si>
  <si>
    <t>P14932049</t>
  </si>
  <si>
    <t>14932049 HERRERA FERNANDO</t>
  </si>
  <si>
    <t>H_WA008866_HOSPEDAJE_HENRY_SAMBONI_ESCUELA_JOVENES_PROYECTO_PBF</t>
  </si>
  <si>
    <t>A_WA008877_ALMINTACION_HENRY_SAMBONI_ESCUELA_JOVENES_PROYECTO_PBF</t>
  </si>
  <si>
    <t>P830054539</t>
  </si>
  <si>
    <t>830054539 FIDUCOLOMBIA S.A.</t>
  </si>
  <si>
    <t>T_FC26068_PEAJE_HENRY_SAMBONI_ESCUELA_JOVENES_PROYECTO_PBF</t>
  </si>
  <si>
    <t>T_PTU125338_HENRY_SAMBONI_ESCUELA_JOVENES_PROYECTO_PBF</t>
  </si>
  <si>
    <t>O_FC000597_LAVADO_HENRY_SAMBONI_ESCUELA_JOVENES_PROYECTO_PBF</t>
  </si>
  <si>
    <t>51953012</t>
  </si>
  <si>
    <t>P901160842</t>
  </si>
  <si>
    <t>901160842 PAPELERIA UNIVERSAL DISTR SAS</t>
  </si>
  <si>
    <t>FC115070</t>
  </si>
  <si>
    <t>FC115070_COMPRA_INSUMOS_PAPELERIA_RIESGO_PROYECTO_PBF</t>
  </si>
  <si>
    <t>51954503</t>
  </si>
  <si>
    <t>P444444023</t>
  </si>
  <si>
    <t>444444023 PAGOS A BENEFICIARIOS</t>
  </si>
  <si>
    <t>PTBCO999</t>
  </si>
  <si>
    <t>PTBCO999_APOYO_BENEFICAR_TRANSP_</t>
  </si>
  <si>
    <t>ELM7</t>
  </si>
  <si>
    <t xml:space="preserve">CLO0725 COFY2102_AUXILIO_DE_TRANSPORTE_SOCIALIZACIO_ PROYECTO_PBF_ACONC_Y_PACIFISTA
</t>
  </si>
  <si>
    <t>P830131993</t>
  </si>
  <si>
    <t>830131993 EFECTIVO LTDA</t>
  </si>
  <si>
    <t>CLO0725 COFY2102_AUXILIO_DE_TRANSPORTE_SOCIALIZACIO_ PROYECTO_PBF_ACONC_Y_PACIFISTA
_COMISION</t>
  </si>
  <si>
    <t>CLO0762_COFY2102_AUXILIO_TRANSPORTE_SOCIALIZACION_PACIFISTA_MICROCUENTA_CAUCA</t>
  </si>
  <si>
    <t>CLO0762_COFY2102_AUXILIO_TRANSPORTE_SOCIALIZACION_PACIFISTA_MICROCUENTA_CAUCA_COMISION</t>
  </si>
  <si>
    <t>REINTEGRO_CLO0762_COFY2102_AUXILIO_TRANSPORTE_SOCIALIZACION_PACIFISTA_MICROCUENTA_CAUCA</t>
  </si>
  <si>
    <t>WA003566</t>
  </si>
  <si>
    <t>CLO0069_DP_WA003566_TRANSP_PERSONAL_CALI_SDER_QUILICHAO_LEIDY_MORENO_DE_PACIFISCTA</t>
  </si>
  <si>
    <t>CLO0751_COFY2102_AUXILIO_DE_TRANSPORTE_AUXILIO_TRANSPORTE_AUTORIDADES_RIO_DESBARATADO</t>
  </si>
  <si>
    <t>CLO0751_COFY2102_AUXILIO_DE_TRANSPORTE_AUXILIO_TRANSPORTE_AUTORIDADES_RIO_DESBARATADO_COMISION</t>
  </si>
  <si>
    <t>CLO0921_AUXILIO_DE_TRANSPORTE_ASISTENTES_ACTIVIDAD_SOCIALIZACION_DE_METODOLIA_DE_MAPEO_DE_RIESGO_AUTORIDADES_ACONC</t>
  </si>
  <si>
    <t>CLO0921_AUXILIO_DE_TRANSPORTE_ASISTENTES_ACTIVIDAD_SOCIALIZACION_DE_METODOLIA_DE_MAPEO_DE_RIESGO_AUTORIDADES_ACONC_COMISION</t>
  </si>
  <si>
    <t>P805021222</t>
  </si>
  <si>
    <t>805021222 TRANSPORTES ESPECIALES ACAR LTDA</t>
  </si>
  <si>
    <t>FC001915</t>
  </si>
  <si>
    <t>CLO0926_FC001915_SERVICIO TRANSPORTE STAFF PARA ACTIVIDAD PROYECTO PBF</t>
  </si>
  <si>
    <t>WA003875</t>
  </si>
  <si>
    <t>CLO0934_WA003875_TRANSPORTE_STAFF_ACTIVIDAD PROYECTO PBF</t>
  </si>
  <si>
    <t>SIB2</t>
  </si>
  <si>
    <t>"CLO0968 COFY2102_EFECTY_AUXILIO DE TRANSPORTE ACONC
"</t>
  </si>
  <si>
    <t>"CLO0968 COFY2102_EFECTY_AUXILIO DE TRANSPORTE ACONC
"_COMISION GIRO</t>
  </si>
  <si>
    <t>CLO0199_DP_FC000198_COFY2102_SON_COSAS_DEL_CORAZON_SERVICIO_TRANSPORTE_CONTRUCCION_PLAN_DE_TRABAJO_PBF_SANTANDER_DE_QUILICHAO</t>
  </si>
  <si>
    <t>CLO1049_AUXILIO_DE_TRANSPORTE_PRESENTACION_PLAN_DE_ACCION_COMUNITARIO_AUTORIDADES_CONC</t>
  </si>
  <si>
    <t>CLO1049_AUXILIO_DE_TRANSPORTE_PRESENTACION_PLAN_DE_ACCION_COMUNITARIO_AUTORIDADES_CONC_COMISION</t>
  </si>
  <si>
    <t>CLO1049_AUXILIO_DE_TRANSPORTE_PRESENTACION_PLAN_DE_ACCION_COMUNITARIO_AUTORIDADES_ACONC</t>
  </si>
  <si>
    <t>CLO1049_AUXILIO_DE_TRANSPORTE_PRESENTACION_PLAN_DE_ACCION_COMUNITARIO_AUTORIDADES_ACONC_COMISION</t>
  </si>
  <si>
    <t>CLO0968</t>
  </si>
  <si>
    <t xml:space="preserve">DEVOLUCION_GIRO _NO_COBRADO_CLO0968 COFY2102_EFECTY_AUXILIO DE TRANSPORTE ACONC
</t>
  </si>
  <si>
    <t>CLO0921</t>
  </si>
  <si>
    <t>DEVOLUCION_GIRO_NO_COBRADO_ COFY2102_CLO0921_AUXILIO_DE_TRANSPORTE_ASISTENTES_ACTIVIDAD_SOCIALIZACION_DE_METODOLIA_DE_MAPEO_DE_RIESGO_AUTORIDADES_ACONC</t>
  </si>
  <si>
    <t>REINTEGRO_GIRO_NO_COBRADO_CLO1049_AUXILIO_DE_TRANSPORTE_PRESENTACION_PLAN_DE_ACCION_COMUNITARIO_AUTORIDADES_CONC</t>
  </si>
  <si>
    <t>EDM2</t>
  </si>
  <si>
    <t>CLO0247_DP_FC002288_ COFY2102_TRANSPORTES ACAR_Transporte para Staff (2 personas) para actividades  del proyecto de PBF</t>
  </si>
  <si>
    <t>CLO1159_AUXILIO DE_TRANSPORTE_ACTIVIDADES_DE_REUNIÓN_PARA_LA_CONSTRUCCIÓN_DEL_OBSERVATORIO_EL_7_DE_SEPTIEMBRE_COMISION</t>
  </si>
  <si>
    <t>CLO1159_AUXILIO DE_TRANSPORTE_ACTIVIDADES_DE_REUNIÓN_PARA_LA_CONSTRUCCIÓN_DEL_OBSERVATORIO_EL_7_DE_SEPTIEMBRE</t>
  </si>
  <si>
    <t>CLO1243 COFY2102_EFECTY_AUXILIO DE TRANSPORTE PARA VISITA DE ASESORA GLOBAL DE PROTECCIÓN EL 4 DE OCTUBRE, SESIONES DE ESCUELA DE JÓVENES 8,9, 22 Y 23 DE OCTUBRE Y SESIONES DE ESCUELA DE GUARDIAS 1, 2, 8, 9, 22 Y 23 EN SANTANDER DE QUILICHAO CAUCA</t>
  </si>
  <si>
    <t>CLO1243 COFY2102_EFECTY_AUXILIO DE TRANSPORTE PARA VISITA DE ASESORA GLOBAL DE PROTECCIÓN EL 4 DE OCTUBRE, SESIONES DE ESCUELA DE JÓVENES 8,9, 22 Y 23 DE OCTUBRE Y SESIONES DE ESCUELA DE GUARDIAS 1, 2, 8, 9, 22 Y 23 EN SANTANDER DE QUILICHAO CAUCA_COMISIO</t>
  </si>
  <si>
    <t>DEVOLUCION _DE_GIRO_NO_COBRADO_CLO1159_AUXILIO DE_TRANSPORTE_ACTIVIDADES_DE_REUNIÓN_PARA_LA_CONSTRUCCIÓN_DEL_OBSERVATORIO_EL_7_DE_SEPTIEMBRE</t>
  </si>
  <si>
    <t>51956002</t>
  </si>
  <si>
    <t>CLO0087_DP_FC000065_SERVICIO_CATERING_ACTIVIDAD_PROTECCION_PUERTO_TEJADA</t>
  </si>
  <si>
    <t>FC000064</t>
  </si>
  <si>
    <t>CLO0721_FC000064_SERV_ALIMENTAC_SOCIALIZA_PROYECTO_PACIFISTA_SANTANDER_QUILICHAO</t>
  </si>
  <si>
    <t>P34607515</t>
  </si>
  <si>
    <t>34607515 CHOCUE CAROLINA</t>
  </si>
  <si>
    <t>WA003824_CLO0093_DP_SERVICIO_ALIMENTACION__ACTIVIDAD_SOLICIALIZACION_ACONE_SANTANDER_PROTECCION</t>
  </si>
  <si>
    <t>P1121917664</t>
  </si>
  <si>
    <t>1121917664 DIANGMARIS LILIBETH DIAZ ANDRADES</t>
  </si>
  <si>
    <t>CLO0759_WA003809_SERVICIO DE ALIMENTACIÓN PARA ACTIVIDADES DE SOCIALIZACIÓN DEL PROYECTO CON ACONC</t>
  </si>
  <si>
    <t>P1062277531</t>
  </si>
  <si>
    <t>1062277531 NORMA INES LASSO RIVERA</t>
  </si>
  <si>
    <t>WA003841</t>
  </si>
  <si>
    <t>CLO0759-1_WA003841_SERVIC_ALIMENTAC_PARA_ACTIVIDADES DE SOCIALIZACIÓN DEL PROYECTO CON ACONC</t>
  </si>
  <si>
    <t>CLO0847_FC000086_SERVIC_ALIMENTAC_ACTIVIDAD PROYECTO PBF ACONC</t>
  </si>
  <si>
    <t>P1062279883</t>
  </si>
  <si>
    <t>1062279883 YULI FERNANDA LUCUMI</t>
  </si>
  <si>
    <t>CLO0759-3_WA003858_SERVICIO_ALIMENTACIÓN_ACTIVIDADES_DE_SOCIALIZACIÓN_DEL_PROYECTO_ACONC_SILOE</t>
  </si>
  <si>
    <t>WA003876</t>
  </si>
  <si>
    <t>CLO0923 _WA003876_SERVICIO DE ALIMENTACIÓN_PBF ACONC 21 Y 22 DE JUNIO EN PADILLA CAUCA</t>
  </si>
  <si>
    <t>WA003862</t>
  </si>
  <si>
    <t>CLO1018_FC000122_AJUSTE_PESO_SERVICIO DE ALIMENTACIÓN_ CONSTRUCCIÓN PLAN DE TRABAJO PBF 22 DE JULIO EN SANTANDER DE QUILICHAO</t>
  </si>
  <si>
    <t>CLO1018_FC000122_SERVICIO DE ALIMENTACIÓN_ CONSTRUCCIÓN PLAN DE TRABAJO PBF 22 DE JULIO EN SANTANDER DE QUILICHAO</t>
  </si>
  <si>
    <t>CLO0982_FC000116_SERVICIO_ALIMENTAC_CONSTRUCCIÓN PLAN DE TRABAJO PBF 12 Y 13 EN SANTANDER DE QUILICHAO</t>
  </si>
  <si>
    <t>CLO0928_WA003896_SERVICIO DE ALIMENTACION_PARA ACTIVIDAD PROYECTO PBF ACONC 28 Y 29 DE JUNIO EN VILLA RICA CAUCA</t>
  </si>
  <si>
    <t>CLO0932_WA003892_SERVICIO DE ALIMENTACIÓN_ PARA ACTIVIDAD PROYECTO PBF ACONC 2 Y 3 DE JULIO EN SANTANDER DE QUILICHAO CAUCA</t>
  </si>
  <si>
    <t>CLO1037_WA008783_ COFY2102_CLAUDIA MARCELA GARCIA DIAZ_SERVICIO DE ALIMENTACIÓN REUNIÓN AUTORIDADES EL 4 DE AGOSTO EN VILLA RICA CAUCA</t>
  </si>
  <si>
    <t>CLO0224_DP_FC000135_ COFY2112_CASABLANCA_Servicio de alimentación reunión equipo implementador el 12 de agosto en  Santander de Quilichao para 17 personas</t>
  </si>
  <si>
    <t>CLO1038_WA00887_SERVICIO_DE_ALIMENTACIÓN_ESCUELA_JÓVENES_EL_12_DE_AGOSTO_EN_VILLA_RICA</t>
  </si>
  <si>
    <t>CLO1038_WA00887_SERVICIO_DE_ALQUILER_ESAPCIO_PARA_ACTIVIDAD_ESCUELA_JÓVENES_EL_12_DE_AGOSTO_EN_VILLA_RICA</t>
  </si>
  <si>
    <t>CLO1127_WA008888_SERVICIO_DE_ALIMENTACIÓN_ESCUELA_JÓVENES_EL_28_DE_AGOSTO_EN_SANTANDER_DE_QUILICHAO</t>
  </si>
  <si>
    <t>CLO0280_DP_FC000147_SERVICIO_DE_ALIMENTACIÓN_PARA_TALLERISTAS_ESCUELA_JÓVENES_EN_SANTANDER_DE_QUILICHAO_CAUCA</t>
  </si>
  <si>
    <t>51959510</t>
  </si>
  <si>
    <t>P10530870</t>
  </si>
  <si>
    <t>10530870 GODOY CERON CARLOS ENRIQUE</t>
  </si>
  <si>
    <t>O_WA008300_IMPRESION_MAYRA_ACUÑA_REUNIÓN_CON_AUTORIDADES_PLAN_DE_TRABAJO_PROYECTO_PBF_EN_VILLA_RICA</t>
  </si>
  <si>
    <t>CLO0217_DP_FC002227_COFY2102_TRANSPORTE ACAR S.A._ TRANSPORTE STAFF REUNIÓN EL 5 AGOSTO A SANTANDER DE QUILICHAO</t>
  </si>
  <si>
    <t>LO1153_WA013001_SERVICIO_DE_ALIMENTACIÓN_Y_ALQUILER_DE_ESPACIOS_PARA_ESCUELA_JÓVENES_SANTANDER_DE_QUILICHAO</t>
  </si>
  <si>
    <t>AJUSTE_TRANSACCION_6101937_CLO1184_FC002398_SERVICIO_TRANSPORTE_PARA_STAFF_PARA_ACTIVIDADES_DEL_PROYECTO_DE_PBF</t>
  </si>
  <si>
    <t>CLO0253_DP_FC000257_SERVICIO_HOSPEDAJE PARA TALLERISTAS ESCUELA JÓVENE</t>
  </si>
  <si>
    <t>CLO1167_FC002400_SERVICIO_TRANSPORTE_TALLERISTAS_ESCUELA_JÓVENES_EL_9_10_11_Y_12_DE_SEPTIEMBRE_EN_SANTANDER_DE_QUILICHAO_CAUCA</t>
  </si>
  <si>
    <t>CLO1179_WA013004_SERVICIO_TRANSPORTE_PARA_STAFF_PARA_EL_DESARROLLO_DE_LA_ACTIVIDAD_DE_CONSTRUCCIÓN_DEL_OBSERVATORIO_DE_ GÉNERO</t>
  </si>
  <si>
    <t>CLO1184_FC002398_SERVICIO_TRANSPORTE_PARA_STAFF_PARA_ACTIVIDADES_DEL_PROYECTO_DE_PBF</t>
  </si>
  <si>
    <t>4900</t>
  </si>
  <si>
    <t>53959506</t>
  </si>
  <si>
    <t>D3</t>
  </si>
  <si>
    <t>AP Posting Caquetá (CO)</t>
  </si>
  <si>
    <t>INES</t>
  </si>
  <si>
    <t>P860025461</t>
  </si>
  <si>
    <t>860025461 AVESCO S.A.</t>
  </si>
  <si>
    <t>FC156607</t>
  </si>
  <si>
    <t>A_ALMU_26/04_GUSTAVO_DIAZ_Socialización MQR Socios Implementadores</t>
  </si>
  <si>
    <t>P800070655</t>
  </si>
  <si>
    <t>800070655 MAQUITE S.A.</t>
  </si>
  <si>
    <t>FC555347</t>
  </si>
  <si>
    <t>A_ALMU_27/04_GUSTAVO_DIAZ_Socialización MQR Socios Implementadores</t>
  </si>
  <si>
    <t>P800228108</t>
  </si>
  <si>
    <t>800228108 FRANQUICIAS EL SANDWICHE CUBANO LTDA</t>
  </si>
  <si>
    <t>FC076935</t>
  </si>
  <si>
    <t>A_ALMU_29/04_GUSTAVO_DIAZ_Socialización MQR Socios Implementadores</t>
  </si>
  <si>
    <t>FC002189</t>
  </si>
  <si>
    <t>A_ALMU_28/04_GUSTAVO_DIAZ_Socialización MQR Socios Implementadores</t>
  </si>
  <si>
    <t>A_CENA_28/04_GUSTAVO_DIAZ_Socialización MQR Socios Implementadores</t>
  </si>
  <si>
    <t>P3747733</t>
  </si>
  <si>
    <t>3747733 FRANCISCO PASCUAL DE LA HOZ ORTIZ</t>
  </si>
  <si>
    <t>EA002029</t>
  </si>
  <si>
    <t>A_CENA_29/04_GUSTAVO_DIAZ_Socialización MQR Socios Implementadores</t>
  </si>
  <si>
    <t>PTUCO524</t>
  </si>
  <si>
    <t>T_URBANO_GUSTAVO_DIAZ_Socialización MQR Socios Implementadores</t>
  </si>
  <si>
    <t>P900794394</t>
  </si>
  <si>
    <t>900794394 GRUPO CENCO SAS</t>
  </si>
  <si>
    <t>FC044323</t>
  </si>
  <si>
    <t>A_HIDRA_29/04_GUSTAVO_DIAZ_Socialización MQR Socios Implementadores</t>
  </si>
  <si>
    <t>A_CENA_26/04_GUSTAVO_DIAZ_Socialización MQR Socios Implementadores</t>
  </si>
  <si>
    <t>A_CENA_27/04_GUSTAVO_DIAZ_Socialización MQR Socios Implementadores</t>
  </si>
  <si>
    <t>C3</t>
  </si>
  <si>
    <t>GL Posting Caquetá (CO)</t>
  </si>
  <si>
    <t>RECLA_13100148_COFY2102_A_ALMU_26/04_GUSTAVO_DIAZ_Socialización MQR Socios Implementadores</t>
  </si>
  <si>
    <t>RECLA_13100148_COFY2102_A_ALMU_27/04_GUSTAVO_DIAZ_Socialización MQR Socios Implementadores</t>
  </si>
  <si>
    <t>RECLA_13100148_COFY2102_A_ALMU_29/04_GUSTAVO_DIAZ_Socialización MQR Socios Implementadores</t>
  </si>
  <si>
    <t>RECLA_13100148_COFY2102_A_ALMU_28/04_GUSTAVO_DIAZ_Socialización MQR Socios Implementadores</t>
  </si>
  <si>
    <t>RECLA_13100148_COFY2102_A_CENA_28/04_GUSTAVO_DIAZ_Socialización MQR Socios Implementadores</t>
  </si>
  <si>
    <t>RECLA_13100148_COFY2102_A_CENA_29/04_GUSTAVO_DIAZ_Socialización MQR Socios Implementadores</t>
  </si>
  <si>
    <t>RECLA_13100148_COFY2102_T_URBANO_GUSTAVO_DIAZ_Socialización MQR Socios Implementadores</t>
  </si>
  <si>
    <t>RECLA_13100148_COFY2102_A_HIDRA_29/04_GUSTAVO_DIAZ_Socialización MQR Socios Implementadores</t>
  </si>
  <si>
    <t>RECLA_13100148_COFY2102_A_CENA_26/04_GUSTAVO_DIAZ_Socialización MQR Socios Implementadores</t>
  </si>
  <si>
    <t>RECLA_13100148_COFY2102_A_CENA_27/04_GUSTAVO_DIAZ_Socialización MQR Socios Implementadores</t>
  </si>
  <si>
    <t>5290</t>
  </si>
  <si>
    <t>51058403</t>
  </si>
  <si>
    <t>P800049104</t>
  </si>
  <si>
    <t>800049104 LABORATORIO CLINICO COLMEDICOS IPS SAS</t>
  </si>
  <si>
    <t>FC036867_EXAMENES_INGRESO_JULIAN_JARAMILLO</t>
  </si>
  <si>
    <t>FC036867_EXAMENES_INGRESO_ANGELA_GONZALEZ</t>
  </si>
  <si>
    <t>FC043975_EMO_EXAMENES_OCUPACIONALES _CAMILO_NARVAEZ</t>
  </si>
  <si>
    <t>5295</t>
  </si>
  <si>
    <t>51059999</t>
  </si>
  <si>
    <t>DIG2</t>
  </si>
  <si>
    <t>Mayra Alejandra Acuña López</t>
  </si>
  <si>
    <t>P1144175733</t>
  </si>
  <si>
    <t>1144175733 ACUÑA LOPEZ MAYRA ALEJANDRA</t>
  </si>
  <si>
    <t>SALARY 202102</t>
  </si>
  <si>
    <t>CO4TC</t>
  </si>
  <si>
    <t>Jesica Daniela Perdomo Cedeño</t>
  </si>
  <si>
    <t>P1117542687</t>
  </si>
  <si>
    <t>1117542687 JESICA DANIELA PERDOMO CEDEÑO</t>
  </si>
  <si>
    <t>SALARY 202003</t>
  </si>
  <si>
    <t>Angie Carolina Burbano Gomez</t>
  </si>
  <si>
    <t>SALARY 202004</t>
  </si>
  <si>
    <t>Julian Alfredo Jaramillo Guerrero</t>
  </si>
  <si>
    <t>P1122783820</t>
  </si>
  <si>
    <t>1122783820 JARAMILLO GUERRERO JULIAN ALFREDO</t>
  </si>
  <si>
    <t>PLANILLA MAYO 2020</t>
  </si>
  <si>
    <t>DISTRIBUCION PLANILLA PENSION MAYO 2020</t>
  </si>
  <si>
    <t>Jesús David Caicedo Benavidez</t>
  </si>
  <si>
    <t>P1085257236</t>
  </si>
  <si>
    <t>1085257236 CAICEDO BENAVIDEZ JESUS DAVID</t>
  </si>
  <si>
    <t>SALARY 202005</t>
  </si>
  <si>
    <t>Francisco Javier Altamar Morales</t>
  </si>
  <si>
    <t>P80135178</t>
  </si>
  <si>
    <t>80135178 FRANCISCO JAVIER ALTAMAR MORALES</t>
  </si>
  <si>
    <t>Diego Alejandro Ayala Arenales</t>
  </si>
  <si>
    <t>P1098662567</t>
  </si>
  <si>
    <t>1098662567 AYALA ARENALES GERSSON JAIR</t>
  </si>
  <si>
    <t>Jenniffer Jurany Mafla Playonero</t>
  </si>
  <si>
    <t>P1144126693</t>
  </si>
  <si>
    <t>1144126693 MAFLA PLAYONERO JENNIFFER JURANY</t>
  </si>
  <si>
    <t>Ray Leonard Caicedo Solis</t>
  </si>
  <si>
    <t>P1116235866</t>
  </si>
  <si>
    <t>1116235866 CAICEDO SOLIS RAY LEONARD</t>
  </si>
  <si>
    <t>Hernando Andres Enriquez Ruiz</t>
  </si>
  <si>
    <t>P12752041</t>
  </si>
  <si>
    <t>12752041 ENRIQUEZ RUIZ HERNANDO ANDRES</t>
  </si>
  <si>
    <t>Maria Alejandra Alejandra Gonzalez</t>
  </si>
  <si>
    <t>P1020777365</t>
  </si>
  <si>
    <t>1020777365 MARIA ALEJANDRA GONZALEZ MARTINEZ</t>
  </si>
  <si>
    <t>Felipe Andres Tejada Vargas</t>
  </si>
  <si>
    <t>P1110584643</t>
  </si>
  <si>
    <t>1110584643 FELIPE ANDRES TEJADA VARGAS</t>
  </si>
  <si>
    <t>SALARY 202106</t>
  </si>
  <si>
    <t>SALARY 202006</t>
  </si>
  <si>
    <t>José Miguel Miguel Campos Cetina</t>
  </si>
  <si>
    <t>P1019061144</t>
  </si>
  <si>
    <t>1019061144 CAMPOS CETINA JOSE MIGUEL</t>
  </si>
  <si>
    <t>Angela Maria Gonzalez Zambrano</t>
  </si>
  <si>
    <t>P1085285273</t>
  </si>
  <si>
    <t>1085285273 GONZALEZ ZAMBRANO ANGELA MARIA</t>
  </si>
  <si>
    <t>Hector Mauricio Morillo Salazar</t>
  </si>
  <si>
    <t>P1085908701</t>
  </si>
  <si>
    <t>1085908701 MORILLO SALAZAR HECTOR MAURICIO</t>
  </si>
  <si>
    <t>CO4QB</t>
  </si>
  <si>
    <t>July Andrea Castillo Soacha</t>
  </si>
  <si>
    <t>P1015394584</t>
  </si>
  <si>
    <t>1015394584 JULY ANDREA CASTILLO SOACHA</t>
  </si>
  <si>
    <t>CO706</t>
  </si>
  <si>
    <t>Diana Paola Estrada Paz</t>
  </si>
  <si>
    <t>P37083004</t>
  </si>
  <si>
    <t>37083004 ESTRADA  PAZ DIANA PAOLA</t>
  </si>
  <si>
    <t>Reversed Tr 1101079 SALARY 202006</t>
  </si>
  <si>
    <t>SALARY 202107</t>
  </si>
  <si>
    <t>RECLAS_TRANS_1100897_50%_SALARIO_COFY2102_A_COFM2012_SALARY 202006</t>
  </si>
  <si>
    <t>Reversed Tr 1101080 SALARY 202006</t>
  </si>
  <si>
    <t>SALARY 202108</t>
  </si>
  <si>
    <t>Jenifer Viviana Torres Munoz</t>
  </si>
  <si>
    <t>P1063813765</t>
  </si>
  <si>
    <t>1063813765 TORRES MUÑOZ JENIFER VIVIANA</t>
  </si>
  <si>
    <t>Harry Kevin Escobar Medina</t>
  </si>
  <si>
    <t>P1113637243</t>
  </si>
  <si>
    <t>1113637243 ESCOBAR MEDINA HARRY KEVIN</t>
  </si>
  <si>
    <t>Jairo David Moran Jojoa</t>
  </si>
  <si>
    <t>P1085274079</t>
  </si>
  <si>
    <t>1085274079 MORAN JOJOA JAIRO DAVID</t>
  </si>
  <si>
    <t>SALARY 202109</t>
  </si>
  <si>
    <t>Reversed Tr 1101439 SALARY 202109</t>
  </si>
  <si>
    <t>Edna Rocio Castro Toledo</t>
  </si>
  <si>
    <t>P1117542686</t>
  </si>
  <si>
    <t>1117542686 EDNA ROCIO CASTRO TOLEDO</t>
  </si>
  <si>
    <t>Jenny Julieth Rodriguez Rojas</t>
  </si>
  <si>
    <t>P1144170158</t>
  </si>
  <si>
    <t>1144170158 JENNY JULIETH RODRIGUEZ ROJAS</t>
  </si>
  <si>
    <t>Reversed Tr 1101440 SALARY 202109</t>
  </si>
  <si>
    <t>Paula Marcela Bastidas Rivera</t>
  </si>
  <si>
    <t>P1061706042</t>
  </si>
  <si>
    <t>1061706042 BASTIDAS RIVERA PAULA MARCELA</t>
  </si>
  <si>
    <t>CO4IP</t>
  </si>
  <si>
    <t>6520</t>
  </si>
  <si>
    <t>51157040</t>
  </si>
  <si>
    <t>A5</t>
  </si>
  <si>
    <t>GL Posting Pasto (CO)</t>
  </si>
  <si>
    <t>P830118571</t>
  </si>
  <si>
    <t>830118571 SERVITRONIC COMPUTADORES Y SERVICIOS DEL LAGO LTDA</t>
  </si>
  <si>
    <t>IPI0318_FC052422_ COFY2102_COFM2012_COFM1911_COFM1904_SERVITRONIC_BASE REFRIGERANTE_Dotación elementos de cómputo para oficinas WA</t>
  </si>
  <si>
    <t>IPI0318_FC052422_ COFY2102_COFM2012_COFM1911_COFM1904_SERVITRONIC_DIADEMA_Dotación elementos de cómputo para oficinas WA</t>
  </si>
  <si>
    <t>IPI0318_FC052422_ COFY2102_COFM2012_COFM1911_COFM1904_SERVITRONIC_CABLE HDMI_Dotación elementos de cómputo para oficinas WA</t>
  </si>
  <si>
    <t>IPI0318_FC052422_ COFY2102_COFM2012_COFM1911_COFM1904_SERVITRONIC_CONVERTIDOR HDMI A VGA_Dotación elementos de cómputo para oficinas WA</t>
  </si>
  <si>
    <t>IPI0318_FC052422_ COFY2102_COFM2012_COFM1911_COFM1904_SERVITRONIC_CONVERTIDOR USB HDMI_Dotación elementos de cómputo para oficinas WA</t>
  </si>
  <si>
    <t>IPI0318_FC052422_ COFY2102_COFM2012_COFM1911_COFM1904_SERVITRONIC_MULTIPUERTO USB_Dotación elementos de cómputo para oficinas WA</t>
  </si>
  <si>
    <t>IPI0318_FC052422_ COFY2102_COFM2012_COFM1911_COFM1904_SERVITRONIC_BRAZOS MONITOR_Dotación elementos de cómputo para oficinas WA</t>
  </si>
  <si>
    <t>202108</t>
  </si>
  <si>
    <t>IPI0318_FC052422_ COFY2102_COFM2012_COFM1911_COFM1904_SERVITRONIC_Dotación elementos de cómputo para oficinas WA</t>
  </si>
  <si>
    <t>P901431290</t>
  </si>
  <si>
    <t>901431290 EASY Y QUICK LOGISTICA SAS</t>
  </si>
  <si>
    <t>CLO0981-1_FC002302_COMPRA_FUNDAS_PARA_EQUIPOS_COMPUTO_AREA_SW</t>
  </si>
  <si>
    <t>AJUST TRANS#7100155_IPI0318_FC052422_ COFY2102_COFM2012_COFM1911_COFM1904_SERVITRONIC_BRAZOS MONITOR_Dotación elementos de cómputo para oficinas WA</t>
  </si>
  <si>
    <t>51452507</t>
  </si>
  <si>
    <t>6600</t>
  </si>
  <si>
    <t>51157041</t>
  </si>
  <si>
    <t>P5212180</t>
  </si>
  <si>
    <t>5212180 MIGUEL FEDERMAN CALVACHE CAGUAZANGO</t>
  </si>
  <si>
    <t>AJUS_6101280_RECLASI_CUENTA_FC000726_COMPRA_LAMPARAS_SENSORES_OFIC_CALI</t>
  </si>
  <si>
    <t>P16678341</t>
  </si>
  <si>
    <t>16678341 JAVIER ORTIZ CORREA</t>
  </si>
  <si>
    <t>FC000032_MANTENIM_PREVENTI_PUERTA_ELECTRICA_OFIC_CALI</t>
  </si>
  <si>
    <t>51451003</t>
  </si>
  <si>
    <t>P900817562</t>
  </si>
  <si>
    <t>900817562 INGENIARQ SOLUCIONES CONSTRUCCIONES Y CONSULTORIAS S.A.S</t>
  </si>
  <si>
    <t>CLO1207_FC000015_SUMINISTRO_E_INSTALACION_BARRERAS DE RETARDO MOISS</t>
  </si>
  <si>
    <t>6800</t>
  </si>
  <si>
    <t>51157047</t>
  </si>
  <si>
    <t>P31282486</t>
  </si>
  <si>
    <t>31282486 ALUMCALI</t>
  </si>
  <si>
    <t>FC021950_COFY2102_COMPRA_CHAPAS_DE_SEGURIDAD_SEGUNDO_PISO_CALI</t>
  </si>
  <si>
    <t>FC000990_COMPRA_PAPEL_ADHESIVO_CARTA_PARA_ARCHIVO_CALI</t>
  </si>
  <si>
    <t>FC000726_COMPRA_LAMPARAS_SENSORES_OFIC_CALI</t>
  </si>
  <si>
    <t>P901376085</t>
  </si>
  <si>
    <t>901376085 ALUMCENTRO SAS</t>
  </si>
  <si>
    <t>FC002078_COMPRA_CERRADURAS_PARA_VENTANAS_OFIC_CALI</t>
  </si>
  <si>
    <t>P800185150</t>
  </si>
  <si>
    <t>800185150 SONY COLOMBIA</t>
  </si>
  <si>
    <t>FC004851</t>
  </si>
  <si>
    <t>FC004851_COMPRA_AUDIFOOS_PARA_REUNIONES_FRANCISCO_ALTAMAR</t>
  </si>
  <si>
    <t>P41490513</t>
  </si>
  <si>
    <t>41490513 SARA EVA REYES DE RODRIGUEZ Y/O RELIEVES</t>
  </si>
  <si>
    <t>FC074353</t>
  </si>
  <si>
    <t>FC074353_COMPRA_SELLO_ENTINTADO_AUTOMATICO</t>
  </si>
  <si>
    <t>51952504</t>
  </si>
  <si>
    <t>AJUSTE_PES_CAJA_EFECTIVO_CALI_FC002078_COMPRA_CERRADURAS_PARA_VENTANAS_OFIC_CALI</t>
  </si>
  <si>
    <t>P94541298</t>
  </si>
  <si>
    <t>94541298 HERMES LEANDRO RUIZ JARAMILLO</t>
  </si>
  <si>
    <t>FC009233_COMPRA_AEROSOL_OCI_PARA_BISAGRAS_PUERTA_BODEGA</t>
  </si>
  <si>
    <t>51953002</t>
  </si>
  <si>
    <t>51959515</t>
  </si>
  <si>
    <t>6860</t>
  </si>
  <si>
    <t>51157051</t>
  </si>
  <si>
    <t>P890900608</t>
  </si>
  <si>
    <t>890900608 ALMACENES EXITO S.A.</t>
  </si>
  <si>
    <t>FC421767_COMPRA_ALMUERZOS_EQUIPO_FINANCIERO_ARCHIVO_FISICO_GESTION_DOCUEMTNAL_ABRIL_MAYO_JUNIO</t>
  </si>
  <si>
    <t>P890303208</t>
  </si>
  <si>
    <t>890303208 COMFANDI SANTAROSA</t>
  </si>
  <si>
    <t>FC158830_REFRIGERIOS_JORNADA_ARCHIVATON_LABORAL_CALI</t>
  </si>
  <si>
    <t>51956001</t>
  </si>
  <si>
    <t>FC421768_COMPRA_ALMUERZOS_EQUIPO_FINANCIERO_ARCHIVO_FISICO_GESTION_DOCUEMTNAL_ABRIL_MAYO_JUNIO</t>
  </si>
  <si>
    <t>FC158220_COMPRA_ALMUERZOS_EQUIPO_FINANCIERO_ARCHIVO_FISICO_GESTION_DOCUEMTNAL_ABRIL_MAYO_JUNIO</t>
  </si>
  <si>
    <t>P891408584</t>
  </si>
  <si>
    <t>891408584 FRISBY S.A</t>
  </si>
  <si>
    <t>FC993895_COMPRA_ALMUERZOS_EQUIPO_FINANCIERO_ARCHIVO_FISICO_GESTION_DOCUEMTNAL_ABRIL_MAYO_JUNIO</t>
  </si>
  <si>
    <t>FC158830_AJUSTE_PESO_REFRIGERIOS_JORNADA_ARCHIVATON_LABORAL_CALI</t>
  </si>
  <si>
    <t>FC158830_ALMUERZOS_JORNADA_ARCHIVATON_LABORAL_CALI</t>
  </si>
  <si>
    <t>A_FC005935_ALMUERZO_JESICA_PERDOMO_FRANCISCO_ALTMAR_JESSICA_VASQUEZ_REUNION_SOCIO_IMPLEMENTADOR_ACONC</t>
  </si>
  <si>
    <t>6910</t>
  </si>
  <si>
    <t>51157053</t>
  </si>
  <si>
    <t>P800153993</t>
  </si>
  <si>
    <t>800153993 COMUNICACIÓN CELULAR S.A COMCEL S.A</t>
  </si>
  <si>
    <t>FC363545_SERVICIO_TELEFONIA_MOVIL_ABRIL_WA</t>
  </si>
  <si>
    <t>FC758281_SERVICIO_TELEFONIA_MOVIL_MAYO_WA</t>
  </si>
  <si>
    <t>FC198556_CLARO_SERVICIO_TELEFONIA_MOVIL_JUNIO_WA</t>
  </si>
  <si>
    <t>FC892143_CLARO_SERVICIO_TELEFONIA_MOVIL_JULIO_WA</t>
  </si>
  <si>
    <t>FC483021_CLARO_SERVICIO_TELEFONIA_MOVIL_AGOSTO_WA</t>
  </si>
  <si>
    <t>FC0172438_CLARO_SERVICIO_TELEFONIA_MOVIL_SEPTIEMBRE_WA</t>
  </si>
  <si>
    <t>51159507</t>
  </si>
  <si>
    <t>51353501</t>
  </si>
  <si>
    <t>6920</t>
  </si>
  <si>
    <t>JA33</t>
  </si>
  <si>
    <t>N042355</t>
  </si>
  <si>
    <t>IEC Iridium monthly fee Colombia May 2021 - POPAYAN _8988169234002336915</t>
  </si>
  <si>
    <t>IEC Iridium monthly fee Colombia May 2021 - POPAYÁN_8988169234002335966</t>
  </si>
  <si>
    <t>IEC Iridium monthly fee Colombia June 2021 - POPAYAN _8988169234002336915</t>
  </si>
  <si>
    <t>IEC Iridium monthly fee Colombia June 2021 - POPAYÁN_8988169234002335966</t>
  </si>
  <si>
    <t>N042673</t>
  </si>
  <si>
    <t>IEC Iridium monthly fee Colombia July 2021 - POPAYAN _8988169234002336915</t>
  </si>
  <si>
    <t>IEC Iridium monthly fee Colombia July 2021 - POPAYÁN_8988169234002335966</t>
  </si>
  <si>
    <t>6960</t>
  </si>
  <si>
    <t>51954501</t>
  </si>
  <si>
    <t>T_PTU125062_J.RODRIGUEZ_GESTION_DE_ARCHIVO_OFICINA_CALI</t>
  </si>
  <si>
    <t>T_PTUCO404_M.GONZALEZ_GESTION_DE_ARCHIVO_OFICINA_CALI</t>
  </si>
  <si>
    <t>T_PTU119010_J.PERDOMO_GESTION_DE_ARCHIVO_OFICINA_CALI</t>
  </si>
  <si>
    <t>T_PTU124932_G.GUEVARA_GESTION_DE_ARCHIVO_OFICINA_CALI</t>
  </si>
  <si>
    <t>T_PTUCO435_ELIZABETH_MAFLA_GESTION_ARCHIVO_FISICO_GUAPI</t>
  </si>
  <si>
    <t>7040</t>
  </si>
  <si>
    <t>51154005</t>
  </si>
  <si>
    <t>CO14</t>
  </si>
  <si>
    <t>TOYOTA HILUX (7) (FL)</t>
  </si>
  <si>
    <t>P899999996</t>
  </si>
  <si>
    <t>899999996 SECRETARIA DE HACIENDA DISTRITAL -BOGOTA</t>
  </si>
  <si>
    <t>FC153240 SECRETARIA DISTRITAL DE HACIENDA IMPUESTO VEHICULO CO14 URW110</t>
  </si>
  <si>
    <t>7140</t>
  </si>
  <si>
    <t>51157063</t>
  </si>
  <si>
    <t>P805000301</t>
  </si>
  <si>
    <t>805000301 CORPORACION CLUB CAMPESTRE LOS ANDES</t>
  </si>
  <si>
    <t>CLO0793_FC000822_JORNADA CAPACITACIÓN DE SOCIO IMPLEMENTADOR EN SANTANDER DE QUILICHAO</t>
  </si>
  <si>
    <t>P900088915</t>
  </si>
  <si>
    <t>900088915 EASYFLY</t>
  </si>
  <si>
    <t>TKT_FC772219_J.MORAN_PSO_CLO_PSO_11_A_18_04_2021</t>
  </si>
  <si>
    <t>TKT_FC778292_J.PERDOMO_CLO_BOG_CLO_26_A_28_07_2021</t>
  </si>
  <si>
    <t>TKT_FC778306_F.ALTAMAR_CLO_BOG_CLO_26_A_28_07_2021</t>
  </si>
  <si>
    <t>TKT_FC779613_P.BASTIDAS_PPN_BOG_PPN_15_08_A_16_09_2021</t>
  </si>
  <si>
    <t>TKT_FC780096_H.ENRIQUEZ_PPN_BOG_PPN_30_08_2021</t>
  </si>
  <si>
    <t>TKT_FC783831_M.GONZALEZ_CLO_BOG_CLO_04_A_07_10_2021</t>
  </si>
  <si>
    <t>CO110</t>
  </si>
  <si>
    <t>DAVID FELIPE GARCIA HERRERA</t>
  </si>
  <si>
    <t>TKT_FC782247_D.GARCIA_BOG_PPN_BOG_20_A_21_09_2021</t>
  </si>
  <si>
    <t>TKT_FC781516_A.BURBANO_CO_PSO_08_09_2021</t>
  </si>
  <si>
    <t>FC781516</t>
  </si>
  <si>
    <t>P890704196</t>
  </si>
  <si>
    <t>890704196 AIRES</t>
  </si>
  <si>
    <t>FC783838</t>
  </si>
  <si>
    <t>TKT_FC783838_P.BASTIDAS_BOG_CLO_09_10_2021</t>
  </si>
  <si>
    <t>TKT_FC783837_P.BASTIDAS_CLO_BOG_04_10_2021</t>
  </si>
  <si>
    <t>TKT_FC783828_M.GONZALEZ_CLO_BOG_CLO_04_A_07_10_2021</t>
  </si>
  <si>
    <t>51159501</t>
  </si>
  <si>
    <t>Marlon Alonso Galindo</t>
  </si>
  <si>
    <t>FC706553</t>
  </si>
  <si>
    <t>PEAJE_CALI_SANTADER_QUILICHAO_HTY157_REUNION_ACONC</t>
  </si>
  <si>
    <t>FC768669</t>
  </si>
  <si>
    <t>Gerardo Alfonso Fletcher Serrano</t>
  </si>
  <si>
    <t>FC200983_PEAJE_CALI_SANTANDER_QUILICHAO_URW110_APOYO_ACTIVIDADE_PROTECCION</t>
  </si>
  <si>
    <t>FC389147_PEAJE_CALI_SANTANDER_QUILICHAO_URW110_APOYO_ACTIVIDADE_PROTECCION</t>
  </si>
  <si>
    <t>FC742963_PEAJE_CALI_SANTANDER_QUILICHAO_URW110_APOYO_ACTIVIDADE_PROTECCION</t>
  </si>
  <si>
    <t>O_FC088058_PEAJE_TRANSPORTE_SEGURIDAD_REUNIONES_POPAYAN</t>
  </si>
  <si>
    <t>O_FC076042_PEAJE_TRANSPORTE_SEGURIDAD_REUNIONES_POPAYAN</t>
  </si>
  <si>
    <t>51550503</t>
  </si>
  <si>
    <t>H_FC000238_J.PERDOMO_SANTANDER_DE_QUILICHAO_26_A_27_04_2021</t>
  </si>
  <si>
    <t>H_FC000205_J.PERDOMO_J.CASTILLO_M.GALINDO_H.ENRIQUEZ_J.MORAN_F.ALTAMAR_SANTANDER_DE_QUILICHAO_13_A_14_04_2021</t>
  </si>
  <si>
    <t>H_FC000239_J.JARAMILLO_SANTANDER_DE_QUILICHAO_26_A_27_04_2021</t>
  </si>
  <si>
    <t>H_FC002044_J.MORAN_CALI_12_A_13_04_2021</t>
  </si>
  <si>
    <t>H_FC002072_J.MORAN_CALI_14_A_16_04_2021</t>
  </si>
  <si>
    <t>H_FC000236_A.GONZALEZ_SANTANDER_DE_QUILICHAO_26_A_27_04_2021</t>
  </si>
  <si>
    <t>CO524</t>
  </si>
  <si>
    <t>Gustavo Adolfo Diaz Tovar</t>
  </si>
  <si>
    <t>H_FC002228_G.DIAZ_CALI_26_A_29_04_2021</t>
  </si>
  <si>
    <t>P901237778</t>
  </si>
  <si>
    <t>901237778 HOTEL METROTEL SAS</t>
  </si>
  <si>
    <t>H_FC003017_J.PERDOMO_BOGOTA_26_A_28_07_2021</t>
  </si>
  <si>
    <t>H_FC003014_F.ALTAMAR_BOGOTA_26_A_28_07_2021</t>
  </si>
  <si>
    <t>P830087832</t>
  </si>
  <si>
    <t>830087832 INVERSIONES HOTELERAS ROSALES SA</t>
  </si>
  <si>
    <t>H_FC002272_M.GONZALEZ_BOGOTA_04_A_07_08_2021</t>
  </si>
  <si>
    <t>H_FC000192_J.PERDOMO_STDER_DE_QUILICHAO_31_08_A_01_09_2021</t>
  </si>
  <si>
    <t>P650187917</t>
  </si>
  <si>
    <t>650187917 FREI HEINRICH ERNEST</t>
  </si>
  <si>
    <t>CLO0271_DP_FC001201_SERVICIO_ALOJAMIENTO_PERSONA_EXTERNA_ACONC</t>
  </si>
  <si>
    <t>H_FC000193_F.ALTAMAR_STDER_DE_QUILICHAO_31_08_A_01_09_2021</t>
  </si>
  <si>
    <t>51550504</t>
  </si>
  <si>
    <t>WA003982_ALIMNETAC_JESICA_PERDOMO_ACTIVIDAD_SANTANDER_QUILICHAO_REVISION_PRESUPUESTAL_</t>
  </si>
  <si>
    <t>WA003983__ALIMNETAC_JESICA_PERDOMO_ACTIVIDAD_SANTANDER_QUILICHAO_REVISION_PRESUPUESTAL_</t>
  </si>
  <si>
    <t>WA003984_ALIMNETAC_JESICA_PERDOMO_ACTIVIDAD_SANTANDER_QUILICHAO_REVISION_PRESUPUESTAL_</t>
  </si>
  <si>
    <t>FC555350_ALIMNETAC_JESICA_PERDOMO_ACTIVIDAD_SANTANDER_QUILICHAO_REVISION_PRESUPUESTAL_</t>
  </si>
  <si>
    <t>FC009356</t>
  </si>
  <si>
    <t>ALIMENTAC_JESICA_PERDOMO_JORNADA_CAPACITA_IMPLEMENTAC_ACONC</t>
  </si>
  <si>
    <t>P901015402</t>
  </si>
  <si>
    <t>901015402 TRIPLETE SAS</t>
  </si>
  <si>
    <t>FC034709</t>
  </si>
  <si>
    <t>NC000010</t>
  </si>
  <si>
    <t>CLO0793_FC000822_NC_010_ PAGO2/2_JORNADA CAPACITACIÓN DE SOCIO IMPLEMENTADOR EN SANTANDER DE QUILICHAO</t>
  </si>
  <si>
    <t>FC000822</t>
  </si>
  <si>
    <t>CLO0793_FC000822_NC_010_ AJUSTE__PESO_PAGO2/2_JORNADA CAPACITACIÓN DE SOCIO IMPLEMENTADOR EN SANTANDER DE QUILICHAO</t>
  </si>
  <si>
    <t>WA003948_ALIMNETAC_JULIAN_JARAMILLO_MISION_MONITOREO_SANTANDER_QUILICHAO</t>
  </si>
  <si>
    <t>FC555348_ALIMNETAC_JULIAN_JARAMILLO_MISION_MONITOREO_SANTANDER_QUILICHAO</t>
  </si>
  <si>
    <t>P1112477138</t>
  </si>
  <si>
    <t>1112477138 MORALES AMAYA JAIME ALBERTO</t>
  </si>
  <si>
    <t>FC043941</t>
  </si>
  <si>
    <t>FC043941_SERV_ALIMENTACION_EQUIPO_REUNION_ACONC</t>
  </si>
  <si>
    <t>WA003230</t>
  </si>
  <si>
    <t>WA003230_SERV_ALIMENTACION_EQUIPO_REUNION_ACONC</t>
  </si>
  <si>
    <t>FC010962</t>
  </si>
  <si>
    <t>SERV_ALIMENTACION_MARLON_GALINDO_EQUIPO_REUNION_ACONC</t>
  </si>
  <si>
    <t>P900934851</t>
  </si>
  <si>
    <t>900934851 GASTRONMIA ITALIANA EN COLOMBIA SAS</t>
  </si>
  <si>
    <t>FC412860</t>
  </si>
  <si>
    <t>A7</t>
  </si>
  <si>
    <t>GL Posting Tumaco (CO)</t>
  </si>
  <si>
    <t>P800065567</t>
  </si>
  <si>
    <t>800065567 VENTOLINI S.A</t>
  </si>
  <si>
    <t>A_FC078085_CENA_D.MORAN_CO273_MISION SOCIALIZACION PROCESOS LOGISTICOS PARA IMPLEMENTACION</t>
  </si>
  <si>
    <t>A_WA004914_ALMU_D.MORAN_CO273_MISION SOCIALIZACION PROCESOS LOGISTICOS PARA IMPLEMENTACION</t>
  </si>
  <si>
    <t>A_FC552541_CENA_D.MORAN_CO273_MISION SOCIALIZACION PROCESOS LOGISTICOS PARA IMPLEMENTACION</t>
  </si>
  <si>
    <t>P900449935</t>
  </si>
  <si>
    <t>900449935 CHEF BURGUER COMPANY SAS</t>
  </si>
  <si>
    <t>A_FC015500_CENA_D.MORAN_CO273_MISION SOCIALIZACION PROCESOS LOGISTICOS PARA IMPLEMENTACION</t>
  </si>
  <si>
    <t>A_WA004916_ALMU_D.MORAN_CO273_MISION SOCIALIZACION PROCESOS LOGISTICOS PARA IMPLEMENTACION</t>
  </si>
  <si>
    <t>P1193134846</t>
  </si>
  <si>
    <t>1193134846 WENDY LISETH GUERRERO FERNANDEZ</t>
  </si>
  <si>
    <t>A_WA004915_CENA_D.MORAN_CO273_MISION SOCIALIZACION PROCESOS LOGISTICOS PARA IMPLEMENTACION</t>
  </si>
  <si>
    <t>P59672712</t>
  </si>
  <si>
    <t>59672712 DAYRA CORTES</t>
  </si>
  <si>
    <t>A_WA004917_ALMU_D.MORAN_CO273_MISION SOCIALIZACION PROCESOS LOGISTICOS PARA IMPLEMENTACION</t>
  </si>
  <si>
    <t>P900498326</t>
  </si>
  <si>
    <t>900498326 MES SOLUCIONES INMOBILIARIAS SAS</t>
  </si>
  <si>
    <t>A_FC036097_CENA_D.MORAN_CO273_MISION SOCIALIZACION PROCESOS LOGISTICOS PARA IMPLEMENTACION</t>
  </si>
  <si>
    <t>A_FC178648_ALMU_D.MORAN_CO273_MISION SOCIALIZACION PROCESOS LOGISTICOS PARA IMPLEMENTACION</t>
  </si>
  <si>
    <t>A_FC891965_CENA_D.MORAN_CO273_MISION SOCIALIZACION PROCESOS LOGISTICOS PARA IMPLEMENTACION</t>
  </si>
  <si>
    <t>WA003475_ALIMNETAC_GERARDO_FLETCHER_SANTANDER_QUILICHAO_APOYO_ACTIVIDADE_PROTECCION</t>
  </si>
  <si>
    <t>WA003138_ALIMNETAC_ALEJANDRA_GONZALEZ_SOCIALIZACION_LINEA_BASE_COFY2102</t>
  </si>
  <si>
    <t>FC555349_ALIMNETAC_ALEJANDRA_GONZALEZ_SOCIALIZACION_LINEA_BASE_COFY2102</t>
  </si>
  <si>
    <t>P1144193370</t>
  </si>
  <si>
    <t>1144193370 CARLOS QUINTERO ANGULO</t>
  </si>
  <si>
    <t>WA003139_ALIMNETAC_ALEJANDRA_GONZALEZ_SOCIALIZACION_LINEA_BASE_COFY2102</t>
  </si>
  <si>
    <t>WA003140_ALIMNETAC_ALEJANDRA_GONZALEZ_SOCIALIZACION_LINEA_BASE_COFY2102</t>
  </si>
  <si>
    <t>WA003141_ALIMNETAC_ALEJANDRA_GONZALEZ_SOCIALIZACION_LINEA_BASE_COFY2102</t>
  </si>
  <si>
    <t>WA003947_ALIMENTAC_ANGELA_GONZALEZ_Socialización línea de base COFY2102</t>
  </si>
  <si>
    <t>WA008228</t>
  </si>
  <si>
    <t>ANUL_6101246_WA008228_ALIMENTAC_JULIAN_JARAMILLO_MONITOREO_SANTANDER_QUILICHAO_PBF</t>
  </si>
  <si>
    <t>WA008229</t>
  </si>
  <si>
    <t>ANUL_6101246_WA008229_ALIMENTAC_JULIAN_JARAMILLO_MONITOREO_SANTANDER_QUILICHAO_PBF</t>
  </si>
  <si>
    <t>FC070349</t>
  </si>
  <si>
    <t>ANUL_6101246_FC070349_ALIMENTAC_JULIAN_JARAMILLO_MONITOREO_SANTANDER_QUILICHAO_PBF</t>
  </si>
  <si>
    <t>FC070572</t>
  </si>
  <si>
    <t>ANUL_6101246_FC070572_ALIMENTAC_JULIAN_JARAMILLO_MONITOREO_SANTANDER_QUILICHAO_PBF</t>
  </si>
  <si>
    <t>FC070867</t>
  </si>
  <si>
    <t>ANUL_6101246_FC070867_ALIMENTAC_JULIAN_JARAMILLO_MONITOREO_SANTANDER_QUILICHAO_PBF</t>
  </si>
  <si>
    <t>WA008231</t>
  </si>
  <si>
    <t>ANUL_6101246_WA008231_ALIMENTAC_JULIAN_JARAMILLO_MONITOREO_SANTANDER_QUILICHAO_PBF</t>
  </si>
  <si>
    <t>FC069480</t>
  </si>
  <si>
    <t>ANUL_6101246_FC069480_ALIMENT_JULIAN_JARAMILLO_MONITOREO_SANTANDER_QUILICHAO_PBF</t>
  </si>
  <si>
    <t>WA008225</t>
  </si>
  <si>
    <t>ANUL_6101246_WA008225_ALIMENT_JULIAN_JARAMILLO_MONITOREO_SANTANDER_QUILICHAO_PBF</t>
  </si>
  <si>
    <t>WA008226</t>
  </si>
  <si>
    <t>ANUL_6101246_WA008226_ALIMENT_JULIAN_JARAMILLO_MONITOREO_SANTANDER_QUILICHAO_PBF</t>
  </si>
  <si>
    <t>P817002544</t>
  </si>
  <si>
    <t>817002544 SUPERMERCADOS EL RENDIDOR S.A.</t>
  </si>
  <si>
    <t>FC000408</t>
  </si>
  <si>
    <t>ANUL_6101246_FC000408_ALIMENT_JULIAN_JARAMILLO_MONITOREO_SANTANDER_QUILICHAO_PBF</t>
  </si>
  <si>
    <t>FC070011</t>
  </si>
  <si>
    <t>ANUL_6101246_FC070011_ALIMENT_JULIAN_JARAMILLO_MONITOREO_SANTANDER_QUILICHAO_PBF</t>
  </si>
  <si>
    <t>CENA_WA008228_JULIAN_JARAMILLO_MONITOR_SANTANDER_QUILICHAO</t>
  </si>
  <si>
    <t>CENA_WA008229_JULIAN_JARAMILLO_MONITOR_SANTANDER_QUILICHAO</t>
  </si>
  <si>
    <t>DESAY_FC070349_JULIAN_JARAMILLO_MONITOR_SANTANDER_QUILICHAO</t>
  </si>
  <si>
    <t>DESAY_FC070572_JULIAN_JARAMILLO_MONITOR_SANTANDER_QUILICHAO</t>
  </si>
  <si>
    <t>DESAY_FC070867_JULIAN_JARAMILLO_MONITOR_SANTANDER_QUILICHAO</t>
  </si>
  <si>
    <t>WA008232_ALIMENT_JULIAN_JARAMILLO_MONITOREO_SANTANDER_QUILICHAO</t>
  </si>
  <si>
    <t>FC052959_ALIMENT_JULIAN_JARAMILLO_MONITOREO_SANTANDER_QUILICHAO</t>
  </si>
  <si>
    <t>WA008233_ALIMENT_JULIAN_JARAMILLO_MONITOREO_SANTANDER_QUILICHAO</t>
  </si>
  <si>
    <t>WA008234_ALIMENT_JULIAN_JARAMILLO_MONITOREO_SANTANDER_QUILICHAO</t>
  </si>
  <si>
    <t>FC070349_ALIMENTAC_JULIAN_JARAMILLO_MONITOREO_SANTANDER_QUILICHAO_PBF</t>
  </si>
  <si>
    <t>FC070572_ALIMENTAC_JULIAN_JARAMILLO_MONITOREO_SANTANDER_QUILICHAO_PBF</t>
  </si>
  <si>
    <t>FC070867_ALIMENTAC_JULIAN_JARAMILLO_MONITOREO_SANTANDER_QUILICHAO_PBF</t>
  </si>
  <si>
    <t>WA008231_ALIMENTAC_JULIAN_JARAMILLO_MONITOREO_SANTANDER_QUILICHAO_PBF</t>
  </si>
  <si>
    <t>WA008228_ALIMENTAC_JULIAN_JARAMILLO_MONITOREO_SANTANDER_QUILICHAO_PBF</t>
  </si>
  <si>
    <t>WA008229_ALIMENTAC_JULIAN_JARAMILLO_MONITOREO_SANTANDER_QUILICHAO_PBF</t>
  </si>
  <si>
    <t>FC069480_ALIMENT_JULIAN_JARAMILLO_MONITOREO_SANTANDER_QUILICHAO_PBF</t>
  </si>
  <si>
    <t>WA008225_ALIMENT_JULIAN_JARAMILLO_MONITOREO_SANTANDER_QUILICHAO_PBF</t>
  </si>
  <si>
    <t>WA008226_ALIMENT_JULIAN_JARAMILLO_MONITOREO_SANTANDER_QUILICHAO_PBF</t>
  </si>
  <si>
    <t>FC000408_ALIMENT_JULIAN_JARAMILLO_MONITOREO_SANTANDER_QUILICHAO_PBF</t>
  </si>
  <si>
    <t>FC070011_ALIMENT_JULIAN_JARAMILLO_MONITOREO_SANTANDER_QUILICHAO_PBF</t>
  </si>
  <si>
    <t>CENA_WA008231_JULIAN_JARAMILLO_MONITOR_SANTANDER_QUILICHAO</t>
  </si>
  <si>
    <t>DESAY_FC070011_JULIAN_JARAMILLO_MONITOR_SANTANDER_QUILICHAO</t>
  </si>
  <si>
    <t>DESAY_FC069480_JULIAN_JARAMILLO_MONITOR_SANTANDER_QUILICHAO</t>
  </si>
  <si>
    <t>CENA_WA008225_JULIAN_JARAMILLO_MONITOR_SANTANDER_QUILICHAO</t>
  </si>
  <si>
    <t>HIDRAT_FC000408_JULIAN_JARAMILLO_MONITOR_SANTANDER_QUILICHAO</t>
  </si>
  <si>
    <t>CENA_WA008226_JULIAN_JARAMILLO_MONITOR_SANTANDER_QUILICHAO</t>
  </si>
  <si>
    <t>FC079811</t>
  </si>
  <si>
    <t>A_ALIMNETAC_FC079811_JESICA_PERDOMO_REUNION_FORTALEC_PACIFISTA</t>
  </si>
  <si>
    <t>P830055725</t>
  </si>
  <si>
    <t>830055725 INGERMEX SAS</t>
  </si>
  <si>
    <t>FC138380</t>
  </si>
  <si>
    <t>A ALIMENTAC_FC138380_JESICA_PERDOMO_REUNION_FORTALEC_PACIFISTA</t>
  </si>
  <si>
    <t>FC075232</t>
  </si>
  <si>
    <t>A ALIMENTAC_FC075232_JESICA_PERDOMO_REUNION_FORTALEC_PACIFISTA</t>
  </si>
  <si>
    <t>P830005452</t>
  </si>
  <si>
    <t>830005452 CAFE BARRA INTERNACIONAL</t>
  </si>
  <si>
    <t>FC222202</t>
  </si>
  <si>
    <t>A ALIMENTAC_FC222202_JESICA_PERDOMO_REUNION_FORTALEC_PACIFISTA</t>
  </si>
  <si>
    <t>P860076919</t>
  </si>
  <si>
    <t>860076919 CREPES &amp; WAFFLES S.A.</t>
  </si>
  <si>
    <t>FC009569</t>
  </si>
  <si>
    <t>A ALIMENTAC_FC009569_JESICA_PERDOMO_REUNION_FORTALEC_PACIFISTA</t>
  </si>
  <si>
    <t>P901296320</t>
  </si>
  <si>
    <t>901296320 PERROMONO SAS</t>
  </si>
  <si>
    <t>FC069880</t>
  </si>
  <si>
    <t>A ALIMENTAC_FC069880_JESICA_PERDOMO_REUNION_FORTALEC_PACIFISTA</t>
  </si>
  <si>
    <t>P830112317</t>
  </si>
  <si>
    <t>830112317 PROCAFECOL S.A.</t>
  </si>
  <si>
    <t>FC247610</t>
  </si>
  <si>
    <t>A ALIMENTAC_FC247610_JESICA_PERDOMO_REUNION_FORTALEC_PACIFISTA</t>
  </si>
  <si>
    <t>FC009761</t>
  </si>
  <si>
    <t>A ALIMENTAC_FC009761_JESICA_PERDOMO_REUNION_FORTALEC_PACIFISTA</t>
  </si>
  <si>
    <t>P830129327</t>
  </si>
  <si>
    <t>830129327 FARMATODO COLOMBIA S.A</t>
  </si>
  <si>
    <t>FC422801</t>
  </si>
  <si>
    <t>A ALIMENTAC_FC422801_JESICA_PERDOMO_REUNION_FORTALEC_PACIFISTA</t>
  </si>
  <si>
    <t>WA008640</t>
  </si>
  <si>
    <t>A ALIMENTAC_WA008640_JESICA_PERDOMO_REUNION_FORTALEC_PACIFISTA</t>
  </si>
  <si>
    <t>P94404852</t>
  </si>
  <si>
    <t>94404852 MOLLE PIZZA GRANADA</t>
  </si>
  <si>
    <t>FC028036</t>
  </si>
  <si>
    <t>A ALIMENTAC_FC028036_JESICA_PERDOMO_REUNION_FORTALEC_PACIFISTA</t>
  </si>
  <si>
    <t>A_WA008846_DESAYUNO_JESICA_PERDOMO_FRANCISCO_ALTAMAR_VISITA_FINANCIERA_A_SOCIO_IMPLEMENTADOR_ACONC</t>
  </si>
  <si>
    <t>A_FC056032_ALMUERZO_JESICA_PERDOMO_FRANCISCO_ALTAMAR_MAS_EQUIPO_VISITA_FINANCIERA_A_SOCIO_IMPLEMENTADOR_ACONC</t>
  </si>
  <si>
    <t>P1062290702</t>
  </si>
  <si>
    <t>1062290702 CAICEDO BANGUERO MARIA ANGELICA</t>
  </si>
  <si>
    <t>A_WA008848_CENA_JESICA_PERDOMO_FRANCISCO_ALTAMAR_VISITA_FINANCIERA_A_SOCIO_IMPLEMENTADOR_ACONC</t>
  </si>
  <si>
    <t>A_WA008847_DESAYUNO_JESICA_PERDOMO_FRANCISCO_ALTAMAR_VISITA_FINANCIERA_A_SOCIO_IMPLEMENTADOR_ACONC</t>
  </si>
  <si>
    <t>A_FC583954_HIDRATACION_JESICA_PERDOMO_FRANCISCO_ALTAMAR_VISITA_FINANCIERA_A_SOCIO_IMPLEMENTADOR_ACONC</t>
  </si>
  <si>
    <t>A_WA008235_DEAYUNO_JULIAN_JARAMILLO_MISION_MONITOREO_SANTANDER_QUILICHAO</t>
  </si>
  <si>
    <t>A_WA008236_CENA_JULIAN_JARAMILLO_MISION_MONITOREO_SANTANDER_QUILICHAO</t>
  </si>
  <si>
    <t>A_WA008237_DESAYUNO_JULIAN_JARAMILLO_MISION_MONITOREO_SANTANDER_QUILICHAO</t>
  </si>
  <si>
    <t>A_WA008538_ALIMENTACION_GERARDO_FLETCHER_TRANSPORTE_SEGURIDAD_REUNIONES_POPAYAN</t>
  </si>
  <si>
    <t>A_WA008544_ALIMENTACION_GERARDO_FLETCHER_TRANSPORTE_SEGURIDAD_REUNIONES_POPAYAN</t>
  </si>
  <si>
    <t>P900808267</t>
  </si>
  <si>
    <t>900808267 LA COSECHA PARRILLADA GOURMET S.A.S</t>
  </si>
  <si>
    <t>A_FC203531_ALIMENTACION_GERARDO_FLETCHER_TRANSPORTE_SEGURIDAD_REUNIONES_POPAYAN</t>
  </si>
  <si>
    <t>P800213075</t>
  </si>
  <si>
    <t>800213075 RESTAURANTE CAFE OMA S.A.</t>
  </si>
  <si>
    <t>A_FC404539_ALIMENTACION_HERNANDO_ENRIQUEZ_PLANEACION_ESTRATEGICA_BOGOTA</t>
  </si>
  <si>
    <t>A_FC003540_ALIMENTACION_HERNANDO_ENRIQUEZ_PLANEACION_ESTRATEGICA_BOGOTA</t>
  </si>
  <si>
    <t>P1130638580</t>
  </si>
  <si>
    <t>1130638580 MORENO NARANJO JOHN JAIRO</t>
  </si>
  <si>
    <t>A_WA003155_ALIMENTACION_EQUIPO_Y_JESUS_CAICEDO_ACOMPAÑAMIENTO_VISITA_GLOBAL_PROTECTION_CLÚSTER</t>
  </si>
  <si>
    <t>51551501</t>
  </si>
  <si>
    <t>FC781502</t>
  </si>
  <si>
    <t>TKT_FC781502_H.ENRIQUEZ_BOG_PPN_03_09_2021</t>
  </si>
  <si>
    <t>51552001</t>
  </si>
  <si>
    <t>PTU119010</t>
  </si>
  <si>
    <t>TRANSP_URB_JESICA_PERDOMO_JORNADA_CAPACITA_IMPLEMENTAC_ACONC</t>
  </si>
  <si>
    <t>PTUCO119010_TRANSP_JESICA_PERDOMO_ACTIVIDAD_SANTANDER_QUILICHAO_REVISION_PRESUPUESTAL_</t>
  </si>
  <si>
    <t>PTUCO187</t>
  </si>
  <si>
    <t>TRANSP_URB_MARLON_GALINDO_EQUIPO_REUNION_ACONC</t>
  </si>
  <si>
    <t>T_TRANSP_URBANO_D.MORAN_PTUCO273_MISION SOCIALIZACION PROCESOS LOGISTICOS PARA IMPLEMENTACION</t>
  </si>
  <si>
    <t>PTUCO276_TRANSP_URB_GERARDO_FLETCHER_SANTANDER_QUILICHAO_APOYO_ACTIVIDADE_PROTECCION</t>
  </si>
  <si>
    <t>PTUCO532_TRANSP_URB_ALEJANDRA_GONZALEZ_SOCIALIZACION_LINEA_BASE_COFY2102</t>
  </si>
  <si>
    <t>PTU124475_TRANSP_URB_ANGELA_GONZALEZ_Socialización línea de base COFY2102</t>
  </si>
  <si>
    <t>T_TRANP_URB_PTU119010_JESICA_PERDOMO_REUNION_FORTALEC_PACIFISTA</t>
  </si>
  <si>
    <t>PTUCO106</t>
  </si>
  <si>
    <t>T_TRANP_URB_PTUCO106_FRANCISCO_ALTAMAR_REUNION_FORTALEC_PACIFISTA</t>
  </si>
  <si>
    <t>CLO0252_DP_WA008891_SERVICIO DE TRANSPORTE PARA SANTANDER DE QUILICHAO PARA GESTIÓN FINANCIERA CON SOCIO IMPLEMENTADOR ACONC</t>
  </si>
  <si>
    <t>T_PTU119010_JESICA_PERDOMO_VISITA_FINANCIERA_A_SOCIO_IMPLEMENTADOR_ACONC</t>
  </si>
  <si>
    <t>T_PTUCO0276_GERARDO_FLETCHER_REALIZAR_MONITOREO_DE_MERCADO_JMMI</t>
  </si>
  <si>
    <t>T_PTUCO476_HERNANDO_ENRIQUEZ_PLANEACION_ESTRATEGICA_BOGOTA</t>
  </si>
  <si>
    <t>51559503</t>
  </si>
  <si>
    <t>FC074380_COMPRA_COMBUSTIBLE__GERARDO_FLETCHER_6,6GL_URW110_APOYO_ACTIVIDADE_PROTECCION</t>
  </si>
  <si>
    <t>WA003476_LAVADO_VEHICULO_INSTITC_URW110_APOYO_ACTIVIDADE_PROTECCION</t>
  </si>
  <si>
    <t>P1062279490</t>
  </si>
  <si>
    <t>1062279490 COLLAZOS TORRES SULLY PAOLA</t>
  </si>
  <si>
    <t>WA008227</t>
  </si>
  <si>
    <t>ANUL_6101246_WA008227_IMPRESIONES_FOTOCOIPIAS_JULIAN_JARAMILLO_MONITOREO_SANTANDER_QUILICHAO_PBF</t>
  </si>
  <si>
    <t>P76042311</t>
  </si>
  <si>
    <t>76042311 WILSON ALBERTO VIAFARA VIAFARA</t>
  </si>
  <si>
    <t>WA008230</t>
  </si>
  <si>
    <t>ANUL_6101246_WA008230_FOTOCOIPIAS_MONITOREO_SANTANDER_QUILICHAO_PBF</t>
  </si>
  <si>
    <t>WA008230_IMPRESION_Y_COPIAS_ACTIVID_MONITOR_SANTANDER_QUILICHAO</t>
  </si>
  <si>
    <t>WA008227_IMPRESION_Y_COPIAS_ACTIVID_MONITOR_SANTANDER_QUILICHAO</t>
  </si>
  <si>
    <t>WA008227_IMPRESIONES_FOTOCOIPIAS_JULIAN_JARAMILLO_MONITOREO_SANTANDER_QUILICHAO_PBF</t>
  </si>
  <si>
    <t>WA008230_FOTOCOIPIAS_MONITOREO_SANTANDER_QUILICHAO_PBF</t>
  </si>
  <si>
    <t>FC055174</t>
  </si>
  <si>
    <t>O_GASTOS_COMIIONES_FC55174_JESICA_PERDOMO_REUNION_FORTALEC_PACIFISTA</t>
  </si>
  <si>
    <t>FC050454</t>
  </si>
  <si>
    <t>O_GASTOS_COMIIONES_FC50454_JESICA_PERDOMO_REUNION_FORTALEC_PACIFISTA</t>
  </si>
  <si>
    <t>FC049103</t>
  </si>
  <si>
    <t>O_GASTOS_COMIIONES_FC49103_JESICA_PERDOMO_REUNION_FORTALEC_PACIFISTA</t>
  </si>
  <si>
    <t>FC031178</t>
  </si>
  <si>
    <t>O_GASTOS_COMIIONES_FC31178_JESICA_PERDOMO_REUNION_FORTALEC_PACIFISTA</t>
  </si>
  <si>
    <t>FC024682</t>
  </si>
  <si>
    <t>O_GASTOS_COMIIONES_FC24682_JESICA_PERDOMO_REUNION_FORTALEC_PACIFISTA</t>
  </si>
  <si>
    <t>C_FC430367_COMBUSTIBLE_GERARDO_FLETCHER_TRANSPORTE_SEGURIDAD_REUNIONES_POPAYAN</t>
  </si>
  <si>
    <t>O_WA008539_PARQUEADERO_GERARDO_FLETCHER_TRANSPORTE_SEGURIDAD_REUNIONES_POPAYAN</t>
  </si>
  <si>
    <t>7770</t>
  </si>
  <si>
    <t>Z0</t>
  </si>
  <si>
    <t>From UNDP COFY2102 - PBF/IRF-401-COL - bank fee</t>
  </si>
  <si>
    <t>8170</t>
  </si>
  <si>
    <t>51157081</t>
  </si>
  <si>
    <t>GASTOS_BANCARIOS_MES_ABRIL_CTA_4020_COMISIONES_IVA</t>
  </si>
  <si>
    <t>GASTOS_BANCARIOS_CUENTA_CALI_JUNIO</t>
  </si>
  <si>
    <t>IVA_CUENTA_CARGUES_1862_202107</t>
  </si>
  <si>
    <t>IVA_CUENTA_1862_202107_CARGUES_WA</t>
  </si>
  <si>
    <t>IVA_CUENTA_1858_202107</t>
  </si>
  <si>
    <t>IVA_CUENTA_1862_202108_CARGUES_WA</t>
  </si>
  <si>
    <t>IVAS_CUENTA_1861_202108_CARGUES_WA</t>
  </si>
  <si>
    <t>IVA_CUENTA_1858_202108</t>
  </si>
  <si>
    <t>IVAS_CUENTA_1862_202108_TARJETAS_WA</t>
  </si>
  <si>
    <t>IVA_CUENTA_1858_202109</t>
  </si>
  <si>
    <t>51159502</t>
  </si>
  <si>
    <t>AJUS_6100777_AUSTE_PESO_GASTOS_BANCARIOS_CTA_4020 ABRIL</t>
  </si>
  <si>
    <t>AJUSTE_PESO_GASTOS_BANCARIOS_CTA_4020 ABRIL</t>
  </si>
  <si>
    <t>GASTOS_BANCARIOS_MES_ABRIL_CTA_4020_GMF</t>
  </si>
  <si>
    <t>GMF_CUENTA_1858_202107</t>
  </si>
  <si>
    <t>REVERSO_GMF_1858_202108_WA</t>
  </si>
  <si>
    <t>GMF_CUENTA_1858_202108</t>
  </si>
  <si>
    <t>GMF_CUENTA_1858_202109</t>
  </si>
  <si>
    <t>53051501</t>
  </si>
  <si>
    <t>COMISIONES_CUENTA_1862_202107_CARGUES_WA</t>
  </si>
  <si>
    <t>COMISIONES_CUENTA_1858_202107</t>
  </si>
  <si>
    <t>COMISIONES_CUENTA_1862_202108_CARGUES_WA</t>
  </si>
  <si>
    <t>COMISIONES_CUENTA_1862_202108_TARJETAS_WA</t>
  </si>
  <si>
    <t>COMISIONES_CUENTA_1861_202108_CARGUES_WA</t>
  </si>
  <si>
    <t>COMISIONES_CUENTA_1858_202108</t>
  </si>
  <si>
    <t>COMISIONES_CUENTA_1858_202109</t>
  </si>
  <si>
    <t>LEG</t>
  </si>
  <si>
    <t>O_IMPUESTO4XMIL_JESICA_PERDOMO_VISITA_FINANCIERA_A_SOCIO_IMPLEMENTADOR_ACONC</t>
  </si>
  <si>
    <t>COMISIONES_TCR_2589</t>
  </si>
  <si>
    <t>53059501</t>
  </si>
  <si>
    <t>P837000332</t>
  </si>
  <si>
    <t>837000332 IPIALES PASTORAL SOCIAL CARITAS</t>
  </si>
  <si>
    <t>FC000100</t>
  </si>
  <si>
    <t>AJ_T6101958_AJUSTE_AL_PESO_ARRIENDO_FC000100_BODEGA_IPIALES_SEPTIEMBRE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</si>
</sst>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0_-;\-* #,##0_-;_-* &quot;-&quot;_-;_-@_-"/>
    <numFmt numFmtId="44" formatCode="_-&quot;$&quot;\ * #,##0.00_-;\-&quot;$&quot;\ * #,##0.00_-;_-&quot;$&quot;\ * &quot;-&quot;??_-;_-@_-"/>
    <numFmt numFmtId="43" formatCode="_-* #,##0.00_-;\-* #,##0.00_-;_-* &quot;-&quot;??_-;_-@_-"/>
    <numFmt numFmtId="164" formatCode="_(&quot;$&quot;* #,##0.00_);_(&quot;$&quot;* \(#,##0.00\);_(&quot;$&quot;* &quot;-&quot;??_);_(@_)"/>
    <numFmt numFmtId="165" formatCode="_-* #,##0_-;\-* #,##0_-;_-* &quot;-&quot;??_-;_-@_-"/>
    <numFmt numFmtId="166" formatCode="_(&quot;$&quot;* #,##0_);_(&quot;$&quot;* \(#,##0\);_(&quot;$&quot;* &quot;-&quot;??_);_(@_)"/>
    <numFmt numFmtId="167" formatCode="_(* #,##0.0_);_(* \(#,##0.0\);_(* &quot;-&quot;??_);_(@_)"/>
    <numFmt numFmtId="168" formatCode="_(* #,##0_);_(* \(#,##0\);_(* &quot;-&quot;??_);_(@_)"/>
    <numFmt numFmtId="169" formatCode="0.0\ %"/>
    <numFmt numFmtId="170" formatCode="[$-409]d\-mmm\-yyyy;@"/>
    <numFmt numFmtId="171" formatCode="_(* #,##0.00_);_(* \(#,##0.00\);_(* &quot;-&quot;??_);_(@_)"/>
    <numFmt numFmtId="172" formatCode="#,##0.00_ ;[Red]\-#,##0.00\ "/>
    <numFmt numFmtId="173" formatCode="#,##0_ ;[Red]\-#,##0\ "/>
    <numFmt numFmtId="174" formatCode="_-* #,##0.0_-;\-* #,##0.0_-;_-* &quot;-&quot;_-;_-@_-"/>
  </numFmts>
  <fonts count="42"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B0F0"/>
      <name val="Calibri"/>
      <family val="2"/>
      <scheme val="minor"/>
    </font>
    <font>
      <b/>
      <sz val="24"/>
      <color rgb="FF00B0F0"/>
      <name val="Calibri"/>
      <family val="2"/>
      <scheme val="minor"/>
    </font>
    <font>
      <sz val="14"/>
      <color theme="1"/>
      <name val="Calibri"/>
      <family val="2"/>
      <scheme val="minor"/>
    </font>
    <font>
      <b/>
      <sz val="14"/>
      <color theme="1"/>
      <name val="Calibri"/>
      <family val="2"/>
      <scheme val="minor"/>
    </font>
    <font>
      <b/>
      <u/>
      <sz val="18"/>
      <color theme="1"/>
      <name val="Calibri"/>
      <family val="2"/>
      <scheme val="minor"/>
    </font>
    <font>
      <i/>
      <sz val="14"/>
      <color theme="1"/>
      <name val="Calibri"/>
      <family val="2"/>
      <scheme val="minor"/>
    </font>
    <font>
      <sz val="8"/>
      <color theme="0"/>
      <name val="Calibri"/>
      <family val="2"/>
      <scheme val="minor"/>
    </font>
    <font>
      <sz val="8"/>
      <color theme="2" tint="-0.89999084444715716"/>
      <name val="Calibri"/>
      <family val="2"/>
      <scheme val="minor"/>
    </font>
    <font>
      <sz val="8"/>
      <color theme="3" tint="-0.249977111117893"/>
      <name val="Calibri"/>
      <family val="2"/>
      <scheme val="minor"/>
    </font>
    <font>
      <sz val="8"/>
      <color theme="2" tint="-0.749992370372631"/>
      <name val="Calibri"/>
      <family val="2"/>
      <scheme val="minor"/>
    </font>
    <font>
      <sz val="8"/>
      <color theme="1"/>
      <name val="Calibri"/>
      <family val="2"/>
      <scheme val="minor"/>
    </font>
    <font>
      <sz val="12"/>
      <color rgb="FF000000"/>
      <name val="Calibri"/>
      <family val="2"/>
    </font>
    <font>
      <sz val="11"/>
      <color theme="0"/>
      <name val="Calibri"/>
      <family val="2"/>
      <scheme val="minor"/>
    </font>
    <font>
      <b/>
      <sz val="12"/>
      <color theme="0"/>
      <name val="Calibri"/>
      <family val="2"/>
      <scheme val="minor"/>
    </font>
    <font>
      <sz val="12"/>
      <color theme="0"/>
      <name val="Calibri"/>
      <family val="2"/>
      <scheme val="minor"/>
    </font>
    <font>
      <sz val="8"/>
      <name val="Calibri"/>
      <family val="2"/>
      <scheme val="minor"/>
    </font>
    <font>
      <b/>
      <sz val="11"/>
      <name val="Arial"/>
      <family val="2"/>
    </font>
    <font>
      <sz val="11"/>
      <name val="Arial"/>
      <family val="2"/>
    </font>
    <font>
      <sz val="12"/>
      <name val="Arial"/>
      <family val="2"/>
    </font>
    <font>
      <b/>
      <sz val="12"/>
      <name val="Arial"/>
      <family val="2"/>
    </font>
    <font>
      <b/>
      <sz val="12"/>
      <color theme="1" tint="4.9989318521683403E-2"/>
      <name val="Arial"/>
      <family val="2"/>
    </font>
    <font>
      <sz val="12"/>
      <color theme="1" tint="4.9989318521683403E-2"/>
      <name val="Arial"/>
      <family val="2"/>
    </font>
    <font>
      <b/>
      <sz val="11"/>
      <color theme="1" tint="4.9989318521683403E-2"/>
      <name val="Arial"/>
      <family val="2"/>
    </font>
    <font>
      <sz val="11"/>
      <color theme="1" tint="4.9989318521683403E-2"/>
      <name val="Arial"/>
      <family val="2"/>
    </font>
    <font>
      <vertAlign val="superscript"/>
      <sz val="14"/>
      <name val="Arial"/>
      <family val="2"/>
    </font>
    <font>
      <sz val="14"/>
      <name val="Arial"/>
      <family val="2"/>
    </font>
  </fonts>
  <fills count="2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6" tint="0.79998168889431442"/>
        <bgColor indexed="65"/>
      </patternFill>
    </fill>
    <fill>
      <patternFill patternType="solid">
        <fgColor theme="7" tint="0.79998168889431442"/>
        <bgColor indexed="65"/>
      </patternFill>
    </fill>
    <fill>
      <patternFill patternType="solid">
        <fgColor rgb="FF8E0000"/>
        <bgColor indexed="64"/>
      </patternFill>
    </fill>
    <fill>
      <gradientFill degree="225">
        <stop position="0">
          <color rgb="FFFF0000"/>
        </stop>
        <stop position="1">
          <color rgb="FFC00000"/>
        </stop>
      </gradientFill>
    </fill>
    <fill>
      <gradientFill degree="315">
        <stop position="0">
          <color rgb="FFFF0000"/>
        </stop>
        <stop position="1">
          <color rgb="FFC00000"/>
        </stop>
      </gradientFill>
    </fill>
    <fill>
      <patternFill patternType="solid">
        <fgColor theme="3" tint="-0.249977111117893"/>
        <bgColor indexed="64"/>
      </patternFill>
    </fill>
    <fill>
      <patternFill patternType="solid">
        <fgColor theme="3" tint="-0.499984740745262"/>
        <bgColor indexed="64"/>
      </patternFill>
    </fill>
    <fill>
      <patternFill patternType="solid">
        <fgColor theme="2" tint="-0.749992370372631"/>
        <bgColor indexed="64"/>
      </patternFill>
    </fill>
    <fill>
      <patternFill patternType="solid">
        <fgColor rgb="FFE7F0F9"/>
        <bgColor indexed="64"/>
      </patternFill>
    </fill>
    <fill>
      <patternFill patternType="solid">
        <fgColor rgb="FFE5E2D3"/>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1" tint="0.34998626667073579"/>
        <bgColor indexed="64"/>
      </patternFill>
    </fill>
    <fill>
      <patternFill patternType="solid">
        <fgColor rgb="FFEAE7DA"/>
        <bgColor indexed="64"/>
      </patternFill>
    </fill>
    <fill>
      <patternFill patternType="solid">
        <fgColor theme="8" tint="0.59999389629810485"/>
        <bgColor indexed="64"/>
      </patternFill>
    </fill>
  </fills>
  <borders count="9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style="medium">
        <color rgb="FF0066FF"/>
      </left>
      <right style="thin">
        <color rgb="FFFFC000"/>
      </right>
      <top/>
      <bottom/>
      <diagonal/>
    </border>
    <border>
      <left style="thick">
        <color rgb="FFFFC000"/>
      </left>
      <right style="hair">
        <color rgb="FFFFC000"/>
      </right>
      <top style="thick">
        <color rgb="FFFFC000"/>
      </top>
      <bottom style="hair">
        <color indexed="64"/>
      </bottom>
      <diagonal/>
    </border>
    <border>
      <left style="hair">
        <color rgb="FFFFC000"/>
      </left>
      <right style="thick">
        <color rgb="FFFFC000"/>
      </right>
      <top style="thick">
        <color rgb="FFFFC000"/>
      </top>
      <bottom style="hair">
        <color indexed="64"/>
      </bottom>
      <diagonal/>
    </border>
    <border>
      <left/>
      <right style="thin">
        <color rgb="FFFFC000"/>
      </right>
      <top/>
      <bottom/>
      <diagonal/>
    </border>
    <border>
      <left/>
      <right style="medium">
        <color rgb="FF0066FF"/>
      </right>
      <top/>
      <bottom/>
      <diagonal/>
    </border>
    <border>
      <left style="medium">
        <color rgb="FF0066FF"/>
      </left>
      <right style="thin">
        <color rgb="FFFFC000"/>
      </right>
      <top style="medium">
        <color theme="4" tint="-0.24994659260841701"/>
      </top>
      <bottom/>
      <diagonal/>
    </border>
    <border>
      <left style="thin">
        <color rgb="FFFFC000"/>
      </left>
      <right style="thin">
        <color rgb="FFFFC000"/>
      </right>
      <top style="medium">
        <color theme="4" tint="-0.24994659260841701"/>
      </top>
      <bottom/>
      <diagonal/>
    </border>
    <border>
      <left style="thin">
        <color rgb="FFFFC000"/>
      </left>
      <right style="medium">
        <color rgb="FF0066FF"/>
      </right>
      <top style="medium">
        <color theme="4" tint="-0.24994659260841701"/>
      </top>
      <bottom/>
      <diagonal/>
    </border>
    <border>
      <left style="medium">
        <color rgb="FF0066FF"/>
      </left>
      <right/>
      <top/>
      <bottom/>
      <diagonal/>
    </border>
    <border>
      <left style="thin">
        <color rgb="FFFFC000"/>
      </left>
      <right style="thin">
        <color rgb="FFFFC000"/>
      </right>
      <top/>
      <bottom/>
      <diagonal/>
    </border>
    <border>
      <left style="thin">
        <color rgb="FFFFC000"/>
      </left>
      <right style="medium">
        <color rgb="FF0066FF"/>
      </right>
      <top style="medium">
        <color rgb="FF0066FF"/>
      </top>
      <bottom style="thin">
        <color rgb="FFFFC000"/>
      </bottom>
      <diagonal/>
    </border>
    <border>
      <left style="medium">
        <color rgb="FF0066FF"/>
      </left>
      <right style="thin">
        <color rgb="FFFFC000"/>
      </right>
      <top style="hair">
        <color theme="0" tint="-0.499984740745262"/>
      </top>
      <bottom/>
      <diagonal/>
    </border>
    <border>
      <left style="thin">
        <color rgb="FFFFC000"/>
      </left>
      <right/>
      <top style="hair">
        <color indexed="64"/>
      </top>
      <bottom/>
      <diagonal/>
    </border>
    <border>
      <left style="thin">
        <color rgb="FFFFC000"/>
      </left>
      <right style="hair">
        <color rgb="FFFFC000"/>
      </right>
      <top style="hair">
        <color indexed="64"/>
      </top>
      <bottom/>
      <diagonal/>
    </border>
    <border>
      <left style="hair">
        <color rgb="FFFFC000"/>
      </left>
      <right style="thin">
        <color rgb="FFFFC000"/>
      </right>
      <top style="hair">
        <color indexed="64"/>
      </top>
      <bottom/>
      <diagonal/>
    </border>
    <border>
      <left/>
      <right style="thin">
        <color rgb="FFFFC000"/>
      </right>
      <top style="hair">
        <color indexed="64"/>
      </top>
      <bottom/>
      <diagonal/>
    </border>
    <border>
      <left style="thin">
        <color rgb="FFFFC000"/>
      </left>
      <right style="thin">
        <color rgb="FFFFC000"/>
      </right>
      <top style="hair">
        <color indexed="64"/>
      </top>
      <bottom/>
      <diagonal/>
    </border>
    <border>
      <left style="thin">
        <color rgb="FFFFC000"/>
      </left>
      <right style="medium">
        <color rgb="FF0066FF"/>
      </right>
      <top style="hair">
        <color indexed="64"/>
      </top>
      <bottom/>
      <diagonal/>
    </border>
    <border>
      <left style="medium">
        <color rgb="FF0066FF"/>
      </left>
      <right style="thin">
        <color rgb="FFFFC000"/>
      </right>
      <top style="hair">
        <color indexed="64"/>
      </top>
      <bottom/>
      <diagonal/>
    </border>
    <border>
      <left/>
      <right style="medium">
        <color rgb="FF0066FF"/>
      </right>
      <top style="hair">
        <color indexed="64"/>
      </top>
      <bottom/>
      <diagonal/>
    </border>
    <border>
      <left style="thin">
        <color rgb="FF000000"/>
      </left>
      <right style="thin">
        <color rgb="FF000000"/>
      </right>
      <top style="thin">
        <color rgb="FF000000"/>
      </top>
      <bottom style="thin">
        <color rgb="FF000000"/>
      </bottom>
      <diagonal/>
    </border>
    <border>
      <left/>
      <right style="thin">
        <color rgb="FFFFC000"/>
      </right>
      <top style="hair">
        <color theme="0" tint="-0.499984740745262"/>
      </top>
      <bottom/>
      <diagonal/>
    </border>
    <border>
      <left style="thin">
        <color rgb="FFFFC000"/>
      </left>
      <right style="thin">
        <color rgb="FFFFC000"/>
      </right>
      <top style="hair">
        <color indexed="64"/>
      </top>
      <bottom style="hair">
        <color indexed="64"/>
      </bottom>
      <diagonal/>
    </border>
    <border>
      <left/>
      <right style="thin">
        <color rgb="FFFFC000"/>
      </right>
      <top style="hair">
        <color indexed="64"/>
      </top>
      <bottom style="hair">
        <color indexed="64"/>
      </bottom>
      <diagonal/>
    </border>
    <border>
      <left/>
      <right style="medium">
        <color rgb="FF0066FF"/>
      </right>
      <top style="hair">
        <color indexed="64"/>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s>
  <cellStyleXfs count="7">
    <xf numFmtId="0" fontId="0" fillId="0" borderId="0"/>
    <xf numFmtId="16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7" borderId="0" applyNumberFormat="0" applyBorder="0" applyAlignment="0" applyProtection="0"/>
    <xf numFmtId="0" fontId="4" fillId="8" borderId="0" applyNumberFormat="0" applyBorder="0" applyAlignment="0" applyProtection="0"/>
    <xf numFmtId="41" fontId="4" fillId="0" borderId="0" applyFont="0" applyFill="0" applyBorder="0" applyAlignment="0" applyProtection="0"/>
  </cellStyleXfs>
  <cellXfs count="552">
    <xf numFmtId="0" fontId="0" fillId="0" borderId="0" xfId="0"/>
    <xf numFmtId="0" fontId="0" fillId="0" borderId="0" xfId="0" applyBorder="1"/>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lignment vertical="center" wrapText="1"/>
    </xf>
    <xf numFmtId="0" fontId="2" fillId="3" borderId="0" xfId="0" applyFont="1" applyFill="1" applyBorder="1" applyAlignment="1" applyProtection="1">
      <alignment vertical="center" wrapText="1"/>
    </xf>
    <xf numFmtId="0" fontId="0" fillId="0" borderId="23" xfId="0" applyBorder="1"/>
    <xf numFmtId="0" fontId="0" fillId="0" borderId="24" xfId="0" applyBorder="1" applyAlignment="1">
      <alignment wrapText="1"/>
    </xf>
    <xf numFmtId="0" fontId="0" fillId="0" borderId="25" xfId="0" applyBorder="1" applyAlignment="1">
      <alignment wrapText="1"/>
    </xf>
    <xf numFmtId="0" fontId="3" fillId="0" borderId="6" xfId="0" applyFont="1" applyBorder="1"/>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3" xfId="0" applyFont="1" applyFill="1" applyBorder="1" applyAlignment="1">
      <alignment vertical="center" wrapText="1"/>
    </xf>
    <xf numFmtId="0" fontId="2" fillId="3" borderId="0" xfId="0" applyFont="1" applyFill="1" applyBorder="1" applyAlignment="1" applyProtection="1">
      <alignment vertical="center" wrapText="1"/>
      <protection locked="0"/>
    </xf>
    <xf numFmtId="164" fontId="10" fillId="0" borderId="0" xfId="1" applyFont="1" applyFill="1" applyBorder="1" applyAlignment="1" applyProtection="1">
      <alignment vertical="center" wrapText="1"/>
    </xf>
    <xf numFmtId="164" fontId="2" fillId="2" borderId="3" xfId="1" applyNumberFormat="1" applyFont="1" applyFill="1" applyBorder="1" applyAlignment="1" applyProtection="1">
      <alignment horizontal="center" vertical="center" wrapText="1"/>
    </xf>
    <xf numFmtId="0" fontId="7" fillId="2" borderId="8" xfId="0" applyFont="1" applyFill="1" applyBorder="1" applyAlignment="1" applyProtection="1">
      <alignment vertical="center" wrapText="1"/>
    </xf>
    <xf numFmtId="164" fontId="7"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8" xfId="0" applyFont="1" applyFill="1" applyBorder="1" applyAlignment="1" applyProtection="1">
      <alignment vertical="center" wrapText="1"/>
    </xf>
    <xf numFmtId="0" fontId="2" fillId="2" borderId="13" xfId="0" applyFont="1" applyFill="1" applyBorder="1" applyAlignment="1" applyProtection="1">
      <alignment vertical="center" wrapText="1"/>
    </xf>
    <xf numFmtId="0" fontId="7" fillId="2" borderId="13" xfId="0" applyFont="1" applyFill="1" applyBorder="1" applyAlignment="1" applyProtection="1">
      <alignment vertical="center" wrapText="1"/>
    </xf>
    <xf numFmtId="0" fontId="7"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2" fillId="0" borderId="0" xfId="0" applyFont="1" applyBorder="1" applyAlignment="1">
      <alignment wrapText="1"/>
    </xf>
    <xf numFmtId="0" fontId="13"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9" fillId="0" borderId="0"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2" fillId="0" borderId="0" xfId="1" applyFont="1" applyFill="1" applyBorder="1" applyAlignment="1" applyProtection="1">
      <alignment horizontal="center" vertical="center"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164" fontId="2" fillId="2" borderId="3" xfId="0" applyNumberFormat="1" applyFont="1" applyFill="1" applyBorder="1" applyAlignment="1">
      <alignment horizontal="center" wrapText="1"/>
    </xf>
    <xf numFmtId="0" fontId="5" fillId="3" borderId="0" xfId="0" applyFont="1" applyFill="1" applyBorder="1" applyAlignment="1">
      <alignment wrapText="1"/>
    </xf>
    <xf numFmtId="164" fontId="2" fillId="4" borderId="3" xfId="1" applyFont="1" applyFill="1" applyBorder="1" applyAlignment="1" applyProtection="1">
      <alignment wrapText="1"/>
    </xf>
    <xf numFmtId="0" fontId="5" fillId="0" borderId="0" xfId="0" applyFont="1" applyFill="1" applyBorder="1" applyAlignment="1">
      <alignment wrapText="1"/>
    </xf>
    <xf numFmtId="164" fontId="2" fillId="0" borderId="0" xfId="0" applyNumberFormat="1" applyFont="1" applyFill="1" applyBorder="1" applyAlignment="1">
      <alignment wrapText="1"/>
    </xf>
    <xf numFmtId="164" fontId="6" fillId="0" borderId="0" xfId="1" applyFont="1" applyFill="1" applyBorder="1" applyAlignment="1">
      <alignment horizontal="right" vertical="center" wrapText="1"/>
    </xf>
    <xf numFmtId="0" fontId="2" fillId="2" borderId="40" xfId="0" applyFont="1" applyFill="1" applyBorder="1" applyAlignment="1">
      <alignment horizontal="center" wrapText="1"/>
    </xf>
    <xf numFmtId="164" fontId="2" fillId="2" borderId="3" xfId="0" applyNumberFormat="1" applyFont="1" applyFill="1" applyBorder="1" applyAlignment="1">
      <alignment wrapText="1"/>
    </xf>
    <xf numFmtId="0" fontId="6" fillId="2" borderId="40" xfId="0" applyFont="1" applyFill="1" applyBorder="1" applyAlignment="1" applyProtection="1">
      <alignment vertical="center" wrapText="1"/>
    </xf>
    <xf numFmtId="164" fontId="2" fillId="2" borderId="40" xfId="0" applyNumberFormat="1" applyFont="1" applyFill="1" applyBorder="1" applyAlignment="1">
      <alignment wrapText="1"/>
    </xf>
    <xf numFmtId="0" fontId="2" fillId="2" borderId="14" xfId="0" applyFont="1" applyFill="1" applyBorder="1" applyAlignment="1">
      <alignment horizontal="left" wrapText="1"/>
    </xf>
    <xf numFmtId="164" fontId="2" fillId="2" borderId="14" xfId="0" applyNumberFormat="1" applyFont="1" applyFill="1" applyBorder="1" applyAlignment="1">
      <alignment horizontal="center" wrapText="1"/>
    </xf>
    <xf numFmtId="164" fontId="2" fillId="2" borderId="14"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164" fontId="2" fillId="2" borderId="39" xfId="0" applyNumberFormat="1" applyFont="1" applyFill="1" applyBorder="1" applyAlignment="1">
      <alignment wrapText="1"/>
    </xf>
    <xf numFmtId="164" fontId="2" fillId="2" borderId="9" xfId="0" applyNumberFormat="1" applyFont="1" applyFill="1" applyBorder="1" applyAlignment="1">
      <alignment wrapText="1"/>
    </xf>
    <xf numFmtId="164" fontId="2" fillId="2" borderId="15" xfId="0" applyNumberFormat="1" applyFont="1" applyFill="1" applyBorder="1" applyAlignment="1">
      <alignment wrapText="1"/>
    </xf>
    <xf numFmtId="0" fontId="2" fillId="2" borderId="11" xfId="0" applyFont="1" applyFill="1" applyBorder="1" applyAlignment="1">
      <alignment horizontal="center" wrapText="1"/>
    </xf>
    <xf numFmtId="164" fontId="2" fillId="2" borderId="33" xfId="1" applyNumberFormat="1" applyFont="1" applyFill="1" applyBorder="1" applyAlignment="1">
      <alignment wrapText="1"/>
    </xf>
    <xf numFmtId="164" fontId="2" fillId="2" borderId="34" xfId="0" applyNumberFormat="1" applyFont="1" applyFill="1" applyBorder="1" applyAlignment="1">
      <alignment wrapText="1"/>
    </xf>
    <xf numFmtId="0" fontId="5" fillId="0" borderId="0" xfId="0" applyFont="1"/>
    <xf numFmtId="0" fontId="14" fillId="0" borderId="0" xfId="0" applyFont="1" applyAlignment="1"/>
    <xf numFmtId="49" fontId="0" fillId="0" borderId="0" xfId="0" applyNumberFormat="1"/>
    <xf numFmtId="0" fontId="14" fillId="0" borderId="0" xfId="0" applyFont="1" applyAlignment="1">
      <alignment vertical="center"/>
    </xf>
    <xf numFmtId="49" fontId="15" fillId="0" borderId="0" xfId="0" applyNumberFormat="1" applyFont="1" applyAlignment="1">
      <alignment horizontal="left"/>
    </xf>
    <xf numFmtId="49" fontId="15" fillId="0" borderId="0" xfId="0" applyNumberFormat="1" applyFont="1" applyAlignment="1">
      <alignment horizontal="left" wrapText="1"/>
    </xf>
    <xf numFmtId="49" fontId="15"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3" xfId="0" applyFill="1" applyBorder="1"/>
    <xf numFmtId="9" fontId="0" fillId="2" borderId="14" xfId="2" applyFont="1" applyFill="1" applyBorder="1" applyAlignment="1">
      <alignment vertical="center"/>
    </xf>
    <xf numFmtId="164" fontId="0" fillId="2" borderId="15" xfId="0" applyNumberFormat="1" applyFill="1" applyBorder="1" applyAlignment="1">
      <alignment vertical="center"/>
    </xf>
    <xf numFmtId="0" fontId="2" fillId="2" borderId="3" xfId="0"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4" xfId="1" applyFont="1" applyFill="1" applyBorder="1" applyAlignment="1" applyProtection="1">
      <alignment vertical="center" wrapText="1"/>
    </xf>
    <xf numFmtId="164" fontId="2" fillId="2" borderId="14" xfId="1" applyFont="1" applyFill="1" applyBorder="1" applyAlignment="1" applyProtection="1">
      <alignment vertical="center" wrapText="1"/>
    </xf>
    <xf numFmtId="164" fontId="2" fillId="2" borderId="38" xfId="1" applyFont="1" applyFill="1" applyBorder="1" applyAlignment="1" applyProtection="1">
      <alignment vertical="center" wrapText="1"/>
    </xf>
    <xf numFmtId="9" fontId="2" fillId="2" borderId="15" xfId="2" applyFont="1" applyFill="1" applyBorder="1" applyAlignment="1" applyProtection="1">
      <alignment vertical="center" wrapText="1"/>
    </xf>
    <xf numFmtId="0" fontId="3" fillId="2" borderId="29" xfId="0" applyFont="1" applyFill="1" applyBorder="1" applyAlignment="1" applyProtection="1">
      <alignment horizontal="left" vertical="center" wrapText="1"/>
    </xf>
    <xf numFmtId="164" fontId="2" fillId="2" borderId="17"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3" xfId="0" applyFill="1" applyBorder="1" applyAlignment="1">
      <alignment vertical="top"/>
    </xf>
    <xf numFmtId="164" fontId="2" fillId="2" borderId="3" xfId="1" applyFont="1" applyFill="1" applyBorder="1" applyAlignment="1" applyProtection="1">
      <alignment horizontal="center" vertical="center" wrapText="1"/>
    </xf>
    <xf numFmtId="0" fontId="2" fillId="2" borderId="40"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pplyProtection="1">
      <alignment vertical="center" wrapText="1"/>
    </xf>
    <xf numFmtId="164" fontId="2" fillId="2" borderId="41" xfId="1" applyFont="1" applyFill="1" applyBorder="1" applyAlignment="1" applyProtection="1">
      <alignment vertical="center" wrapText="1"/>
    </xf>
    <xf numFmtId="164" fontId="2" fillId="4" borderId="3" xfId="1" applyFont="1" applyFill="1" applyBorder="1" applyAlignment="1" applyProtection="1">
      <alignment vertical="center" wrapText="1"/>
    </xf>
    <xf numFmtId="0" fontId="2" fillId="2" borderId="3" xfId="1" applyNumberFormat="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0" fontId="2" fillId="4" borderId="43" xfId="0" applyFont="1" applyFill="1" applyBorder="1" applyAlignment="1" applyProtection="1">
      <alignment vertical="center" wrapText="1"/>
    </xf>
    <xf numFmtId="164" fontId="2" fillId="2" borderId="2" xfId="1" applyFont="1" applyFill="1" applyBorder="1" applyAlignment="1" applyProtection="1">
      <alignment horizontal="center" vertical="center" wrapText="1"/>
    </xf>
    <xf numFmtId="0" fontId="2" fillId="2" borderId="2" xfId="1" applyNumberFormat="1" applyFont="1" applyFill="1" applyBorder="1" applyAlignment="1" applyProtection="1">
      <alignment vertical="center" wrapText="1"/>
    </xf>
    <xf numFmtId="164" fontId="2" fillId="2" borderId="50" xfId="1" applyFont="1" applyFill="1" applyBorder="1" applyAlignment="1" applyProtection="1">
      <alignment vertical="center" wrapText="1"/>
    </xf>
    <xf numFmtId="164" fontId="2" fillId="2" borderId="0" xfId="1" applyNumberFormat="1" applyFont="1" applyFill="1" applyBorder="1" applyAlignment="1">
      <alignment wrapText="1"/>
    </xf>
    <xf numFmtId="164" fontId="2" fillId="2" borderId="53" xfId="1" applyNumberFormat="1" applyFont="1" applyFill="1" applyBorder="1" applyAlignment="1">
      <alignment wrapText="1"/>
    </xf>
    <xf numFmtId="0" fontId="7" fillId="2" borderId="35" xfId="0" applyFont="1" applyFill="1" applyBorder="1" applyAlignment="1" applyProtection="1">
      <alignment vertical="center" wrapText="1"/>
    </xf>
    <xf numFmtId="164" fontId="2" fillId="2" borderId="12" xfId="0" applyNumberFormat="1" applyFont="1" applyFill="1" applyBorder="1" applyAlignment="1">
      <alignment wrapText="1"/>
    </xf>
    <xf numFmtId="164" fontId="2" fillId="2" borderId="13" xfId="1" applyFont="1" applyFill="1" applyBorder="1" applyAlignment="1" applyProtection="1">
      <alignment wrapText="1"/>
    </xf>
    <xf numFmtId="164" fontId="2" fillId="2" borderId="26" xfId="1" applyNumberFormat="1" applyFont="1" applyFill="1" applyBorder="1" applyAlignment="1">
      <alignment wrapText="1"/>
    </xf>
    <xf numFmtId="164" fontId="2" fillId="2" borderId="21" xfId="0" applyNumberFormat="1" applyFont="1" applyFill="1" applyBorder="1" applyAlignment="1">
      <alignment wrapText="1"/>
    </xf>
    <xf numFmtId="0" fontId="2" fillId="2" borderId="28" xfId="0" applyFont="1" applyFill="1" applyBorder="1" applyAlignment="1">
      <alignment wrapText="1"/>
    </xf>
    <xf numFmtId="0" fontId="2" fillId="2" borderId="52" xfId="0" applyFont="1" applyFill="1" applyBorder="1" applyAlignment="1">
      <alignment horizontal="center" wrapText="1"/>
    </xf>
    <xf numFmtId="164" fontId="2" fillId="2" borderId="2" xfId="0" applyNumberFormat="1" applyFont="1" applyFill="1" applyBorder="1" applyAlignment="1">
      <alignment horizontal="center" wrapText="1"/>
    </xf>
    <xf numFmtId="0" fontId="16" fillId="0" borderId="0" xfId="0" applyFont="1" applyBorder="1" applyAlignment="1">
      <alignment wrapText="1"/>
    </xf>
    <xf numFmtId="9" fontId="2" fillId="3" borderId="9" xfId="2" applyFont="1" applyFill="1" applyBorder="1" applyAlignment="1" applyProtection="1">
      <alignment vertical="center" wrapText="1"/>
      <protection locked="0"/>
    </xf>
    <xf numFmtId="9" fontId="2" fillId="3" borderId="32" xfId="2" applyFont="1" applyFill="1" applyBorder="1" applyAlignment="1" applyProtection="1">
      <alignment vertical="center" wrapText="1"/>
      <protection locked="0"/>
    </xf>
    <xf numFmtId="10" fontId="2" fillId="2" borderId="9" xfId="2" applyNumberFormat="1" applyFont="1" applyFill="1" applyBorder="1" applyAlignment="1" applyProtection="1">
      <alignment wrapText="1"/>
    </xf>
    <xf numFmtId="164" fontId="2" fillId="3"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3" fillId="0" borderId="0" xfId="1" applyFont="1" applyBorder="1" applyAlignment="1">
      <alignment wrapText="1"/>
    </xf>
    <xf numFmtId="164" fontId="2" fillId="2" borderId="29" xfId="0" applyNumberFormat="1" applyFont="1" applyFill="1" applyBorder="1" applyAlignment="1">
      <alignment vertical="center" wrapText="1"/>
    </xf>
    <xf numFmtId="0" fontId="3" fillId="2" borderId="13" xfId="0" applyFont="1" applyFill="1" applyBorder="1" applyAlignment="1">
      <alignment wrapText="1"/>
    </xf>
    <xf numFmtId="9" fontId="3" fillId="2" borderId="15" xfId="2" applyFont="1" applyFill="1" applyBorder="1" applyAlignment="1">
      <alignment wrapText="1"/>
    </xf>
    <xf numFmtId="0" fontId="0" fillId="2" borderId="14" xfId="0" applyFill="1" applyBorder="1"/>
    <xf numFmtId="0" fontId="0" fillId="2" borderId="15" xfId="0" applyFill="1" applyBorder="1"/>
    <xf numFmtId="0" fontId="1" fillId="2" borderId="3" xfId="0" applyFont="1" applyFill="1" applyBorder="1" applyAlignment="1" applyProtection="1">
      <alignment horizontal="center" vertical="center" wrapText="1"/>
    </xf>
    <xf numFmtId="164" fontId="2" fillId="3" borderId="3" xfId="1" applyFont="1" applyFill="1" applyBorder="1" applyAlignment="1" applyProtection="1">
      <alignment horizontal="center" vertical="center" wrapText="1"/>
    </xf>
    <xf numFmtId="164" fontId="0" fillId="0" borderId="0" xfId="1" applyFont="1" applyFill="1" applyBorder="1" applyAlignment="1">
      <alignment vertical="center" wrapText="1"/>
    </xf>
    <xf numFmtId="9" fontId="3" fillId="0" borderId="0" xfId="2" applyFont="1" applyFill="1" applyBorder="1" applyAlignment="1">
      <alignment wrapText="1"/>
    </xf>
    <xf numFmtId="0" fontId="11" fillId="6" borderId="6" xfId="0" applyFont="1" applyFill="1" applyBorder="1" applyAlignment="1">
      <alignment vertical="top" wrapText="1"/>
    </xf>
    <xf numFmtId="0" fontId="2" fillId="0" borderId="3" xfId="0" applyFont="1" applyFill="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43" fontId="1" fillId="0" borderId="3" xfId="3" applyFont="1" applyBorder="1" applyAlignment="1" applyProtection="1">
      <alignment horizontal="center" vertical="center" wrapText="1"/>
      <protection locked="0"/>
    </xf>
    <xf numFmtId="9" fontId="0" fillId="0" borderId="3" xfId="2" applyFont="1" applyBorder="1" applyAlignment="1" applyProtection="1">
      <alignment horizontal="center" vertical="center" wrapText="1"/>
      <protection locked="0"/>
    </xf>
    <xf numFmtId="165" fontId="2" fillId="2" borderId="15" xfId="3" applyNumberFormat="1" applyFont="1" applyFill="1" applyBorder="1" applyAlignment="1" applyProtection="1">
      <alignment vertical="center" wrapText="1"/>
    </xf>
    <xf numFmtId="166" fontId="2" fillId="2" borderId="14" xfId="1" applyNumberFormat="1" applyFont="1" applyFill="1" applyBorder="1" applyAlignment="1" applyProtection="1">
      <alignment vertical="center" wrapText="1"/>
    </xf>
    <xf numFmtId="166" fontId="2" fillId="2" borderId="3" xfId="1" applyNumberFormat="1" applyFont="1" applyFill="1" applyBorder="1" applyAlignment="1" applyProtection="1">
      <alignment vertical="center" wrapText="1"/>
    </xf>
    <xf numFmtId="166" fontId="2" fillId="2" borderId="5" xfId="1" applyNumberFormat="1" applyFont="1" applyFill="1" applyBorder="1" applyAlignment="1" applyProtection="1">
      <alignment vertical="center" wrapText="1"/>
    </xf>
    <xf numFmtId="166" fontId="2" fillId="2" borderId="14" xfId="1" applyNumberFormat="1" applyFont="1" applyFill="1" applyBorder="1" applyAlignment="1">
      <alignment wrapText="1"/>
    </xf>
    <xf numFmtId="166" fontId="2" fillId="2" borderId="15" xfId="1" applyNumberFormat="1" applyFont="1" applyFill="1" applyBorder="1" applyAlignment="1">
      <alignment wrapText="1"/>
    </xf>
    <xf numFmtId="0" fontId="22" fillId="9" borderId="58" xfId="0" applyFont="1" applyFill="1" applyBorder="1" applyAlignment="1">
      <alignment horizontal="left" vertical="center" wrapText="1"/>
    </xf>
    <xf numFmtId="0" fontId="22" fillId="9" borderId="0" xfId="0" applyFont="1" applyFill="1" applyAlignment="1">
      <alignment horizontal="left" vertical="center" wrapText="1"/>
    </xf>
    <xf numFmtId="0" fontId="22" fillId="10" borderId="59" xfId="0" applyFont="1" applyFill="1" applyBorder="1" applyAlignment="1">
      <alignment horizontal="left" vertical="top" wrapText="1"/>
    </xf>
    <xf numFmtId="0" fontId="22" fillId="11" borderId="60" xfId="0" applyFont="1" applyFill="1" applyBorder="1" applyAlignment="1">
      <alignment horizontal="left" vertical="top" wrapText="1"/>
    </xf>
    <xf numFmtId="0" fontId="22" fillId="9" borderId="61" xfId="0" applyFont="1" applyFill="1" applyBorder="1" applyAlignment="1">
      <alignment horizontal="left" vertical="top" wrapText="1"/>
    </xf>
    <xf numFmtId="0" fontId="22" fillId="9" borderId="61" xfId="0" applyFont="1" applyFill="1" applyBorder="1" applyAlignment="1">
      <alignment horizontal="center" vertical="top" wrapText="1"/>
    </xf>
    <xf numFmtId="0" fontId="22" fillId="9" borderId="62" xfId="0" applyFont="1" applyFill="1" applyBorder="1" applyAlignment="1">
      <alignment horizontal="center" vertical="center" wrapText="1"/>
    </xf>
    <xf numFmtId="0" fontId="22" fillId="12" borderId="63" xfId="0" applyFont="1" applyFill="1" applyBorder="1" applyAlignment="1">
      <alignment horizontal="left" vertical="top" wrapText="1"/>
    </xf>
    <xf numFmtId="0" fontId="22" fillId="12" borderId="64" xfId="0" applyFont="1" applyFill="1" applyBorder="1" applyAlignment="1">
      <alignment horizontal="center" vertical="top" wrapText="1"/>
    </xf>
    <xf numFmtId="0" fontId="22" fillId="12" borderId="64" xfId="0" applyFont="1" applyFill="1" applyBorder="1" applyAlignment="1">
      <alignment horizontal="left" vertical="top" wrapText="1"/>
    </xf>
    <xf numFmtId="0" fontId="22" fillId="12" borderId="64" xfId="0" applyFont="1" applyFill="1" applyBorder="1" applyAlignment="1">
      <alignment horizontal="left" vertical="center" wrapText="1"/>
    </xf>
    <xf numFmtId="49" fontId="22" fillId="12" borderId="64" xfId="0" applyNumberFormat="1" applyFont="1" applyFill="1" applyBorder="1" applyAlignment="1">
      <alignment horizontal="left" vertical="center" wrapText="1"/>
    </xf>
    <xf numFmtId="49" fontId="22" fillId="13" borderId="64" xfId="0" applyNumberFormat="1" applyFont="1" applyFill="1" applyBorder="1" applyAlignment="1">
      <alignment horizontal="left" vertical="center" wrapText="1"/>
    </xf>
    <xf numFmtId="0" fontId="22" fillId="12" borderId="65" xfId="0" applyFont="1" applyFill="1" applyBorder="1" applyAlignment="1">
      <alignment horizontal="left" vertical="center" wrapText="1"/>
    </xf>
    <xf numFmtId="0" fontId="22" fillId="14" borderId="66" xfId="0" applyFont="1" applyFill="1" applyBorder="1" applyAlignment="1">
      <alignment horizontal="left" vertical="center" wrapText="1"/>
    </xf>
    <xf numFmtId="0" fontId="22" fillId="14" borderId="67" xfId="0" applyFont="1" applyFill="1" applyBorder="1" applyAlignment="1">
      <alignment horizontal="left" vertical="center" wrapText="1"/>
    </xf>
    <xf numFmtId="0" fontId="22" fillId="14" borderId="68" xfId="0" applyFont="1" applyFill="1" applyBorder="1" applyAlignment="1">
      <alignment horizontal="left" vertical="center" wrapText="1"/>
    </xf>
    <xf numFmtId="0" fontId="23" fillId="0" borderId="69" xfId="0" applyFont="1" applyBorder="1" applyAlignment="1" applyProtection="1">
      <alignment wrapText="1"/>
      <protection locked="0"/>
    </xf>
    <xf numFmtId="0" fontId="23" fillId="0" borderId="70" xfId="0" applyFont="1" applyBorder="1" applyAlignment="1" applyProtection="1">
      <alignment wrapText="1"/>
      <protection locked="0"/>
    </xf>
    <xf numFmtId="0" fontId="23" fillId="0" borderId="71" xfId="0" applyFont="1" applyBorder="1" applyAlignment="1" applyProtection="1">
      <alignment horizontal="center" wrapText="1"/>
      <protection locked="0"/>
    </xf>
    <xf numFmtId="0" fontId="23" fillId="0" borderId="72" xfId="0" applyFont="1" applyBorder="1" applyAlignment="1" applyProtection="1">
      <alignment horizontal="center" wrapText="1"/>
      <protection locked="0"/>
    </xf>
    <xf numFmtId="0" fontId="23" fillId="0" borderId="73" xfId="0" applyFont="1" applyBorder="1" applyAlignment="1" applyProtection="1">
      <alignment wrapText="1"/>
      <protection locked="0"/>
    </xf>
    <xf numFmtId="167" fontId="23" fillId="0" borderId="74" xfId="3" applyNumberFormat="1" applyFont="1" applyBorder="1" applyAlignment="1" applyProtection="1">
      <alignment wrapText="1"/>
      <protection locked="0"/>
    </xf>
    <xf numFmtId="0" fontId="23" fillId="0" borderId="74" xfId="0" applyFont="1" applyBorder="1" applyAlignment="1" applyProtection="1">
      <alignment horizontal="center" wrapText="1"/>
      <protection locked="0"/>
    </xf>
    <xf numFmtId="168" fontId="23" fillId="0" borderId="74" xfId="3" applyNumberFormat="1" applyFont="1" applyBorder="1" applyAlignment="1" applyProtection="1">
      <alignment wrapText="1"/>
      <protection locked="0"/>
    </xf>
    <xf numFmtId="169" fontId="23" fillId="0" borderId="75" xfId="2" applyNumberFormat="1" applyFont="1" applyBorder="1" applyAlignment="1" applyProtection="1">
      <alignment wrapText="1"/>
      <protection locked="0"/>
    </xf>
    <xf numFmtId="0" fontId="24" fillId="15" borderId="76" xfId="0" applyFont="1" applyFill="1" applyBorder="1" applyAlignment="1" applyProtection="1">
      <alignment horizontal="center" wrapText="1"/>
      <protection locked="0"/>
    </xf>
    <xf numFmtId="0" fontId="24" fillId="0" borderId="74" xfId="0" applyFont="1" applyBorder="1" applyAlignment="1" applyProtection="1">
      <alignment horizontal="center" wrapText="1"/>
      <protection locked="0"/>
    </xf>
    <xf numFmtId="0" fontId="24" fillId="0" borderId="74" xfId="0" applyFont="1" applyBorder="1" applyAlignment="1" applyProtection="1">
      <alignment wrapText="1"/>
      <protection locked="0"/>
    </xf>
    <xf numFmtId="49" fontId="24" fillId="0" borderId="74" xfId="0" applyNumberFormat="1" applyFont="1" applyBorder="1" applyAlignment="1" applyProtection="1">
      <alignment wrapText="1"/>
      <protection locked="0"/>
    </xf>
    <xf numFmtId="0" fontId="24" fillId="0" borderId="75" xfId="0" applyFont="1" applyBorder="1" applyAlignment="1" applyProtection="1">
      <alignment wrapText="1"/>
      <protection locked="0"/>
    </xf>
    <xf numFmtId="168" fontId="25" fillId="16" borderId="76" xfId="4" applyNumberFormat="1" applyFont="1" applyFill="1" applyBorder="1"/>
    <xf numFmtId="168" fontId="25" fillId="17" borderId="73" xfId="4" applyNumberFormat="1" applyFont="1" applyFill="1" applyBorder="1"/>
    <xf numFmtId="168" fontId="25" fillId="17" borderId="77" xfId="3" applyNumberFormat="1" applyFont="1" applyFill="1" applyBorder="1"/>
    <xf numFmtId="166" fontId="0" fillId="2" borderId="14" xfId="0" applyNumberFormat="1" applyFill="1" applyBorder="1"/>
    <xf numFmtId="164" fontId="1" fillId="0" borderId="3" xfId="1" applyFont="1" applyBorder="1" applyAlignment="1" applyProtection="1">
      <alignment horizontal="left" vertical="center" wrapText="1"/>
      <protection locked="0"/>
    </xf>
    <xf numFmtId="0" fontId="1" fillId="2" borderId="3" xfId="0" applyFont="1" applyFill="1" applyBorder="1" applyAlignment="1" applyProtection="1">
      <alignment vertical="center" wrapText="1"/>
    </xf>
    <xf numFmtId="164" fontId="1" fillId="0" borderId="3" xfId="1" applyNumberFormat="1" applyFont="1" applyBorder="1" applyAlignment="1" applyProtection="1">
      <alignment horizontal="center" vertical="center" wrapText="1"/>
      <protection locked="0"/>
    </xf>
    <xf numFmtId="164" fontId="1" fillId="2" borderId="3" xfId="1" applyNumberFormat="1" applyFont="1" applyFill="1" applyBorder="1" applyAlignment="1" applyProtection="1">
      <alignment horizontal="center" vertical="center" wrapText="1"/>
    </xf>
    <xf numFmtId="9" fontId="1" fillId="0" borderId="3" xfId="2" applyFont="1" applyBorder="1" applyAlignment="1" applyProtection="1">
      <alignment horizontal="center" vertical="center" wrapText="1"/>
      <protection locked="0"/>
    </xf>
    <xf numFmtId="164" fontId="1" fillId="0" borderId="3" xfId="1" applyFont="1" applyBorder="1" applyAlignment="1" applyProtection="1">
      <alignment horizontal="center" vertical="center" wrapText="1"/>
      <protection locked="0"/>
    </xf>
    <xf numFmtId="164" fontId="1" fillId="3" borderId="3" xfId="1" applyFont="1" applyFill="1" applyBorder="1" applyAlignment="1" applyProtection="1">
      <alignment horizontal="left" vertical="center" wrapText="1"/>
      <protection locked="0"/>
    </xf>
    <xf numFmtId="49" fontId="1" fillId="0" borderId="3" xfId="1" applyNumberFormat="1" applyFont="1" applyBorder="1" applyAlignment="1" applyProtection="1">
      <alignment horizontal="left" wrapText="1"/>
      <protection locked="0"/>
    </xf>
    <xf numFmtId="164" fontId="1" fillId="0" borderId="0" xfId="1" applyNumberFormat="1" applyFont="1" applyFill="1" applyBorder="1" applyAlignment="1" applyProtection="1">
      <alignment horizontal="center" vertical="center" wrapText="1"/>
    </xf>
    <xf numFmtId="164" fontId="1" fillId="3" borderId="3" xfId="1" applyFont="1" applyFill="1" applyBorder="1" applyAlignment="1" applyProtection="1">
      <alignment horizontal="center" vertical="center" wrapText="1"/>
      <protection locked="0"/>
    </xf>
    <xf numFmtId="164" fontId="1" fillId="3" borderId="3" xfId="1" applyNumberFormat="1" applyFont="1" applyFill="1" applyBorder="1" applyAlignment="1" applyProtection="1">
      <alignment horizontal="center" vertical="center" wrapText="1"/>
      <protection locked="0"/>
    </xf>
    <xf numFmtId="9" fontId="1" fillId="3" borderId="3" xfId="2"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1" fillId="3" borderId="0" xfId="0" applyFont="1" applyFill="1" applyBorder="1" applyAlignment="1" applyProtection="1">
      <alignment vertical="center" wrapText="1"/>
      <protection locked="0"/>
    </xf>
    <xf numFmtId="0" fontId="1" fillId="3" borderId="0" xfId="0" applyFont="1" applyFill="1" applyBorder="1" applyAlignment="1" applyProtection="1">
      <alignment horizontal="left" vertical="top" wrapText="1"/>
      <protection locked="0"/>
    </xf>
    <xf numFmtId="164" fontId="1" fillId="3" borderId="0" xfId="1" applyFont="1" applyFill="1" applyBorder="1" applyAlignment="1" applyProtection="1">
      <alignment horizontal="center" vertical="center" wrapText="1"/>
      <protection locked="0"/>
    </xf>
    <xf numFmtId="164" fontId="1" fillId="0" borderId="0" xfId="1" applyFont="1" applyFill="1" applyBorder="1" applyAlignment="1" applyProtection="1">
      <alignment horizontal="center" vertical="center" wrapText="1"/>
    </xf>
    <xf numFmtId="164" fontId="1" fillId="3" borderId="0" xfId="1" applyFont="1" applyFill="1" applyBorder="1" applyAlignment="1" applyProtection="1">
      <alignment vertical="center" wrapText="1"/>
      <protection locked="0"/>
    </xf>
    <xf numFmtId="0" fontId="1" fillId="0" borderId="3" xfId="1" applyNumberFormat="1" applyFont="1" applyBorder="1" applyAlignment="1" applyProtection="1">
      <alignment horizontal="left" vertical="center" wrapText="1"/>
      <protection locked="0"/>
    </xf>
    <xf numFmtId="0" fontId="1" fillId="3" borderId="1" xfId="0"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164" fontId="1" fillId="0" borderId="3" xfId="1" applyFont="1" applyBorder="1" applyAlignment="1" applyProtection="1">
      <alignment vertical="center" wrapText="1"/>
      <protection locked="0"/>
    </xf>
    <xf numFmtId="16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0" fontId="1" fillId="3" borderId="2" xfId="0" applyFont="1" applyFill="1" applyBorder="1" applyAlignment="1" applyProtection="1">
      <alignment vertical="center" wrapText="1"/>
      <protection locked="0"/>
    </xf>
    <xf numFmtId="0" fontId="1" fillId="3" borderId="0" xfId="0" applyFont="1" applyFill="1" applyBorder="1" applyAlignment="1" applyProtection="1">
      <alignment vertical="center" wrapText="1"/>
    </xf>
    <xf numFmtId="0" fontId="1" fillId="2" borderId="8" xfId="0" applyFont="1" applyFill="1" applyBorder="1" applyAlignment="1" applyProtection="1">
      <alignment vertical="center" wrapText="1"/>
    </xf>
    <xf numFmtId="165" fontId="1" fillId="2" borderId="9" xfId="3" applyNumberFormat="1" applyFont="1" applyFill="1" applyBorder="1" applyAlignment="1" applyProtection="1">
      <alignment vertical="center" wrapText="1"/>
    </xf>
    <xf numFmtId="164" fontId="1" fillId="2" borderId="2" xfId="0" applyNumberFormat="1" applyFont="1" applyFill="1" applyBorder="1" applyAlignment="1" applyProtection="1">
      <alignment vertical="center" wrapText="1"/>
    </xf>
    <xf numFmtId="164" fontId="1" fillId="2" borderId="3" xfId="0" applyNumberFormat="1" applyFont="1" applyFill="1" applyBorder="1" applyAlignment="1" applyProtection="1">
      <alignment vertical="center" wrapText="1"/>
    </xf>
    <xf numFmtId="166" fontId="1" fillId="2" borderId="4" xfId="0" applyNumberFormat="1" applyFont="1" applyFill="1" applyBorder="1" applyAlignment="1" applyProtection="1">
      <alignment vertical="center" wrapText="1"/>
    </xf>
    <xf numFmtId="0" fontId="1" fillId="3" borderId="0" xfId="0" applyFont="1" applyFill="1" applyBorder="1" applyAlignment="1">
      <alignment vertical="center" wrapText="1"/>
    </xf>
    <xf numFmtId="0" fontId="1" fillId="0" borderId="0" xfId="0" applyFont="1" applyFill="1" applyBorder="1" applyAlignment="1" applyProtection="1">
      <alignment vertical="center" wrapText="1"/>
      <protection locked="0"/>
    </xf>
    <xf numFmtId="164" fontId="1" fillId="0" borderId="0" xfId="1" applyFont="1" applyFill="1" applyBorder="1" applyAlignment="1" applyProtection="1">
      <alignment vertical="center" wrapText="1"/>
      <protection locked="0"/>
    </xf>
    <xf numFmtId="0" fontId="1" fillId="0" borderId="0" xfId="0" applyFont="1" applyFill="1" applyBorder="1" applyAlignment="1">
      <alignment vertical="center" wrapText="1"/>
    </xf>
    <xf numFmtId="0" fontId="1" fillId="0" borderId="0" xfId="0" applyFont="1" applyBorder="1" applyAlignment="1">
      <alignment wrapText="1"/>
    </xf>
    <xf numFmtId="0" fontId="1" fillId="3" borderId="0" xfId="0" applyFont="1" applyFill="1" applyBorder="1" applyAlignment="1">
      <alignment wrapText="1"/>
    </xf>
    <xf numFmtId="164" fontId="1" fillId="0" borderId="40" xfId="0" applyNumberFormat="1" applyFont="1" applyBorder="1" applyAlignment="1" applyProtection="1">
      <alignment wrapText="1"/>
      <protection locked="0"/>
    </xf>
    <xf numFmtId="164" fontId="1" fillId="3" borderId="40" xfId="1" applyNumberFormat="1" applyFont="1" applyFill="1" applyBorder="1" applyAlignment="1" applyProtection="1">
      <alignment horizontal="center" vertical="center" wrapText="1"/>
      <protection locked="0"/>
    </xf>
    <xf numFmtId="164" fontId="1" fillId="0" borderId="3" xfId="0" applyNumberFormat="1" applyFont="1" applyBorder="1" applyAlignment="1" applyProtection="1">
      <alignment wrapText="1"/>
      <protection locked="0"/>
    </xf>
    <xf numFmtId="44" fontId="1" fillId="0" borderId="0" xfId="0" applyNumberFormat="1" applyFont="1" applyBorder="1" applyAlignment="1">
      <alignment wrapText="1"/>
    </xf>
    <xf numFmtId="0" fontId="1" fillId="0" borderId="0" xfId="0" applyFont="1" applyFill="1" applyBorder="1" applyAlignment="1">
      <alignment wrapText="1"/>
    </xf>
    <xf numFmtId="44" fontId="1" fillId="0" borderId="0" xfId="0" applyNumberFormat="1" applyFont="1" applyFill="1" applyBorder="1" applyAlignment="1">
      <alignment wrapText="1"/>
    </xf>
    <xf numFmtId="166" fontId="1" fillId="2" borderId="40" xfId="0" applyNumberFormat="1" applyFont="1" applyFill="1" applyBorder="1" applyAlignment="1">
      <alignment wrapText="1"/>
    </xf>
    <xf numFmtId="164" fontId="1" fillId="2" borderId="40" xfId="0" applyNumberFormat="1" applyFont="1" applyFill="1" applyBorder="1" applyAlignment="1">
      <alignment wrapText="1"/>
    </xf>
    <xf numFmtId="166" fontId="1" fillId="2" borderId="51" xfId="0" applyNumberFormat="1" applyFont="1" applyFill="1" applyBorder="1" applyAlignment="1">
      <alignment wrapText="1"/>
    </xf>
    <xf numFmtId="164" fontId="1" fillId="3" borderId="0" xfId="1" applyFont="1" applyFill="1" applyBorder="1" applyAlignment="1" applyProtection="1">
      <alignment vertical="center" wrapText="1"/>
    </xf>
    <xf numFmtId="166" fontId="1" fillId="2" borderId="3" xfId="0" applyNumberFormat="1" applyFont="1" applyFill="1" applyBorder="1" applyAlignment="1">
      <alignment wrapText="1"/>
    </xf>
    <xf numFmtId="164" fontId="1" fillId="2" borderId="52" xfId="0" applyNumberFormat="1" applyFont="1" applyFill="1" applyBorder="1" applyAlignment="1">
      <alignment wrapText="1"/>
    </xf>
    <xf numFmtId="164" fontId="1" fillId="2" borderId="50" xfId="0" applyNumberFormat="1" applyFont="1" applyFill="1" applyBorder="1" applyAlignment="1">
      <alignment wrapText="1"/>
    </xf>
    <xf numFmtId="164" fontId="1" fillId="2" borderId="14" xfId="0" applyNumberFormat="1" applyFont="1" applyFill="1" applyBorder="1" applyAlignment="1">
      <alignment wrapText="1"/>
    </xf>
    <xf numFmtId="164" fontId="1" fillId="2" borderId="8" xfId="1" applyFont="1" applyFill="1" applyBorder="1" applyAlignment="1" applyProtection="1">
      <alignment wrapText="1"/>
    </xf>
    <xf numFmtId="166" fontId="1" fillId="2" borderId="3" xfId="1" applyNumberFormat="1" applyFont="1" applyFill="1" applyBorder="1" applyAlignment="1">
      <alignment wrapText="1"/>
    </xf>
    <xf numFmtId="164" fontId="1" fillId="3" borderId="0" xfId="0" applyNumberFormat="1" applyFont="1" applyFill="1" applyBorder="1" applyAlignment="1">
      <alignment vertical="center" wrapText="1"/>
    </xf>
    <xf numFmtId="0" fontId="1" fillId="3" borderId="0" xfId="0" applyFont="1" applyFill="1" applyBorder="1" applyAlignment="1">
      <alignment horizontal="center" vertical="center" wrapText="1"/>
    </xf>
    <xf numFmtId="0" fontId="1" fillId="0" borderId="0" xfId="0" applyFont="1"/>
    <xf numFmtId="166" fontId="1" fillId="2" borderId="39" xfId="0" applyNumberFormat="1" applyFont="1" applyFill="1" applyBorder="1" applyAlignment="1">
      <alignment wrapText="1"/>
    </xf>
    <xf numFmtId="166" fontId="1" fillId="2" borderId="15" xfId="0" applyNumberFormat="1" applyFont="1" applyFill="1" applyBorder="1" applyAlignment="1">
      <alignment wrapText="1"/>
    </xf>
    <xf numFmtId="164" fontId="1" fillId="2" borderId="54" xfId="1" applyFont="1" applyFill="1" applyBorder="1" applyAlignment="1" applyProtection="1">
      <alignment wrapText="1"/>
    </xf>
    <xf numFmtId="166" fontId="1" fillId="2" borderId="30" xfId="1" applyNumberFormat="1" applyFont="1" applyFill="1" applyBorder="1" applyAlignment="1">
      <alignment wrapText="1"/>
    </xf>
    <xf numFmtId="9" fontId="1" fillId="0" borderId="0" xfId="2" applyFont="1"/>
    <xf numFmtId="166" fontId="1" fillId="2" borderId="9" xfId="1" applyNumberFormat="1" applyFont="1" applyFill="1" applyBorder="1" applyAlignment="1">
      <alignment wrapText="1"/>
    </xf>
    <xf numFmtId="166" fontId="1" fillId="2" borderId="3" xfId="1" applyNumberFormat="1" applyFont="1" applyFill="1" applyBorder="1" applyAlignment="1">
      <alignment vertical="center" wrapText="1"/>
    </xf>
    <xf numFmtId="9" fontId="2" fillId="2" borderId="0" xfId="2" applyFont="1" applyFill="1" applyBorder="1" applyAlignment="1">
      <alignment wrapText="1"/>
    </xf>
    <xf numFmtId="0" fontId="1" fillId="0" borderId="3" xfId="0" applyFont="1" applyFill="1" applyBorder="1" applyAlignment="1" applyProtection="1">
      <alignment horizontal="left" vertical="top" wrapText="1"/>
      <protection locked="0"/>
    </xf>
    <xf numFmtId="0" fontId="27" fillId="0" borderId="0" xfId="0" applyFont="1" applyAlignment="1">
      <alignment wrapText="1"/>
    </xf>
    <xf numFmtId="49" fontId="1" fillId="3" borderId="2" xfId="1" applyNumberFormat="1" applyFont="1" applyFill="1" applyBorder="1" applyAlignment="1" applyProtection="1">
      <alignment horizontal="left" wrapText="1"/>
      <protection locked="0"/>
    </xf>
    <xf numFmtId="0" fontId="29" fillId="3" borderId="0" xfId="0" applyFont="1" applyFill="1" applyBorder="1" applyAlignment="1" applyProtection="1">
      <alignment vertical="center" wrapText="1"/>
    </xf>
    <xf numFmtId="0" fontId="30" fillId="3" borderId="0" xfId="0" applyFont="1" applyFill="1" applyBorder="1" applyAlignment="1" applyProtection="1">
      <alignment vertical="center" wrapText="1"/>
      <protection locked="0"/>
    </xf>
    <xf numFmtId="164" fontId="30" fillId="3" borderId="0" xfId="1" applyFont="1" applyFill="1" applyBorder="1" applyAlignment="1" applyProtection="1">
      <alignment vertical="center" wrapText="1"/>
      <protection locked="0"/>
    </xf>
    <xf numFmtId="0" fontId="29" fillId="3" borderId="0" xfId="0" applyFont="1" applyFill="1" applyBorder="1" applyAlignment="1" applyProtection="1">
      <alignment vertical="center" wrapText="1"/>
      <protection locked="0"/>
    </xf>
    <xf numFmtId="0" fontId="28" fillId="3" borderId="0" xfId="0" applyFont="1" applyFill="1" applyBorder="1" applyAlignment="1">
      <alignment wrapText="1"/>
    </xf>
    <xf numFmtId="0" fontId="28" fillId="0" borderId="0" xfId="0" applyFont="1" applyFill="1" applyBorder="1" applyAlignment="1">
      <alignment wrapText="1"/>
    </xf>
    <xf numFmtId="0" fontId="28" fillId="0" borderId="0" xfId="0" applyFont="1" applyBorder="1" applyAlignment="1">
      <alignment wrapText="1"/>
    </xf>
    <xf numFmtId="0" fontId="17" fillId="0" borderId="0" xfId="0" applyFont="1" applyAlignment="1">
      <alignment horizontal="left" vertical="top" wrapText="1"/>
    </xf>
    <xf numFmtId="164" fontId="2" fillId="2" borderId="5" xfId="1" applyFont="1" applyFill="1" applyBorder="1" applyAlignment="1" applyProtection="1">
      <alignment horizontal="center" vertical="center" wrapText="1"/>
    </xf>
    <xf numFmtId="0" fontId="1" fillId="3" borderId="3" xfId="0" applyFont="1" applyFill="1" applyBorder="1" applyAlignment="1" applyProtection="1">
      <alignment horizontal="left" vertical="top" wrapText="1"/>
      <protection locked="0"/>
    </xf>
    <xf numFmtId="0" fontId="19" fillId="0" borderId="57" xfId="0" applyFont="1" applyBorder="1" applyAlignment="1">
      <alignment horizontal="left" wrapText="1"/>
    </xf>
    <xf numFmtId="164" fontId="1" fillId="0" borderId="40" xfId="1" applyFont="1" applyBorder="1" applyAlignment="1" applyProtection="1">
      <alignment horizontal="left" vertical="center" wrapText="1"/>
      <protection locked="0"/>
    </xf>
    <xf numFmtId="0" fontId="2" fillId="0"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18" borderId="0" xfId="0" applyFill="1"/>
    <xf numFmtId="0" fontId="22" fillId="19" borderId="61" xfId="0" applyFont="1" applyFill="1" applyBorder="1" applyAlignment="1">
      <alignment horizontal="left" vertical="center" wrapText="1"/>
    </xf>
    <xf numFmtId="0" fontId="26" fillId="2" borderId="79" xfId="5" applyFont="1" applyFill="1" applyBorder="1" applyAlignment="1" applyProtection="1">
      <alignment horizontal="center"/>
      <protection locked="0"/>
    </xf>
    <xf numFmtId="0" fontId="31" fillId="4" borderId="80" xfId="5" applyFont="1" applyFill="1" applyBorder="1" applyAlignment="1" applyProtection="1">
      <alignment horizontal="center"/>
      <protection locked="0"/>
    </xf>
    <xf numFmtId="0" fontId="31" fillId="20" borderId="81" xfId="5" applyFont="1" applyFill="1" applyBorder="1" applyAlignment="1" applyProtection="1">
      <alignment horizontal="center"/>
      <protection locked="0"/>
    </xf>
    <xf numFmtId="170" fontId="31" fillId="20" borderId="82" xfId="5" applyNumberFormat="1" applyFont="1" applyFill="1" applyBorder="1" applyAlignment="1" applyProtection="1">
      <alignment horizontal="center"/>
      <protection locked="0"/>
    </xf>
    <xf numFmtId="164" fontId="10" fillId="3" borderId="0" xfId="1" applyFont="1" applyFill="1" applyBorder="1" applyAlignment="1" applyProtection="1">
      <alignment vertical="center" wrapText="1"/>
      <protection locked="0"/>
    </xf>
    <xf numFmtId="0" fontId="32" fillId="0" borderId="0" xfId="0" applyFont="1" applyAlignment="1">
      <alignment horizontal="center"/>
    </xf>
    <xf numFmtId="0" fontId="32" fillId="0" borderId="0" xfId="0" applyFont="1"/>
    <xf numFmtId="0" fontId="33" fillId="0" borderId="0" xfId="0" applyFont="1"/>
    <xf numFmtId="43" fontId="33" fillId="0" borderId="0" xfId="3" applyFont="1"/>
    <xf numFmtId="0" fontId="34" fillId="0" borderId="0" xfId="0" applyFont="1" applyFill="1" applyAlignment="1">
      <alignment vertical="center"/>
    </xf>
    <xf numFmtId="0" fontId="33" fillId="0" borderId="0" xfId="0" applyFont="1" applyBorder="1"/>
    <xf numFmtId="0" fontId="32" fillId="0" borderId="0" xfId="0" applyFont="1" applyBorder="1"/>
    <xf numFmtId="0" fontId="32" fillId="0" borderId="27" xfId="0" applyFont="1" applyBorder="1" applyAlignment="1">
      <alignment horizontal="center" wrapText="1"/>
    </xf>
    <xf numFmtId="0" fontId="32" fillId="0" borderId="86" xfId="0" applyFont="1" applyBorder="1" applyAlignment="1">
      <alignment horizontal="center" wrapText="1"/>
    </xf>
    <xf numFmtId="0" fontId="32" fillId="0" borderId="6" xfId="0" applyFont="1" applyBorder="1" applyAlignment="1">
      <alignment horizontal="center" wrapText="1"/>
    </xf>
    <xf numFmtId="0" fontId="32" fillId="0" borderId="22" xfId="0" applyFont="1" applyBorder="1" applyAlignment="1">
      <alignment wrapText="1"/>
    </xf>
    <xf numFmtId="0" fontId="32" fillId="0" borderId="28" xfId="0" applyFont="1" applyBorder="1"/>
    <xf numFmtId="172" fontId="33" fillId="0" borderId="6" xfId="0" applyNumberFormat="1" applyFont="1" applyFill="1" applyBorder="1" applyAlignment="1">
      <alignment horizontal="right"/>
    </xf>
    <xf numFmtId="0" fontId="33" fillId="0" borderId="86" xfId="0" applyFont="1" applyBorder="1"/>
    <xf numFmtId="0" fontId="33" fillId="0" borderId="87" xfId="0" applyFont="1" applyBorder="1"/>
    <xf numFmtId="43" fontId="32" fillId="0" borderId="87" xfId="3" applyFont="1" applyBorder="1" applyAlignment="1">
      <alignment horizontal="center"/>
    </xf>
    <xf numFmtId="0" fontId="32" fillId="0" borderId="87" xfId="0" applyFont="1" applyBorder="1" applyAlignment="1">
      <alignment horizontal="center"/>
    </xf>
    <xf numFmtId="0" fontId="32" fillId="0" borderId="88" xfId="0" applyFont="1" applyBorder="1" applyAlignment="1">
      <alignment horizontal="center"/>
    </xf>
    <xf numFmtId="0" fontId="32" fillId="0" borderId="18" xfId="0" applyFont="1" applyBorder="1" applyAlignment="1">
      <alignment horizontal="center"/>
    </xf>
    <xf numFmtId="0" fontId="32" fillId="0" borderId="23" xfId="0" applyFont="1" applyBorder="1" applyAlignment="1">
      <alignment horizontal="center"/>
    </xf>
    <xf numFmtId="0" fontId="32" fillId="0" borderId="23" xfId="0" applyFont="1" applyBorder="1" applyAlignment="1">
      <alignment horizontal="right"/>
    </xf>
    <xf numFmtId="172" fontId="33" fillId="0" borderId="24" xfId="0" applyNumberFormat="1" applyFont="1" applyFill="1" applyBorder="1" applyAlignment="1">
      <alignment horizontal="right"/>
    </xf>
    <xf numFmtId="0" fontId="33" fillId="0" borderId="54" xfId="0" applyFont="1" applyBorder="1"/>
    <xf numFmtId="0" fontId="33" fillId="0" borderId="51" xfId="0" applyFont="1" applyBorder="1"/>
    <xf numFmtId="43" fontId="33" fillId="0" borderId="51" xfId="3" applyFont="1" applyBorder="1"/>
    <xf numFmtId="171" fontId="33" fillId="0" borderId="51" xfId="0" applyNumberFormat="1" applyFont="1" applyBorder="1"/>
    <xf numFmtId="0" fontId="33" fillId="0" borderId="30" xfId="0" applyFont="1" applyBorder="1"/>
    <xf numFmtId="0" fontId="32" fillId="0" borderId="11" xfId="0" applyFont="1" applyBorder="1" applyAlignment="1">
      <alignment horizontal="center"/>
    </xf>
    <xf numFmtId="0" fontId="32" fillId="0" borderId="24" xfId="0" applyFont="1" applyBorder="1" applyAlignment="1">
      <alignment horizontal="center"/>
    </xf>
    <xf numFmtId="0" fontId="33" fillId="0" borderId="24" xfId="0" applyFont="1" applyBorder="1"/>
    <xf numFmtId="168" fontId="33" fillId="0" borderId="24" xfId="3" applyNumberFormat="1" applyFont="1" applyFill="1" applyBorder="1" applyAlignment="1">
      <alignment horizontal="right"/>
    </xf>
    <xf numFmtId="168" fontId="33" fillId="0" borderId="54" xfId="3" applyNumberFormat="1" applyFont="1" applyBorder="1"/>
    <xf numFmtId="168" fontId="33" fillId="0" borderId="51" xfId="3" applyNumberFormat="1" applyFont="1" applyBorder="1"/>
    <xf numFmtId="169" fontId="33" fillId="0" borderId="51" xfId="2" applyNumberFormat="1" applyFont="1" applyBorder="1"/>
    <xf numFmtId="169" fontId="33" fillId="0" borderId="51" xfId="0" applyNumberFormat="1" applyFont="1" applyBorder="1"/>
    <xf numFmtId="169" fontId="33" fillId="0" borderId="30" xfId="2" applyNumberFormat="1" applyFont="1" applyBorder="1"/>
    <xf numFmtId="168" fontId="33" fillId="0" borderId="24" xfId="0" applyNumberFormat="1" applyFont="1" applyFill="1" applyBorder="1" applyAlignment="1">
      <alignment horizontal="right"/>
    </xf>
    <xf numFmtId="168" fontId="33" fillId="0" borderId="54" xfId="0" applyNumberFormat="1" applyFont="1" applyBorder="1"/>
    <xf numFmtId="168" fontId="33" fillId="0" borderId="51" xfId="0" applyNumberFormat="1" applyFont="1" applyBorder="1"/>
    <xf numFmtId="0" fontId="33" fillId="0" borderId="0" xfId="0" applyFont="1" applyBorder="1" applyAlignment="1">
      <alignment vertical="top" wrapText="1"/>
    </xf>
    <xf numFmtId="0" fontId="32" fillId="0" borderId="20" xfId="0" applyFont="1" applyBorder="1" applyAlignment="1">
      <alignment horizontal="center"/>
    </xf>
    <xf numFmtId="0" fontId="32" fillId="0" borderId="25" xfId="0" applyFont="1" applyBorder="1" applyAlignment="1">
      <alignment horizontal="center"/>
    </xf>
    <xf numFmtId="0" fontId="32" fillId="0" borderId="89" xfId="0" applyFont="1" applyBorder="1" applyAlignment="1">
      <alignment horizontal="center"/>
    </xf>
    <xf numFmtId="173" fontId="32" fillId="0" borderId="89" xfId="3" applyNumberFormat="1" applyFont="1" applyFill="1" applyBorder="1" applyAlignment="1">
      <alignment horizontal="right"/>
    </xf>
    <xf numFmtId="0" fontId="32" fillId="0" borderId="48" xfId="0" applyFont="1" applyBorder="1"/>
    <xf numFmtId="172" fontId="32" fillId="0" borderId="89" xfId="3" applyNumberFormat="1" applyFont="1" applyFill="1" applyBorder="1" applyAlignment="1">
      <alignment horizontal="right"/>
    </xf>
    <xf numFmtId="172" fontId="32" fillId="0" borderId="13" xfId="3" applyNumberFormat="1" applyFont="1" applyFill="1" applyBorder="1" applyAlignment="1">
      <alignment horizontal="right"/>
    </xf>
    <xf numFmtId="172" fontId="32" fillId="0" borderId="14" xfId="3" applyNumberFormat="1" applyFont="1" applyFill="1" applyBorder="1" applyAlignment="1">
      <alignment horizontal="right"/>
    </xf>
    <xf numFmtId="10" fontId="32" fillId="0" borderId="14" xfId="2" applyNumberFormat="1" applyFont="1" applyFill="1" applyBorder="1" applyAlignment="1">
      <alignment horizontal="right"/>
    </xf>
    <xf numFmtId="10" fontId="32" fillId="0" borderId="15" xfId="2" applyNumberFormat="1" applyFont="1" applyFill="1" applyBorder="1" applyAlignment="1">
      <alignment horizontal="right"/>
    </xf>
    <xf numFmtId="0" fontId="33" fillId="0" borderId="23" xfId="0" applyFont="1" applyBorder="1"/>
    <xf numFmtId="172" fontId="33" fillId="0" borderId="19" xfId="3" applyNumberFormat="1" applyFont="1" applyFill="1" applyBorder="1" applyAlignment="1">
      <alignment horizontal="right"/>
    </xf>
    <xf numFmtId="10" fontId="33" fillId="0" borderId="51" xfId="2" applyNumberFormat="1" applyFont="1" applyBorder="1"/>
    <xf numFmtId="10" fontId="33" fillId="0" borderId="30" xfId="2" applyNumberFormat="1" applyFont="1" applyBorder="1"/>
    <xf numFmtId="0" fontId="32" fillId="0" borderId="24" xfId="0" applyFont="1" applyBorder="1" applyAlignment="1">
      <alignment horizontal="right"/>
    </xf>
    <xf numFmtId="0" fontId="32" fillId="0" borderId="24" xfId="0" applyFont="1" applyBorder="1"/>
    <xf numFmtId="0" fontId="32" fillId="0" borderId="11" xfId="0" applyFont="1" applyBorder="1" applyAlignment="1">
      <alignment horizontal="center" wrapText="1"/>
    </xf>
    <xf numFmtId="0" fontId="33" fillId="0" borderId="24" xfId="0" applyFont="1" applyFill="1" applyBorder="1" applyAlignment="1">
      <alignment wrapText="1"/>
    </xf>
    <xf numFmtId="0" fontId="33" fillId="0" borderId="25" xfId="0" applyFont="1" applyBorder="1"/>
    <xf numFmtId="173" fontId="32" fillId="0" borderId="90" xfId="3" applyNumberFormat="1" applyFont="1" applyFill="1" applyBorder="1" applyAlignment="1">
      <alignment horizontal="right"/>
    </xf>
    <xf numFmtId="0" fontId="32" fillId="0" borderId="23" xfId="0" applyFont="1" applyBorder="1"/>
    <xf numFmtId="172" fontId="32" fillId="0" borderId="24" xfId="3" applyNumberFormat="1" applyFont="1" applyFill="1" applyBorder="1" applyAlignment="1">
      <alignment horizontal="right"/>
    </xf>
    <xf numFmtId="0" fontId="32" fillId="0" borderId="0" xfId="0" applyFont="1" applyFill="1" applyBorder="1"/>
    <xf numFmtId="172" fontId="33" fillId="0" borderId="24" xfId="3" applyNumberFormat="1" applyFont="1" applyFill="1" applyBorder="1" applyAlignment="1">
      <alignment horizontal="right"/>
    </xf>
    <xf numFmtId="171" fontId="33" fillId="0" borderId="54" xfId="0" applyNumberFormat="1" applyFont="1" applyBorder="1"/>
    <xf numFmtId="164" fontId="33" fillId="0" borderId="51" xfId="1" applyFont="1" applyBorder="1"/>
    <xf numFmtId="0" fontId="33" fillId="0" borderId="91" xfId="0" applyFont="1" applyFill="1" applyBorder="1" applyAlignment="1">
      <alignment horizontal="left" wrapText="1"/>
    </xf>
    <xf numFmtId="0" fontId="33" fillId="0" borderId="16" xfId="0" applyFont="1" applyBorder="1"/>
    <xf numFmtId="172" fontId="32" fillId="0" borderId="23" xfId="3" applyNumberFormat="1" applyFont="1" applyFill="1" applyBorder="1" applyAlignment="1">
      <alignment horizontal="right"/>
    </xf>
    <xf numFmtId="0" fontId="32" fillId="0" borderId="11" xfId="0" applyFont="1" applyFill="1" applyBorder="1" applyAlignment="1">
      <alignment horizontal="center"/>
    </xf>
    <xf numFmtId="0" fontId="32" fillId="0" borderId="24" xfId="0" applyFont="1" applyFill="1" applyBorder="1" applyAlignment="1">
      <alignment horizontal="center"/>
    </xf>
    <xf numFmtId="0" fontId="32" fillId="0" borderId="89" xfId="0" applyFont="1" applyFill="1" applyBorder="1" applyAlignment="1">
      <alignment horizontal="center"/>
    </xf>
    <xf numFmtId="0" fontId="33" fillId="0" borderId="0" xfId="0" applyFont="1" applyFill="1"/>
    <xf numFmtId="0" fontId="32" fillId="0" borderId="18" xfId="0" applyFont="1" applyFill="1" applyBorder="1" applyAlignment="1">
      <alignment horizontal="center"/>
    </xf>
    <xf numFmtId="0" fontId="32" fillId="0" borderId="23" xfId="0" applyFont="1" applyFill="1" applyBorder="1" applyAlignment="1">
      <alignment horizontal="center"/>
    </xf>
    <xf numFmtId="0" fontId="33" fillId="0" borderId="23" xfId="0" applyFont="1" applyFill="1" applyBorder="1"/>
    <xf numFmtId="0" fontId="33" fillId="0" borderId="0" xfId="0" applyFont="1" applyBorder="1" applyAlignment="1">
      <alignment horizontal="left" wrapText="1"/>
    </xf>
    <xf numFmtId="172" fontId="33" fillId="0" borderId="23" xfId="3" applyNumberFormat="1" applyFont="1" applyFill="1" applyBorder="1" applyAlignment="1">
      <alignment horizontal="right"/>
    </xf>
    <xf numFmtId="0" fontId="33" fillId="0" borderId="54" xfId="0" applyFont="1" applyFill="1" applyBorder="1"/>
    <xf numFmtId="0" fontId="33" fillId="0" borderId="51" xfId="0" applyFont="1" applyFill="1" applyBorder="1"/>
    <xf numFmtId="43" fontId="33" fillId="0" borderId="51" xfId="3" applyFont="1" applyFill="1" applyBorder="1"/>
    <xf numFmtId="10" fontId="33" fillId="0" borderId="51" xfId="2" applyNumberFormat="1" applyFont="1" applyFill="1" applyBorder="1"/>
    <xf numFmtId="10" fontId="33" fillId="0" borderId="30" xfId="2" applyNumberFormat="1" applyFont="1" applyFill="1" applyBorder="1"/>
    <xf numFmtId="0" fontId="32" fillId="0" borderId="24" xfId="0" applyFont="1" applyFill="1" applyBorder="1" applyAlignment="1">
      <alignment horizontal="right"/>
    </xf>
    <xf numFmtId="0" fontId="32" fillId="0" borderId="11" xfId="0" applyFont="1" applyFill="1" applyBorder="1" applyAlignment="1">
      <alignment horizontal="right"/>
    </xf>
    <xf numFmtId="9" fontId="32" fillId="0" borderId="23" xfId="2" applyFont="1" applyFill="1" applyBorder="1"/>
    <xf numFmtId="172" fontId="33" fillId="0" borderId="12" xfId="3" applyNumberFormat="1" applyFont="1" applyFill="1" applyBorder="1" applyAlignment="1">
      <alignment horizontal="right"/>
    </xf>
    <xf numFmtId="0" fontId="33" fillId="0" borderId="11" xfId="0" applyFont="1" applyBorder="1"/>
    <xf numFmtId="0" fontId="38" fillId="0" borderId="24" xfId="0" applyFont="1" applyBorder="1" applyAlignment="1">
      <alignment wrapText="1"/>
    </xf>
    <xf numFmtId="0" fontId="38" fillId="0" borderId="0" xfId="0" applyFont="1" applyAlignment="1">
      <alignment wrapText="1"/>
    </xf>
    <xf numFmtId="0" fontId="33" fillId="0" borderId="24" xfId="0" applyFont="1" applyBorder="1" applyAlignment="1">
      <alignment horizontal="left" wrapText="1"/>
    </xf>
    <xf numFmtId="172" fontId="39" fillId="0" borderId="85" xfId="3" applyNumberFormat="1" applyFont="1" applyBorder="1" applyAlignment="1">
      <alignment horizontal="right"/>
    </xf>
    <xf numFmtId="0" fontId="33" fillId="0" borderId="25" xfId="0" applyFont="1" applyBorder="1" applyAlignment="1">
      <alignment horizontal="left" wrapText="1"/>
    </xf>
    <xf numFmtId="172" fontId="39" fillId="0" borderId="52" xfId="3" applyNumberFormat="1" applyFont="1" applyBorder="1" applyAlignment="1">
      <alignment horizontal="right"/>
    </xf>
    <xf numFmtId="0" fontId="32" fillId="0" borderId="27" xfId="0" applyFont="1" applyBorder="1" applyAlignment="1">
      <alignment horizontal="center"/>
    </xf>
    <xf numFmtId="0" fontId="33" fillId="0" borderId="6" xfId="0" applyFont="1" applyBorder="1"/>
    <xf numFmtId="0" fontId="32" fillId="0" borderId="6" xfId="0" applyFont="1" applyBorder="1"/>
    <xf numFmtId="0" fontId="32" fillId="0" borderId="0" xfId="0" applyFont="1" applyBorder="1" applyAlignment="1">
      <alignment horizontal="left" wrapText="1"/>
    </xf>
    <xf numFmtId="168" fontId="33" fillId="0" borderId="23" xfId="0" applyNumberFormat="1" applyFont="1" applyFill="1" applyBorder="1" applyAlignment="1">
      <alignment horizontal="right"/>
    </xf>
    <xf numFmtId="172" fontId="39" fillId="0" borderId="24" xfId="3" applyNumberFormat="1" applyFont="1" applyBorder="1" applyAlignment="1">
      <alignment horizontal="right"/>
    </xf>
    <xf numFmtId="168" fontId="33" fillId="0" borderId="51" xfId="3" applyNumberFormat="1" applyFont="1" applyFill="1" applyBorder="1"/>
    <xf numFmtId="172" fontId="39" fillId="0" borderId="24" xfId="3" applyNumberFormat="1" applyFont="1" applyBorder="1" applyAlignment="1">
      <alignment horizontal="right" vertical="center"/>
    </xf>
    <xf numFmtId="172" fontId="39" fillId="0" borderId="25" xfId="3" applyNumberFormat="1" applyFont="1" applyBorder="1" applyAlignment="1">
      <alignment horizontal="right" vertical="center"/>
    </xf>
    <xf numFmtId="0" fontId="32" fillId="0" borderId="23" xfId="0" applyFont="1" applyBorder="1" applyAlignment="1">
      <alignment horizontal="left" wrapText="1"/>
    </xf>
    <xf numFmtId="168" fontId="33" fillId="0" borderId="12" xfId="0" applyNumberFormat="1" applyFont="1" applyFill="1" applyBorder="1" applyAlignment="1">
      <alignment horizontal="right"/>
    </xf>
    <xf numFmtId="169" fontId="33" fillId="0" borderId="51" xfId="0" applyNumberFormat="1" applyFont="1" applyFill="1" applyBorder="1"/>
    <xf numFmtId="0" fontId="32" fillId="0" borderId="26" xfId="0" applyFont="1" applyBorder="1"/>
    <xf numFmtId="172" fontId="39" fillId="0" borderId="85" xfId="3" applyNumberFormat="1" applyFont="1" applyBorder="1" applyAlignment="1">
      <alignment horizontal="right" vertical="center"/>
    </xf>
    <xf numFmtId="0" fontId="32" fillId="0" borderId="24" xfId="0" applyFont="1" applyFill="1" applyBorder="1" applyAlignment="1">
      <alignment horizontal="left" wrapText="1"/>
    </xf>
    <xf numFmtId="172" fontId="39" fillId="0" borderId="85" xfId="3" applyNumberFormat="1" applyFont="1" applyFill="1" applyBorder="1" applyAlignment="1">
      <alignment horizontal="right"/>
    </xf>
    <xf numFmtId="168" fontId="33" fillId="0" borderId="54" xfId="0" applyNumberFormat="1" applyFont="1" applyFill="1" applyBorder="1"/>
    <xf numFmtId="169" fontId="33" fillId="0" borderId="51" xfId="2" applyNumberFormat="1" applyFont="1" applyFill="1" applyBorder="1"/>
    <xf numFmtId="0" fontId="33" fillId="0" borderId="24" xfId="0" applyFont="1" applyFill="1" applyBorder="1" applyAlignment="1">
      <alignment horizontal="left" wrapText="1"/>
    </xf>
    <xf numFmtId="0" fontId="32" fillId="0" borderId="24" xfId="0" applyFont="1" applyBorder="1" applyAlignment="1">
      <alignment horizontal="left" wrapText="1"/>
    </xf>
    <xf numFmtId="172" fontId="39" fillId="0" borderId="0" xfId="3" applyNumberFormat="1" applyFont="1" applyBorder="1" applyAlignment="1">
      <alignment horizontal="right"/>
    </xf>
    <xf numFmtId="172" fontId="39" fillId="0" borderId="0" xfId="3" applyNumberFormat="1" applyFont="1" applyFill="1" applyBorder="1" applyAlignment="1">
      <alignment horizontal="right" vertical="center"/>
    </xf>
    <xf numFmtId="9" fontId="32" fillId="0" borderId="89" xfId="2" applyFont="1" applyFill="1" applyBorder="1" applyAlignment="1">
      <alignment horizontal="right"/>
    </xf>
    <xf numFmtId="172" fontId="39" fillId="0" borderId="25" xfId="3" applyNumberFormat="1" applyFont="1" applyBorder="1" applyAlignment="1">
      <alignment horizontal="right"/>
    </xf>
    <xf numFmtId="172" fontId="32" fillId="0" borderId="25" xfId="3" applyNumberFormat="1" applyFont="1" applyFill="1" applyBorder="1" applyAlignment="1">
      <alignment horizontal="right"/>
    </xf>
    <xf numFmtId="0" fontId="33" fillId="0" borderId="0" xfId="0" applyFont="1" applyFill="1" applyBorder="1" applyAlignment="1">
      <alignment horizontal="left" wrapText="1"/>
    </xf>
    <xf numFmtId="168" fontId="33" fillId="0" borderId="92" xfId="0" applyNumberFormat="1" applyFont="1" applyFill="1" applyBorder="1" applyAlignment="1">
      <alignment horizontal="right"/>
    </xf>
    <xf numFmtId="0" fontId="32" fillId="0" borderId="11" xfId="0" applyFont="1" applyBorder="1"/>
    <xf numFmtId="172" fontId="33" fillId="0" borderId="54" xfId="3" applyNumberFormat="1" applyFont="1" applyFill="1" applyBorder="1" applyAlignment="1">
      <alignment horizontal="right"/>
    </xf>
    <xf numFmtId="172" fontId="33" fillId="0" borderId="51" xfId="3" applyNumberFormat="1" applyFont="1" applyFill="1" applyBorder="1" applyAlignment="1">
      <alignment horizontal="right"/>
    </xf>
    <xf numFmtId="10" fontId="33" fillId="0" borderId="51" xfId="2" applyNumberFormat="1" applyFont="1" applyFill="1" applyBorder="1" applyAlignment="1">
      <alignment horizontal="right"/>
    </xf>
    <xf numFmtId="10" fontId="33" fillId="0" borderId="30" xfId="2" applyNumberFormat="1" applyFont="1" applyFill="1" applyBorder="1" applyAlignment="1">
      <alignment horizontal="right"/>
    </xf>
    <xf numFmtId="0" fontId="32" fillId="0" borderId="27" xfId="0" applyFont="1" applyBorder="1"/>
    <xf numFmtId="0" fontId="33" fillId="0" borderId="28" xfId="0" applyFont="1" applyBorder="1"/>
    <xf numFmtId="173" fontId="32" fillId="0" borderId="14" xfId="3" applyNumberFormat="1" applyFont="1" applyFill="1" applyBorder="1" applyAlignment="1">
      <alignment horizontal="right"/>
    </xf>
    <xf numFmtId="9" fontId="32" fillId="0" borderId="14" xfId="2" applyFont="1" applyFill="1" applyBorder="1" applyAlignment="1">
      <alignment horizontal="right"/>
    </xf>
    <xf numFmtId="0" fontId="38" fillId="0" borderId="0" xfId="0" applyFont="1" applyAlignment="1">
      <alignment horizontal="center"/>
    </xf>
    <xf numFmtId="0" fontId="39" fillId="0" borderId="0" xfId="0" applyFont="1"/>
    <xf numFmtId="0" fontId="39" fillId="0" borderId="0" xfId="0" applyFont="1" applyAlignment="1">
      <alignment horizontal="center"/>
    </xf>
    <xf numFmtId="0" fontId="36" fillId="0" borderId="0" xfId="0" applyFont="1" applyAlignment="1">
      <alignment horizontal="center"/>
    </xf>
    <xf numFmtId="0" fontId="37" fillId="0" borderId="0" xfId="0" applyFont="1"/>
    <xf numFmtId="0" fontId="34" fillId="0" borderId="0" xfId="0" applyFont="1"/>
    <xf numFmtId="43" fontId="34" fillId="0" borderId="0" xfId="3" applyFont="1"/>
    <xf numFmtId="0" fontId="32" fillId="0" borderId="0" xfId="0" applyFont="1" applyAlignment="1">
      <alignment horizontal="right"/>
    </xf>
    <xf numFmtId="0" fontId="32" fillId="0" borderId="0" xfId="0" applyFont="1" applyBorder="1" applyAlignment="1"/>
    <xf numFmtId="0" fontId="37" fillId="0" borderId="0" xfId="0" applyFont="1" applyAlignment="1">
      <alignment horizontal="center"/>
    </xf>
    <xf numFmtId="0" fontId="41" fillId="0" borderId="0" xfId="0" applyFont="1"/>
    <xf numFmtId="43" fontId="41" fillId="0" borderId="0" xfId="3" applyFont="1"/>
    <xf numFmtId="0" fontId="33" fillId="0" borderId="0" xfId="0" applyFont="1" applyAlignment="1">
      <alignment horizontal="right" vertical="top"/>
    </xf>
    <xf numFmtId="43" fontId="34" fillId="0" borderId="0" xfId="3" applyFont="1" applyFill="1" applyAlignment="1">
      <alignment horizontal="left" vertical="center"/>
    </xf>
    <xf numFmtId="0" fontId="33" fillId="0" borderId="24" xfId="0" applyFont="1" applyBorder="1" applyAlignment="1">
      <alignment horizontal="center"/>
    </xf>
    <xf numFmtId="0" fontId="33" fillId="0" borderId="11" xfId="0" applyFont="1" applyBorder="1" applyAlignment="1">
      <alignment horizontal="center"/>
    </xf>
    <xf numFmtId="173" fontId="33" fillId="0" borderId="51" xfId="3" applyNumberFormat="1" applyFont="1" applyBorder="1" applyAlignment="1">
      <alignment horizontal="right"/>
    </xf>
    <xf numFmtId="172" fontId="33" fillId="0" borderId="51" xfId="3" applyNumberFormat="1" applyFont="1" applyBorder="1" applyAlignment="1">
      <alignment horizontal="right"/>
    </xf>
    <xf numFmtId="41" fontId="33" fillId="0" borderId="51" xfId="6" applyFont="1" applyBorder="1"/>
    <xf numFmtId="173" fontId="32" fillId="0" borderId="35" xfId="3" applyNumberFormat="1" applyFont="1" applyFill="1" applyBorder="1" applyAlignment="1">
      <alignment horizontal="right"/>
    </xf>
    <xf numFmtId="173" fontId="32" fillId="0" borderId="5" xfId="3" applyNumberFormat="1" applyFont="1" applyFill="1" applyBorder="1" applyAlignment="1">
      <alignment horizontal="right"/>
    </xf>
    <xf numFmtId="173" fontId="32" fillId="0" borderId="5" xfId="2" applyNumberFormat="1" applyFont="1" applyFill="1" applyBorder="1" applyAlignment="1">
      <alignment horizontal="right"/>
    </xf>
    <xf numFmtId="173" fontId="32" fillId="0" borderId="32" xfId="2" applyNumberFormat="1" applyFont="1" applyFill="1" applyBorder="1" applyAlignment="1">
      <alignment horizontal="right"/>
    </xf>
    <xf numFmtId="0" fontId="33" fillId="0" borderId="23" xfId="0" applyFont="1" applyBorder="1" applyAlignment="1">
      <alignment horizontal="center"/>
    </xf>
    <xf numFmtId="0" fontId="33" fillId="0" borderId="18" xfId="0" applyFont="1" applyBorder="1" applyAlignment="1">
      <alignment horizontal="center"/>
    </xf>
    <xf numFmtId="0" fontId="33" fillId="0" borderId="18" xfId="0" applyFont="1" applyBorder="1"/>
    <xf numFmtId="0" fontId="33" fillId="0" borderId="55" xfId="0" applyFont="1" applyBorder="1"/>
    <xf numFmtId="43" fontId="33" fillId="0" borderId="55" xfId="3" applyFont="1" applyBorder="1"/>
    <xf numFmtId="10" fontId="33" fillId="0" borderId="55" xfId="2" applyNumberFormat="1" applyFont="1" applyBorder="1"/>
    <xf numFmtId="10" fontId="33" fillId="0" borderId="56" xfId="2" applyNumberFormat="1" applyFont="1" applyBorder="1"/>
    <xf numFmtId="168" fontId="33" fillId="0" borderId="11" xfId="0" applyNumberFormat="1" applyFont="1" applyBorder="1"/>
    <xf numFmtId="168" fontId="33" fillId="0" borderId="51" xfId="0" applyNumberFormat="1" applyFont="1" applyFill="1" applyBorder="1"/>
    <xf numFmtId="0" fontId="33" fillId="0" borderId="0" xfId="0" applyFont="1" applyFill="1" applyBorder="1"/>
    <xf numFmtId="167" fontId="33" fillId="0" borderId="11" xfId="0" applyNumberFormat="1" applyFont="1" applyFill="1" applyBorder="1"/>
    <xf numFmtId="174" fontId="33" fillId="0" borderId="51" xfId="0" applyNumberFormat="1" applyFont="1" applyFill="1" applyBorder="1"/>
    <xf numFmtId="0" fontId="33" fillId="0" borderId="40" xfId="0" applyFont="1" applyBorder="1"/>
    <xf numFmtId="0" fontId="33" fillId="0" borderId="25" xfId="0" applyFont="1" applyBorder="1" applyAlignment="1">
      <alignment horizontal="center"/>
    </xf>
    <xf numFmtId="173" fontId="32" fillId="0" borderId="13" xfId="3" applyNumberFormat="1" applyFont="1" applyFill="1" applyBorder="1" applyAlignment="1">
      <alignment horizontal="right"/>
    </xf>
    <xf numFmtId="173" fontId="32" fillId="0" borderId="14" xfId="2" applyNumberFormat="1" applyFont="1" applyFill="1" applyBorder="1" applyAlignment="1">
      <alignment horizontal="right"/>
    </xf>
    <xf numFmtId="173" fontId="32" fillId="0" borderId="15" xfId="2" applyNumberFormat="1" applyFont="1" applyFill="1" applyBorder="1" applyAlignment="1">
      <alignment horizontal="right"/>
    </xf>
    <xf numFmtId="0" fontId="33" fillId="0" borderId="24" xfId="0" applyFont="1" applyFill="1" applyBorder="1" applyAlignment="1">
      <alignment horizontal="center"/>
    </xf>
    <xf numFmtId="0" fontId="33" fillId="0" borderId="23" xfId="0" applyFont="1" applyFill="1" applyBorder="1" applyAlignment="1">
      <alignment horizontal="center"/>
    </xf>
    <xf numFmtId="0" fontId="33" fillId="0" borderId="18" xfId="0" applyFont="1" applyFill="1" applyBorder="1" applyAlignment="1">
      <alignment horizontal="center"/>
    </xf>
    <xf numFmtId="0" fontId="33" fillId="0" borderId="16" xfId="0" applyFont="1" applyFill="1" applyBorder="1"/>
    <xf numFmtId="0" fontId="33" fillId="0" borderId="11" xfId="0" applyFont="1" applyFill="1" applyBorder="1" applyAlignment="1">
      <alignment horizontal="center"/>
    </xf>
    <xf numFmtId="9" fontId="32" fillId="0" borderId="0" xfId="2" applyFont="1" applyFill="1" applyBorder="1"/>
    <xf numFmtId="0" fontId="33" fillId="0" borderId="0" xfId="0" applyFont="1" applyBorder="1" applyAlignment="1"/>
    <xf numFmtId="0" fontId="3" fillId="21" borderId="0" xfId="0" applyFont="1" applyFill="1" applyAlignment="1">
      <alignment horizontal="center"/>
    </xf>
    <xf numFmtId="0" fontId="32" fillId="0" borderId="23" xfId="0" applyFont="1" applyBorder="1" applyAlignment="1">
      <alignment vertical="center" wrapText="1"/>
    </xf>
    <xf numFmtId="0" fontId="32" fillId="0" borderId="55" xfId="0" applyFont="1" applyBorder="1" applyAlignment="1">
      <alignment vertical="center" wrapText="1"/>
    </xf>
    <xf numFmtId="0" fontId="32" fillId="0" borderId="83" xfId="0" applyFont="1" applyBorder="1" applyAlignment="1">
      <alignment vertical="center" wrapText="1"/>
    </xf>
    <xf numFmtId="0" fontId="32" fillId="0" borderId="84" xfId="0" applyFont="1" applyBorder="1" applyAlignment="1">
      <alignment vertical="center" wrapText="1"/>
    </xf>
    <xf numFmtId="0" fontId="32" fillId="0" borderId="19" xfId="0" applyFont="1" applyBorder="1" applyAlignment="1">
      <alignment vertical="center" wrapText="1"/>
    </xf>
    <xf numFmtId="0" fontId="34" fillId="0" borderId="57" xfId="0" applyFont="1" applyBorder="1" applyAlignment="1"/>
    <xf numFmtId="0" fontId="40" fillId="0" borderId="93" xfId="0" applyFont="1" applyBorder="1" applyAlignment="1"/>
    <xf numFmtId="43" fontId="33" fillId="0" borderId="0" xfId="0" applyNumberFormat="1" applyFont="1"/>
    <xf numFmtId="43" fontId="0" fillId="0" borderId="0" xfId="3" applyNumberFormat="1" applyFont="1"/>
    <xf numFmtId="166" fontId="0" fillId="2" borderId="17" xfId="1" applyNumberFormat="1" applyFont="1" applyFill="1" applyBorder="1" applyAlignment="1">
      <alignment vertical="center" wrapText="1"/>
    </xf>
    <xf numFmtId="0" fontId="17" fillId="0" borderId="0" xfId="0" applyFont="1" applyAlignment="1">
      <alignment horizontal="left" vertical="top" wrapText="1"/>
    </xf>
    <xf numFmtId="0" fontId="2" fillId="2" borderId="5" xfId="0" applyFont="1" applyFill="1" applyBorder="1" applyAlignment="1" applyProtection="1">
      <alignment horizontal="center" vertical="center" wrapText="1"/>
    </xf>
    <xf numFmtId="0" fontId="2" fillId="2" borderId="40" xfId="0" applyFont="1" applyFill="1" applyBorder="1" applyAlignment="1" applyProtection="1">
      <alignment horizontal="center" vertical="center" wrapText="1"/>
    </xf>
    <xf numFmtId="0" fontId="2" fillId="2" borderId="32"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0" fontId="2" fillId="2" borderId="2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protection locked="0"/>
    </xf>
    <xf numFmtId="0" fontId="2" fillId="2" borderId="40" xfId="0" applyFont="1" applyFill="1" applyBorder="1" applyAlignment="1" applyProtection="1">
      <alignment horizontal="center" vertical="center" wrapText="1"/>
      <protection locked="0"/>
    </xf>
    <xf numFmtId="0" fontId="2" fillId="3" borderId="3" xfId="0" applyNumberFormat="1"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164" fontId="1" fillId="3" borderId="3" xfId="1" applyFont="1" applyFill="1" applyBorder="1" applyAlignment="1" applyProtection="1">
      <alignment horizontal="left" vertical="top" wrapText="1"/>
      <protection locked="0"/>
    </xf>
    <xf numFmtId="164" fontId="1" fillId="0" borderId="5" xfId="1" applyFont="1" applyBorder="1" applyAlignment="1" applyProtection="1">
      <alignment horizontal="left" vertical="center" wrapText="1"/>
      <protection locked="0"/>
    </xf>
    <xf numFmtId="164" fontId="1" fillId="0" borderId="51" xfId="1" applyFont="1" applyBorder="1" applyAlignment="1" applyProtection="1">
      <alignment horizontal="left" vertical="center" wrapText="1"/>
      <protection locked="0"/>
    </xf>
    <xf numFmtId="164" fontId="1" fillId="0" borderId="40" xfId="1" applyFont="1" applyBorder="1" applyAlignment="1" applyProtection="1">
      <alignment horizontal="left" vertical="center" wrapText="1"/>
      <protection locked="0"/>
    </xf>
    <xf numFmtId="164" fontId="1" fillId="0" borderId="78" xfId="1" applyFont="1" applyBorder="1" applyAlignment="1" applyProtection="1">
      <alignment horizontal="left" vertical="center" wrapText="1"/>
      <protection locked="0"/>
    </xf>
    <xf numFmtId="0" fontId="2" fillId="3" borderId="3" xfId="0"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17" fillId="0" borderId="0" xfId="0" applyFont="1" applyBorder="1" applyAlignment="1">
      <alignment horizontal="left" vertical="top" wrapText="1"/>
    </xf>
    <xf numFmtId="49" fontId="1" fillId="3" borderId="3" xfId="0" applyNumberFormat="1" applyFont="1" applyFill="1" applyBorder="1" applyAlignment="1" applyProtection="1">
      <alignment horizontal="left" vertical="top" wrapText="1"/>
      <protection locked="0"/>
    </xf>
    <xf numFmtId="0" fontId="19" fillId="0" borderId="57" xfId="0" applyFont="1" applyBorder="1" applyAlignment="1">
      <alignment horizontal="left" wrapText="1"/>
    </xf>
    <xf numFmtId="0" fontId="1" fillId="2" borderId="35"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164" fontId="2" fillId="2" borderId="5" xfId="1" applyFont="1" applyFill="1" applyBorder="1" applyAlignment="1" applyProtection="1">
      <alignment horizontal="center" vertical="center" wrapText="1"/>
    </xf>
    <xf numFmtId="164" fontId="2" fillId="2" borderId="40" xfId="1" applyFont="1" applyFill="1" applyBorder="1" applyAlignment="1" applyProtection="1">
      <alignment horizontal="center" vertical="center" wrapText="1"/>
    </xf>
    <xf numFmtId="0" fontId="2" fillId="4" borderId="42"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164" fontId="2" fillId="2" borderId="32" xfId="1" applyFont="1" applyFill="1" applyBorder="1" applyAlignment="1" applyProtection="1">
      <alignment horizontal="center" vertical="center" wrapText="1"/>
      <protection locked="0"/>
    </xf>
    <xf numFmtId="164" fontId="2" fillId="2" borderId="39" xfId="1" applyFont="1" applyFill="1" applyBorder="1" applyAlignment="1" applyProtection="1">
      <alignment horizontal="center" vertical="center" wrapText="1"/>
      <protection locked="0"/>
    </xf>
    <xf numFmtId="14" fontId="35" fillId="0" borderId="57" xfId="0" applyNumberFormat="1" applyFont="1" applyBorder="1" applyAlignment="1">
      <alignment horizontal="center"/>
    </xf>
    <xf numFmtId="0" fontId="35" fillId="0" borderId="57" xfId="0" applyFont="1" applyBorder="1" applyAlignment="1">
      <alignment horizontal="center"/>
    </xf>
    <xf numFmtId="0" fontId="40" fillId="0" borderId="0" xfId="0" applyFont="1" applyBorder="1" applyAlignment="1">
      <alignment horizontal="center"/>
    </xf>
    <xf numFmtId="0" fontId="40" fillId="0" borderId="93" xfId="0" applyFont="1" applyBorder="1" applyAlignment="1">
      <alignment horizontal="center"/>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7" xfId="0" applyFont="1" applyFill="1" applyBorder="1" applyAlignment="1">
      <alignment horizontal="center" wrapText="1"/>
    </xf>
    <xf numFmtId="0" fontId="2" fillId="2" borderId="28" xfId="0" applyFont="1" applyFill="1" applyBorder="1" applyAlignment="1">
      <alignment horizontal="center" wrapText="1"/>
    </xf>
    <xf numFmtId="0" fontId="2" fillId="2" borderId="22" xfId="0" applyFont="1" applyFill="1" applyBorder="1" applyAlignment="1">
      <alignment horizontal="center" wrapText="1"/>
    </xf>
    <xf numFmtId="0" fontId="2" fillId="2" borderId="55"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3" xfId="0" applyFont="1" applyFill="1" applyBorder="1" applyAlignment="1">
      <alignment horizontal="left" wrapText="1"/>
    </xf>
    <xf numFmtId="0" fontId="2" fillId="2" borderId="30"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3" fillId="6" borderId="18"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0"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1" xfId="0" applyFont="1" applyFill="1" applyBorder="1" applyAlignment="1">
      <alignment horizontal="center" vertical="center"/>
    </xf>
    <xf numFmtId="164" fontId="3" fillId="2" borderId="45" xfId="0" applyNumberFormat="1" applyFont="1" applyFill="1" applyBorder="1" applyAlignment="1">
      <alignment horizontal="center"/>
    </xf>
    <xf numFmtId="164" fontId="3" fillId="2" borderId="46" xfId="0" applyNumberFormat="1" applyFont="1" applyFill="1" applyBorder="1" applyAlignment="1">
      <alignment horizontal="center"/>
    </xf>
    <xf numFmtId="49" fontId="0" fillId="2" borderId="47" xfId="0" applyNumberFormat="1" applyFill="1" applyBorder="1" applyAlignment="1">
      <alignment horizontal="center" wrapText="1"/>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0" fontId="3" fillId="2" borderId="42" xfId="0" applyFont="1" applyFill="1" applyBorder="1" applyAlignment="1">
      <alignment horizontal="left"/>
    </xf>
    <xf numFmtId="0" fontId="3" fillId="2" borderId="43" xfId="0" applyFont="1" applyFill="1" applyBorder="1" applyAlignment="1">
      <alignment horizontal="left"/>
    </xf>
    <xf numFmtId="0" fontId="3" fillId="2" borderId="44" xfId="0" applyFont="1" applyFill="1" applyBorder="1" applyAlignment="1">
      <alignment horizontal="left"/>
    </xf>
    <xf numFmtId="164" fontId="3" fillId="2" borderId="4" xfId="0" applyNumberFormat="1" applyFont="1" applyFill="1" applyBorder="1" applyAlignment="1">
      <alignment horizontal="center"/>
    </xf>
    <xf numFmtId="164" fontId="3" fillId="2" borderId="36" xfId="0" applyNumberFormat="1" applyFont="1" applyFill="1" applyBorder="1" applyAlignment="1">
      <alignment horizontal="center"/>
    </xf>
    <xf numFmtId="0" fontId="0" fillId="2" borderId="47"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2" fillId="2" borderId="2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6" borderId="18" xfId="0" applyFont="1" applyFill="1" applyBorder="1" applyAlignment="1">
      <alignment horizontal="center" vertical="center"/>
    </xf>
    <xf numFmtId="0" fontId="2" fillId="6" borderId="16"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0" xfId="0" applyFont="1" applyFill="1" applyBorder="1" applyAlignment="1">
      <alignment horizontal="center" vertical="center"/>
    </xf>
    <xf numFmtId="0" fontId="2" fillId="6" borderId="26" xfId="0" applyFont="1" applyFill="1" applyBorder="1" applyAlignment="1">
      <alignment horizontal="center" vertical="center"/>
    </xf>
    <xf numFmtId="0" fontId="2" fillId="6" borderId="21" xfId="0" applyFont="1" applyFill="1" applyBorder="1" applyAlignment="1">
      <alignment horizontal="center" vertical="center"/>
    </xf>
    <xf numFmtId="0" fontId="2" fillId="2" borderId="56" xfId="0" applyFont="1" applyFill="1" applyBorder="1" applyAlignment="1">
      <alignment horizontal="center" vertical="center" wrapText="1"/>
    </xf>
    <xf numFmtId="0" fontId="2" fillId="2" borderId="5" xfId="0" applyFont="1" applyFill="1" applyBorder="1" applyAlignment="1">
      <alignment horizontal="center" vertical="center" wrapText="1"/>
    </xf>
  </cellXfs>
  <cellStyles count="7">
    <cellStyle name="20% - Énfasis3" xfId="4" builtinId="38"/>
    <cellStyle name="20% - Énfasis4" xfId="5" builtinId="42"/>
    <cellStyle name="Millares" xfId="3" builtinId="3"/>
    <cellStyle name="Millares [0]" xfId="6" builtinId="6"/>
    <cellStyle name="Moneda" xfId="1" builtinId="4"/>
    <cellStyle name="Normal" xfId="0" builtinId="0"/>
    <cellStyle name="Porcentaje" xfId="2" builtinId="5"/>
  </cellStyles>
  <dxfs count="46">
    <dxf>
      <font>
        <b val="0"/>
        <i val="0"/>
        <color rgb="FFFFFF00"/>
      </font>
      <fill>
        <patternFill>
          <bgColor theme="6" tint="-0.24994659260841701"/>
        </patternFill>
      </fill>
    </dxf>
    <dxf>
      <fill>
        <patternFill>
          <bgColor rgb="FFFFFF00"/>
        </patternFill>
      </fill>
      <border>
        <left/>
        <right/>
        <top/>
        <bottom/>
      </border>
    </dxf>
    <dxf>
      <numFmt numFmtId="3" formatCode="#,##0"/>
      <fill>
        <patternFill>
          <bgColor rgb="FFFFFF00"/>
        </patternFill>
      </fill>
      <border>
        <left style="hair">
          <color rgb="FFFF0000"/>
        </left>
        <right style="hair">
          <color rgb="FFFF0000"/>
        </right>
        <top style="hair">
          <color rgb="FFFF0000"/>
        </top>
        <bottom style="hair">
          <color rgb="FFFF0000"/>
        </bottom>
        <vertical/>
        <horizontal/>
      </border>
    </dxf>
    <dxf>
      <font>
        <b val="0"/>
        <i val="0"/>
        <color rgb="FFFFFF00"/>
      </font>
      <fill>
        <patternFill>
          <bgColor theme="6" tint="-0.24994659260841701"/>
        </patternFill>
      </fill>
      <border>
        <bottom style="thin">
          <color theme="0"/>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norwegianrefugeecouncil.sharepoint.com/Users/francisco.altamar/AppData/Local/Microsoft/Windows/INetCache/Content.Outlook/KM1HIK8W/B04.%20DONOR%20Budget%20Template%20V17.4%20(0000001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norwegianrefugeecouncil.sharepoint.com/Users/francisco.altamar/AppData/Local/Microsoft/Windows/INetCache/Content.Outlook/KM1HIK8W/B04.%20DONOR%20Budget%20Template%20V17.4%20(00000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norwegianrefugeecouncil.sharepoint.com/Users/jesica.perdomo/AppData/Local/Microsoft/Windows/INetCache/Content.Outlook/V1FEAPCT/DONOR%20Budget%20Template%20(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B"/>
      <sheetName val="_Export_to_FINAL_BUDGET"/>
      <sheetName val="_Income&amp;admin"/>
      <sheetName val="_options"/>
      <sheetName val="_CC"/>
      <sheetName val="_ H _"/>
      <sheetName val="_ i _"/>
      <sheetName val="_data sheet"/>
      <sheetName val="_overview"/>
      <sheetName val="_Project"/>
      <sheetName val="_PMF_Rates"/>
      <sheetName val="_SetUP"/>
      <sheetName val="DETAILED_budget"/>
      <sheetName val="SALARY_budget"/>
      <sheetName val="Import_MASTER_Detailed"/>
      <sheetName val="Import_MASTER_Salary"/>
      <sheetName val="AdminCalc"/>
      <sheetName val="BPRM"/>
      <sheetName val="DFADT"/>
      <sheetName val="DFID"/>
      <sheetName val="NORAD"/>
      <sheetName val="UNHCR"/>
      <sheetName val="EC DONOR FORM"/>
      <sheetName val="ECHO Financial statement"/>
      <sheetName val="ECHO Financial Overview"/>
      <sheetName val="_ADMIN"/>
      <sheetName val="DONOR FORM"/>
      <sheetName val="DONOR FORM account level"/>
      <sheetName val="_Itemized budget"/>
      <sheetName val="_Blank"/>
      <sheetName val="3-3._Transfer_as_APPROVED"/>
      <sheetName val="APPROVED"/>
      <sheetName val="_DONOR FORM Offline"/>
      <sheetName val="_Accounts"/>
      <sheetName val="ResNO"/>
      <sheetName val="Activity"/>
      <sheetName val="_CodeClass"/>
      <sheetName val="_CodeDonor"/>
      <sheetName val="_CostCenter"/>
      <sheetName val="_Acc_grp_and_class"/>
      <sheetName val="_DonorList"/>
      <sheetName val="_Units"/>
      <sheetName val="_Location"/>
      <sheetName val="_Site"/>
      <sheetName val="_AdmBase"/>
      <sheetName val="_Periods"/>
    </sheetNames>
    <sheetDataSet>
      <sheetData sheetId="0"/>
      <sheetData sheetId="1"/>
      <sheetData sheetId="2"/>
      <sheetData sheetId="3"/>
      <sheetData sheetId="4"/>
      <sheetData sheetId="5"/>
      <sheetData sheetId="6"/>
      <sheetData sheetId="7"/>
      <sheetData sheetId="8"/>
      <sheetData sheetId="9"/>
      <sheetData sheetId="10"/>
      <sheetData sheetId="11">
        <row r="16">
          <cell r="E16" t="str">
            <v/>
          </cell>
        </row>
        <row r="70">
          <cell r="I70">
            <v>0</v>
          </cell>
        </row>
        <row r="71">
          <cell r="I71">
            <v>1</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B"/>
      <sheetName val="_Export_to_FINAL_BUDGET"/>
      <sheetName val="_Income&amp;admin"/>
      <sheetName val="_options"/>
      <sheetName val="_CC"/>
      <sheetName val="_ H _"/>
      <sheetName val="_ i _"/>
      <sheetName val="_data sheet"/>
      <sheetName val="_overview"/>
      <sheetName val="_Project"/>
      <sheetName val="_PMF_Rates"/>
      <sheetName val="_SetUP"/>
      <sheetName val="DETAILED_budget"/>
      <sheetName val="SALARY_budget"/>
      <sheetName val="_Accounts"/>
      <sheetName val="Import_MASTER_Detailed"/>
      <sheetName val="Import_MASTER_Salary"/>
      <sheetName val="AdminCalc"/>
      <sheetName val="BPRM"/>
      <sheetName val="DFADT"/>
      <sheetName val="DFID"/>
      <sheetName val="NORAD"/>
      <sheetName val="UNHCR"/>
      <sheetName val="EC DONOR FORM"/>
      <sheetName val="ECHO Financial statement"/>
      <sheetName val="ECHO Financial Overview"/>
      <sheetName val="ResNO"/>
      <sheetName val="_ADMIN"/>
      <sheetName val="DONOR FORM"/>
      <sheetName val="DONOR FORM account level"/>
      <sheetName val="_Itemized budget"/>
      <sheetName val="_Blank"/>
      <sheetName val="3-3._Transfer_as_APPROVED"/>
      <sheetName val="APPROVED"/>
      <sheetName val="_DONOR FORM Offline"/>
      <sheetName val="Activity"/>
      <sheetName val="_CodeClass"/>
      <sheetName val="_CodeDonor"/>
      <sheetName val="_CostCenter"/>
      <sheetName val="_Acc_grp_and_class"/>
      <sheetName val="_DonorList"/>
      <sheetName val="_Units"/>
      <sheetName val="_Location"/>
      <sheetName val="_Site"/>
      <sheetName val="_AdmBase"/>
      <sheetName val="_Periods"/>
      <sheetName val="B04. DONOR Budget Template V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refreshError="1"/>
      <sheetData sheetId="45" refreshError="1"/>
      <sheetData sheetId="4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B"/>
      <sheetName val="_Export_to_FINAL_BUDGET"/>
      <sheetName val="_Income&amp;admin"/>
      <sheetName val="_options"/>
      <sheetName val="_CC"/>
      <sheetName val="_ H _"/>
      <sheetName val="_data sheet"/>
      <sheetName val="_Project"/>
      <sheetName val="_PMF_Rates"/>
      <sheetName val="_ i _"/>
      <sheetName val="_SetUP"/>
      <sheetName val="_overview"/>
      <sheetName val="DETAILED_budget"/>
      <sheetName val="SALARY_budget"/>
      <sheetName val="Import_MASTER_Detailed"/>
      <sheetName val="Import_MASTER_Salary"/>
      <sheetName val="AdminCalc"/>
      <sheetName val="BPRM"/>
      <sheetName val="DFADT"/>
      <sheetName val="DFID"/>
      <sheetName val="NORAD"/>
      <sheetName val="UNHCR"/>
      <sheetName val="EC DONOR FORM"/>
      <sheetName val="ECHO Financial statement"/>
      <sheetName val="ECHO Financial Overview"/>
      <sheetName val="ECHO Project - RQ"/>
      <sheetName val="ECHO Annex 2 - RQ"/>
      <sheetName val="ECHO Section 13 - SF"/>
      <sheetName val="_ADMIN"/>
      <sheetName val="DONOR FORM"/>
      <sheetName val="DONOR FORM account level"/>
      <sheetName val="_Itemized budget"/>
      <sheetName val="_Blank"/>
      <sheetName val="3-3._Transfer_as_APPROVED"/>
      <sheetName val="APPROVED"/>
      <sheetName val="_DONOR FORM Offline"/>
      <sheetName val="_Accounts"/>
      <sheetName val="ResNO"/>
      <sheetName val="Activity"/>
      <sheetName val="_CodeClass"/>
      <sheetName val="_CodeDonor"/>
      <sheetName val="_CostCenter"/>
      <sheetName val="_Acc_grp_and_class"/>
      <sheetName val="_DonorList"/>
      <sheetName val="_Units"/>
      <sheetName val="_Location"/>
      <sheetName val="_Site"/>
      <sheetName val="_AdmBase"/>
      <sheetName val="_Perio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6">
          <cell r="E16" t="str">
            <v>SEK</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ow r="12">
          <cell r="D12" t="str">
            <v>Household</v>
          </cell>
        </row>
      </sheetData>
      <sheetData sheetId="45" refreshError="1"/>
      <sheetData sheetId="46" refreshError="1"/>
      <sheetData sheetId="47" refreshError="1"/>
      <sheetData sheetId="4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B2:E4"/>
  <sheetViews>
    <sheetView showGridLines="0" zoomScale="80" zoomScaleNormal="80" workbookViewId="0"/>
  </sheetViews>
  <sheetFormatPr baseColWidth="10" defaultColWidth="8.7109375" defaultRowHeight="15" x14ac:dyDescent="0.25"/>
  <cols>
    <col min="2" max="2" width="127.28515625" customWidth="1"/>
  </cols>
  <sheetData>
    <row r="2" spans="2:5" ht="36.75" customHeight="1" x14ac:dyDescent="0.25">
      <c r="B2" s="470" t="s">
        <v>0</v>
      </c>
      <c r="C2" s="470"/>
      <c r="D2" s="470"/>
      <c r="E2" s="470"/>
    </row>
    <row r="3" spans="2:5" ht="21.75" customHeight="1" thickBot="1" x14ac:dyDescent="0.3">
      <c r="B3" s="126" t="s">
        <v>1</v>
      </c>
      <c r="C3" s="268"/>
      <c r="D3" s="268"/>
      <c r="E3" s="268"/>
    </row>
    <row r="4" spans="2:5" ht="300" customHeight="1" thickBot="1" x14ac:dyDescent="0.3">
      <c r="B4" s="147" t="s">
        <v>2</v>
      </c>
    </row>
  </sheetData>
  <mergeCells count="1">
    <mergeCell ref="B2:E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5"/>
  <sheetViews>
    <sheetView zoomScale="80" zoomScaleNormal="80" workbookViewId="0">
      <selection activeCell="G129" sqref="G129"/>
    </sheetView>
  </sheetViews>
  <sheetFormatPr baseColWidth="10" defaultColWidth="11.42578125" defaultRowHeight="15" x14ac:dyDescent="0.25"/>
  <cols>
    <col min="1" max="1" width="7" bestFit="1" customWidth="1"/>
  </cols>
  <sheetData>
    <row r="1" spans="1:25" ht="23.25" thickTop="1" x14ac:dyDescent="0.25">
      <c r="A1" s="276" t="s">
        <v>851</v>
      </c>
      <c r="B1" s="276" t="s">
        <v>852</v>
      </c>
      <c r="C1" s="276" t="s">
        <v>352</v>
      </c>
      <c r="D1" s="276" t="s">
        <v>853</v>
      </c>
      <c r="E1" s="158" t="s">
        <v>421</v>
      </c>
      <c r="F1" s="159" t="s">
        <v>422</v>
      </c>
      <c r="G1" s="160" t="s">
        <v>423</v>
      </c>
      <c r="H1" s="161" t="s">
        <v>424</v>
      </c>
      <c r="I1" s="162" t="s">
        <v>425</v>
      </c>
      <c r="J1" s="162" t="s">
        <v>426</v>
      </c>
      <c r="K1" s="162" t="s">
        <v>427</v>
      </c>
      <c r="L1" s="163" t="s">
        <v>353</v>
      </c>
      <c r="M1" s="163" t="s">
        <v>428</v>
      </c>
      <c r="N1" s="164" t="s">
        <v>429</v>
      </c>
      <c r="O1" s="165" t="s">
        <v>430</v>
      </c>
      <c r="P1" s="166" t="s">
        <v>351</v>
      </c>
      <c r="Q1" s="167" t="s">
        <v>350</v>
      </c>
      <c r="R1" s="166" t="s">
        <v>431</v>
      </c>
      <c r="S1" s="168" t="s">
        <v>432</v>
      </c>
      <c r="T1" s="169" t="s">
        <v>433</v>
      </c>
      <c r="U1" s="170" t="s">
        <v>434</v>
      </c>
      <c r="V1" s="171" t="s">
        <v>435</v>
      </c>
      <c r="W1" s="172" t="s">
        <v>436</v>
      </c>
      <c r="X1" s="173" t="str">
        <f>"Donor currency ("&amp;[3]_SetUP!$E$16&amp;")"</f>
        <v>Donor currency (SEK)</v>
      </c>
      <c r="Y1" s="174" t="s">
        <v>437</v>
      </c>
    </row>
    <row r="2" spans="1:25" ht="17.25" customHeight="1" x14ac:dyDescent="0.25">
      <c r="A2" s="277">
        <v>2069146</v>
      </c>
      <c r="B2" s="278"/>
      <c r="C2" s="279">
        <v>119010</v>
      </c>
      <c r="D2" s="280">
        <v>44273.749877974537</v>
      </c>
      <c r="E2" s="175" t="s">
        <v>438</v>
      </c>
      <c r="F2" s="176"/>
      <c r="G2" s="177">
        <v>202201</v>
      </c>
      <c r="H2" s="178">
        <v>202206</v>
      </c>
      <c r="I2" s="179" t="s">
        <v>439</v>
      </c>
      <c r="J2" s="180">
        <v>1</v>
      </c>
      <c r="K2" s="180">
        <v>1</v>
      </c>
      <c r="L2" s="181" t="s">
        <v>356</v>
      </c>
      <c r="M2" s="182">
        <v>166800000</v>
      </c>
      <c r="N2" s="183">
        <v>1</v>
      </c>
      <c r="O2" s="184" t="s">
        <v>354</v>
      </c>
      <c r="P2" s="185">
        <v>4042</v>
      </c>
      <c r="Q2" s="185" t="s">
        <v>854</v>
      </c>
      <c r="R2" s="185"/>
      <c r="S2" s="186">
        <v>101</v>
      </c>
      <c r="T2" s="187" t="s">
        <v>440</v>
      </c>
      <c r="U2" s="186">
        <v>0</v>
      </c>
      <c r="V2" s="188"/>
      <c r="W2" s="189">
        <v>166800000</v>
      </c>
      <c r="X2" s="190">
        <v>47654.76</v>
      </c>
      <c r="Y2" s="191">
        <v>433680</v>
      </c>
    </row>
    <row r="3" spans="1:25" ht="17.25" customHeight="1" x14ac:dyDescent="0.25">
      <c r="A3" s="277">
        <v>2069147</v>
      </c>
      <c r="B3" s="278"/>
      <c r="C3" s="279">
        <v>119010</v>
      </c>
      <c r="D3" s="280">
        <v>44273.749877974537</v>
      </c>
      <c r="E3" s="175" t="s">
        <v>438</v>
      </c>
      <c r="F3" s="176"/>
      <c r="G3" s="177">
        <v>202102</v>
      </c>
      <c r="H3" s="178">
        <v>202112</v>
      </c>
      <c r="I3" s="179" t="s">
        <v>439</v>
      </c>
      <c r="J3" s="180">
        <v>1</v>
      </c>
      <c r="K3" s="180">
        <v>1</v>
      </c>
      <c r="L3" s="181" t="s">
        <v>356</v>
      </c>
      <c r="M3" s="182">
        <v>83400000</v>
      </c>
      <c r="N3" s="183">
        <v>1</v>
      </c>
      <c r="O3" s="184" t="s">
        <v>354</v>
      </c>
      <c r="P3" s="185">
        <v>4042</v>
      </c>
      <c r="Q3" s="185" t="s">
        <v>854</v>
      </c>
      <c r="R3" s="185"/>
      <c r="S3" s="186">
        <v>101</v>
      </c>
      <c r="T3" s="187" t="s">
        <v>440</v>
      </c>
      <c r="U3" s="186">
        <v>0</v>
      </c>
      <c r="V3" s="188"/>
      <c r="W3" s="189">
        <v>83400000</v>
      </c>
      <c r="X3" s="190">
        <v>23827.38</v>
      </c>
      <c r="Y3" s="191">
        <v>216840</v>
      </c>
    </row>
    <row r="4" spans="1:25" ht="17.25" customHeight="1" x14ac:dyDescent="0.25">
      <c r="A4" s="277">
        <v>2069148</v>
      </c>
      <c r="B4" s="278"/>
      <c r="C4" s="279">
        <v>119010</v>
      </c>
      <c r="D4" s="280">
        <v>44273.749877974537</v>
      </c>
      <c r="E4" s="175" t="s">
        <v>438</v>
      </c>
      <c r="F4" s="176"/>
      <c r="G4" s="177">
        <v>202102</v>
      </c>
      <c r="H4" s="178">
        <v>202112</v>
      </c>
      <c r="I4" s="179" t="s">
        <v>439</v>
      </c>
      <c r="J4" s="180">
        <v>1</v>
      </c>
      <c r="K4" s="180">
        <v>1</v>
      </c>
      <c r="L4" s="181" t="s">
        <v>356</v>
      </c>
      <c r="M4" s="182">
        <v>110844976.09</v>
      </c>
      <c r="N4" s="183">
        <v>1</v>
      </c>
      <c r="O4" s="184" t="s">
        <v>354</v>
      </c>
      <c r="P4" s="185">
        <v>4042</v>
      </c>
      <c r="Q4" s="185" t="s">
        <v>854</v>
      </c>
      <c r="R4" s="185"/>
      <c r="S4" s="186">
        <v>100</v>
      </c>
      <c r="T4" s="187" t="s">
        <v>441</v>
      </c>
      <c r="U4" s="186">
        <v>0</v>
      </c>
      <c r="V4" s="188"/>
      <c r="W4" s="189">
        <v>110844976.09</v>
      </c>
      <c r="X4" s="190">
        <v>31668.41</v>
      </c>
      <c r="Y4" s="191">
        <v>288196.93800000002</v>
      </c>
    </row>
    <row r="5" spans="1:25" ht="17.25" customHeight="1" x14ac:dyDescent="0.25">
      <c r="A5" s="277">
        <v>2069149</v>
      </c>
      <c r="B5" s="278"/>
      <c r="C5" s="279">
        <v>119010</v>
      </c>
      <c r="D5" s="280">
        <v>44273.749877974537</v>
      </c>
      <c r="E5" s="175" t="s">
        <v>438</v>
      </c>
      <c r="F5" s="176"/>
      <c r="G5" s="177">
        <v>202201</v>
      </c>
      <c r="H5" s="178">
        <v>202206</v>
      </c>
      <c r="I5" s="179" t="s">
        <v>439</v>
      </c>
      <c r="J5" s="180">
        <v>1</v>
      </c>
      <c r="K5" s="180">
        <v>1</v>
      </c>
      <c r="L5" s="181" t="s">
        <v>356</v>
      </c>
      <c r="M5" s="182">
        <v>55418333.332999997</v>
      </c>
      <c r="N5" s="183">
        <v>1</v>
      </c>
      <c r="O5" s="184" t="s">
        <v>354</v>
      </c>
      <c r="P5" s="185">
        <v>4042</v>
      </c>
      <c r="Q5" s="185" t="s">
        <v>854</v>
      </c>
      <c r="R5" s="185"/>
      <c r="S5" s="186">
        <v>100</v>
      </c>
      <c r="T5" s="187" t="s">
        <v>441</v>
      </c>
      <c r="U5" s="186">
        <v>0</v>
      </c>
      <c r="V5" s="188"/>
      <c r="W5" s="189">
        <v>55418333.332999997</v>
      </c>
      <c r="X5" s="190">
        <v>15833.018</v>
      </c>
      <c r="Y5" s="191">
        <v>144087.66699999999</v>
      </c>
    </row>
    <row r="6" spans="1:25" ht="17.25" customHeight="1" x14ac:dyDescent="0.25">
      <c r="A6" s="277">
        <v>2069142</v>
      </c>
      <c r="B6" s="278"/>
      <c r="C6" s="279">
        <v>119010</v>
      </c>
      <c r="D6" s="280">
        <v>44273.749877974537</v>
      </c>
      <c r="E6" s="175" t="s">
        <v>442</v>
      </c>
      <c r="F6" s="176"/>
      <c r="G6" s="177">
        <v>202201</v>
      </c>
      <c r="H6" s="178">
        <v>202206</v>
      </c>
      <c r="I6" s="179" t="s">
        <v>439</v>
      </c>
      <c r="J6" s="180">
        <v>1</v>
      </c>
      <c r="K6" s="180">
        <v>1</v>
      </c>
      <c r="L6" s="181" t="s">
        <v>356</v>
      </c>
      <c r="M6" s="182">
        <v>2400000</v>
      </c>
      <c r="N6" s="183">
        <v>1</v>
      </c>
      <c r="O6" s="184" t="s">
        <v>354</v>
      </c>
      <c r="P6" s="185">
        <v>4043</v>
      </c>
      <c r="Q6" s="185" t="s">
        <v>854</v>
      </c>
      <c r="R6" s="185"/>
      <c r="S6" s="186">
        <v>101</v>
      </c>
      <c r="T6" s="187" t="s">
        <v>440</v>
      </c>
      <c r="U6" s="186">
        <v>0</v>
      </c>
      <c r="V6" s="188"/>
      <c r="W6" s="189">
        <v>2400000</v>
      </c>
      <c r="X6" s="190">
        <v>685.68</v>
      </c>
      <c r="Y6" s="191">
        <v>6240</v>
      </c>
    </row>
    <row r="7" spans="1:25" ht="17.25" customHeight="1" x14ac:dyDescent="0.25">
      <c r="A7" s="277">
        <v>2069143</v>
      </c>
      <c r="B7" s="278"/>
      <c r="C7" s="279">
        <v>119010</v>
      </c>
      <c r="D7" s="280">
        <v>44273.749877974537</v>
      </c>
      <c r="E7" s="175" t="s">
        <v>442</v>
      </c>
      <c r="F7" s="176"/>
      <c r="G7" s="177">
        <v>202102</v>
      </c>
      <c r="H7" s="178">
        <v>202112</v>
      </c>
      <c r="I7" s="179" t="s">
        <v>439</v>
      </c>
      <c r="J7" s="180">
        <v>1</v>
      </c>
      <c r="K7" s="180">
        <v>1</v>
      </c>
      <c r="L7" s="181" t="s">
        <v>356</v>
      </c>
      <c r="M7" s="182">
        <v>1200000</v>
      </c>
      <c r="N7" s="183">
        <v>1</v>
      </c>
      <c r="O7" s="184" t="s">
        <v>354</v>
      </c>
      <c r="P7" s="185">
        <v>4043</v>
      </c>
      <c r="Q7" s="185" t="s">
        <v>854</v>
      </c>
      <c r="R7" s="185"/>
      <c r="S7" s="186">
        <v>101</v>
      </c>
      <c r="T7" s="187" t="s">
        <v>440</v>
      </c>
      <c r="U7" s="186">
        <v>0</v>
      </c>
      <c r="V7" s="188"/>
      <c r="W7" s="189">
        <v>1200000</v>
      </c>
      <c r="X7" s="190">
        <v>342.84</v>
      </c>
      <c r="Y7" s="191">
        <v>3120</v>
      </c>
    </row>
    <row r="8" spans="1:25" ht="17.25" customHeight="1" x14ac:dyDescent="0.25">
      <c r="A8" s="277">
        <v>2069144</v>
      </c>
      <c r="B8" s="278"/>
      <c r="C8" s="279">
        <v>119010</v>
      </c>
      <c r="D8" s="280">
        <v>44273.749877974537</v>
      </c>
      <c r="E8" s="175" t="s">
        <v>442</v>
      </c>
      <c r="F8" s="176"/>
      <c r="G8" s="177">
        <v>202102</v>
      </c>
      <c r="H8" s="178">
        <v>202112</v>
      </c>
      <c r="I8" s="179" t="s">
        <v>439</v>
      </c>
      <c r="J8" s="180">
        <v>1</v>
      </c>
      <c r="K8" s="180">
        <v>1</v>
      </c>
      <c r="L8" s="181" t="s">
        <v>356</v>
      </c>
      <c r="M8" s="182">
        <v>57804335.685000002</v>
      </c>
      <c r="N8" s="183">
        <v>1</v>
      </c>
      <c r="O8" s="184" t="s">
        <v>354</v>
      </c>
      <c r="P8" s="185">
        <v>4043</v>
      </c>
      <c r="Q8" s="185" t="s">
        <v>854</v>
      </c>
      <c r="R8" s="185"/>
      <c r="S8" s="186">
        <v>100</v>
      </c>
      <c r="T8" s="187" t="s">
        <v>441</v>
      </c>
      <c r="U8" s="186">
        <v>0</v>
      </c>
      <c r="V8" s="188"/>
      <c r="W8" s="189">
        <v>57804335.685000002</v>
      </c>
      <c r="X8" s="190">
        <v>16514.699000000001</v>
      </c>
      <c r="Y8" s="191">
        <v>150291.27299999999</v>
      </c>
    </row>
    <row r="9" spans="1:25" ht="17.25" customHeight="1" x14ac:dyDescent="0.25">
      <c r="A9" s="277">
        <v>2069145</v>
      </c>
      <c r="B9" s="278"/>
      <c r="C9" s="279">
        <v>119010</v>
      </c>
      <c r="D9" s="280">
        <v>44273.749877974537</v>
      </c>
      <c r="E9" s="175" t="s">
        <v>442</v>
      </c>
      <c r="F9" s="176"/>
      <c r="G9" s="177">
        <v>202201</v>
      </c>
      <c r="H9" s="178">
        <v>202206</v>
      </c>
      <c r="I9" s="179" t="s">
        <v>439</v>
      </c>
      <c r="J9" s="180">
        <v>1</v>
      </c>
      <c r="K9" s="180">
        <v>1</v>
      </c>
      <c r="L9" s="181" t="s">
        <v>356</v>
      </c>
      <c r="M9" s="182">
        <v>28900000</v>
      </c>
      <c r="N9" s="183">
        <v>1</v>
      </c>
      <c r="O9" s="184" t="s">
        <v>354</v>
      </c>
      <c r="P9" s="185">
        <v>4043</v>
      </c>
      <c r="Q9" s="185" t="s">
        <v>854</v>
      </c>
      <c r="R9" s="185"/>
      <c r="S9" s="186">
        <v>100</v>
      </c>
      <c r="T9" s="187" t="s">
        <v>441</v>
      </c>
      <c r="U9" s="186">
        <v>0</v>
      </c>
      <c r="V9" s="188"/>
      <c r="W9" s="189">
        <v>28900000</v>
      </c>
      <c r="X9" s="190">
        <v>8256.73</v>
      </c>
      <c r="Y9" s="191">
        <v>75140</v>
      </c>
    </row>
    <row r="10" spans="1:25" ht="17.25" customHeight="1" x14ac:dyDescent="0.25">
      <c r="A10" s="277">
        <v>2069140</v>
      </c>
      <c r="B10" s="278"/>
      <c r="C10" s="279">
        <v>119010</v>
      </c>
      <c r="D10" s="280">
        <v>44273.749877974537</v>
      </c>
      <c r="E10" s="175" t="s">
        <v>443</v>
      </c>
      <c r="F10" s="176"/>
      <c r="G10" s="177">
        <v>202102</v>
      </c>
      <c r="H10" s="178">
        <v>202112</v>
      </c>
      <c r="I10" s="179" t="s">
        <v>439</v>
      </c>
      <c r="J10" s="180">
        <v>1</v>
      </c>
      <c r="K10" s="180">
        <v>1</v>
      </c>
      <c r="L10" s="181" t="s">
        <v>356</v>
      </c>
      <c r="M10" s="182">
        <v>100547540.87100001</v>
      </c>
      <c r="N10" s="183">
        <v>1</v>
      </c>
      <c r="O10" s="184" t="s">
        <v>354</v>
      </c>
      <c r="P10" s="185">
        <v>4044</v>
      </c>
      <c r="Q10" s="185" t="s">
        <v>854</v>
      </c>
      <c r="R10" s="185"/>
      <c r="S10" s="186">
        <v>100</v>
      </c>
      <c r="T10" s="187" t="s">
        <v>441</v>
      </c>
      <c r="U10" s="186">
        <v>0</v>
      </c>
      <c r="V10" s="188"/>
      <c r="W10" s="189">
        <v>100547540.87100001</v>
      </c>
      <c r="X10" s="190">
        <v>28726.432000000001</v>
      </c>
      <c r="Y10" s="191">
        <v>261423.606</v>
      </c>
    </row>
    <row r="11" spans="1:25" ht="17.25" customHeight="1" x14ac:dyDescent="0.25">
      <c r="A11" s="277">
        <v>2069141</v>
      </c>
      <c r="B11" s="278"/>
      <c r="C11" s="279">
        <v>119010</v>
      </c>
      <c r="D11" s="280">
        <v>44273.749877974537</v>
      </c>
      <c r="E11" s="175" t="s">
        <v>443</v>
      </c>
      <c r="F11" s="176"/>
      <c r="G11" s="177">
        <v>202201</v>
      </c>
      <c r="H11" s="178">
        <v>202206</v>
      </c>
      <c r="I11" s="179" t="s">
        <v>439</v>
      </c>
      <c r="J11" s="180">
        <v>1</v>
      </c>
      <c r="K11" s="180">
        <v>1</v>
      </c>
      <c r="L11" s="181" t="s">
        <v>356</v>
      </c>
      <c r="M11" s="182">
        <v>50270000</v>
      </c>
      <c r="N11" s="183">
        <v>1</v>
      </c>
      <c r="O11" s="184" t="s">
        <v>354</v>
      </c>
      <c r="P11" s="185">
        <v>4044</v>
      </c>
      <c r="Q11" s="185" t="s">
        <v>854</v>
      </c>
      <c r="R11" s="185"/>
      <c r="S11" s="186">
        <v>100</v>
      </c>
      <c r="T11" s="187" t="s">
        <v>441</v>
      </c>
      <c r="U11" s="186">
        <v>0</v>
      </c>
      <c r="V11" s="188"/>
      <c r="W11" s="189">
        <v>50270000</v>
      </c>
      <c r="X11" s="190">
        <v>14362.138999999999</v>
      </c>
      <c r="Y11" s="191">
        <v>130702</v>
      </c>
    </row>
    <row r="12" spans="1:25" ht="17.25" customHeight="1" x14ac:dyDescent="0.25">
      <c r="A12" s="277">
        <v>2069136</v>
      </c>
      <c r="B12" s="278"/>
      <c r="C12" s="279">
        <v>119010</v>
      </c>
      <c r="D12" s="280">
        <v>44406.684205821759</v>
      </c>
      <c r="E12" s="175" t="s">
        <v>444</v>
      </c>
      <c r="F12" s="176"/>
      <c r="G12" s="177">
        <v>202102</v>
      </c>
      <c r="H12" s="178">
        <v>202112</v>
      </c>
      <c r="I12" s="179" t="s">
        <v>439</v>
      </c>
      <c r="J12" s="180">
        <v>1</v>
      </c>
      <c r="K12" s="180">
        <v>1</v>
      </c>
      <c r="L12" s="181" t="s">
        <v>356</v>
      </c>
      <c r="M12" s="182">
        <v>672396336.80900002</v>
      </c>
      <c r="N12" s="183">
        <v>1</v>
      </c>
      <c r="O12" s="184" t="s">
        <v>354</v>
      </c>
      <c r="P12" s="185">
        <v>4045</v>
      </c>
      <c r="Q12" s="185" t="s">
        <v>854</v>
      </c>
      <c r="R12" s="185"/>
      <c r="S12" s="186">
        <v>101</v>
      </c>
      <c r="T12" s="187" t="s">
        <v>440</v>
      </c>
      <c r="U12" s="186">
        <v>0</v>
      </c>
      <c r="V12" s="188"/>
      <c r="W12" s="189">
        <v>672396336.80900002</v>
      </c>
      <c r="X12" s="190">
        <v>192103.633</v>
      </c>
      <c r="Y12" s="191">
        <v>1748230.476</v>
      </c>
    </row>
    <row r="13" spans="1:25" ht="17.25" customHeight="1" x14ac:dyDescent="0.25">
      <c r="A13" s="277">
        <v>2069137</v>
      </c>
      <c r="B13" s="278"/>
      <c r="C13" s="279">
        <v>119010</v>
      </c>
      <c r="D13" s="280">
        <v>44273.749877974537</v>
      </c>
      <c r="E13" s="175" t="s">
        <v>444</v>
      </c>
      <c r="F13" s="176"/>
      <c r="G13" s="177">
        <v>202201</v>
      </c>
      <c r="H13" s="178">
        <v>202206</v>
      </c>
      <c r="I13" s="179" t="s">
        <v>439</v>
      </c>
      <c r="J13" s="180">
        <v>1</v>
      </c>
      <c r="K13" s="180">
        <v>1</v>
      </c>
      <c r="L13" s="181" t="s">
        <v>356</v>
      </c>
      <c r="M13" s="182">
        <v>333866666.66600001</v>
      </c>
      <c r="N13" s="183">
        <v>1</v>
      </c>
      <c r="O13" s="184" t="s">
        <v>354</v>
      </c>
      <c r="P13" s="185">
        <v>4045</v>
      </c>
      <c r="Q13" s="185" t="s">
        <v>854</v>
      </c>
      <c r="R13" s="185"/>
      <c r="S13" s="186">
        <v>101</v>
      </c>
      <c r="T13" s="187" t="s">
        <v>440</v>
      </c>
      <c r="U13" s="186">
        <v>0</v>
      </c>
      <c r="V13" s="188"/>
      <c r="W13" s="189">
        <v>333866666.66600001</v>
      </c>
      <c r="X13" s="190">
        <v>95385.706999999995</v>
      </c>
      <c r="Y13" s="191">
        <v>868053.33299999998</v>
      </c>
    </row>
    <row r="14" spans="1:25" ht="17.25" customHeight="1" x14ac:dyDescent="0.25">
      <c r="A14" s="277">
        <v>2069138</v>
      </c>
      <c r="B14" s="278"/>
      <c r="C14" s="279">
        <v>119010</v>
      </c>
      <c r="D14" s="280">
        <v>44273.749877974537</v>
      </c>
      <c r="E14" s="175" t="s">
        <v>444</v>
      </c>
      <c r="F14" s="176"/>
      <c r="G14" s="177">
        <v>202201</v>
      </c>
      <c r="H14" s="178">
        <v>202206</v>
      </c>
      <c r="I14" s="179" t="s">
        <v>439</v>
      </c>
      <c r="J14" s="180">
        <v>1</v>
      </c>
      <c r="K14" s="180">
        <v>1</v>
      </c>
      <c r="L14" s="181" t="s">
        <v>356</v>
      </c>
      <c r="M14" s="182">
        <v>290845146.40399998</v>
      </c>
      <c r="N14" s="183">
        <v>1</v>
      </c>
      <c r="O14" s="184" t="s">
        <v>354</v>
      </c>
      <c r="P14" s="185">
        <v>4045</v>
      </c>
      <c r="Q14" s="185" t="s">
        <v>854</v>
      </c>
      <c r="R14" s="185"/>
      <c r="S14" s="186">
        <v>100</v>
      </c>
      <c r="T14" s="187" t="s">
        <v>441</v>
      </c>
      <c r="U14" s="186">
        <v>0</v>
      </c>
      <c r="V14" s="188"/>
      <c r="W14" s="189">
        <v>290845146.40399998</v>
      </c>
      <c r="X14" s="190">
        <v>83094.457999999999</v>
      </c>
      <c r="Y14" s="191">
        <v>756197.38100000005</v>
      </c>
    </row>
    <row r="15" spans="1:25" ht="17.25" customHeight="1" x14ac:dyDescent="0.25">
      <c r="A15" s="277">
        <v>2069139</v>
      </c>
      <c r="B15" s="278"/>
      <c r="C15" s="279">
        <v>119010</v>
      </c>
      <c r="D15" s="280">
        <v>44273.749877974537</v>
      </c>
      <c r="E15" s="175" t="s">
        <v>444</v>
      </c>
      <c r="F15" s="176"/>
      <c r="G15" s="177">
        <v>202201</v>
      </c>
      <c r="H15" s="178">
        <v>202206</v>
      </c>
      <c r="I15" s="179" t="s">
        <v>439</v>
      </c>
      <c r="J15" s="180">
        <v>1</v>
      </c>
      <c r="K15" s="180">
        <v>1</v>
      </c>
      <c r="L15" s="181" t="s">
        <v>356</v>
      </c>
      <c r="M15" s="182">
        <v>145411666.66600001</v>
      </c>
      <c r="N15" s="183">
        <v>1</v>
      </c>
      <c r="O15" s="184" t="s">
        <v>354</v>
      </c>
      <c r="P15" s="185">
        <v>4045</v>
      </c>
      <c r="Q15" s="185" t="s">
        <v>854</v>
      </c>
      <c r="R15" s="185"/>
      <c r="S15" s="186">
        <v>100</v>
      </c>
      <c r="T15" s="187" t="s">
        <v>441</v>
      </c>
      <c r="U15" s="186">
        <v>0</v>
      </c>
      <c r="V15" s="188"/>
      <c r="W15" s="189">
        <v>145411666.66600001</v>
      </c>
      <c r="X15" s="190">
        <v>41544.112999999998</v>
      </c>
      <c r="Y15" s="191">
        <v>378070.33299999998</v>
      </c>
    </row>
    <row r="16" spans="1:25" ht="17.25" customHeight="1" x14ac:dyDescent="0.25">
      <c r="A16" s="277">
        <v>2244667</v>
      </c>
      <c r="B16" s="278"/>
      <c r="C16" s="279">
        <v>119010</v>
      </c>
      <c r="D16" s="280">
        <v>44299.648782488424</v>
      </c>
      <c r="E16" s="175" t="s">
        <v>855</v>
      </c>
      <c r="F16" s="176"/>
      <c r="G16" s="177">
        <v>202102</v>
      </c>
      <c r="H16" s="178">
        <v>202112</v>
      </c>
      <c r="I16" s="179" t="s">
        <v>439</v>
      </c>
      <c r="J16" s="180">
        <v>0.91</v>
      </c>
      <c r="K16" s="180">
        <v>0.91</v>
      </c>
      <c r="L16" s="181" t="s">
        <v>356</v>
      </c>
      <c r="M16" s="182">
        <v>0.01</v>
      </c>
      <c r="N16" s="183">
        <v>0.91</v>
      </c>
      <c r="O16" s="184" t="s">
        <v>354</v>
      </c>
      <c r="P16" s="185">
        <v>4050</v>
      </c>
      <c r="Q16" s="185" t="s">
        <v>854</v>
      </c>
      <c r="R16" s="185"/>
      <c r="S16" s="186">
        <v>100</v>
      </c>
      <c r="T16" s="187" t="s">
        <v>441</v>
      </c>
      <c r="U16" s="186">
        <v>0</v>
      </c>
      <c r="V16" s="188"/>
      <c r="W16" s="189">
        <v>0.01</v>
      </c>
      <c r="X16" s="190">
        <v>0</v>
      </c>
      <c r="Y16" s="191">
        <v>0</v>
      </c>
    </row>
    <row r="17" spans="1:25" ht="17.25" customHeight="1" x14ac:dyDescent="0.25">
      <c r="A17" s="277">
        <v>2244668</v>
      </c>
      <c r="B17" s="278"/>
      <c r="C17" s="279">
        <v>119010</v>
      </c>
      <c r="D17" s="280">
        <v>44299.650625775466</v>
      </c>
      <c r="E17" s="175" t="s">
        <v>855</v>
      </c>
      <c r="F17" s="176"/>
      <c r="G17" s="177">
        <v>202102</v>
      </c>
      <c r="H17" s="178">
        <v>202112</v>
      </c>
      <c r="I17" s="179" t="s">
        <v>439</v>
      </c>
      <c r="J17" s="180">
        <v>0.91</v>
      </c>
      <c r="K17" s="180">
        <v>0.91</v>
      </c>
      <c r="L17" s="181" t="s">
        <v>356</v>
      </c>
      <c r="M17" s="182">
        <v>0.01</v>
      </c>
      <c r="N17" s="183">
        <v>0.91</v>
      </c>
      <c r="O17" s="184" t="s">
        <v>354</v>
      </c>
      <c r="P17" s="185">
        <v>4050</v>
      </c>
      <c r="Q17" s="185" t="s">
        <v>854</v>
      </c>
      <c r="R17" s="185"/>
      <c r="S17" s="186">
        <v>101</v>
      </c>
      <c r="T17" s="187" t="s">
        <v>440</v>
      </c>
      <c r="U17" s="186">
        <v>0</v>
      </c>
      <c r="V17" s="188"/>
      <c r="W17" s="189">
        <v>0.01</v>
      </c>
      <c r="X17" s="190">
        <v>0</v>
      </c>
      <c r="Y17" s="191">
        <v>0</v>
      </c>
    </row>
    <row r="18" spans="1:25" ht="17.25" customHeight="1" x14ac:dyDescent="0.25">
      <c r="A18" s="277">
        <v>2069135</v>
      </c>
      <c r="B18" s="278"/>
      <c r="C18" s="279">
        <v>119010</v>
      </c>
      <c r="D18" s="280">
        <v>44461.643100891204</v>
      </c>
      <c r="E18" s="175" t="s">
        <v>445</v>
      </c>
      <c r="F18" s="176"/>
      <c r="G18" s="177">
        <v>202102</v>
      </c>
      <c r="H18" s="178">
        <v>202112</v>
      </c>
      <c r="I18" s="179" t="s">
        <v>439</v>
      </c>
      <c r="J18" s="180">
        <v>3</v>
      </c>
      <c r="K18" s="180">
        <v>1</v>
      </c>
      <c r="L18" s="181" t="s">
        <v>356</v>
      </c>
      <c r="M18" s="182">
        <v>11090024.501</v>
      </c>
      <c r="N18" s="183">
        <v>1</v>
      </c>
      <c r="O18" s="184" t="s">
        <v>357</v>
      </c>
      <c r="P18" s="185">
        <v>4251</v>
      </c>
      <c r="Q18" s="185" t="s">
        <v>446</v>
      </c>
      <c r="R18" s="185"/>
      <c r="S18" s="186"/>
      <c r="T18" s="187" t="s">
        <v>355</v>
      </c>
      <c r="U18" s="186">
        <v>1415430</v>
      </c>
      <c r="V18" s="188"/>
      <c r="W18" s="189">
        <v>33270073.504000001</v>
      </c>
      <c r="X18" s="190">
        <v>9505.26</v>
      </c>
      <c r="Y18" s="191">
        <v>86502.191000000006</v>
      </c>
    </row>
    <row r="19" spans="1:25" ht="17.25" customHeight="1" x14ac:dyDescent="0.25">
      <c r="A19" s="277">
        <v>2069121</v>
      </c>
      <c r="B19" s="278"/>
      <c r="C19" s="279">
        <v>119010</v>
      </c>
      <c r="D19" s="280">
        <v>44365.659565624999</v>
      </c>
      <c r="E19" s="175" t="s">
        <v>458</v>
      </c>
      <c r="F19" s="176"/>
      <c r="G19" s="177">
        <v>202102</v>
      </c>
      <c r="H19" s="178">
        <v>202112</v>
      </c>
      <c r="I19" s="179" t="s">
        <v>439</v>
      </c>
      <c r="J19" s="180">
        <v>1</v>
      </c>
      <c r="K19" s="180">
        <v>15</v>
      </c>
      <c r="L19" s="181" t="s">
        <v>356</v>
      </c>
      <c r="M19" s="182">
        <v>9500000</v>
      </c>
      <c r="N19" s="183">
        <v>1</v>
      </c>
      <c r="O19" s="184" t="s">
        <v>354</v>
      </c>
      <c r="P19" s="185">
        <v>4500</v>
      </c>
      <c r="Q19" s="185" t="s">
        <v>854</v>
      </c>
      <c r="R19" s="185"/>
      <c r="S19" s="186"/>
      <c r="T19" s="187" t="s">
        <v>19</v>
      </c>
      <c r="U19" s="186">
        <v>0</v>
      </c>
      <c r="V19" s="188"/>
      <c r="W19" s="189">
        <v>142500000</v>
      </c>
      <c r="X19" s="190">
        <v>40712.25</v>
      </c>
      <c r="Y19" s="191">
        <v>370500</v>
      </c>
    </row>
    <row r="20" spans="1:25" ht="17.25" customHeight="1" x14ac:dyDescent="0.25">
      <c r="A20" s="277">
        <v>2069122</v>
      </c>
      <c r="B20" s="278"/>
      <c r="C20" s="279">
        <v>119010</v>
      </c>
      <c r="D20" s="280">
        <v>44365.659565624999</v>
      </c>
      <c r="E20" s="175" t="s">
        <v>457</v>
      </c>
      <c r="F20" s="176"/>
      <c r="G20" s="177">
        <v>202102</v>
      </c>
      <c r="H20" s="178">
        <v>202112</v>
      </c>
      <c r="I20" s="179" t="s">
        <v>439</v>
      </c>
      <c r="J20" s="180">
        <v>1</v>
      </c>
      <c r="K20" s="180">
        <v>1</v>
      </c>
      <c r="L20" s="181" t="s">
        <v>356</v>
      </c>
      <c r="M20" s="182">
        <v>15000000</v>
      </c>
      <c r="N20" s="183">
        <v>1</v>
      </c>
      <c r="O20" s="184" t="s">
        <v>354</v>
      </c>
      <c r="P20" s="185">
        <v>4500</v>
      </c>
      <c r="Q20" s="185" t="s">
        <v>854</v>
      </c>
      <c r="R20" s="185"/>
      <c r="S20" s="186"/>
      <c r="T20" s="187" t="s">
        <v>19</v>
      </c>
      <c r="U20" s="186">
        <v>0</v>
      </c>
      <c r="V20" s="188"/>
      <c r="W20" s="189">
        <v>15000000</v>
      </c>
      <c r="X20" s="190">
        <v>4285.5</v>
      </c>
      <c r="Y20" s="191">
        <v>39000</v>
      </c>
    </row>
    <row r="21" spans="1:25" ht="17.25" customHeight="1" x14ac:dyDescent="0.25">
      <c r="A21" s="277">
        <v>2069123</v>
      </c>
      <c r="B21" s="278"/>
      <c r="C21" s="279">
        <v>119010</v>
      </c>
      <c r="D21" s="280">
        <v>44365.659565624999</v>
      </c>
      <c r="E21" s="175" t="s">
        <v>456</v>
      </c>
      <c r="F21" s="176"/>
      <c r="G21" s="177">
        <v>202102</v>
      </c>
      <c r="H21" s="178">
        <v>202112</v>
      </c>
      <c r="I21" s="179" t="s">
        <v>439</v>
      </c>
      <c r="J21" s="180">
        <v>1</v>
      </c>
      <c r="K21" s="180">
        <v>6</v>
      </c>
      <c r="L21" s="181" t="s">
        <v>356</v>
      </c>
      <c r="M21" s="182">
        <v>9500000</v>
      </c>
      <c r="N21" s="183">
        <v>1</v>
      </c>
      <c r="O21" s="184" t="s">
        <v>354</v>
      </c>
      <c r="P21" s="185">
        <v>4500</v>
      </c>
      <c r="Q21" s="185" t="s">
        <v>854</v>
      </c>
      <c r="R21" s="185"/>
      <c r="S21" s="186"/>
      <c r="T21" s="187" t="s">
        <v>22</v>
      </c>
      <c r="U21" s="186">
        <v>0</v>
      </c>
      <c r="V21" s="188"/>
      <c r="W21" s="189">
        <v>57000000</v>
      </c>
      <c r="X21" s="190">
        <v>16284.9</v>
      </c>
      <c r="Y21" s="191">
        <v>148200</v>
      </c>
    </row>
    <row r="22" spans="1:25" ht="17.25" customHeight="1" x14ac:dyDescent="0.25">
      <c r="A22" s="277">
        <v>2069124</v>
      </c>
      <c r="B22" s="278"/>
      <c r="C22" s="279">
        <v>119010</v>
      </c>
      <c r="D22" s="280">
        <v>44365.659565624999</v>
      </c>
      <c r="E22" s="175" t="s">
        <v>455</v>
      </c>
      <c r="F22" s="176"/>
      <c r="G22" s="177">
        <v>202102</v>
      </c>
      <c r="H22" s="178">
        <v>202112</v>
      </c>
      <c r="I22" s="179" t="s">
        <v>439</v>
      </c>
      <c r="J22" s="180">
        <v>1</v>
      </c>
      <c r="K22" s="180">
        <v>1</v>
      </c>
      <c r="L22" s="181" t="s">
        <v>356</v>
      </c>
      <c r="M22" s="182">
        <v>13000000</v>
      </c>
      <c r="N22" s="183">
        <v>1</v>
      </c>
      <c r="O22" s="184" t="s">
        <v>354</v>
      </c>
      <c r="P22" s="185">
        <v>4500</v>
      </c>
      <c r="Q22" s="185" t="s">
        <v>854</v>
      </c>
      <c r="R22" s="185"/>
      <c r="S22" s="186"/>
      <c r="T22" s="187" t="s">
        <v>22</v>
      </c>
      <c r="U22" s="186">
        <v>0</v>
      </c>
      <c r="V22" s="188"/>
      <c r="W22" s="189">
        <v>13000000</v>
      </c>
      <c r="X22" s="190">
        <v>3714.1</v>
      </c>
      <c r="Y22" s="191">
        <v>33800</v>
      </c>
    </row>
    <row r="23" spans="1:25" ht="17.25" customHeight="1" x14ac:dyDescent="0.25">
      <c r="A23" s="277">
        <v>2069125</v>
      </c>
      <c r="B23" s="278"/>
      <c r="C23" s="279">
        <v>119010</v>
      </c>
      <c r="D23" s="280">
        <v>44365.659565624999</v>
      </c>
      <c r="E23" s="175" t="s">
        <v>454</v>
      </c>
      <c r="F23" s="176"/>
      <c r="G23" s="177">
        <v>202102</v>
      </c>
      <c r="H23" s="178">
        <v>202112</v>
      </c>
      <c r="I23" s="179" t="s">
        <v>439</v>
      </c>
      <c r="J23" s="180">
        <v>1</v>
      </c>
      <c r="K23" s="180">
        <v>1</v>
      </c>
      <c r="L23" s="181" t="s">
        <v>356</v>
      </c>
      <c r="M23" s="182">
        <v>24500000</v>
      </c>
      <c r="N23" s="183">
        <v>1</v>
      </c>
      <c r="O23" s="184" t="s">
        <v>354</v>
      </c>
      <c r="P23" s="185">
        <v>4500</v>
      </c>
      <c r="Q23" s="185" t="s">
        <v>854</v>
      </c>
      <c r="R23" s="185"/>
      <c r="S23" s="186"/>
      <c r="T23" s="187" t="s">
        <v>25</v>
      </c>
      <c r="U23" s="186">
        <v>0</v>
      </c>
      <c r="V23" s="188"/>
      <c r="W23" s="189">
        <v>24500000</v>
      </c>
      <c r="X23" s="190">
        <v>6999.65</v>
      </c>
      <c r="Y23" s="191">
        <v>63700</v>
      </c>
    </row>
    <row r="24" spans="1:25" ht="17.25" customHeight="1" x14ac:dyDescent="0.25">
      <c r="A24" s="277">
        <v>2069126</v>
      </c>
      <c r="B24" s="278"/>
      <c r="C24" s="279">
        <v>119010</v>
      </c>
      <c r="D24" s="280">
        <v>44365.659565624999</v>
      </c>
      <c r="E24" s="175" t="s">
        <v>453</v>
      </c>
      <c r="F24" s="176"/>
      <c r="G24" s="177">
        <v>202102</v>
      </c>
      <c r="H24" s="178">
        <v>202112</v>
      </c>
      <c r="I24" s="179" t="s">
        <v>439</v>
      </c>
      <c r="J24" s="180">
        <v>1</v>
      </c>
      <c r="K24" s="180">
        <v>8</v>
      </c>
      <c r="L24" s="181" t="s">
        <v>356</v>
      </c>
      <c r="M24" s="182">
        <v>14500000</v>
      </c>
      <c r="N24" s="183">
        <v>1</v>
      </c>
      <c r="O24" s="184" t="s">
        <v>354</v>
      </c>
      <c r="P24" s="185">
        <v>4500</v>
      </c>
      <c r="Q24" s="185" t="s">
        <v>854</v>
      </c>
      <c r="R24" s="185"/>
      <c r="S24" s="186"/>
      <c r="T24" s="187" t="s">
        <v>36</v>
      </c>
      <c r="U24" s="186">
        <v>0</v>
      </c>
      <c r="V24" s="188"/>
      <c r="W24" s="189">
        <v>116000000</v>
      </c>
      <c r="X24" s="190">
        <v>33141.199999999997</v>
      </c>
      <c r="Y24" s="191">
        <v>301600</v>
      </c>
    </row>
    <row r="25" spans="1:25" ht="17.25" customHeight="1" x14ac:dyDescent="0.25">
      <c r="A25" s="277">
        <v>2069127</v>
      </c>
      <c r="B25" s="278"/>
      <c r="C25" s="279">
        <v>119010</v>
      </c>
      <c r="D25" s="280">
        <v>44365.659565624999</v>
      </c>
      <c r="E25" s="175" t="s">
        <v>452</v>
      </c>
      <c r="F25" s="176"/>
      <c r="G25" s="177">
        <v>202102</v>
      </c>
      <c r="H25" s="178">
        <v>202112</v>
      </c>
      <c r="I25" s="179" t="s">
        <v>439</v>
      </c>
      <c r="J25" s="180">
        <v>1</v>
      </c>
      <c r="K25" s="180">
        <v>1</v>
      </c>
      <c r="L25" s="181" t="s">
        <v>356</v>
      </c>
      <c r="M25" s="182">
        <v>59000000</v>
      </c>
      <c r="N25" s="183">
        <v>1</v>
      </c>
      <c r="O25" s="184" t="s">
        <v>354</v>
      </c>
      <c r="P25" s="185">
        <v>4500</v>
      </c>
      <c r="Q25" s="185" t="s">
        <v>854</v>
      </c>
      <c r="R25" s="185"/>
      <c r="S25" s="186"/>
      <c r="T25" s="187" t="s">
        <v>36</v>
      </c>
      <c r="U25" s="186">
        <v>0</v>
      </c>
      <c r="V25" s="188"/>
      <c r="W25" s="189">
        <v>59000000</v>
      </c>
      <c r="X25" s="190">
        <v>16856.3</v>
      </c>
      <c r="Y25" s="191">
        <v>153400</v>
      </c>
    </row>
    <row r="26" spans="1:25" ht="17.25" customHeight="1" x14ac:dyDescent="0.25">
      <c r="A26" s="277">
        <v>2069128</v>
      </c>
      <c r="B26" s="278"/>
      <c r="C26" s="279">
        <v>119010</v>
      </c>
      <c r="D26" s="280">
        <v>44365.659565624999</v>
      </c>
      <c r="E26" s="175" t="s">
        <v>451</v>
      </c>
      <c r="F26" s="176"/>
      <c r="G26" s="177">
        <v>202102</v>
      </c>
      <c r="H26" s="178">
        <v>202112</v>
      </c>
      <c r="I26" s="179" t="s">
        <v>439</v>
      </c>
      <c r="J26" s="180">
        <v>1</v>
      </c>
      <c r="K26" s="180">
        <v>86</v>
      </c>
      <c r="L26" s="181" t="s">
        <v>356</v>
      </c>
      <c r="M26" s="182">
        <v>1800000</v>
      </c>
      <c r="N26" s="183">
        <v>1</v>
      </c>
      <c r="O26" s="184" t="s">
        <v>354</v>
      </c>
      <c r="P26" s="185">
        <v>4500</v>
      </c>
      <c r="Q26" s="185" t="s">
        <v>854</v>
      </c>
      <c r="R26" s="185"/>
      <c r="S26" s="186"/>
      <c r="T26" s="187" t="s">
        <v>40</v>
      </c>
      <c r="U26" s="186">
        <v>0</v>
      </c>
      <c r="V26" s="188"/>
      <c r="W26" s="189">
        <v>154800000</v>
      </c>
      <c r="X26" s="190">
        <v>44226.36</v>
      </c>
      <c r="Y26" s="191">
        <v>402480</v>
      </c>
    </row>
    <row r="27" spans="1:25" ht="17.25" customHeight="1" x14ac:dyDescent="0.25">
      <c r="A27" s="277">
        <v>2069129</v>
      </c>
      <c r="B27" s="278"/>
      <c r="C27" s="279">
        <v>119010</v>
      </c>
      <c r="D27" s="280">
        <v>44365.659565624999</v>
      </c>
      <c r="E27" s="175" t="s">
        <v>450</v>
      </c>
      <c r="F27" s="176"/>
      <c r="G27" s="177">
        <v>202102</v>
      </c>
      <c r="H27" s="178">
        <v>202112</v>
      </c>
      <c r="I27" s="179" t="s">
        <v>439</v>
      </c>
      <c r="J27" s="180">
        <v>1</v>
      </c>
      <c r="K27" s="180">
        <v>1</v>
      </c>
      <c r="L27" s="181" t="s">
        <v>356</v>
      </c>
      <c r="M27" s="182">
        <v>18450000</v>
      </c>
      <c r="N27" s="183">
        <v>1</v>
      </c>
      <c r="O27" s="184" t="s">
        <v>354</v>
      </c>
      <c r="P27" s="185">
        <v>4500</v>
      </c>
      <c r="Q27" s="185" t="s">
        <v>854</v>
      </c>
      <c r="R27" s="185"/>
      <c r="S27" s="186"/>
      <c r="T27" s="187" t="s">
        <v>40</v>
      </c>
      <c r="U27" s="186">
        <v>0</v>
      </c>
      <c r="V27" s="188"/>
      <c r="W27" s="189">
        <v>18450000</v>
      </c>
      <c r="X27" s="190">
        <v>5271.165</v>
      </c>
      <c r="Y27" s="191">
        <v>47970</v>
      </c>
    </row>
    <row r="28" spans="1:25" ht="17.25" customHeight="1" x14ac:dyDescent="0.25">
      <c r="A28" s="277">
        <v>2069130</v>
      </c>
      <c r="B28" s="278"/>
      <c r="C28" s="279">
        <v>119010</v>
      </c>
      <c r="D28" s="280">
        <v>44365.659565624999</v>
      </c>
      <c r="E28" s="175" t="s">
        <v>449</v>
      </c>
      <c r="F28" s="176"/>
      <c r="G28" s="177">
        <v>202102</v>
      </c>
      <c r="H28" s="178">
        <v>202112</v>
      </c>
      <c r="I28" s="179" t="s">
        <v>439</v>
      </c>
      <c r="J28" s="180">
        <v>1</v>
      </c>
      <c r="K28" s="180">
        <v>12</v>
      </c>
      <c r="L28" s="181" t="s">
        <v>356</v>
      </c>
      <c r="M28" s="182">
        <v>13000000</v>
      </c>
      <c r="N28" s="183">
        <v>1</v>
      </c>
      <c r="O28" s="184" t="s">
        <v>354</v>
      </c>
      <c r="P28" s="185">
        <v>4500</v>
      </c>
      <c r="Q28" s="185" t="s">
        <v>854</v>
      </c>
      <c r="R28" s="185"/>
      <c r="S28" s="186"/>
      <c r="T28" s="187" t="s">
        <v>52</v>
      </c>
      <c r="U28" s="186">
        <v>0</v>
      </c>
      <c r="V28" s="188"/>
      <c r="W28" s="189">
        <v>156000000</v>
      </c>
      <c r="X28" s="190">
        <v>44569.2</v>
      </c>
      <c r="Y28" s="191">
        <v>405600</v>
      </c>
    </row>
    <row r="29" spans="1:25" ht="17.25" customHeight="1" x14ac:dyDescent="0.25">
      <c r="A29" s="277">
        <v>2069131</v>
      </c>
      <c r="B29" s="278"/>
      <c r="C29" s="279">
        <v>119010</v>
      </c>
      <c r="D29" s="280">
        <v>44365.659565624999</v>
      </c>
      <c r="E29" s="175" t="s">
        <v>448</v>
      </c>
      <c r="F29" s="176"/>
      <c r="G29" s="177">
        <v>202102</v>
      </c>
      <c r="H29" s="178">
        <v>202112</v>
      </c>
      <c r="I29" s="179" t="s">
        <v>439</v>
      </c>
      <c r="J29" s="180">
        <v>1</v>
      </c>
      <c r="K29" s="180">
        <v>1</v>
      </c>
      <c r="L29" s="181" t="s">
        <v>356</v>
      </c>
      <c r="M29" s="182">
        <v>15500000</v>
      </c>
      <c r="N29" s="183">
        <v>1</v>
      </c>
      <c r="O29" s="184" t="s">
        <v>354</v>
      </c>
      <c r="P29" s="185">
        <v>4500</v>
      </c>
      <c r="Q29" s="185" t="s">
        <v>854</v>
      </c>
      <c r="R29" s="185"/>
      <c r="S29" s="186"/>
      <c r="T29" s="187" t="s">
        <v>52</v>
      </c>
      <c r="U29" s="186">
        <v>0</v>
      </c>
      <c r="V29" s="188"/>
      <c r="W29" s="189">
        <v>15500000</v>
      </c>
      <c r="X29" s="190">
        <v>4428.3500000000004</v>
      </c>
      <c r="Y29" s="191">
        <v>40300</v>
      </c>
    </row>
    <row r="30" spans="1:25" ht="17.25" customHeight="1" x14ac:dyDescent="0.25">
      <c r="A30" s="277">
        <v>2069132</v>
      </c>
      <c r="B30" s="278"/>
      <c r="C30" s="279">
        <v>119010</v>
      </c>
      <c r="D30" s="280">
        <v>44365.659565624999</v>
      </c>
      <c r="E30" s="175" t="s">
        <v>447</v>
      </c>
      <c r="F30" s="176"/>
      <c r="G30" s="177">
        <v>202102</v>
      </c>
      <c r="H30" s="178">
        <v>202112</v>
      </c>
      <c r="I30" s="179" t="s">
        <v>439</v>
      </c>
      <c r="J30" s="180">
        <v>1</v>
      </c>
      <c r="K30" s="180">
        <v>5</v>
      </c>
      <c r="L30" s="181" t="s">
        <v>356</v>
      </c>
      <c r="M30" s="182">
        <v>84000000</v>
      </c>
      <c r="N30" s="183">
        <v>0.7</v>
      </c>
      <c r="O30" s="184" t="s">
        <v>354</v>
      </c>
      <c r="P30" s="185">
        <v>4500</v>
      </c>
      <c r="Q30" s="185" t="s">
        <v>854</v>
      </c>
      <c r="R30" s="185"/>
      <c r="S30" s="186"/>
      <c r="T30" s="187" t="s">
        <v>56</v>
      </c>
      <c r="U30" s="186">
        <v>0</v>
      </c>
      <c r="V30" s="188"/>
      <c r="W30" s="189">
        <v>294000000</v>
      </c>
      <c r="X30" s="190">
        <v>83995.8</v>
      </c>
      <c r="Y30" s="191">
        <v>764400</v>
      </c>
    </row>
    <row r="31" spans="1:25" ht="17.25" customHeight="1" x14ac:dyDescent="0.25">
      <c r="A31" s="277">
        <v>2069133</v>
      </c>
      <c r="B31" s="278"/>
      <c r="C31" s="279">
        <v>119010</v>
      </c>
      <c r="D31" s="280">
        <v>44365.659565624999</v>
      </c>
      <c r="E31" s="175" t="s">
        <v>447</v>
      </c>
      <c r="F31" s="176"/>
      <c r="G31" s="177">
        <v>202201</v>
      </c>
      <c r="H31" s="178">
        <v>202206</v>
      </c>
      <c r="I31" s="179" t="s">
        <v>439</v>
      </c>
      <c r="J31" s="180">
        <v>1</v>
      </c>
      <c r="K31" s="180">
        <v>5</v>
      </c>
      <c r="L31" s="181" t="s">
        <v>356</v>
      </c>
      <c r="M31" s="182">
        <v>84000000</v>
      </c>
      <c r="N31" s="183">
        <v>0.3</v>
      </c>
      <c r="O31" s="184" t="s">
        <v>354</v>
      </c>
      <c r="P31" s="185">
        <v>4500</v>
      </c>
      <c r="Q31" s="185" t="s">
        <v>854</v>
      </c>
      <c r="R31" s="185"/>
      <c r="S31" s="186"/>
      <c r="T31" s="187" t="s">
        <v>56</v>
      </c>
      <c r="U31" s="186">
        <v>0</v>
      </c>
      <c r="V31" s="188"/>
      <c r="W31" s="189">
        <v>126000000</v>
      </c>
      <c r="X31" s="190">
        <v>35998.199999999997</v>
      </c>
      <c r="Y31" s="191">
        <v>327600</v>
      </c>
    </row>
    <row r="32" spans="1:25" ht="17.25" customHeight="1" x14ac:dyDescent="0.25">
      <c r="A32" s="277">
        <v>2265774</v>
      </c>
      <c r="B32" s="278"/>
      <c r="C32" s="279">
        <v>119010</v>
      </c>
      <c r="D32" s="280">
        <v>44309.908589548613</v>
      </c>
      <c r="E32" s="175" t="s">
        <v>856</v>
      </c>
      <c r="F32" s="176" t="s">
        <v>857</v>
      </c>
      <c r="G32" s="177">
        <v>202103</v>
      </c>
      <c r="H32" s="178">
        <v>202105</v>
      </c>
      <c r="I32" s="179" t="s">
        <v>459</v>
      </c>
      <c r="J32" s="180">
        <v>1</v>
      </c>
      <c r="K32" s="180">
        <v>1</v>
      </c>
      <c r="L32" s="181" t="s">
        <v>356</v>
      </c>
      <c r="M32" s="182">
        <v>12000000</v>
      </c>
      <c r="N32" s="183">
        <v>1</v>
      </c>
      <c r="O32" s="184" t="s">
        <v>354</v>
      </c>
      <c r="P32" s="185">
        <v>4500</v>
      </c>
      <c r="Q32" s="185" t="s">
        <v>325</v>
      </c>
      <c r="R32" s="185"/>
      <c r="S32" s="186">
        <v>901</v>
      </c>
      <c r="T32" s="187" t="s">
        <v>355</v>
      </c>
      <c r="U32" s="186">
        <v>0</v>
      </c>
      <c r="V32" s="188"/>
      <c r="W32" s="189">
        <v>12000000</v>
      </c>
      <c r="X32" s="190">
        <v>3428.4</v>
      </c>
      <c r="Y32" s="191">
        <v>31200</v>
      </c>
    </row>
    <row r="33" spans="1:25" ht="17.25" customHeight="1" x14ac:dyDescent="0.25">
      <c r="A33" s="277">
        <v>2265777</v>
      </c>
      <c r="B33" s="278"/>
      <c r="C33" s="279">
        <v>119010</v>
      </c>
      <c r="D33" s="280">
        <v>44309.908589548613</v>
      </c>
      <c r="E33" s="175" t="s">
        <v>858</v>
      </c>
      <c r="F33" s="176" t="s">
        <v>857</v>
      </c>
      <c r="G33" s="177">
        <v>202201</v>
      </c>
      <c r="H33" s="178">
        <v>202206</v>
      </c>
      <c r="I33" s="179" t="s">
        <v>459</v>
      </c>
      <c r="J33" s="180">
        <v>1</v>
      </c>
      <c r="K33" s="180">
        <v>4</v>
      </c>
      <c r="L33" s="181" t="s">
        <v>356</v>
      </c>
      <c r="M33" s="182">
        <v>5000000</v>
      </c>
      <c r="N33" s="183">
        <v>1</v>
      </c>
      <c r="O33" s="184" t="s">
        <v>354</v>
      </c>
      <c r="P33" s="185">
        <v>4500</v>
      </c>
      <c r="Q33" s="185" t="s">
        <v>325</v>
      </c>
      <c r="R33" s="185"/>
      <c r="S33" s="186">
        <v>901</v>
      </c>
      <c r="T33" s="187" t="s">
        <v>355</v>
      </c>
      <c r="U33" s="186">
        <v>0</v>
      </c>
      <c r="V33" s="188"/>
      <c r="W33" s="189">
        <v>20000000</v>
      </c>
      <c r="X33" s="190">
        <v>5714</v>
      </c>
      <c r="Y33" s="191">
        <v>52000</v>
      </c>
    </row>
    <row r="34" spans="1:25" ht="17.25" customHeight="1" x14ac:dyDescent="0.25">
      <c r="A34" s="277">
        <v>2265778</v>
      </c>
      <c r="B34" s="278"/>
      <c r="C34" s="279">
        <v>119010</v>
      </c>
      <c r="D34" s="280">
        <v>44309.908589548613</v>
      </c>
      <c r="E34" s="175" t="s">
        <v>858</v>
      </c>
      <c r="F34" s="176" t="s">
        <v>857</v>
      </c>
      <c r="G34" s="177">
        <v>202103</v>
      </c>
      <c r="H34" s="178">
        <v>202112</v>
      </c>
      <c r="I34" s="179" t="s">
        <v>459</v>
      </c>
      <c r="J34" s="180">
        <v>1</v>
      </c>
      <c r="K34" s="180">
        <v>4</v>
      </c>
      <c r="L34" s="181" t="s">
        <v>356</v>
      </c>
      <c r="M34" s="182">
        <v>5000000</v>
      </c>
      <c r="N34" s="183">
        <v>1</v>
      </c>
      <c r="O34" s="184" t="s">
        <v>354</v>
      </c>
      <c r="P34" s="185">
        <v>4500</v>
      </c>
      <c r="Q34" s="185" t="s">
        <v>325</v>
      </c>
      <c r="R34" s="185"/>
      <c r="S34" s="186">
        <v>901</v>
      </c>
      <c r="T34" s="187" t="s">
        <v>355</v>
      </c>
      <c r="U34" s="186">
        <v>0</v>
      </c>
      <c r="V34" s="188"/>
      <c r="W34" s="189">
        <v>20000000</v>
      </c>
      <c r="X34" s="190">
        <v>5714</v>
      </c>
      <c r="Y34" s="191">
        <v>52000</v>
      </c>
    </row>
    <row r="35" spans="1:25" ht="17.25" customHeight="1" x14ac:dyDescent="0.25">
      <c r="A35" s="277">
        <v>2265779</v>
      </c>
      <c r="B35" s="278"/>
      <c r="C35" s="279">
        <v>119010</v>
      </c>
      <c r="D35" s="280">
        <v>44309.908589548613</v>
      </c>
      <c r="E35" s="175" t="s">
        <v>859</v>
      </c>
      <c r="F35" s="176" t="s">
        <v>857</v>
      </c>
      <c r="G35" s="177">
        <v>202201</v>
      </c>
      <c r="H35" s="178">
        <v>202206</v>
      </c>
      <c r="I35" s="179" t="s">
        <v>459</v>
      </c>
      <c r="J35" s="180">
        <v>1</v>
      </c>
      <c r="K35" s="180">
        <v>4</v>
      </c>
      <c r="L35" s="181" t="s">
        <v>356</v>
      </c>
      <c r="M35" s="182">
        <v>5000000</v>
      </c>
      <c r="N35" s="183">
        <v>1</v>
      </c>
      <c r="O35" s="184" t="s">
        <v>354</v>
      </c>
      <c r="P35" s="185">
        <v>4500</v>
      </c>
      <c r="Q35" s="185" t="s">
        <v>325</v>
      </c>
      <c r="R35" s="185"/>
      <c r="S35" s="186">
        <v>901</v>
      </c>
      <c r="T35" s="187" t="s">
        <v>355</v>
      </c>
      <c r="U35" s="186">
        <v>0</v>
      </c>
      <c r="V35" s="188"/>
      <c r="W35" s="189">
        <v>20000000</v>
      </c>
      <c r="X35" s="190">
        <v>5714</v>
      </c>
      <c r="Y35" s="191">
        <v>52000</v>
      </c>
    </row>
    <row r="36" spans="1:25" ht="17.25" customHeight="1" x14ac:dyDescent="0.25">
      <c r="A36" s="277">
        <v>2265780</v>
      </c>
      <c r="B36" s="278"/>
      <c r="C36" s="279">
        <v>119010</v>
      </c>
      <c r="D36" s="280">
        <v>44309.908589548613</v>
      </c>
      <c r="E36" s="175" t="s">
        <v>859</v>
      </c>
      <c r="F36" s="176" t="s">
        <v>857</v>
      </c>
      <c r="G36" s="177">
        <v>202103</v>
      </c>
      <c r="H36" s="178">
        <v>202112</v>
      </c>
      <c r="I36" s="179" t="s">
        <v>459</v>
      </c>
      <c r="J36" s="180">
        <v>1</v>
      </c>
      <c r="K36" s="180">
        <v>4</v>
      </c>
      <c r="L36" s="181" t="s">
        <v>356</v>
      </c>
      <c r="M36" s="182">
        <v>5000000</v>
      </c>
      <c r="N36" s="183">
        <v>1</v>
      </c>
      <c r="O36" s="184" t="s">
        <v>354</v>
      </c>
      <c r="P36" s="185">
        <v>4500</v>
      </c>
      <c r="Q36" s="185" t="s">
        <v>325</v>
      </c>
      <c r="R36" s="185"/>
      <c r="S36" s="186">
        <v>901</v>
      </c>
      <c r="T36" s="187" t="s">
        <v>355</v>
      </c>
      <c r="U36" s="186">
        <v>0</v>
      </c>
      <c r="V36" s="188"/>
      <c r="W36" s="189">
        <v>20000000</v>
      </c>
      <c r="X36" s="190">
        <v>5714</v>
      </c>
      <c r="Y36" s="191">
        <v>52000</v>
      </c>
    </row>
    <row r="37" spans="1:25" ht="17.25" customHeight="1" x14ac:dyDescent="0.25">
      <c r="A37" s="277">
        <v>2265781</v>
      </c>
      <c r="B37" s="278"/>
      <c r="C37" s="279">
        <v>119010</v>
      </c>
      <c r="D37" s="280">
        <v>44309.908589548613</v>
      </c>
      <c r="E37" s="175" t="s">
        <v>860</v>
      </c>
      <c r="F37" s="176" t="s">
        <v>857</v>
      </c>
      <c r="G37" s="177">
        <v>202201</v>
      </c>
      <c r="H37" s="178">
        <v>202206</v>
      </c>
      <c r="I37" s="179" t="s">
        <v>459</v>
      </c>
      <c r="J37" s="180">
        <v>1</v>
      </c>
      <c r="K37" s="180">
        <v>4</v>
      </c>
      <c r="L37" s="181" t="s">
        <v>356</v>
      </c>
      <c r="M37" s="182">
        <v>5000000</v>
      </c>
      <c r="N37" s="183">
        <v>1</v>
      </c>
      <c r="O37" s="184" t="s">
        <v>354</v>
      </c>
      <c r="P37" s="185">
        <v>4500</v>
      </c>
      <c r="Q37" s="185" t="s">
        <v>325</v>
      </c>
      <c r="R37" s="185"/>
      <c r="S37" s="186">
        <v>901</v>
      </c>
      <c r="T37" s="187" t="s">
        <v>355</v>
      </c>
      <c r="U37" s="186">
        <v>0</v>
      </c>
      <c r="V37" s="188"/>
      <c r="W37" s="189">
        <v>20000000</v>
      </c>
      <c r="X37" s="190">
        <v>5714</v>
      </c>
      <c r="Y37" s="191">
        <v>52000</v>
      </c>
    </row>
    <row r="38" spans="1:25" ht="17.25" customHeight="1" x14ac:dyDescent="0.25">
      <c r="A38" s="277">
        <v>2265782</v>
      </c>
      <c r="B38" s="278"/>
      <c r="C38" s="279">
        <v>119010</v>
      </c>
      <c r="D38" s="280">
        <v>44309.908589548613</v>
      </c>
      <c r="E38" s="175" t="s">
        <v>860</v>
      </c>
      <c r="F38" s="176" t="s">
        <v>857</v>
      </c>
      <c r="G38" s="177">
        <v>202103</v>
      </c>
      <c r="H38" s="178">
        <v>202112</v>
      </c>
      <c r="I38" s="179" t="s">
        <v>459</v>
      </c>
      <c r="J38" s="180">
        <v>1</v>
      </c>
      <c r="K38" s="180">
        <v>4</v>
      </c>
      <c r="L38" s="181" t="s">
        <v>356</v>
      </c>
      <c r="M38" s="182">
        <v>5000000</v>
      </c>
      <c r="N38" s="183">
        <v>1</v>
      </c>
      <c r="O38" s="184" t="s">
        <v>354</v>
      </c>
      <c r="P38" s="185">
        <v>4500</v>
      </c>
      <c r="Q38" s="185" t="s">
        <v>325</v>
      </c>
      <c r="R38" s="185"/>
      <c r="S38" s="186">
        <v>901</v>
      </c>
      <c r="T38" s="187" t="s">
        <v>355</v>
      </c>
      <c r="U38" s="186">
        <v>0</v>
      </c>
      <c r="V38" s="188"/>
      <c r="W38" s="189">
        <v>20000000</v>
      </c>
      <c r="X38" s="190">
        <v>5714</v>
      </c>
      <c r="Y38" s="191">
        <v>52000</v>
      </c>
    </row>
    <row r="39" spans="1:25" ht="17.25" customHeight="1" x14ac:dyDescent="0.25">
      <c r="A39" s="277">
        <v>2265783</v>
      </c>
      <c r="B39" s="278"/>
      <c r="C39" s="279">
        <v>119010</v>
      </c>
      <c r="D39" s="280">
        <v>44309.908589548613</v>
      </c>
      <c r="E39" s="175" t="s">
        <v>861</v>
      </c>
      <c r="F39" s="176" t="s">
        <v>857</v>
      </c>
      <c r="G39" s="177">
        <v>202201</v>
      </c>
      <c r="H39" s="178">
        <v>202206</v>
      </c>
      <c r="I39" s="179" t="s">
        <v>459</v>
      </c>
      <c r="J39" s="180">
        <v>1</v>
      </c>
      <c r="K39" s="180">
        <v>2</v>
      </c>
      <c r="L39" s="181" t="s">
        <v>356</v>
      </c>
      <c r="M39" s="182">
        <v>4000000</v>
      </c>
      <c r="N39" s="183">
        <v>1</v>
      </c>
      <c r="O39" s="184" t="s">
        <v>354</v>
      </c>
      <c r="P39" s="185">
        <v>4500</v>
      </c>
      <c r="Q39" s="185" t="s">
        <v>325</v>
      </c>
      <c r="R39" s="185"/>
      <c r="S39" s="186">
        <v>901</v>
      </c>
      <c r="T39" s="187" t="s">
        <v>355</v>
      </c>
      <c r="U39" s="186">
        <v>0</v>
      </c>
      <c r="V39" s="188"/>
      <c r="W39" s="189">
        <v>8000000</v>
      </c>
      <c r="X39" s="190">
        <v>2285.6</v>
      </c>
      <c r="Y39" s="191">
        <v>20800</v>
      </c>
    </row>
    <row r="40" spans="1:25" ht="17.25" customHeight="1" x14ac:dyDescent="0.25">
      <c r="A40" s="277">
        <v>2265784</v>
      </c>
      <c r="B40" s="278"/>
      <c r="C40" s="279">
        <v>119010</v>
      </c>
      <c r="D40" s="280">
        <v>44309.908589548613</v>
      </c>
      <c r="E40" s="175" t="s">
        <v>861</v>
      </c>
      <c r="F40" s="176" t="s">
        <v>857</v>
      </c>
      <c r="G40" s="177">
        <v>202103</v>
      </c>
      <c r="H40" s="178">
        <v>202112</v>
      </c>
      <c r="I40" s="179" t="s">
        <v>459</v>
      </c>
      <c r="J40" s="180">
        <v>1</v>
      </c>
      <c r="K40" s="180">
        <v>3</v>
      </c>
      <c r="L40" s="181" t="s">
        <v>356</v>
      </c>
      <c r="M40" s="182">
        <v>4000000</v>
      </c>
      <c r="N40" s="183">
        <v>1</v>
      </c>
      <c r="O40" s="184" t="s">
        <v>354</v>
      </c>
      <c r="P40" s="185">
        <v>4500</v>
      </c>
      <c r="Q40" s="185" t="s">
        <v>325</v>
      </c>
      <c r="R40" s="185"/>
      <c r="S40" s="186">
        <v>901</v>
      </c>
      <c r="T40" s="187" t="s">
        <v>355</v>
      </c>
      <c r="U40" s="186">
        <v>0</v>
      </c>
      <c r="V40" s="188"/>
      <c r="W40" s="189">
        <v>12000000</v>
      </c>
      <c r="X40" s="190">
        <v>3428.4</v>
      </c>
      <c r="Y40" s="191">
        <v>31200</v>
      </c>
    </row>
    <row r="41" spans="1:25" ht="17.25" customHeight="1" x14ac:dyDescent="0.25">
      <c r="A41" s="277">
        <v>2265785</v>
      </c>
      <c r="B41" s="278"/>
      <c r="C41" s="279">
        <v>119010</v>
      </c>
      <c r="D41" s="280">
        <v>44309.908589548613</v>
      </c>
      <c r="E41" s="175" t="s">
        <v>862</v>
      </c>
      <c r="F41" s="176" t="s">
        <v>857</v>
      </c>
      <c r="G41" s="177">
        <v>202201</v>
      </c>
      <c r="H41" s="178">
        <v>202206</v>
      </c>
      <c r="I41" s="179" t="s">
        <v>459</v>
      </c>
      <c r="J41" s="180">
        <v>1</v>
      </c>
      <c r="K41" s="180">
        <v>1</v>
      </c>
      <c r="L41" s="181" t="s">
        <v>356</v>
      </c>
      <c r="M41" s="182">
        <v>45500000</v>
      </c>
      <c r="N41" s="183">
        <v>1</v>
      </c>
      <c r="O41" s="184" t="s">
        <v>354</v>
      </c>
      <c r="P41" s="185">
        <v>4500</v>
      </c>
      <c r="Q41" s="185" t="s">
        <v>325</v>
      </c>
      <c r="R41" s="185"/>
      <c r="S41" s="186">
        <v>901</v>
      </c>
      <c r="T41" s="187" t="s">
        <v>355</v>
      </c>
      <c r="U41" s="186">
        <v>0</v>
      </c>
      <c r="V41" s="188"/>
      <c r="W41" s="189">
        <v>45500000</v>
      </c>
      <c r="X41" s="190">
        <v>12999.35</v>
      </c>
      <c r="Y41" s="191">
        <v>118300</v>
      </c>
    </row>
    <row r="42" spans="1:25" ht="17.25" customHeight="1" x14ac:dyDescent="0.25">
      <c r="A42" s="277">
        <v>2265786</v>
      </c>
      <c r="B42" s="278"/>
      <c r="C42" s="279">
        <v>119010</v>
      </c>
      <c r="D42" s="280">
        <v>44309.908589548613</v>
      </c>
      <c r="E42" s="175" t="s">
        <v>863</v>
      </c>
      <c r="F42" s="176" t="s">
        <v>857</v>
      </c>
      <c r="G42" s="177">
        <v>202201</v>
      </c>
      <c r="H42" s="178">
        <v>202206</v>
      </c>
      <c r="I42" s="179" t="s">
        <v>459</v>
      </c>
      <c r="J42" s="180">
        <v>1</v>
      </c>
      <c r="K42" s="180">
        <v>1</v>
      </c>
      <c r="L42" s="181" t="s">
        <v>356</v>
      </c>
      <c r="M42" s="182">
        <v>25000000</v>
      </c>
      <c r="N42" s="183">
        <v>1</v>
      </c>
      <c r="O42" s="184" t="s">
        <v>354</v>
      </c>
      <c r="P42" s="185">
        <v>4500</v>
      </c>
      <c r="Q42" s="185" t="s">
        <v>325</v>
      </c>
      <c r="R42" s="185"/>
      <c r="S42" s="186">
        <v>901</v>
      </c>
      <c r="T42" s="187" t="s">
        <v>355</v>
      </c>
      <c r="U42" s="186">
        <v>0</v>
      </c>
      <c r="V42" s="188"/>
      <c r="W42" s="189">
        <v>25000000</v>
      </c>
      <c r="X42" s="190">
        <v>7142.5</v>
      </c>
      <c r="Y42" s="191">
        <v>65000</v>
      </c>
    </row>
    <row r="43" spans="1:25" ht="17.25" customHeight="1" x14ac:dyDescent="0.25">
      <c r="A43" s="277">
        <v>2265787</v>
      </c>
      <c r="B43" s="278"/>
      <c r="C43" s="279">
        <v>119010</v>
      </c>
      <c r="D43" s="280">
        <v>44309.908589548613</v>
      </c>
      <c r="E43" s="175" t="s">
        <v>864</v>
      </c>
      <c r="F43" s="176" t="s">
        <v>857</v>
      </c>
      <c r="G43" s="177">
        <v>202103</v>
      </c>
      <c r="H43" s="178">
        <v>202112</v>
      </c>
      <c r="I43" s="179" t="s">
        <v>459</v>
      </c>
      <c r="J43" s="180">
        <v>1</v>
      </c>
      <c r="K43" s="180">
        <v>1</v>
      </c>
      <c r="L43" s="181" t="s">
        <v>356</v>
      </c>
      <c r="M43" s="182">
        <v>20000000</v>
      </c>
      <c r="N43" s="183">
        <v>1</v>
      </c>
      <c r="O43" s="184" t="s">
        <v>354</v>
      </c>
      <c r="P43" s="185">
        <v>4500</v>
      </c>
      <c r="Q43" s="185" t="s">
        <v>325</v>
      </c>
      <c r="R43" s="185"/>
      <c r="S43" s="186">
        <v>901</v>
      </c>
      <c r="T43" s="187" t="s">
        <v>355</v>
      </c>
      <c r="U43" s="186">
        <v>0</v>
      </c>
      <c r="V43" s="188"/>
      <c r="W43" s="189">
        <v>20000000</v>
      </c>
      <c r="X43" s="190">
        <v>5714</v>
      </c>
      <c r="Y43" s="191">
        <v>52000</v>
      </c>
    </row>
    <row r="44" spans="1:25" ht="17.25" customHeight="1" x14ac:dyDescent="0.35">
      <c r="A44" s="277">
        <v>2069117</v>
      </c>
      <c r="B44" s="278"/>
      <c r="C44" s="279" t="s">
        <v>865</v>
      </c>
      <c r="D44" s="280">
        <v>44176.724018368055</v>
      </c>
      <c r="E44" s="175" t="s">
        <v>461</v>
      </c>
      <c r="F44" s="176"/>
      <c r="G44" s="177">
        <v>202201</v>
      </c>
      <c r="H44" s="178">
        <v>202206</v>
      </c>
      <c r="I44" s="179" t="s">
        <v>439</v>
      </c>
      <c r="J44" s="180">
        <v>7</v>
      </c>
      <c r="K44" s="180">
        <v>1</v>
      </c>
      <c r="L44" s="181" t="s">
        <v>356</v>
      </c>
      <c r="M44" s="182">
        <v>1994285.71</v>
      </c>
      <c r="N44" s="183">
        <v>0.25</v>
      </c>
      <c r="O44" s="184" t="s">
        <v>357</v>
      </c>
      <c r="P44" s="185">
        <v>5290</v>
      </c>
      <c r="Q44" s="185" t="s">
        <v>462</v>
      </c>
      <c r="R44" s="185"/>
      <c r="S44" s="186"/>
      <c r="T44" s="187" t="s">
        <v>355</v>
      </c>
      <c r="U44" s="186">
        <v>1415427</v>
      </c>
      <c r="V44" s="188"/>
      <c r="W44" s="189">
        <v>3489999.9929999998</v>
      </c>
      <c r="X44" s="190">
        <v>997.09299999999996</v>
      </c>
      <c r="Y44" s="191">
        <v>9074</v>
      </c>
    </row>
    <row r="45" spans="1:25" ht="17.25" customHeight="1" x14ac:dyDescent="0.35">
      <c r="A45" s="277">
        <v>2069118</v>
      </c>
      <c r="B45" s="278"/>
      <c r="C45" s="279">
        <v>119010</v>
      </c>
      <c r="D45" s="280">
        <v>44256.597527465281</v>
      </c>
      <c r="E45" s="175" t="s">
        <v>461</v>
      </c>
      <c r="F45" s="176"/>
      <c r="G45" s="177">
        <v>202102</v>
      </c>
      <c r="H45" s="178">
        <v>202112</v>
      </c>
      <c r="I45" s="179" t="s">
        <v>439</v>
      </c>
      <c r="J45" s="180">
        <v>7</v>
      </c>
      <c r="K45" s="180">
        <v>1</v>
      </c>
      <c r="L45" s="181" t="s">
        <v>356</v>
      </c>
      <c r="M45" s="182">
        <v>1994285.71</v>
      </c>
      <c r="N45" s="183">
        <v>0.2</v>
      </c>
      <c r="O45" s="184" t="s">
        <v>357</v>
      </c>
      <c r="P45" s="185">
        <v>5290</v>
      </c>
      <c r="Q45" s="185" t="s">
        <v>462</v>
      </c>
      <c r="R45" s="185"/>
      <c r="S45" s="186"/>
      <c r="T45" s="187" t="s">
        <v>355</v>
      </c>
      <c r="U45" s="186">
        <v>1966907</v>
      </c>
      <c r="V45" s="188"/>
      <c r="W45" s="189">
        <v>2791999.9939999999</v>
      </c>
      <c r="X45" s="190">
        <v>797.67399999999998</v>
      </c>
      <c r="Y45" s="191">
        <v>7259.2</v>
      </c>
    </row>
    <row r="46" spans="1:25" ht="17.25" customHeight="1" x14ac:dyDescent="0.35">
      <c r="A46" s="277">
        <v>2069151</v>
      </c>
      <c r="B46" s="278"/>
      <c r="C46" s="279">
        <v>119010</v>
      </c>
      <c r="D46" s="280">
        <v>44273.768001307872</v>
      </c>
      <c r="E46" s="175" t="s">
        <v>490</v>
      </c>
      <c r="F46" s="176"/>
      <c r="G46" s="177">
        <v>202102</v>
      </c>
      <c r="H46" s="178">
        <v>202112</v>
      </c>
      <c r="I46" s="179" t="s">
        <v>459</v>
      </c>
      <c r="J46" s="180">
        <v>1</v>
      </c>
      <c r="K46" s="180">
        <v>12</v>
      </c>
      <c r="L46" s="181" t="s">
        <v>356</v>
      </c>
      <c r="M46" s="182">
        <v>4201887.1749999998</v>
      </c>
      <c r="N46" s="183">
        <v>1</v>
      </c>
      <c r="O46" s="184" t="s">
        <v>354</v>
      </c>
      <c r="P46" s="185">
        <v>5295</v>
      </c>
      <c r="Q46" s="185" t="s">
        <v>325</v>
      </c>
      <c r="R46" s="185" t="s">
        <v>463</v>
      </c>
      <c r="S46" s="186"/>
      <c r="T46" s="187" t="s">
        <v>355</v>
      </c>
      <c r="U46" s="186">
        <v>1970463</v>
      </c>
      <c r="V46" s="188"/>
      <c r="W46" s="189">
        <v>50422646.100000001</v>
      </c>
      <c r="X46" s="190">
        <v>14405.75</v>
      </c>
      <c r="Y46" s="191">
        <v>131098.88</v>
      </c>
    </row>
    <row r="47" spans="1:25" ht="17.25" customHeight="1" x14ac:dyDescent="0.35">
      <c r="A47" s="277">
        <v>2069152</v>
      </c>
      <c r="B47" s="278"/>
      <c r="C47" s="279">
        <v>119010</v>
      </c>
      <c r="D47" s="280">
        <v>44273.768001307872</v>
      </c>
      <c r="E47" s="175" t="s">
        <v>490</v>
      </c>
      <c r="F47" s="176"/>
      <c r="G47" s="177">
        <v>202201</v>
      </c>
      <c r="H47" s="178">
        <v>202206</v>
      </c>
      <c r="I47" s="179" t="s">
        <v>459</v>
      </c>
      <c r="J47" s="180">
        <v>1</v>
      </c>
      <c r="K47" s="180">
        <v>6</v>
      </c>
      <c r="L47" s="181" t="s">
        <v>356</v>
      </c>
      <c r="M47" s="182">
        <v>4200000</v>
      </c>
      <c r="N47" s="183">
        <v>1</v>
      </c>
      <c r="O47" s="184" t="s">
        <v>354</v>
      </c>
      <c r="P47" s="185">
        <v>5295</v>
      </c>
      <c r="Q47" s="185" t="s">
        <v>325</v>
      </c>
      <c r="R47" s="185" t="s">
        <v>463</v>
      </c>
      <c r="S47" s="186"/>
      <c r="T47" s="187" t="s">
        <v>355</v>
      </c>
      <c r="U47" s="186">
        <v>2114395</v>
      </c>
      <c r="V47" s="188"/>
      <c r="W47" s="189">
        <v>25200000</v>
      </c>
      <c r="X47" s="190">
        <v>7199.64</v>
      </c>
      <c r="Y47" s="191">
        <v>65520</v>
      </c>
    </row>
    <row r="48" spans="1:25" ht="17.25" customHeight="1" x14ac:dyDescent="0.35">
      <c r="A48" s="277">
        <v>2069153</v>
      </c>
      <c r="B48" s="278"/>
      <c r="C48" s="279">
        <v>119010</v>
      </c>
      <c r="D48" s="280">
        <v>44348.65054771991</v>
      </c>
      <c r="E48" s="175" t="s">
        <v>465</v>
      </c>
      <c r="F48" s="176"/>
      <c r="G48" s="177">
        <v>202201</v>
      </c>
      <c r="H48" s="178">
        <v>202206</v>
      </c>
      <c r="I48" s="179" t="s">
        <v>459</v>
      </c>
      <c r="J48" s="180">
        <v>1</v>
      </c>
      <c r="K48" s="180">
        <v>6</v>
      </c>
      <c r="L48" s="181" t="s">
        <v>356</v>
      </c>
      <c r="M48" s="182">
        <v>7886439.1129999999</v>
      </c>
      <c r="N48" s="183">
        <v>0.8</v>
      </c>
      <c r="O48" s="184" t="s">
        <v>354</v>
      </c>
      <c r="P48" s="185">
        <v>5295</v>
      </c>
      <c r="Q48" s="185" t="s">
        <v>854</v>
      </c>
      <c r="R48" s="185" t="s">
        <v>463</v>
      </c>
      <c r="S48" s="186"/>
      <c r="T48" s="187" t="s">
        <v>355</v>
      </c>
      <c r="U48" s="186">
        <v>2295033</v>
      </c>
      <c r="V48" s="188"/>
      <c r="W48" s="189">
        <v>37854907.741999999</v>
      </c>
      <c r="X48" s="190">
        <v>10815.147000000001</v>
      </c>
      <c r="Y48" s="191">
        <v>98422.76</v>
      </c>
    </row>
    <row r="49" spans="1:25" ht="17.25" customHeight="1" x14ac:dyDescent="0.35">
      <c r="A49" s="277">
        <v>2069154</v>
      </c>
      <c r="B49" s="278"/>
      <c r="C49" s="279">
        <v>119010</v>
      </c>
      <c r="D49" s="280">
        <v>44344.796782986108</v>
      </c>
      <c r="E49" s="175" t="s">
        <v>866</v>
      </c>
      <c r="F49" s="176"/>
      <c r="G49" s="177">
        <v>202201</v>
      </c>
      <c r="H49" s="178">
        <v>202206</v>
      </c>
      <c r="I49" s="179" t="s">
        <v>459</v>
      </c>
      <c r="J49" s="180">
        <v>1</v>
      </c>
      <c r="K49" s="180">
        <v>6</v>
      </c>
      <c r="L49" s="181" t="s">
        <v>356</v>
      </c>
      <c r="M49" s="182">
        <v>8780854.8289999999</v>
      </c>
      <c r="N49" s="183">
        <v>0.75</v>
      </c>
      <c r="O49" s="184" t="s">
        <v>354</v>
      </c>
      <c r="P49" s="185">
        <v>5295</v>
      </c>
      <c r="Q49" s="185" t="s">
        <v>854</v>
      </c>
      <c r="R49" s="185" t="s">
        <v>358</v>
      </c>
      <c r="S49" s="186"/>
      <c r="T49" s="187" t="s">
        <v>355</v>
      </c>
      <c r="U49" s="186">
        <v>2114356</v>
      </c>
      <c r="V49" s="188"/>
      <c r="W49" s="189">
        <v>39513846.730999999</v>
      </c>
      <c r="X49" s="190">
        <v>11289.106</v>
      </c>
      <c r="Y49" s="191">
        <v>102736.00199999999</v>
      </c>
    </row>
    <row r="50" spans="1:25" ht="17.25" customHeight="1" x14ac:dyDescent="0.35">
      <c r="A50" s="277">
        <v>2069155</v>
      </c>
      <c r="B50" s="278"/>
      <c r="C50" s="279">
        <v>119010</v>
      </c>
      <c r="D50" s="280">
        <v>44273.768001307872</v>
      </c>
      <c r="E50" s="175" t="s">
        <v>489</v>
      </c>
      <c r="F50" s="176"/>
      <c r="G50" s="177">
        <v>202102</v>
      </c>
      <c r="H50" s="178">
        <v>202112</v>
      </c>
      <c r="I50" s="179" t="s">
        <v>459</v>
      </c>
      <c r="J50" s="180">
        <v>1</v>
      </c>
      <c r="K50" s="180">
        <v>12</v>
      </c>
      <c r="L50" s="181" t="s">
        <v>356</v>
      </c>
      <c r="M50" s="182">
        <v>7039018.8499999996</v>
      </c>
      <c r="N50" s="183">
        <v>0.2</v>
      </c>
      <c r="O50" s="184" t="s">
        <v>357</v>
      </c>
      <c r="P50" s="185">
        <v>5295</v>
      </c>
      <c r="Q50" s="185" t="s">
        <v>446</v>
      </c>
      <c r="R50" s="185" t="s">
        <v>367</v>
      </c>
      <c r="S50" s="186"/>
      <c r="T50" s="187" t="s">
        <v>355</v>
      </c>
      <c r="U50" s="186">
        <v>1970487</v>
      </c>
      <c r="V50" s="188"/>
      <c r="W50" s="189">
        <v>16893645.239999998</v>
      </c>
      <c r="X50" s="190">
        <v>4826.5140000000001</v>
      </c>
      <c r="Y50" s="191">
        <v>43923.478000000003</v>
      </c>
    </row>
    <row r="51" spans="1:25" ht="17.25" customHeight="1" x14ac:dyDescent="0.35">
      <c r="A51" s="277">
        <v>2069156</v>
      </c>
      <c r="B51" s="278"/>
      <c r="C51" s="279">
        <v>119010</v>
      </c>
      <c r="D51" s="280">
        <v>44273.768001307872</v>
      </c>
      <c r="E51" s="175" t="s">
        <v>488</v>
      </c>
      <c r="F51" s="176"/>
      <c r="G51" s="177">
        <v>202102</v>
      </c>
      <c r="H51" s="178">
        <v>202112</v>
      </c>
      <c r="I51" s="179" t="s">
        <v>459</v>
      </c>
      <c r="J51" s="180">
        <v>1</v>
      </c>
      <c r="K51" s="180">
        <v>12</v>
      </c>
      <c r="L51" s="181" t="s">
        <v>356</v>
      </c>
      <c r="M51" s="182">
        <v>4518865.2549999999</v>
      </c>
      <c r="N51" s="183">
        <v>0.2</v>
      </c>
      <c r="O51" s="184" t="s">
        <v>357</v>
      </c>
      <c r="P51" s="185">
        <v>5295</v>
      </c>
      <c r="Q51" s="185" t="s">
        <v>462</v>
      </c>
      <c r="R51" s="185" t="s">
        <v>366</v>
      </c>
      <c r="S51" s="186"/>
      <c r="T51" s="187" t="s">
        <v>355</v>
      </c>
      <c r="U51" s="186">
        <v>1970462</v>
      </c>
      <c r="V51" s="188"/>
      <c r="W51" s="189">
        <v>10845276.612</v>
      </c>
      <c r="X51" s="190">
        <v>3098.4960000000001</v>
      </c>
      <c r="Y51" s="191">
        <v>28197.719000000001</v>
      </c>
    </row>
    <row r="52" spans="1:25" ht="17.25" customHeight="1" x14ac:dyDescent="0.35">
      <c r="A52" s="277">
        <v>2069157</v>
      </c>
      <c r="B52" s="278"/>
      <c r="C52" s="279">
        <v>119010</v>
      </c>
      <c r="D52" s="280">
        <v>44273.768001307872</v>
      </c>
      <c r="E52" s="175" t="s">
        <v>489</v>
      </c>
      <c r="F52" s="176"/>
      <c r="G52" s="177">
        <v>202201</v>
      </c>
      <c r="H52" s="178">
        <v>202206</v>
      </c>
      <c r="I52" s="179" t="s">
        <v>459</v>
      </c>
      <c r="J52" s="180">
        <v>1</v>
      </c>
      <c r="K52" s="180">
        <v>6</v>
      </c>
      <c r="L52" s="181" t="s">
        <v>356</v>
      </c>
      <c r="M52" s="182">
        <v>7040245.5410000002</v>
      </c>
      <c r="N52" s="183">
        <v>0.2</v>
      </c>
      <c r="O52" s="184" t="s">
        <v>357</v>
      </c>
      <c r="P52" s="185">
        <v>5295</v>
      </c>
      <c r="Q52" s="185" t="s">
        <v>446</v>
      </c>
      <c r="R52" s="185" t="s">
        <v>367</v>
      </c>
      <c r="S52" s="186"/>
      <c r="T52" s="187" t="s">
        <v>355</v>
      </c>
      <c r="U52" s="186">
        <v>2114371</v>
      </c>
      <c r="V52" s="188"/>
      <c r="W52" s="189">
        <v>8448294.6490000002</v>
      </c>
      <c r="X52" s="190">
        <v>2413.6779999999999</v>
      </c>
      <c r="Y52" s="191">
        <v>21965.565999999999</v>
      </c>
    </row>
    <row r="53" spans="1:25" ht="17.25" customHeight="1" x14ac:dyDescent="0.35">
      <c r="A53" s="277">
        <v>2069158</v>
      </c>
      <c r="B53" s="278"/>
      <c r="C53" s="279">
        <v>119010</v>
      </c>
      <c r="D53" s="280">
        <v>44273.768001307872</v>
      </c>
      <c r="E53" s="175" t="s">
        <v>488</v>
      </c>
      <c r="F53" s="176"/>
      <c r="G53" s="177">
        <v>202201</v>
      </c>
      <c r="H53" s="178">
        <v>202206</v>
      </c>
      <c r="I53" s="179" t="s">
        <v>459</v>
      </c>
      <c r="J53" s="180">
        <v>1</v>
      </c>
      <c r="K53" s="180">
        <v>6</v>
      </c>
      <c r="L53" s="181" t="s">
        <v>356</v>
      </c>
      <c r="M53" s="182">
        <v>4518865.2549999999</v>
      </c>
      <c r="N53" s="183">
        <v>0.2</v>
      </c>
      <c r="O53" s="184" t="s">
        <v>357</v>
      </c>
      <c r="P53" s="185">
        <v>5295</v>
      </c>
      <c r="Q53" s="185" t="s">
        <v>462</v>
      </c>
      <c r="R53" s="185" t="s">
        <v>366</v>
      </c>
      <c r="S53" s="186"/>
      <c r="T53" s="187" t="s">
        <v>355</v>
      </c>
      <c r="U53" s="186">
        <v>2114396</v>
      </c>
      <c r="V53" s="188"/>
      <c r="W53" s="189">
        <v>5422638.3059999999</v>
      </c>
      <c r="X53" s="190">
        <v>1549.248</v>
      </c>
      <c r="Y53" s="191">
        <v>14098.86</v>
      </c>
    </row>
    <row r="54" spans="1:25" ht="17.25" customHeight="1" x14ac:dyDescent="0.35">
      <c r="A54" s="277">
        <v>2069159</v>
      </c>
      <c r="B54" s="278"/>
      <c r="C54" s="279">
        <v>119010</v>
      </c>
      <c r="D54" s="280">
        <v>44273.768001307872</v>
      </c>
      <c r="E54" s="175" t="s">
        <v>479</v>
      </c>
      <c r="F54" s="176"/>
      <c r="G54" s="177">
        <v>202102</v>
      </c>
      <c r="H54" s="178">
        <v>202112</v>
      </c>
      <c r="I54" s="179" t="s">
        <v>459</v>
      </c>
      <c r="J54" s="180">
        <v>1</v>
      </c>
      <c r="K54" s="180">
        <v>12</v>
      </c>
      <c r="L54" s="181" t="s">
        <v>356</v>
      </c>
      <c r="M54" s="182">
        <v>4135401.58</v>
      </c>
      <c r="N54" s="183">
        <v>0.2</v>
      </c>
      <c r="O54" s="184" t="s">
        <v>357</v>
      </c>
      <c r="P54" s="185">
        <v>5295</v>
      </c>
      <c r="Q54" s="185" t="s">
        <v>446</v>
      </c>
      <c r="R54" s="185">
        <v>118200</v>
      </c>
      <c r="S54" s="186"/>
      <c r="T54" s="187" t="s">
        <v>355</v>
      </c>
      <c r="U54" s="186">
        <v>1970452</v>
      </c>
      <c r="V54" s="188"/>
      <c r="W54" s="189">
        <v>9924963.7919999994</v>
      </c>
      <c r="X54" s="190">
        <v>2835.5619999999999</v>
      </c>
      <c r="Y54" s="191">
        <v>25804.905999999999</v>
      </c>
    </row>
    <row r="55" spans="1:25" ht="17.25" customHeight="1" x14ac:dyDescent="0.35">
      <c r="A55" s="277">
        <v>2069160</v>
      </c>
      <c r="B55" s="278"/>
      <c r="C55" s="279">
        <v>119010</v>
      </c>
      <c r="D55" s="280">
        <v>44273.768001307872</v>
      </c>
      <c r="E55" s="175" t="s">
        <v>479</v>
      </c>
      <c r="F55" s="176"/>
      <c r="G55" s="177">
        <v>202201</v>
      </c>
      <c r="H55" s="178">
        <v>202206</v>
      </c>
      <c r="I55" s="179" t="s">
        <v>459</v>
      </c>
      <c r="J55" s="180">
        <v>1</v>
      </c>
      <c r="K55" s="180">
        <v>12</v>
      </c>
      <c r="L55" s="181" t="s">
        <v>356</v>
      </c>
      <c r="M55" s="182">
        <v>4135401.58</v>
      </c>
      <c r="N55" s="183">
        <v>0.2</v>
      </c>
      <c r="O55" s="184" t="s">
        <v>357</v>
      </c>
      <c r="P55" s="185">
        <v>5295</v>
      </c>
      <c r="Q55" s="185" t="s">
        <v>446</v>
      </c>
      <c r="R55" s="185">
        <v>118200</v>
      </c>
      <c r="S55" s="186"/>
      <c r="T55" s="187" t="s">
        <v>355</v>
      </c>
      <c r="U55" s="186">
        <v>2114406</v>
      </c>
      <c r="V55" s="188"/>
      <c r="W55" s="189">
        <v>9924963.7919999994</v>
      </c>
      <c r="X55" s="190">
        <v>2835.5619999999999</v>
      </c>
      <c r="Y55" s="191">
        <v>25804.905999999999</v>
      </c>
    </row>
    <row r="56" spans="1:25" ht="17.25" customHeight="1" x14ac:dyDescent="0.35">
      <c r="A56" s="277">
        <v>2069161</v>
      </c>
      <c r="B56" s="278"/>
      <c r="C56" s="279" t="s">
        <v>865</v>
      </c>
      <c r="D56" s="280">
        <v>44176.724410185183</v>
      </c>
      <c r="E56" s="175" t="s">
        <v>487</v>
      </c>
      <c r="F56" s="176"/>
      <c r="G56" s="177">
        <v>202201</v>
      </c>
      <c r="H56" s="178">
        <v>202206</v>
      </c>
      <c r="I56" s="179" t="s">
        <v>459</v>
      </c>
      <c r="J56" s="180">
        <v>1</v>
      </c>
      <c r="K56" s="180">
        <v>6</v>
      </c>
      <c r="L56" s="181" t="s">
        <v>356</v>
      </c>
      <c r="M56" s="182">
        <v>5896094.4230000004</v>
      </c>
      <c r="N56" s="183">
        <v>1</v>
      </c>
      <c r="O56" s="184" t="s">
        <v>357</v>
      </c>
      <c r="P56" s="185">
        <v>5295</v>
      </c>
      <c r="Q56" s="185" t="s">
        <v>468</v>
      </c>
      <c r="R56" s="185" t="s">
        <v>463</v>
      </c>
      <c r="S56" s="186"/>
      <c r="T56" s="187" t="s">
        <v>355</v>
      </c>
      <c r="U56" s="186">
        <v>1931338</v>
      </c>
      <c r="V56" s="188"/>
      <c r="W56" s="189">
        <v>35376566.538000003</v>
      </c>
      <c r="X56" s="190">
        <v>10107.084999999999</v>
      </c>
      <c r="Y56" s="191">
        <v>91979.073000000004</v>
      </c>
    </row>
    <row r="57" spans="1:25" ht="17.25" customHeight="1" x14ac:dyDescent="0.35">
      <c r="A57" s="277">
        <v>2069162</v>
      </c>
      <c r="B57" s="278"/>
      <c r="C57" s="279">
        <v>119010</v>
      </c>
      <c r="D57" s="280">
        <v>44273.756744988423</v>
      </c>
      <c r="E57" s="175" t="s">
        <v>487</v>
      </c>
      <c r="F57" s="176"/>
      <c r="G57" s="177">
        <v>202102</v>
      </c>
      <c r="H57" s="178">
        <v>202112</v>
      </c>
      <c r="I57" s="179" t="s">
        <v>459</v>
      </c>
      <c r="J57" s="180">
        <v>1</v>
      </c>
      <c r="K57" s="180">
        <v>12</v>
      </c>
      <c r="L57" s="181" t="s">
        <v>356</v>
      </c>
      <c r="M57" s="182">
        <v>5896094.4230000004</v>
      </c>
      <c r="N57" s="183">
        <v>1</v>
      </c>
      <c r="O57" s="184" t="s">
        <v>357</v>
      </c>
      <c r="P57" s="185">
        <v>5295</v>
      </c>
      <c r="Q57" s="185" t="s">
        <v>468</v>
      </c>
      <c r="R57" s="185" t="s">
        <v>463</v>
      </c>
      <c r="S57" s="186"/>
      <c r="T57" s="187" t="s">
        <v>355</v>
      </c>
      <c r="U57" s="186">
        <v>2097126</v>
      </c>
      <c r="V57" s="188"/>
      <c r="W57" s="189">
        <v>70753133.076000005</v>
      </c>
      <c r="X57" s="190">
        <v>20214.169999999998</v>
      </c>
      <c r="Y57" s="191">
        <v>183958.14600000001</v>
      </c>
    </row>
    <row r="58" spans="1:25" ht="17.25" customHeight="1" x14ac:dyDescent="0.35">
      <c r="A58" s="277">
        <v>2069163</v>
      </c>
      <c r="B58" s="278"/>
      <c r="C58" s="279">
        <v>119010</v>
      </c>
      <c r="D58" s="280">
        <v>44273.768001307872</v>
      </c>
      <c r="E58" s="175" t="s">
        <v>477</v>
      </c>
      <c r="F58" s="176"/>
      <c r="G58" s="177">
        <v>202201</v>
      </c>
      <c r="H58" s="178">
        <v>202206</v>
      </c>
      <c r="I58" s="179" t="s">
        <v>459</v>
      </c>
      <c r="J58" s="180">
        <v>1</v>
      </c>
      <c r="K58" s="180">
        <v>6</v>
      </c>
      <c r="L58" s="181" t="s">
        <v>356</v>
      </c>
      <c r="M58" s="182">
        <v>7251451.7989999996</v>
      </c>
      <c r="N58" s="183">
        <v>0.2</v>
      </c>
      <c r="O58" s="184" t="s">
        <v>357</v>
      </c>
      <c r="P58" s="185">
        <v>5295</v>
      </c>
      <c r="Q58" s="185" t="s">
        <v>325</v>
      </c>
      <c r="R58" s="185" t="s">
        <v>365</v>
      </c>
      <c r="S58" s="186"/>
      <c r="T58" s="187" t="s">
        <v>355</v>
      </c>
      <c r="U58" s="186">
        <v>2114387</v>
      </c>
      <c r="V58" s="188"/>
      <c r="W58" s="189">
        <v>8701742.159</v>
      </c>
      <c r="X58" s="190">
        <v>2486.0880000000002</v>
      </c>
      <c r="Y58" s="191">
        <v>22624.53</v>
      </c>
    </row>
    <row r="59" spans="1:25" ht="17.25" customHeight="1" x14ac:dyDescent="0.35">
      <c r="A59" s="277">
        <v>2069164</v>
      </c>
      <c r="B59" s="278"/>
      <c r="C59" s="279">
        <v>119010</v>
      </c>
      <c r="D59" s="280">
        <v>44273.756744988423</v>
      </c>
      <c r="E59" s="175" t="s">
        <v>467</v>
      </c>
      <c r="F59" s="176"/>
      <c r="G59" s="177">
        <v>202102</v>
      </c>
      <c r="H59" s="178">
        <v>202112</v>
      </c>
      <c r="I59" s="179" t="s">
        <v>459</v>
      </c>
      <c r="J59" s="180">
        <v>1</v>
      </c>
      <c r="K59" s="180">
        <v>12</v>
      </c>
      <c r="L59" s="181" t="s">
        <v>356</v>
      </c>
      <c r="M59" s="182">
        <v>4259464.3020000001</v>
      </c>
      <c r="N59" s="183">
        <v>0.2</v>
      </c>
      <c r="O59" s="184" t="s">
        <v>357</v>
      </c>
      <c r="P59" s="185">
        <v>5295</v>
      </c>
      <c r="Q59" s="185" t="s">
        <v>468</v>
      </c>
      <c r="R59" s="185" t="s">
        <v>486</v>
      </c>
      <c r="S59" s="186"/>
      <c r="T59" s="187" t="s">
        <v>355</v>
      </c>
      <c r="U59" s="186">
        <v>1970461</v>
      </c>
      <c r="V59" s="188"/>
      <c r="W59" s="189">
        <v>10222714.324999999</v>
      </c>
      <c r="X59" s="190">
        <v>2920.6289999999999</v>
      </c>
      <c r="Y59" s="191">
        <v>26579.057000000001</v>
      </c>
    </row>
    <row r="60" spans="1:25" ht="17.25" customHeight="1" x14ac:dyDescent="0.35">
      <c r="A60" s="277">
        <v>2069165</v>
      </c>
      <c r="B60" s="278"/>
      <c r="C60" s="279">
        <v>119010</v>
      </c>
      <c r="D60" s="280">
        <v>44273.768001307872</v>
      </c>
      <c r="E60" s="175" t="s">
        <v>481</v>
      </c>
      <c r="F60" s="176"/>
      <c r="G60" s="177">
        <v>202201</v>
      </c>
      <c r="H60" s="178">
        <v>202206</v>
      </c>
      <c r="I60" s="179" t="s">
        <v>459</v>
      </c>
      <c r="J60" s="180">
        <v>1</v>
      </c>
      <c r="K60" s="180">
        <v>12</v>
      </c>
      <c r="L60" s="181" t="s">
        <v>356</v>
      </c>
      <c r="M60" s="182">
        <v>5896094.4230000004</v>
      </c>
      <c r="N60" s="183">
        <v>0.2</v>
      </c>
      <c r="O60" s="184" t="s">
        <v>357</v>
      </c>
      <c r="P60" s="185">
        <v>5295</v>
      </c>
      <c r="Q60" s="185" t="s">
        <v>482</v>
      </c>
      <c r="R60" s="185" t="s">
        <v>359</v>
      </c>
      <c r="S60" s="186"/>
      <c r="T60" s="187" t="s">
        <v>355</v>
      </c>
      <c r="U60" s="186">
        <v>2114392</v>
      </c>
      <c r="V60" s="188"/>
      <c r="W60" s="189">
        <v>14150626.615</v>
      </c>
      <c r="X60" s="190">
        <v>4042.8339999999998</v>
      </c>
      <c r="Y60" s="191">
        <v>36791.629000000001</v>
      </c>
    </row>
    <row r="61" spans="1:25" ht="17.25" customHeight="1" x14ac:dyDescent="0.35">
      <c r="A61" s="277">
        <v>2069166</v>
      </c>
      <c r="B61" s="278"/>
      <c r="C61" s="279">
        <v>119010</v>
      </c>
      <c r="D61" s="280">
        <v>44273.768001307872</v>
      </c>
      <c r="E61" s="175" t="s">
        <v>480</v>
      </c>
      <c r="F61" s="176"/>
      <c r="G61" s="177">
        <v>202102</v>
      </c>
      <c r="H61" s="178">
        <v>202112</v>
      </c>
      <c r="I61" s="179" t="s">
        <v>459</v>
      </c>
      <c r="J61" s="180">
        <v>1</v>
      </c>
      <c r="K61" s="180">
        <v>12</v>
      </c>
      <c r="L61" s="181" t="s">
        <v>356</v>
      </c>
      <c r="M61" s="182">
        <v>16281211.414000001</v>
      </c>
      <c r="N61" s="183">
        <v>0.2</v>
      </c>
      <c r="O61" s="184" t="s">
        <v>357</v>
      </c>
      <c r="P61" s="185">
        <v>5295</v>
      </c>
      <c r="Q61" s="185" t="s">
        <v>460</v>
      </c>
      <c r="R61" s="185" t="s">
        <v>364</v>
      </c>
      <c r="S61" s="186"/>
      <c r="T61" s="187" t="s">
        <v>355</v>
      </c>
      <c r="U61" s="186">
        <v>1970472</v>
      </c>
      <c r="V61" s="188"/>
      <c r="W61" s="189">
        <v>39074907.394000001</v>
      </c>
      <c r="X61" s="190">
        <v>11163.700999999999</v>
      </c>
      <c r="Y61" s="191">
        <v>101594.75900000001</v>
      </c>
    </row>
    <row r="62" spans="1:25" ht="17.25" customHeight="1" x14ac:dyDescent="0.35">
      <c r="A62" s="277">
        <v>2069167</v>
      </c>
      <c r="B62" s="278"/>
      <c r="C62" s="279">
        <v>119010</v>
      </c>
      <c r="D62" s="280">
        <v>44273.756744988423</v>
      </c>
      <c r="E62" s="175" t="s">
        <v>467</v>
      </c>
      <c r="F62" s="176"/>
      <c r="G62" s="177">
        <v>202201</v>
      </c>
      <c r="H62" s="178">
        <v>202206</v>
      </c>
      <c r="I62" s="179" t="s">
        <v>459</v>
      </c>
      <c r="J62" s="180">
        <v>1</v>
      </c>
      <c r="K62" s="180">
        <v>6</v>
      </c>
      <c r="L62" s="181" t="s">
        <v>356</v>
      </c>
      <c r="M62" s="182">
        <v>4259464.3020000001</v>
      </c>
      <c r="N62" s="183">
        <v>0.2</v>
      </c>
      <c r="O62" s="184" t="s">
        <v>357</v>
      </c>
      <c r="P62" s="185">
        <v>5295</v>
      </c>
      <c r="Q62" s="185" t="s">
        <v>468</v>
      </c>
      <c r="R62" s="185" t="s">
        <v>486</v>
      </c>
      <c r="S62" s="186"/>
      <c r="T62" s="187" t="s">
        <v>355</v>
      </c>
      <c r="U62" s="186">
        <v>2114397</v>
      </c>
      <c r="V62" s="188"/>
      <c r="W62" s="189">
        <v>5111357.1619999995</v>
      </c>
      <c r="X62" s="190">
        <v>1460.3150000000001</v>
      </c>
      <c r="Y62" s="191">
        <v>13289.529</v>
      </c>
    </row>
    <row r="63" spans="1:25" ht="17.25" customHeight="1" x14ac:dyDescent="0.35">
      <c r="A63" s="277">
        <v>2069168</v>
      </c>
      <c r="B63" s="278"/>
      <c r="C63" s="279">
        <v>119010</v>
      </c>
      <c r="D63" s="280">
        <v>44273.768001307872</v>
      </c>
      <c r="E63" s="175" t="s">
        <v>485</v>
      </c>
      <c r="F63" s="176"/>
      <c r="G63" s="177">
        <v>202201</v>
      </c>
      <c r="H63" s="178">
        <v>202206</v>
      </c>
      <c r="I63" s="179" t="s">
        <v>459</v>
      </c>
      <c r="J63" s="180">
        <v>1</v>
      </c>
      <c r="K63" s="180">
        <v>6</v>
      </c>
      <c r="L63" s="181" t="s">
        <v>356</v>
      </c>
      <c r="M63" s="182">
        <v>7040245.5410000002</v>
      </c>
      <c r="N63" s="183">
        <v>0.2</v>
      </c>
      <c r="O63" s="184" t="s">
        <v>357</v>
      </c>
      <c r="P63" s="185">
        <v>5295</v>
      </c>
      <c r="Q63" s="185" t="s">
        <v>446</v>
      </c>
      <c r="R63" s="185" t="s">
        <v>361</v>
      </c>
      <c r="S63" s="186"/>
      <c r="T63" s="187" t="s">
        <v>355</v>
      </c>
      <c r="U63" s="186">
        <v>2114374</v>
      </c>
      <c r="V63" s="188"/>
      <c r="W63" s="189">
        <v>8448294.6490000002</v>
      </c>
      <c r="X63" s="190">
        <v>2413.6779999999999</v>
      </c>
      <c r="Y63" s="191">
        <v>21965.565999999999</v>
      </c>
    </row>
    <row r="64" spans="1:25" ht="17.25" customHeight="1" x14ac:dyDescent="0.35">
      <c r="A64" s="277">
        <v>2069169</v>
      </c>
      <c r="B64" s="278"/>
      <c r="C64" s="279">
        <v>119010</v>
      </c>
      <c r="D64" s="280">
        <v>44273.768001307872</v>
      </c>
      <c r="E64" s="175" t="s">
        <v>466</v>
      </c>
      <c r="F64" s="176"/>
      <c r="G64" s="177">
        <v>202102</v>
      </c>
      <c r="H64" s="178">
        <v>202112</v>
      </c>
      <c r="I64" s="179" t="s">
        <v>459</v>
      </c>
      <c r="J64" s="180">
        <v>1</v>
      </c>
      <c r="K64" s="180">
        <v>12</v>
      </c>
      <c r="L64" s="181" t="s">
        <v>356</v>
      </c>
      <c r="M64" s="182">
        <v>4014953.38</v>
      </c>
      <c r="N64" s="183">
        <v>0.2</v>
      </c>
      <c r="O64" s="184" t="s">
        <v>357</v>
      </c>
      <c r="P64" s="185">
        <v>5295</v>
      </c>
      <c r="Q64" s="185" t="s">
        <v>446</v>
      </c>
      <c r="R64" s="185" t="s">
        <v>368</v>
      </c>
      <c r="S64" s="186"/>
      <c r="T64" s="187" t="s">
        <v>355</v>
      </c>
      <c r="U64" s="186">
        <v>1970483</v>
      </c>
      <c r="V64" s="188"/>
      <c r="W64" s="189">
        <v>9635888.1119999997</v>
      </c>
      <c r="X64" s="190">
        <v>2752.973</v>
      </c>
      <c r="Y64" s="191">
        <v>25053.309000000001</v>
      </c>
    </row>
    <row r="65" spans="1:25" ht="17.25" customHeight="1" x14ac:dyDescent="0.35">
      <c r="A65" s="277">
        <v>2069170</v>
      </c>
      <c r="B65" s="278"/>
      <c r="C65" s="279">
        <v>119010</v>
      </c>
      <c r="D65" s="280">
        <v>44273.768001307872</v>
      </c>
      <c r="E65" s="175" t="s">
        <v>485</v>
      </c>
      <c r="F65" s="176"/>
      <c r="G65" s="177">
        <v>202102</v>
      </c>
      <c r="H65" s="178">
        <v>202112</v>
      </c>
      <c r="I65" s="179" t="s">
        <v>459</v>
      </c>
      <c r="J65" s="180">
        <v>1</v>
      </c>
      <c r="K65" s="180">
        <v>12</v>
      </c>
      <c r="L65" s="181" t="s">
        <v>356</v>
      </c>
      <c r="M65" s="182">
        <v>7441656.4170000004</v>
      </c>
      <c r="N65" s="183">
        <v>0.2</v>
      </c>
      <c r="O65" s="184" t="s">
        <v>357</v>
      </c>
      <c r="P65" s="185">
        <v>5295</v>
      </c>
      <c r="Q65" s="185" t="s">
        <v>446</v>
      </c>
      <c r="R65" s="185" t="s">
        <v>361</v>
      </c>
      <c r="S65" s="186"/>
      <c r="T65" s="187" t="s">
        <v>355</v>
      </c>
      <c r="U65" s="186">
        <v>1970484</v>
      </c>
      <c r="V65" s="188"/>
      <c r="W65" s="189">
        <v>17859975.401000001</v>
      </c>
      <c r="X65" s="190">
        <v>5102.5950000000003</v>
      </c>
      <c r="Y65" s="191">
        <v>46435.936000000002</v>
      </c>
    </row>
    <row r="66" spans="1:25" ht="17.25" customHeight="1" x14ac:dyDescent="0.35">
      <c r="A66" s="277">
        <v>2069171</v>
      </c>
      <c r="B66" s="278"/>
      <c r="C66" s="279">
        <v>119010</v>
      </c>
      <c r="D66" s="280">
        <v>44273.768001307872</v>
      </c>
      <c r="E66" s="175" t="s">
        <v>484</v>
      </c>
      <c r="F66" s="176"/>
      <c r="G66" s="177">
        <v>202102</v>
      </c>
      <c r="H66" s="178">
        <v>202112</v>
      </c>
      <c r="I66" s="179" t="s">
        <v>459</v>
      </c>
      <c r="J66" s="180">
        <v>1</v>
      </c>
      <c r="K66" s="180">
        <v>12</v>
      </c>
      <c r="L66" s="181" t="s">
        <v>356</v>
      </c>
      <c r="M66" s="182">
        <v>4259208.7340000002</v>
      </c>
      <c r="N66" s="183">
        <v>0.2</v>
      </c>
      <c r="O66" s="184" t="s">
        <v>357</v>
      </c>
      <c r="P66" s="185">
        <v>5295</v>
      </c>
      <c r="Q66" s="185" t="s">
        <v>325</v>
      </c>
      <c r="R66" s="185" t="s">
        <v>463</v>
      </c>
      <c r="S66" s="186"/>
      <c r="T66" s="187" t="s">
        <v>355</v>
      </c>
      <c r="U66" s="186">
        <v>1970463</v>
      </c>
      <c r="V66" s="188"/>
      <c r="W66" s="189">
        <v>10222100.961999999</v>
      </c>
      <c r="X66" s="190">
        <v>2920.4540000000002</v>
      </c>
      <c r="Y66" s="191">
        <v>26577.463</v>
      </c>
    </row>
    <row r="67" spans="1:25" ht="17.25" customHeight="1" x14ac:dyDescent="0.35">
      <c r="A67" s="277">
        <v>2069172</v>
      </c>
      <c r="B67" s="278"/>
      <c r="C67" s="279">
        <v>119010</v>
      </c>
      <c r="D67" s="280">
        <v>44273.756744988423</v>
      </c>
      <c r="E67" s="175" t="s">
        <v>470</v>
      </c>
      <c r="F67" s="176"/>
      <c r="G67" s="177">
        <v>202201</v>
      </c>
      <c r="H67" s="178">
        <v>202206</v>
      </c>
      <c r="I67" s="179" t="s">
        <v>459</v>
      </c>
      <c r="J67" s="180">
        <v>1</v>
      </c>
      <c r="K67" s="180">
        <v>6</v>
      </c>
      <c r="L67" s="181" t="s">
        <v>356</v>
      </c>
      <c r="M67" s="182">
        <v>5896094.4230000004</v>
      </c>
      <c r="N67" s="183">
        <v>0.2</v>
      </c>
      <c r="O67" s="184" t="s">
        <v>357</v>
      </c>
      <c r="P67" s="185">
        <v>5295</v>
      </c>
      <c r="Q67" s="185" t="s">
        <v>468</v>
      </c>
      <c r="R67" s="185" t="s">
        <v>362</v>
      </c>
      <c r="S67" s="186"/>
      <c r="T67" s="187" t="s">
        <v>355</v>
      </c>
      <c r="U67" s="186">
        <v>2114378</v>
      </c>
      <c r="V67" s="188"/>
      <c r="W67" s="189">
        <v>7075313.3080000002</v>
      </c>
      <c r="X67" s="190">
        <v>2021.4169999999999</v>
      </c>
      <c r="Y67" s="191">
        <v>18395.814999999999</v>
      </c>
    </row>
    <row r="68" spans="1:25" ht="17.25" customHeight="1" x14ac:dyDescent="0.35">
      <c r="A68" s="277">
        <v>2069173</v>
      </c>
      <c r="B68" s="278"/>
      <c r="C68" s="279">
        <v>119010</v>
      </c>
      <c r="D68" s="280">
        <v>44273.768001307872</v>
      </c>
      <c r="E68" s="175" t="s">
        <v>479</v>
      </c>
      <c r="F68" s="176"/>
      <c r="G68" s="177">
        <v>202102</v>
      </c>
      <c r="H68" s="178">
        <v>202112</v>
      </c>
      <c r="I68" s="179" t="s">
        <v>459</v>
      </c>
      <c r="J68" s="180">
        <v>1</v>
      </c>
      <c r="K68" s="180">
        <v>12</v>
      </c>
      <c r="L68" s="181" t="s">
        <v>356</v>
      </c>
      <c r="M68" s="182">
        <v>4135401.58</v>
      </c>
      <c r="N68" s="183">
        <v>0.2</v>
      </c>
      <c r="O68" s="184" t="s">
        <v>357</v>
      </c>
      <c r="P68" s="185">
        <v>5295</v>
      </c>
      <c r="Q68" s="185" t="s">
        <v>446</v>
      </c>
      <c r="R68" s="185" t="s">
        <v>363</v>
      </c>
      <c r="S68" s="186"/>
      <c r="T68" s="187" t="s">
        <v>355</v>
      </c>
      <c r="U68" s="186">
        <v>1970481</v>
      </c>
      <c r="V68" s="188"/>
      <c r="W68" s="189">
        <v>9924963.7919999994</v>
      </c>
      <c r="X68" s="190">
        <v>2835.5619999999999</v>
      </c>
      <c r="Y68" s="191">
        <v>25804.905999999999</v>
      </c>
    </row>
    <row r="69" spans="1:25" ht="17.25" customHeight="1" x14ac:dyDescent="0.35">
      <c r="A69" s="277">
        <v>2069174</v>
      </c>
      <c r="B69" s="278"/>
      <c r="C69" s="279">
        <v>119010</v>
      </c>
      <c r="D69" s="280">
        <v>44273.768001307872</v>
      </c>
      <c r="E69" s="175" t="s">
        <v>471</v>
      </c>
      <c r="F69" s="176"/>
      <c r="G69" s="177">
        <v>202201</v>
      </c>
      <c r="H69" s="178">
        <v>202206</v>
      </c>
      <c r="I69" s="179" t="s">
        <v>459</v>
      </c>
      <c r="J69" s="180">
        <v>1</v>
      </c>
      <c r="K69" s="180">
        <v>6</v>
      </c>
      <c r="L69" s="181" t="s">
        <v>356</v>
      </c>
      <c r="M69" s="182">
        <v>7040245.5410000002</v>
      </c>
      <c r="N69" s="183">
        <v>0.2</v>
      </c>
      <c r="O69" s="184" t="s">
        <v>357</v>
      </c>
      <c r="P69" s="185">
        <v>5295</v>
      </c>
      <c r="Q69" s="185" t="s">
        <v>462</v>
      </c>
      <c r="R69" s="185" t="s">
        <v>472</v>
      </c>
      <c r="S69" s="186"/>
      <c r="T69" s="187" t="s">
        <v>355</v>
      </c>
      <c r="U69" s="186">
        <v>2114380</v>
      </c>
      <c r="V69" s="188"/>
      <c r="W69" s="189">
        <v>8448294.6490000002</v>
      </c>
      <c r="X69" s="190">
        <v>2413.6779999999999</v>
      </c>
      <c r="Y69" s="191">
        <v>21965.565999999999</v>
      </c>
    </row>
    <row r="70" spans="1:25" ht="17.25" customHeight="1" x14ac:dyDescent="0.35">
      <c r="A70" s="277">
        <v>2069175</v>
      </c>
      <c r="B70" s="278"/>
      <c r="C70" s="279">
        <v>119010</v>
      </c>
      <c r="D70" s="280">
        <v>44273.756744988423</v>
      </c>
      <c r="E70" s="175" t="s">
        <v>483</v>
      </c>
      <c r="F70" s="176"/>
      <c r="G70" s="177">
        <v>202102</v>
      </c>
      <c r="H70" s="178">
        <v>202112</v>
      </c>
      <c r="I70" s="179" t="s">
        <v>459</v>
      </c>
      <c r="J70" s="180">
        <v>1</v>
      </c>
      <c r="K70" s="180">
        <v>12</v>
      </c>
      <c r="L70" s="181" t="s">
        <v>356</v>
      </c>
      <c r="M70" s="182">
        <v>7040245.5410000002</v>
      </c>
      <c r="N70" s="183">
        <v>0.2</v>
      </c>
      <c r="O70" s="184" t="s">
        <v>357</v>
      </c>
      <c r="P70" s="185">
        <v>5295</v>
      </c>
      <c r="Q70" s="185" t="s">
        <v>468</v>
      </c>
      <c r="R70" s="185" t="s">
        <v>360</v>
      </c>
      <c r="S70" s="186"/>
      <c r="T70" s="187" t="s">
        <v>355</v>
      </c>
      <c r="U70" s="186">
        <v>1970488</v>
      </c>
      <c r="V70" s="188"/>
      <c r="W70" s="189">
        <v>16896589.298</v>
      </c>
      <c r="X70" s="190">
        <v>4827.3559999999998</v>
      </c>
      <c r="Y70" s="191">
        <v>43931.131999999998</v>
      </c>
    </row>
    <row r="71" spans="1:25" ht="17.25" customHeight="1" x14ac:dyDescent="0.35">
      <c r="A71" s="277">
        <v>2069177</v>
      </c>
      <c r="B71" s="278"/>
      <c r="C71" s="279" t="s">
        <v>867</v>
      </c>
      <c r="D71" s="280">
        <v>44426.615200497683</v>
      </c>
      <c r="E71" s="175" t="s">
        <v>481</v>
      </c>
      <c r="F71" s="176"/>
      <c r="G71" s="177">
        <v>202102</v>
      </c>
      <c r="H71" s="178">
        <v>202112</v>
      </c>
      <c r="I71" s="179" t="s">
        <v>459</v>
      </c>
      <c r="J71" s="180">
        <v>1</v>
      </c>
      <c r="K71" s="180">
        <v>12</v>
      </c>
      <c r="L71" s="181" t="s">
        <v>356</v>
      </c>
      <c r="M71" s="182">
        <v>5896094.4230000004</v>
      </c>
      <c r="N71" s="183">
        <v>0.2</v>
      </c>
      <c r="O71" s="184" t="s">
        <v>357</v>
      </c>
      <c r="P71" s="185">
        <v>5295</v>
      </c>
      <c r="Q71" s="185" t="s">
        <v>482</v>
      </c>
      <c r="R71" s="185" t="s">
        <v>359</v>
      </c>
      <c r="S71" s="186"/>
      <c r="T71" s="187" t="s">
        <v>355</v>
      </c>
      <c r="U71" s="186">
        <v>2376682</v>
      </c>
      <c r="V71" s="188"/>
      <c r="W71" s="189">
        <v>14150626.615</v>
      </c>
      <c r="X71" s="190">
        <v>4042.8339999999998</v>
      </c>
      <c r="Y71" s="191">
        <v>36791.629000000001</v>
      </c>
    </row>
    <row r="72" spans="1:25" ht="17.25" customHeight="1" x14ac:dyDescent="0.35">
      <c r="A72" s="277">
        <v>2069178</v>
      </c>
      <c r="B72" s="278"/>
      <c r="C72" s="279">
        <v>119010</v>
      </c>
      <c r="D72" s="280">
        <v>44273.768001307872</v>
      </c>
      <c r="E72" s="175" t="s">
        <v>480</v>
      </c>
      <c r="F72" s="176"/>
      <c r="G72" s="177">
        <v>202201</v>
      </c>
      <c r="H72" s="178">
        <v>202206</v>
      </c>
      <c r="I72" s="179" t="s">
        <v>459</v>
      </c>
      <c r="J72" s="180">
        <v>1</v>
      </c>
      <c r="K72" s="180">
        <v>6</v>
      </c>
      <c r="L72" s="181" t="s">
        <v>356</v>
      </c>
      <c r="M72" s="182">
        <v>16281211.414000001</v>
      </c>
      <c r="N72" s="183">
        <v>0.2</v>
      </c>
      <c r="O72" s="184" t="s">
        <v>357</v>
      </c>
      <c r="P72" s="185">
        <v>5295</v>
      </c>
      <c r="Q72" s="185" t="s">
        <v>460</v>
      </c>
      <c r="R72" s="185" t="s">
        <v>364</v>
      </c>
      <c r="S72" s="186"/>
      <c r="T72" s="187" t="s">
        <v>355</v>
      </c>
      <c r="U72" s="186">
        <v>2114386</v>
      </c>
      <c r="V72" s="188"/>
      <c r="W72" s="189">
        <v>19537453.697000001</v>
      </c>
      <c r="X72" s="190">
        <v>5581.8509999999997</v>
      </c>
      <c r="Y72" s="191">
        <v>50797.38</v>
      </c>
    </row>
    <row r="73" spans="1:25" ht="17.25" customHeight="1" x14ac:dyDescent="0.35">
      <c r="A73" s="277">
        <v>2069179</v>
      </c>
      <c r="B73" s="278"/>
      <c r="C73" s="279">
        <v>119010</v>
      </c>
      <c r="D73" s="280">
        <v>44273.768001307872</v>
      </c>
      <c r="E73" s="175" t="s">
        <v>478</v>
      </c>
      <c r="F73" s="176"/>
      <c r="G73" s="177">
        <v>202102</v>
      </c>
      <c r="H73" s="178">
        <v>202112</v>
      </c>
      <c r="I73" s="179" t="s">
        <v>459</v>
      </c>
      <c r="J73" s="180">
        <v>1</v>
      </c>
      <c r="K73" s="180">
        <v>12</v>
      </c>
      <c r="L73" s="181" t="s">
        <v>356</v>
      </c>
      <c r="M73" s="182">
        <v>3362460.7319999998</v>
      </c>
      <c r="N73" s="183">
        <v>0.2</v>
      </c>
      <c r="O73" s="184" t="s">
        <v>357</v>
      </c>
      <c r="P73" s="185">
        <v>5295</v>
      </c>
      <c r="Q73" s="185" t="s">
        <v>446</v>
      </c>
      <c r="R73" s="185">
        <v>122377</v>
      </c>
      <c r="S73" s="186"/>
      <c r="T73" s="187" t="s">
        <v>355</v>
      </c>
      <c r="U73" s="186">
        <v>1970474</v>
      </c>
      <c r="V73" s="188"/>
      <c r="W73" s="189">
        <v>8069905.7570000002</v>
      </c>
      <c r="X73" s="190">
        <v>2305.5720000000001</v>
      </c>
      <c r="Y73" s="191">
        <v>20981.755000000001</v>
      </c>
    </row>
    <row r="74" spans="1:25" ht="17.25" customHeight="1" x14ac:dyDescent="0.35">
      <c r="A74" s="277">
        <v>2069180</v>
      </c>
      <c r="B74" s="278"/>
      <c r="C74" s="279">
        <v>119010</v>
      </c>
      <c r="D74" s="280">
        <v>44273.768001307872</v>
      </c>
      <c r="E74" s="175" t="s">
        <v>479</v>
      </c>
      <c r="F74" s="176"/>
      <c r="G74" s="177">
        <v>202201</v>
      </c>
      <c r="H74" s="178">
        <v>202206</v>
      </c>
      <c r="I74" s="179" t="s">
        <v>459</v>
      </c>
      <c r="J74" s="180">
        <v>1</v>
      </c>
      <c r="K74" s="180">
        <v>6</v>
      </c>
      <c r="L74" s="181" t="s">
        <v>356</v>
      </c>
      <c r="M74" s="182">
        <v>4135401.58</v>
      </c>
      <c r="N74" s="183">
        <v>0.2</v>
      </c>
      <c r="O74" s="184" t="s">
        <v>357</v>
      </c>
      <c r="P74" s="185">
        <v>5295</v>
      </c>
      <c r="Q74" s="185" t="s">
        <v>446</v>
      </c>
      <c r="R74" s="185" t="s">
        <v>363</v>
      </c>
      <c r="S74" s="186"/>
      <c r="T74" s="187" t="s">
        <v>355</v>
      </c>
      <c r="U74" s="186">
        <v>2114377</v>
      </c>
      <c r="V74" s="188"/>
      <c r="W74" s="189">
        <v>4962481.8959999997</v>
      </c>
      <c r="X74" s="190">
        <v>1417.7809999999999</v>
      </c>
      <c r="Y74" s="191">
        <v>12902.453</v>
      </c>
    </row>
    <row r="75" spans="1:25" ht="17.25" customHeight="1" x14ac:dyDescent="0.35">
      <c r="A75" s="277">
        <v>2069182</v>
      </c>
      <c r="B75" s="278"/>
      <c r="C75" s="279">
        <v>119010</v>
      </c>
      <c r="D75" s="280">
        <v>44273.768001307872</v>
      </c>
      <c r="E75" s="175" t="s">
        <v>478</v>
      </c>
      <c r="F75" s="176"/>
      <c r="G75" s="177">
        <v>202201</v>
      </c>
      <c r="H75" s="178">
        <v>202206</v>
      </c>
      <c r="I75" s="179" t="s">
        <v>459</v>
      </c>
      <c r="J75" s="180">
        <v>1</v>
      </c>
      <c r="K75" s="180">
        <v>6</v>
      </c>
      <c r="L75" s="181" t="s">
        <v>356</v>
      </c>
      <c r="M75" s="182">
        <v>3362460.7319999998</v>
      </c>
      <c r="N75" s="183">
        <v>0.2</v>
      </c>
      <c r="O75" s="184" t="s">
        <v>357</v>
      </c>
      <c r="P75" s="185">
        <v>5295</v>
      </c>
      <c r="Q75" s="185" t="s">
        <v>446</v>
      </c>
      <c r="R75" s="185">
        <v>122377</v>
      </c>
      <c r="S75" s="186"/>
      <c r="T75" s="187" t="s">
        <v>355</v>
      </c>
      <c r="U75" s="186">
        <v>2114384</v>
      </c>
      <c r="V75" s="188"/>
      <c r="W75" s="189">
        <v>4034952.878</v>
      </c>
      <c r="X75" s="190">
        <v>1152.7860000000001</v>
      </c>
      <c r="Y75" s="191">
        <v>10490.877</v>
      </c>
    </row>
    <row r="76" spans="1:25" ht="17.25" customHeight="1" x14ac:dyDescent="0.35">
      <c r="A76" s="277">
        <v>2069183</v>
      </c>
      <c r="B76" s="278"/>
      <c r="C76" s="279">
        <v>119010</v>
      </c>
      <c r="D76" s="280">
        <v>44273.75876365741</v>
      </c>
      <c r="E76" s="175" t="s">
        <v>476</v>
      </c>
      <c r="F76" s="176"/>
      <c r="G76" s="177">
        <v>202102</v>
      </c>
      <c r="H76" s="178">
        <v>202112</v>
      </c>
      <c r="I76" s="179" t="s">
        <v>459</v>
      </c>
      <c r="J76" s="180">
        <v>1</v>
      </c>
      <c r="K76" s="180">
        <v>12</v>
      </c>
      <c r="L76" s="181" t="s">
        <v>356</v>
      </c>
      <c r="M76" s="182">
        <v>5896094.4230000004</v>
      </c>
      <c r="N76" s="183">
        <v>0.2</v>
      </c>
      <c r="O76" s="184" t="s">
        <v>357</v>
      </c>
      <c r="P76" s="185">
        <v>5295</v>
      </c>
      <c r="Q76" s="185" t="s">
        <v>868</v>
      </c>
      <c r="R76" s="185" t="s">
        <v>365</v>
      </c>
      <c r="S76" s="186"/>
      <c r="T76" s="187" t="s">
        <v>355</v>
      </c>
      <c r="U76" s="186">
        <v>1970471</v>
      </c>
      <c r="V76" s="188"/>
      <c r="W76" s="189">
        <v>14150626.615</v>
      </c>
      <c r="X76" s="190">
        <v>4042.8339999999998</v>
      </c>
      <c r="Y76" s="191">
        <v>36791.629000000001</v>
      </c>
    </row>
    <row r="77" spans="1:25" ht="17.25" customHeight="1" x14ac:dyDescent="0.35">
      <c r="A77" s="277">
        <v>2069184</v>
      </c>
      <c r="B77" s="278"/>
      <c r="C77" s="279">
        <v>119010</v>
      </c>
      <c r="D77" s="280">
        <v>44273.768001307872</v>
      </c>
      <c r="E77" s="175" t="s">
        <v>475</v>
      </c>
      <c r="F77" s="176"/>
      <c r="G77" s="177">
        <v>202201</v>
      </c>
      <c r="H77" s="178">
        <v>202206</v>
      </c>
      <c r="I77" s="179" t="s">
        <v>459</v>
      </c>
      <c r="J77" s="180">
        <v>1</v>
      </c>
      <c r="K77" s="180">
        <v>6</v>
      </c>
      <c r="L77" s="181" t="s">
        <v>356</v>
      </c>
      <c r="M77" s="182">
        <v>10967430.751</v>
      </c>
      <c r="N77" s="183">
        <v>0.2</v>
      </c>
      <c r="O77" s="184" t="s">
        <v>357</v>
      </c>
      <c r="P77" s="185">
        <v>5295</v>
      </c>
      <c r="Q77" s="185" t="s">
        <v>460</v>
      </c>
      <c r="R77" s="185" t="s">
        <v>370</v>
      </c>
      <c r="S77" s="186"/>
      <c r="T77" s="187" t="s">
        <v>355</v>
      </c>
      <c r="U77" s="186">
        <v>1970486</v>
      </c>
      <c r="V77" s="188"/>
      <c r="W77" s="189">
        <v>13160916.901000001</v>
      </c>
      <c r="X77" s="190">
        <v>3760.0740000000001</v>
      </c>
      <c r="Y77" s="191">
        <v>34218.383999999998</v>
      </c>
    </row>
    <row r="78" spans="1:25" ht="17.25" customHeight="1" x14ac:dyDescent="0.35">
      <c r="A78" s="277">
        <v>2069185</v>
      </c>
      <c r="B78" s="278"/>
      <c r="C78" s="279">
        <v>119010</v>
      </c>
      <c r="D78" s="280">
        <v>44273.768001307872</v>
      </c>
      <c r="E78" s="175" t="s">
        <v>473</v>
      </c>
      <c r="F78" s="176"/>
      <c r="G78" s="177">
        <v>202102</v>
      </c>
      <c r="H78" s="178">
        <v>202112</v>
      </c>
      <c r="I78" s="179" t="s">
        <v>459</v>
      </c>
      <c r="J78" s="180">
        <v>1</v>
      </c>
      <c r="K78" s="180">
        <v>12</v>
      </c>
      <c r="L78" s="181" t="s">
        <v>356</v>
      </c>
      <c r="M78" s="182">
        <v>2222982.3190000001</v>
      </c>
      <c r="N78" s="183">
        <v>0.2</v>
      </c>
      <c r="O78" s="184" t="s">
        <v>357</v>
      </c>
      <c r="P78" s="185">
        <v>5295</v>
      </c>
      <c r="Q78" s="185" t="s">
        <v>462</v>
      </c>
      <c r="R78" s="185" t="s">
        <v>474</v>
      </c>
      <c r="S78" s="186"/>
      <c r="T78" s="187" t="s">
        <v>355</v>
      </c>
      <c r="U78" s="186">
        <v>1970456</v>
      </c>
      <c r="V78" s="188"/>
      <c r="W78" s="189">
        <v>5335157.5659999996</v>
      </c>
      <c r="X78" s="190">
        <v>1524.2550000000001</v>
      </c>
      <c r="Y78" s="191">
        <v>13871.41</v>
      </c>
    </row>
    <row r="79" spans="1:25" ht="17.25" customHeight="1" x14ac:dyDescent="0.35">
      <c r="A79" s="277">
        <v>2069186</v>
      </c>
      <c r="B79" s="278"/>
      <c r="C79" s="279">
        <v>119010</v>
      </c>
      <c r="D79" s="280">
        <v>44273.768001307872</v>
      </c>
      <c r="E79" s="175" t="s">
        <v>466</v>
      </c>
      <c r="F79" s="176"/>
      <c r="G79" s="177">
        <v>202201</v>
      </c>
      <c r="H79" s="178">
        <v>202206</v>
      </c>
      <c r="I79" s="179" t="s">
        <v>459</v>
      </c>
      <c r="J79" s="180">
        <v>1</v>
      </c>
      <c r="K79" s="180">
        <v>6</v>
      </c>
      <c r="L79" s="181" t="s">
        <v>356</v>
      </c>
      <c r="M79" s="182">
        <v>3264525.0129999998</v>
      </c>
      <c r="N79" s="183">
        <v>0.2</v>
      </c>
      <c r="O79" s="184" t="s">
        <v>357</v>
      </c>
      <c r="P79" s="185">
        <v>5295</v>
      </c>
      <c r="Q79" s="185" t="s">
        <v>446</v>
      </c>
      <c r="R79" s="185" t="s">
        <v>369</v>
      </c>
      <c r="S79" s="186"/>
      <c r="T79" s="187" t="s">
        <v>355</v>
      </c>
      <c r="U79" s="186">
        <v>2114390</v>
      </c>
      <c r="V79" s="188"/>
      <c r="W79" s="189">
        <v>3917430.0159999998</v>
      </c>
      <c r="X79" s="190">
        <v>1119.21</v>
      </c>
      <c r="Y79" s="191">
        <v>10185.317999999999</v>
      </c>
    </row>
    <row r="80" spans="1:25" ht="17.25" customHeight="1" x14ac:dyDescent="0.35">
      <c r="A80" s="277">
        <v>2069187</v>
      </c>
      <c r="B80" s="278"/>
      <c r="C80" s="279">
        <v>119010</v>
      </c>
      <c r="D80" s="280">
        <v>44273.756744988423</v>
      </c>
      <c r="E80" s="175" t="s">
        <v>477</v>
      </c>
      <c r="F80" s="176"/>
      <c r="G80" s="177">
        <v>202102</v>
      </c>
      <c r="H80" s="178">
        <v>202112</v>
      </c>
      <c r="I80" s="179" t="s">
        <v>459</v>
      </c>
      <c r="J80" s="180">
        <v>1</v>
      </c>
      <c r="K80" s="180">
        <v>12</v>
      </c>
      <c r="L80" s="181" t="s">
        <v>356</v>
      </c>
      <c r="M80" s="182">
        <v>7251451.7989999996</v>
      </c>
      <c r="N80" s="183">
        <v>0.2</v>
      </c>
      <c r="O80" s="184" t="s">
        <v>357</v>
      </c>
      <c r="P80" s="185">
        <v>5295</v>
      </c>
      <c r="Q80" s="185" t="s">
        <v>325</v>
      </c>
      <c r="R80" s="185" t="s">
        <v>365</v>
      </c>
      <c r="S80" s="186"/>
      <c r="T80" s="187" t="s">
        <v>355</v>
      </c>
      <c r="U80" s="186">
        <v>1970471</v>
      </c>
      <c r="V80" s="188"/>
      <c r="W80" s="189">
        <v>17403484.318</v>
      </c>
      <c r="X80" s="190">
        <v>4972.1750000000002</v>
      </c>
      <c r="Y80" s="191">
        <v>45249.059000000001</v>
      </c>
    </row>
    <row r="81" spans="1:25" ht="17.25" customHeight="1" x14ac:dyDescent="0.35">
      <c r="A81" s="277">
        <v>2069188</v>
      </c>
      <c r="B81" s="278"/>
      <c r="C81" s="279">
        <v>119010</v>
      </c>
      <c r="D81" s="280">
        <v>44273.75876365741</v>
      </c>
      <c r="E81" s="175" t="s">
        <v>476</v>
      </c>
      <c r="F81" s="176"/>
      <c r="G81" s="177">
        <v>202201</v>
      </c>
      <c r="H81" s="178">
        <v>202206</v>
      </c>
      <c r="I81" s="179" t="s">
        <v>459</v>
      </c>
      <c r="J81" s="180">
        <v>1</v>
      </c>
      <c r="K81" s="180">
        <v>6</v>
      </c>
      <c r="L81" s="181" t="s">
        <v>356</v>
      </c>
      <c r="M81" s="182">
        <v>5896094.4230000004</v>
      </c>
      <c r="N81" s="183">
        <v>0.2</v>
      </c>
      <c r="O81" s="184" t="s">
        <v>357</v>
      </c>
      <c r="P81" s="185">
        <v>5295</v>
      </c>
      <c r="Q81" s="185" t="s">
        <v>868</v>
      </c>
      <c r="R81" s="185" t="s">
        <v>365</v>
      </c>
      <c r="S81" s="186"/>
      <c r="T81" s="187" t="s">
        <v>355</v>
      </c>
      <c r="U81" s="186">
        <v>2114387</v>
      </c>
      <c r="V81" s="188"/>
      <c r="W81" s="189">
        <v>7075313.3080000002</v>
      </c>
      <c r="X81" s="190">
        <v>2021.4169999999999</v>
      </c>
      <c r="Y81" s="191">
        <v>18395.814999999999</v>
      </c>
    </row>
    <row r="82" spans="1:25" ht="17.25" customHeight="1" x14ac:dyDescent="0.35">
      <c r="A82" s="277">
        <v>2069189</v>
      </c>
      <c r="B82" s="278"/>
      <c r="C82" s="279">
        <v>119010</v>
      </c>
      <c r="D82" s="280">
        <v>44273.768001307872</v>
      </c>
      <c r="E82" s="175" t="s">
        <v>475</v>
      </c>
      <c r="F82" s="176"/>
      <c r="G82" s="177">
        <v>202102</v>
      </c>
      <c r="H82" s="178">
        <v>202112</v>
      </c>
      <c r="I82" s="179" t="s">
        <v>459</v>
      </c>
      <c r="J82" s="180">
        <v>1</v>
      </c>
      <c r="K82" s="180">
        <v>12</v>
      </c>
      <c r="L82" s="181" t="s">
        <v>356</v>
      </c>
      <c r="M82" s="182">
        <v>10967430.751</v>
      </c>
      <c r="N82" s="183">
        <v>0.2</v>
      </c>
      <c r="O82" s="184" t="s">
        <v>357</v>
      </c>
      <c r="P82" s="185">
        <v>5295</v>
      </c>
      <c r="Q82" s="185" t="s">
        <v>460</v>
      </c>
      <c r="R82" s="185" t="s">
        <v>370</v>
      </c>
      <c r="S82" s="186"/>
      <c r="T82" s="187" t="s">
        <v>355</v>
      </c>
      <c r="U82" s="186">
        <v>2114372</v>
      </c>
      <c r="V82" s="188"/>
      <c r="W82" s="189">
        <v>26321833.802000001</v>
      </c>
      <c r="X82" s="190">
        <v>7520.1480000000001</v>
      </c>
      <c r="Y82" s="191">
        <v>68436.767999999996</v>
      </c>
    </row>
    <row r="83" spans="1:25" ht="17.25" customHeight="1" x14ac:dyDescent="0.35">
      <c r="A83" s="277">
        <v>2069190</v>
      </c>
      <c r="B83" s="278"/>
      <c r="C83" s="279">
        <v>119010</v>
      </c>
      <c r="D83" s="280">
        <v>44273.756744988423</v>
      </c>
      <c r="E83" s="175" t="s">
        <v>467</v>
      </c>
      <c r="F83" s="176"/>
      <c r="G83" s="177">
        <v>202201</v>
      </c>
      <c r="H83" s="178">
        <v>202206</v>
      </c>
      <c r="I83" s="179" t="s">
        <v>459</v>
      </c>
      <c r="J83" s="180">
        <v>1</v>
      </c>
      <c r="K83" s="180">
        <v>6</v>
      </c>
      <c r="L83" s="181" t="s">
        <v>356</v>
      </c>
      <c r="M83" s="182">
        <v>4259464.3020000001</v>
      </c>
      <c r="N83" s="183">
        <v>0.2</v>
      </c>
      <c r="O83" s="184" t="s">
        <v>357</v>
      </c>
      <c r="P83" s="185">
        <v>5295</v>
      </c>
      <c r="Q83" s="185" t="s">
        <v>468</v>
      </c>
      <c r="R83" s="185" t="s">
        <v>469</v>
      </c>
      <c r="S83" s="186"/>
      <c r="T83" s="187" t="s">
        <v>355</v>
      </c>
      <c r="U83" s="186">
        <v>2114388</v>
      </c>
      <c r="V83" s="188"/>
      <c r="W83" s="189">
        <v>5111357.1619999995</v>
      </c>
      <c r="X83" s="190">
        <v>1460.3150000000001</v>
      </c>
      <c r="Y83" s="191">
        <v>13289.529</v>
      </c>
    </row>
    <row r="84" spans="1:25" ht="17.25" customHeight="1" x14ac:dyDescent="0.35">
      <c r="A84" s="277">
        <v>2069191</v>
      </c>
      <c r="B84" s="278"/>
      <c r="C84" s="279">
        <v>119010</v>
      </c>
      <c r="D84" s="280">
        <v>44273.768001307872</v>
      </c>
      <c r="E84" s="175" t="s">
        <v>466</v>
      </c>
      <c r="F84" s="176"/>
      <c r="G84" s="177">
        <v>202102</v>
      </c>
      <c r="H84" s="178">
        <v>202112</v>
      </c>
      <c r="I84" s="179" t="s">
        <v>459</v>
      </c>
      <c r="J84" s="180">
        <v>1</v>
      </c>
      <c r="K84" s="180">
        <v>12</v>
      </c>
      <c r="L84" s="181" t="s">
        <v>356</v>
      </c>
      <c r="M84" s="182">
        <v>3264525.0129999998</v>
      </c>
      <c r="N84" s="183">
        <v>0.2</v>
      </c>
      <c r="O84" s="184" t="s">
        <v>357</v>
      </c>
      <c r="P84" s="185">
        <v>5295</v>
      </c>
      <c r="Q84" s="185" t="s">
        <v>446</v>
      </c>
      <c r="R84" s="185" t="s">
        <v>369</v>
      </c>
      <c r="S84" s="186"/>
      <c r="T84" s="187" t="s">
        <v>355</v>
      </c>
      <c r="U84" s="186">
        <v>1970468</v>
      </c>
      <c r="V84" s="188"/>
      <c r="W84" s="189">
        <v>7834860.0310000004</v>
      </c>
      <c r="X84" s="190">
        <v>2238.42</v>
      </c>
      <c r="Y84" s="191">
        <v>20370.635999999999</v>
      </c>
    </row>
    <row r="85" spans="1:25" ht="17.25" customHeight="1" x14ac:dyDescent="0.35">
      <c r="A85" s="277">
        <v>2069192</v>
      </c>
      <c r="B85" s="278"/>
      <c r="C85" s="279">
        <v>119010</v>
      </c>
      <c r="D85" s="280">
        <v>44273.768001307872</v>
      </c>
      <c r="E85" s="175" t="s">
        <v>473</v>
      </c>
      <c r="F85" s="176"/>
      <c r="G85" s="177">
        <v>202201</v>
      </c>
      <c r="H85" s="178">
        <v>202206</v>
      </c>
      <c r="I85" s="179" t="s">
        <v>459</v>
      </c>
      <c r="J85" s="180">
        <v>1</v>
      </c>
      <c r="K85" s="180">
        <v>6</v>
      </c>
      <c r="L85" s="181" t="s">
        <v>356</v>
      </c>
      <c r="M85" s="182">
        <v>2222982.3190000001</v>
      </c>
      <c r="N85" s="183">
        <v>0.2</v>
      </c>
      <c r="O85" s="184" t="s">
        <v>357</v>
      </c>
      <c r="P85" s="185">
        <v>5295</v>
      </c>
      <c r="Q85" s="185" t="s">
        <v>462</v>
      </c>
      <c r="R85" s="185" t="s">
        <v>474</v>
      </c>
      <c r="S85" s="186"/>
      <c r="T85" s="187" t="s">
        <v>355</v>
      </c>
      <c r="U85" s="186">
        <v>2114402</v>
      </c>
      <c r="V85" s="188"/>
      <c r="W85" s="189">
        <v>2667578.7829999998</v>
      </c>
      <c r="X85" s="190">
        <v>762.12699999999995</v>
      </c>
      <c r="Y85" s="191">
        <v>6935.7049999999999</v>
      </c>
    </row>
    <row r="86" spans="1:25" ht="17.25" customHeight="1" x14ac:dyDescent="0.35">
      <c r="A86" s="277">
        <v>2069193</v>
      </c>
      <c r="B86" s="278"/>
      <c r="C86" s="279">
        <v>119010</v>
      </c>
      <c r="D86" s="280">
        <v>44273.768001307872</v>
      </c>
      <c r="E86" s="175" t="s">
        <v>471</v>
      </c>
      <c r="F86" s="176"/>
      <c r="G86" s="177">
        <v>202102</v>
      </c>
      <c r="H86" s="178">
        <v>202112</v>
      </c>
      <c r="I86" s="179" t="s">
        <v>459</v>
      </c>
      <c r="J86" s="180">
        <v>1</v>
      </c>
      <c r="K86" s="180">
        <v>12</v>
      </c>
      <c r="L86" s="181" t="s">
        <v>356</v>
      </c>
      <c r="M86" s="182">
        <v>7040245.5410000002</v>
      </c>
      <c r="N86" s="183">
        <v>0.2</v>
      </c>
      <c r="O86" s="184" t="s">
        <v>357</v>
      </c>
      <c r="P86" s="185">
        <v>5295</v>
      </c>
      <c r="Q86" s="185" t="s">
        <v>462</v>
      </c>
      <c r="R86" s="185" t="s">
        <v>472</v>
      </c>
      <c r="S86" s="186"/>
      <c r="T86" s="187" t="s">
        <v>355</v>
      </c>
      <c r="U86" s="186">
        <v>1970478</v>
      </c>
      <c r="V86" s="188"/>
      <c r="W86" s="189">
        <v>16896589.298</v>
      </c>
      <c r="X86" s="190">
        <v>4827.3559999999998</v>
      </c>
      <c r="Y86" s="191">
        <v>43931.131999999998</v>
      </c>
    </row>
    <row r="87" spans="1:25" ht="17.25" customHeight="1" x14ac:dyDescent="0.35">
      <c r="A87" s="277">
        <v>2069194</v>
      </c>
      <c r="B87" s="278"/>
      <c r="C87" s="279">
        <v>119010</v>
      </c>
      <c r="D87" s="280">
        <v>44273.756744988423</v>
      </c>
      <c r="E87" s="175" t="s">
        <v>470</v>
      </c>
      <c r="F87" s="176"/>
      <c r="G87" s="177">
        <v>202102</v>
      </c>
      <c r="H87" s="178">
        <v>202112</v>
      </c>
      <c r="I87" s="179" t="s">
        <v>459</v>
      </c>
      <c r="J87" s="180">
        <v>1</v>
      </c>
      <c r="K87" s="180">
        <v>12</v>
      </c>
      <c r="L87" s="181" t="s">
        <v>356</v>
      </c>
      <c r="M87" s="182">
        <v>5896094.4230000004</v>
      </c>
      <c r="N87" s="183">
        <v>0.2</v>
      </c>
      <c r="O87" s="184" t="s">
        <v>357</v>
      </c>
      <c r="P87" s="185">
        <v>5295</v>
      </c>
      <c r="Q87" s="185" t="s">
        <v>468</v>
      </c>
      <c r="R87" s="185" t="s">
        <v>362</v>
      </c>
      <c r="S87" s="186"/>
      <c r="T87" s="187" t="s">
        <v>355</v>
      </c>
      <c r="U87" s="186">
        <v>1970480</v>
      </c>
      <c r="V87" s="188"/>
      <c r="W87" s="189">
        <v>14150626.615</v>
      </c>
      <c r="X87" s="190">
        <v>4042.8339999999998</v>
      </c>
      <c r="Y87" s="191">
        <v>36791.629000000001</v>
      </c>
    </row>
    <row r="88" spans="1:25" ht="17.25" customHeight="1" x14ac:dyDescent="0.35">
      <c r="A88" s="277">
        <v>2069195</v>
      </c>
      <c r="B88" s="278"/>
      <c r="C88" s="279">
        <v>119010</v>
      </c>
      <c r="D88" s="280">
        <v>44273.756744988423</v>
      </c>
      <c r="E88" s="175" t="s">
        <v>467</v>
      </c>
      <c r="F88" s="176"/>
      <c r="G88" s="177">
        <v>202102</v>
      </c>
      <c r="H88" s="178">
        <v>202112</v>
      </c>
      <c r="I88" s="179" t="s">
        <v>459</v>
      </c>
      <c r="J88" s="180">
        <v>1</v>
      </c>
      <c r="K88" s="180">
        <v>12</v>
      </c>
      <c r="L88" s="181" t="s">
        <v>356</v>
      </c>
      <c r="M88" s="182">
        <v>4259464.3020000001</v>
      </c>
      <c r="N88" s="183">
        <v>0.2</v>
      </c>
      <c r="O88" s="184" t="s">
        <v>357</v>
      </c>
      <c r="P88" s="185">
        <v>5295</v>
      </c>
      <c r="Q88" s="185" t="s">
        <v>468</v>
      </c>
      <c r="R88" s="185" t="s">
        <v>469</v>
      </c>
      <c r="S88" s="186"/>
      <c r="T88" s="187" t="s">
        <v>355</v>
      </c>
      <c r="U88" s="186">
        <v>1970470</v>
      </c>
      <c r="V88" s="188"/>
      <c r="W88" s="189">
        <v>10222714.324999999</v>
      </c>
      <c r="X88" s="190">
        <v>2920.6289999999999</v>
      </c>
      <c r="Y88" s="191">
        <v>26579.057000000001</v>
      </c>
    </row>
    <row r="89" spans="1:25" ht="17.25" customHeight="1" x14ac:dyDescent="0.35">
      <c r="A89" s="277">
        <v>2069197</v>
      </c>
      <c r="B89" s="278"/>
      <c r="C89" s="279">
        <v>119010</v>
      </c>
      <c r="D89" s="280">
        <v>44273.768001307872</v>
      </c>
      <c r="E89" s="175" t="s">
        <v>466</v>
      </c>
      <c r="F89" s="176"/>
      <c r="G89" s="177">
        <v>202201</v>
      </c>
      <c r="H89" s="178">
        <v>202206</v>
      </c>
      <c r="I89" s="179" t="s">
        <v>459</v>
      </c>
      <c r="J89" s="180">
        <v>1</v>
      </c>
      <c r="K89" s="180">
        <v>6</v>
      </c>
      <c r="L89" s="181" t="s">
        <v>356</v>
      </c>
      <c r="M89" s="182">
        <v>4014953.38</v>
      </c>
      <c r="N89" s="183">
        <v>0.2</v>
      </c>
      <c r="O89" s="184" t="s">
        <v>357</v>
      </c>
      <c r="P89" s="185">
        <v>5295</v>
      </c>
      <c r="Q89" s="185" t="s">
        <v>446</v>
      </c>
      <c r="R89" s="185" t="s">
        <v>368</v>
      </c>
      <c r="S89" s="186"/>
      <c r="T89" s="187" t="s">
        <v>355</v>
      </c>
      <c r="U89" s="186">
        <v>2114375</v>
      </c>
      <c r="V89" s="188"/>
      <c r="W89" s="189">
        <v>4817944.0559999999</v>
      </c>
      <c r="X89" s="190">
        <v>1376.4870000000001</v>
      </c>
      <c r="Y89" s="191">
        <v>12526.655000000001</v>
      </c>
    </row>
    <row r="90" spans="1:25" ht="17.25" customHeight="1" x14ac:dyDescent="0.35">
      <c r="A90" s="277">
        <v>2069198</v>
      </c>
      <c r="B90" s="278"/>
      <c r="C90" s="279">
        <v>119010</v>
      </c>
      <c r="D90" s="280">
        <v>44348.65054771991</v>
      </c>
      <c r="E90" s="175" t="s">
        <v>465</v>
      </c>
      <c r="F90" s="176"/>
      <c r="G90" s="177">
        <v>202102</v>
      </c>
      <c r="H90" s="178">
        <v>202112</v>
      </c>
      <c r="I90" s="179" t="s">
        <v>459</v>
      </c>
      <c r="J90" s="180">
        <v>1</v>
      </c>
      <c r="K90" s="180">
        <v>12</v>
      </c>
      <c r="L90" s="181" t="s">
        <v>356</v>
      </c>
      <c r="M90" s="182">
        <v>7729644.3219999997</v>
      </c>
      <c r="N90" s="183">
        <v>0.5</v>
      </c>
      <c r="O90" s="184" t="s">
        <v>354</v>
      </c>
      <c r="P90" s="185">
        <v>5295</v>
      </c>
      <c r="Q90" s="185" t="s">
        <v>854</v>
      </c>
      <c r="R90" s="185" t="s">
        <v>463</v>
      </c>
      <c r="S90" s="186"/>
      <c r="T90" s="187" t="s">
        <v>355</v>
      </c>
      <c r="U90" s="186">
        <v>2295033</v>
      </c>
      <c r="V90" s="188"/>
      <c r="W90" s="189">
        <v>46377865.931999996</v>
      </c>
      <c r="X90" s="190">
        <v>13250.156000000001</v>
      </c>
      <c r="Y90" s="191">
        <v>120582.451</v>
      </c>
    </row>
    <row r="91" spans="1:25" ht="17.25" customHeight="1" x14ac:dyDescent="0.35">
      <c r="A91" s="277">
        <v>2069199</v>
      </c>
      <c r="B91" s="278"/>
      <c r="C91" s="279">
        <v>119010</v>
      </c>
      <c r="D91" s="280">
        <v>44344.796782986108</v>
      </c>
      <c r="E91" s="175" t="s">
        <v>464</v>
      </c>
      <c r="F91" s="176"/>
      <c r="G91" s="177">
        <v>202102</v>
      </c>
      <c r="H91" s="178">
        <v>202112</v>
      </c>
      <c r="I91" s="179" t="s">
        <v>459</v>
      </c>
      <c r="J91" s="180">
        <v>1</v>
      </c>
      <c r="K91" s="180">
        <v>12</v>
      </c>
      <c r="L91" s="181" t="s">
        <v>356</v>
      </c>
      <c r="M91" s="182">
        <v>4540351.3930000002</v>
      </c>
      <c r="N91" s="183">
        <v>1</v>
      </c>
      <c r="O91" s="184" t="s">
        <v>354</v>
      </c>
      <c r="P91" s="185">
        <v>5295</v>
      </c>
      <c r="Q91" s="185" t="s">
        <v>854</v>
      </c>
      <c r="R91" s="185">
        <v>123780</v>
      </c>
      <c r="S91" s="186"/>
      <c r="T91" s="187" t="s">
        <v>355</v>
      </c>
      <c r="U91" s="186">
        <v>2078506</v>
      </c>
      <c r="V91" s="188"/>
      <c r="W91" s="189">
        <v>54484216.715999998</v>
      </c>
      <c r="X91" s="190">
        <v>15566.141</v>
      </c>
      <c r="Y91" s="191">
        <v>141658.96299999999</v>
      </c>
    </row>
    <row r="92" spans="1:25" ht="17.25" customHeight="1" x14ac:dyDescent="0.35">
      <c r="A92" s="277">
        <v>2069200</v>
      </c>
      <c r="B92" s="278"/>
      <c r="C92" s="279">
        <v>119010</v>
      </c>
      <c r="D92" s="280">
        <v>44298.958573761571</v>
      </c>
      <c r="E92" s="175" t="s">
        <v>464</v>
      </c>
      <c r="F92" s="176"/>
      <c r="G92" s="177">
        <v>202201</v>
      </c>
      <c r="H92" s="178">
        <v>202206</v>
      </c>
      <c r="I92" s="179" t="s">
        <v>459</v>
      </c>
      <c r="J92" s="180">
        <v>1</v>
      </c>
      <c r="K92" s="180">
        <v>6</v>
      </c>
      <c r="L92" s="181" t="s">
        <v>356</v>
      </c>
      <c r="M92" s="182">
        <v>4540351.3930000002</v>
      </c>
      <c r="N92" s="183">
        <v>1</v>
      </c>
      <c r="O92" s="184" t="s">
        <v>354</v>
      </c>
      <c r="P92" s="185">
        <v>5295</v>
      </c>
      <c r="Q92" s="185" t="s">
        <v>854</v>
      </c>
      <c r="R92" s="185">
        <v>123780</v>
      </c>
      <c r="S92" s="186"/>
      <c r="T92" s="187" t="s">
        <v>355</v>
      </c>
      <c r="U92" s="186">
        <v>1931249</v>
      </c>
      <c r="V92" s="188"/>
      <c r="W92" s="189">
        <v>27242108.357999999</v>
      </c>
      <c r="X92" s="190">
        <v>7783.07</v>
      </c>
      <c r="Y92" s="191">
        <v>70829.482000000004</v>
      </c>
    </row>
    <row r="93" spans="1:25" ht="17.25" customHeight="1" x14ac:dyDescent="0.35">
      <c r="A93" s="277">
        <v>2069201</v>
      </c>
      <c r="B93" s="278"/>
      <c r="C93" s="279">
        <v>119010</v>
      </c>
      <c r="D93" s="280">
        <v>44298.958573761571</v>
      </c>
      <c r="E93" s="175" t="s">
        <v>866</v>
      </c>
      <c r="F93" s="176"/>
      <c r="G93" s="177">
        <v>202102</v>
      </c>
      <c r="H93" s="178">
        <v>202112</v>
      </c>
      <c r="I93" s="179" t="s">
        <v>459</v>
      </c>
      <c r="J93" s="180">
        <v>1</v>
      </c>
      <c r="K93" s="180">
        <v>12</v>
      </c>
      <c r="L93" s="181" t="s">
        <v>356</v>
      </c>
      <c r="M93" s="182">
        <v>8780854.8289999999</v>
      </c>
      <c r="N93" s="183">
        <v>0.5</v>
      </c>
      <c r="O93" s="184" t="s">
        <v>354</v>
      </c>
      <c r="P93" s="185">
        <v>5295</v>
      </c>
      <c r="Q93" s="185" t="s">
        <v>854</v>
      </c>
      <c r="R93" s="185" t="s">
        <v>358</v>
      </c>
      <c r="S93" s="186"/>
      <c r="T93" s="187" t="s">
        <v>355</v>
      </c>
      <c r="U93" s="186">
        <v>2096950</v>
      </c>
      <c r="V93" s="188"/>
      <c r="W93" s="189">
        <v>52685128.973999999</v>
      </c>
      <c r="X93" s="190">
        <v>15052.141</v>
      </c>
      <c r="Y93" s="191">
        <v>136981.33499999999</v>
      </c>
    </row>
    <row r="94" spans="1:25" ht="17.25" customHeight="1" x14ac:dyDescent="0.35">
      <c r="A94" s="277">
        <v>2069115</v>
      </c>
      <c r="B94" s="278"/>
      <c r="C94" s="279" t="s">
        <v>865</v>
      </c>
      <c r="D94" s="280">
        <v>44176.724018368055</v>
      </c>
      <c r="E94" s="175" t="s">
        <v>491</v>
      </c>
      <c r="F94" s="176"/>
      <c r="G94" s="177">
        <v>202201</v>
      </c>
      <c r="H94" s="178">
        <v>202206</v>
      </c>
      <c r="I94" s="179" t="s">
        <v>459</v>
      </c>
      <c r="J94" s="180">
        <v>1</v>
      </c>
      <c r="K94" s="180">
        <v>6</v>
      </c>
      <c r="L94" s="181" t="s">
        <v>356</v>
      </c>
      <c r="M94" s="182">
        <v>14926280.42</v>
      </c>
      <c r="N94" s="183">
        <v>0.25</v>
      </c>
      <c r="O94" s="184" t="s">
        <v>357</v>
      </c>
      <c r="P94" s="185">
        <v>6300</v>
      </c>
      <c r="Q94" s="185" t="s">
        <v>460</v>
      </c>
      <c r="R94" s="185"/>
      <c r="S94" s="186"/>
      <c r="T94" s="187" t="s">
        <v>355</v>
      </c>
      <c r="U94" s="186">
        <v>1415426</v>
      </c>
      <c r="V94" s="188"/>
      <c r="W94" s="189">
        <v>22389420.629999999</v>
      </c>
      <c r="X94" s="190">
        <v>6396.6570000000002</v>
      </c>
      <c r="Y94" s="191">
        <v>58212.493999999999</v>
      </c>
    </row>
    <row r="95" spans="1:25" ht="17.25" customHeight="1" x14ac:dyDescent="0.35">
      <c r="A95" s="277">
        <v>2069116</v>
      </c>
      <c r="B95" s="278"/>
      <c r="C95" s="279">
        <v>119010</v>
      </c>
      <c r="D95" s="280">
        <v>44461.643100891204</v>
      </c>
      <c r="E95" s="175" t="s">
        <v>491</v>
      </c>
      <c r="F95" s="176"/>
      <c r="G95" s="177">
        <v>202102</v>
      </c>
      <c r="H95" s="178">
        <v>202112</v>
      </c>
      <c r="I95" s="179" t="s">
        <v>459</v>
      </c>
      <c r="J95" s="180">
        <v>1</v>
      </c>
      <c r="K95" s="180">
        <v>12</v>
      </c>
      <c r="L95" s="181" t="s">
        <v>356</v>
      </c>
      <c r="M95" s="182">
        <v>13563750.356000001</v>
      </c>
      <c r="N95" s="183">
        <v>0.2</v>
      </c>
      <c r="O95" s="184" t="s">
        <v>357</v>
      </c>
      <c r="P95" s="185">
        <v>6300</v>
      </c>
      <c r="Q95" s="185" t="s">
        <v>460</v>
      </c>
      <c r="R95" s="185"/>
      <c r="S95" s="186"/>
      <c r="T95" s="187" t="s">
        <v>355</v>
      </c>
      <c r="U95" s="186">
        <v>1966906</v>
      </c>
      <c r="V95" s="188"/>
      <c r="W95" s="189">
        <v>32553000.853</v>
      </c>
      <c r="X95" s="190">
        <v>9300.3919999999998</v>
      </c>
      <c r="Y95" s="191">
        <v>84637.801999999996</v>
      </c>
    </row>
    <row r="96" spans="1:25" ht="17.25" customHeight="1" x14ac:dyDescent="0.35">
      <c r="A96" s="277">
        <v>2069114</v>
      </c>
      <c r="B96" s="278"/>
      <c r="C96" s="279" t="s">
        <v>865</v>
      </c>
      <c r="D96" s="280">
        <v>44176.724018368055</v>
      </c>
      <c r="E96" s="175" t="s">
        <v>492</v>
      </c>
      <c r="F96" s="176"/>
      <c r="G96" s="177">
        <v>202201</v>
      </c>
      <c r="H96" s="178">
        <v>202206</v>
      </c>
      <c r="I96" s="179" t="s">
        <v>459</v>
      </c>
      <c r="J96" s="180">
        <v>1</v>
      </c>
      <c r="K96" s="180">
        <v>6</v>
      </c>
      <c r="L96" s="181" t="s">
        <v>356</v>
      </c>
      <c r="M96" s="182">
        <v>1452313.5</v>
      </c>
      <c r="N96" s="183">
        <v>0.25</v>
      </c>
      <c r="O96" s="184" t="s">
        <v>357</v>
      </c>
      <c r="P96" s="185">
        <v>6310</v>
      </c>
      <c r="Q96" s="185" t="s">
        <v>460</v>
      </c>
      <c r="R96" s="185"/>
      <c r="S96" s="186"/>
      <c r="T96" s="187" t="s">
        <v>355</v>
      </c>
      <c r="U96" s="186">
        <v>1415425</v>
      </c>
      <c r="V96" s="188"/>
      <c r="W96" s="189">
        <v>2178470.25</v>
      </c>
      <c r="X96" s="190">
        <v>622.38900000000001</v>
      </c>
      <c r="Y96" s="191">
        <v>5664.0230000000001</v>
      </c>
    </row>
    <row r="97" spans="1:25" ht="17.25" customHeight="1" x14ac:dyDescent="0.35">
      <c r="A97" s="277">
        <v>2069112</v>
      </c>
      <c r="B97" s="278"/>
      <c r="C97" s="279" t="s">
        <v>865</v>
      </c>
      <c r="D97" s="280">
        <v>44176.724018368055</v>
      </c>
      <c r="E97" s="175" t="s">
        <v>493</v>
      </c>
      <c r="F97" s="176"/>
      <c r="G97" s="177">
        <v>202201</v>
      </c>
      <c r="H97" s="178">
        <v>202206</v>
      </c>
      <c r="I97" s="179" t="s">
        <v>459</v>
      </c>
      <c r="J97" s="180">
        <v>1</v>
      </c>
      <c r="K97" s="180">
        <v>6</v>
      </c>
      <c r="L97" s="181" t="s">
        <v>356</v>
      </c>
      <c r="M97" s="182">
        <v>192000</v>
      </c>
      <c r="N97" s="183">
        <v>0.25</v>
      </c>
      <c r="O97" s="184" t="s">
        <v>357</v>
      </c>
      <c r="P97" s="185">
        <v>6320</v>
      </c>
      <c r="Q97" s="185" t="s">
        <v>460</v>
      </c>
      <c r="R97" s="185"/>
      <c r="S97" s="186"/>
      <c r="T97" s="187" t="s">
        <v>355</v>
      </c>
      <c r="U97" s="186">
        <v>1415424</v>
      </c>
      <c r="V97" s="188"/>
      <c r="W97" s="189">
        <v>288000</v>
      </c>
      <c r="X97" s="190">
        <v>82.281999999999996</v>
      </c>
      <c r="Y97" s="191">
        <v>748.8</v>
      </c>
    </row>
    <row r="98" spans="1:25" ht="17.25" customHeight="1" x14ac:dyDescent="0.35">
      <c r="A98" s="277">
        <v>2069113</v>
      </c>
      <c r="B98" s="278"/>
      <c r="C98" s="279">
        <v>119010</v>
      </c>
      <c r="D98" s="280">
        <v>44256.597527465281</v>
      </c>
      <c r="E98" s="175" t="s">
        <v>493</v>
      </c>
      <c r="F98" s="176"/>
      <c r="G98" s="177">
        <v>202102</v>
      </c>
      <c r="H98" s="178">
        <v>202112</v>
      </c>
      <c r="I98" s="179" t="s">
        <v>459</v>
      </c>
      <c r="J98" s="180">
        <v>1</v>
      </c>
      <c r="K98" s="180">
        <v>12</v>
      </c>
      <c r="L98" s="181" t="s">
        <v>356</v>
      </c>
      <c r="M98" s="182">
        <v>192000</v>
      </c>
      <c r="N98" s="183">
        <v>0.2</v>
      </c>
      <c r="O98" s="184" t="s">
        <v>357</v>
      </c>
      <c r="P98" s="185">
        <v>6320</v>
      </c>
      <c r="Q98" s="185" t="s">
        <v>460</v>
      </c>
      <c r="R98" s="185"/>
      <c r="S98" s="186"/>
      <c r="T98" s="187" t="s">
        <v>355</v>
      </c>
      <c r="U98" s="186">
        <v>1966904</v>
      </c>
      <c r="V98" s="188"/>
      <c r="W98" s="189">
        <v>460800</v>
      </c>
      <c r="X98" s="190">
        <v>131.65100000000001</v>
      </c>
      <c r="Y98" s="191">
        <v>1198.08</v>
      </c>
    </row>
    <row r="99" spans="1:25" ht="17.25" customHeight="1" x14ac:dyDescent="0.35">
      <c r="A99" s="277">
        <v>2069110</v>
      </c>
      <c r="B99" s="278"/>
      <c r="C99" s="279" t="s">
        <v>865</v>
      </c>
      <c r="D99" s="280">
        <v>44176.724018368055</v>
      </c>
      <c r="E99" s="175" t="s">
        <v>494</v>
      </c>
      <c r="F99" s="176"/>
      <c r="G99" s="177">
        <v>202201</v>
      </c>
      <c r="H99" s="178">
        <v>202206</v>
      </c>
      <c r="I99" s="179" t="s">
        <v>459</v>
      </c>
      <c r="J99" s="180">
        <v>1</v>
      </c>
      <c r="K99" s="180">
        <v>6</v>
      </c>
      <c r="L99" s="181" t="s">
        <v>356</v>
      </c>
      <c r="M99" s="182">
        <v>1236281</v>
      </c>
      <c r="N99" s="183">
        <v>0.25</v>
      </c>
      <c r="O99" s="184" t="s">
        <v>357</v>
      </c>
      <c r="P99" s="185">
        <v>6340</v>
      </c>
      <c r="Q99" s="185" t="s">
        <v>460</v>
      </c>
      <c r="R99" s="185"/>
      <c r="S99" s="186"/>
      <c r="T99" s="187" t="s">
        <v>355</v>
      </c>
      <c r="U99" s="186">
        <v>1415423</v>
      </c>
      <c r="V99" s="188"/>
      <c r="W99" s="189">
        <v>1854421.5</v>
      </c>
      <c r="X99" s="190">
        <v>529.80799999999999</v>
      </c>
      <c r="Y99" s="191">
        <v>4821.4960000000001</v>
      </c>
    </row>
    <row r="100" spans="1:25" ht="17.25" customHeight="1" x14ac:dyDescent="0.35">
      <c r="A100" s="277">
        <v>2069111</v>
      </c>
      <c r="B100" s="278"/>
      <c r="C100" s="279">
        <v>119010</v>
      </c>
      <c r="D100" s="280">
        <v>44256.597527465281</v>
      </c>
      <c r="E100" s="175" t="s">
        <v>494</v>
      </c>
      <c r="F100" s="176"/>
      <c r="G100" s="177">
        <v>202102</v>
      </c>
      <c r="H100" s="178">
        <v>202112</v>
      </c>
      <c r="I100" s="179" t="s">
        <v>459</v>
      </c>
      <c r="J100" s="180">
        <v>1</v>
      </c>
      <c r="K100" s="180">
        <v>12</v>
      </c>
      <c r="L100" s="181" t="s">
        <v>356</v>
      </c>
      <c r="M100" s="182">
        <v>1236281</v>
      </c>
      <c r="N100" s="183">
        <v>0.2</v>
      </c>
      <c r="O100" s="184" t="s">
        <v>357</v>
      </c>
      <c r="P100" s="185">
        <v>6340</v>
      </c>
      <c r="Q100" s="185" t="s">
        <v>460</v>
      </c>
      <c r="R100" s="185"/>
      <c r="S100" s="186"/>
      <c r="T100" s="187" t="s">
        <v>355</v>
      </c>
      <c r="U100" s="186">
        <v>1966903</v>
      </c>
      <c r="V100" s="188"/>
      <c r="W100" s="189">
        <v>2967074.4</v>
      </c>
      <c r="X100" s="190">
        <v>847.69299999999998</v>
      </c>
      <c r="Y100" s="191">
        <v>7714.393</v>
      </c>
    </row>
    <row r="101" spans="1:25" ht="17.25" customHeight="1" x14ac:dyDescent="0.35">
      <c r="A101" s="277">
        <v>2426426</v>
      </c>
      <c r="B101" s="278"/>
      <c r="C101" s="279">
        <v>119010</v>
      </c>
      <c r="D101" s="280">
        <v>44473.977931250003</v>
      </c>
      <c r="E101" s="175" t="s">
        <v>869</v>
      </c>
      <c r="F101" s="176"/>
      <c r="G101" s="177">
        <v>202102</v>
      </c>
      <c r="H101" s="178">
        <v>202112</v>
      </c>
      <c r="I101" s="179" t="s">
        <v>459</v>
      </c>
      <c r="J101" s="180">
        <v>1</v>
      </c>
      <c r="K101" s="180">
        <v>12</v>
      </c>
      <c r="L101" s="181" t="s">
        <v>356</v>
      </c>
      <c r="M101" s="182">
        <v>143000</v>
      </c>
      <c r="N101" s="183">
        <v>0.1</v>
      </c>
      <c r="O101" s="184" t="s">
        <v>357</v>
      </c>
      <c r="P101" s="185">
        <v>6370</v>
      </c>
      <c r="Q101" s="185" t="s">
        <v>482</v>
      </c>
      <c r="R101" s="185"/>
      <c r="S101" s="186"/>
      <c r="T101" s="187" t="s">
        <v>355</v>
      </c>
      <c r="U101" s="186">
        <v>1966901</v>
      </c>
      <c r="V101" s="188"/>
      <c r="W101" s="189">
        <v>171600</v>
      </c>
      <c r="X101" s="190">
        <v>49.026000000000003</v>
      </c>
      <c r="Y101" s="191">
        <v>446.16</v>
      </c>
    </row>
    <row r="102" spans="1:25" ht="17.25" customHeight="1" x14ac:dyDescent="0.35">
      <c r="A102" s="277">
        <v>2069108</v>
      </c>
      <c r="B102" s="278"/>
      <c r="C102" s="279">
        <v>119010</v>
      </c>
      <c r="D102" s="280">
        <v>44273.749877974537</v>
      </c>
      <c r="E102" s="175" t="s">
        <v>495</v>
      </c>
      <c r="F102" s="176"/>
      <c r="G102" s="177">
        <v>202201</v>
      </c>
      <c r="H102" s="178">
        <v>202206</v>
      </c>
      <c r="I102" s="179" t="s">
        <v>459</v>
      </c>
      <c r="J102" s="180">
        <v>1</v>
      </c>
      <c r="K102" s="180">
        <v>6</v>
      </c>
      <c r="L102" s="181" t="s">
        <v>356</v>
      </c>
      <c r="M102" s="182">
        <v>5791823.3300000001</v>
      </c>
      <c r="N102" s="183">
        <v>0.25</v>
      </c>
      <c r="O102" s="184" t="s">
        <v>357</v>
      </c>
      <c r="P102" s="185">
        <v>6520</v>
      </c>
      <c r="Q102" s="185" t="s">
        <v>870</v>
      </c>
      <c r="R102" s="185"/>
      <c r="S102" s="186"/>
      <c r="T102" s="187" t="s">
        <v>355</v>
      </c>
      <c r="U102" s="186">
        <v>1415420</v>
      </c>
      <c r="V102" s="188"/>
      <c r="W102" s="189">
        <v>8687734.9949999992</v>
      </c>
      <c r="X102" s="190">
        <v>2482.0859999999998</v>
      </c>
      <c r="Y102" s="191">
        <v>22588.111000000001</v>
      </c>
    </row>
    <row r="103" spans="1:25" ht="17.25" customHeight="1" x14ac:dyDescent="0.35">
      <c r="A103" s="277">
        <v>2069109</v>
      </c>
      <c r="B103" s="278"/>
      <c r="C103" s="279">
        <v>119010</v>
      </c>
      <c r="D103" s="280">
        <v>44273.749877974537</v>
      </c>
      <c r="E103" s="175" t="s">
        <v>495</v>
      </c>
      <c r="F103" s="176"/>
      <c r="G103" s="177">
        <v>202102</v>
      </c>
      <c r="H103" s="178">
        <v>202112</v>
      </c>
      <c r="I103" s="179" t="s">
        <v>459</v>
      </c>
      <c r="J103" s="180">
        <v>1</v>
      </c>
      <c r="K103" s="180">
        <v>12</v>
      </c>
      <c r="L103" s="181" t="s">
        <v>356</v>
      </c>
      <c r="M103" s="182">
        <v>5791823.3300000001</v>
      </c>
      <c r="N103" s="183">
        <v>0.2</v>
      </c>
      <c r="O103" s="184" t="s">
        <v>357</v>
      </c>
      <c r="P103" s="185">
        <v>6520</v>
      </c>
      <c r="Q103" s="185" t="s">
        <v>870</v>
      </c>
      <c r="R103" s="185"/>
      <c r="S103" s="186"/>
      <c r="T103" s="187" t="s">
        <v>355</v>
      </c>
      <c r="U103" s="186">
        <v>1966899</v>
      </c>
      <c r="V103" s="188"/>
      <c r="W103" s="189">
        <v>13900375.992000001</v>
      </c>
      <c r="X103" s="190">
        <v>3971.337</v>
      </c>
      <c r="Y103" s="191">
        <v>36140.978000000003</v>
      </c>
    </row>
    <row r="104" spans="1:25" ht="17.25" customHeight="1" x14ac:dyDescent="0.35">
      <c r="A104" s="277">
        <v>2069106</v>
      </c>
      <c r="B104" s="278"/>
      <c r="C104" s="279">
        <v>119010</v>
      </c>
      <c r="D104" s="280">
        <v>44273.749877974537</v>
      </c>
      <c r="E104" s="175" t="s">
        <v>496</v>
      </c>
      <c r="F104" s="176"/>
      <c r="G104" s="177">
        <v>202201</v>
      </c>
      <c r="H104" s="178">
        <v>202206</v>
      </c>
      <c r="I104" s="179" t="s">
        <v>459</v>
      </c>
      <c r="J104" s="180">
        <v>1</v>
      </c>
      <c r="K104" s="180">
        <v>6</v>
      </c>
      <c r="L104" s="181" t="s">
        <v>356</v>
      </c>
      <c r="M104" s="182">
        <v>2516666.66</v>
      </c>
      <c r="N104" s="183">
        <v>0.25</v>
      </c>
      <c r="O104" s="184" t="s">
        <v>357</v>
      </c>
      <c r="P104" s="185">
        <v>6600</v>
      </c>
      <c r="Q104" s="185" t="s">
        <v>446</v>
      </c>
      <c r="R104" s="185"/>
      <c r="S104" s="186"/>
      <c r="T104" s="187" t="s">
        <v>355</v>
      </c>
      <c r="U104" s="186">
        <v>1415418</v>
      </c>
      <c r="V104" s="188"/>
      <c r="W104" s="189">
        <v>3774999.99</v>
      </c>
      <c r="X104" s="190">
        <v>1078.5170000000001</v>
      </c>
      <c r="Y104" s="191">
        <v>9815</v>
      </c>
    </row>
    <row r="105" spans="1:25" ht="17.25" customHeight="1" x14ac:dyDescent="0.35">
      <c r="A105" s="277">
        <v>2069107</v>
      </c>
      <c r="B105" s="278"/>
      <c r="C105" s="279">
        <v>119010</v>
      </c>
      <c r="D105" s="280">
        <v>44273.749877974537</v>
      </c>
      <c r="E105" s="175" t="s">
        <v>496</v>
      </c>
      <c r="F105" s="176"/>
      <c r="G105" s="177">
        <v>202102</v>
      </c>
      <c r="H105" s="178">
        <v>202112</v>
      </c>
      <c r="I105" s="179" t="s">
        <v>459</v>
      </c>
      <c r="J105" s="180">
        <v>1</v>
      </c>
      <c r="K105" s="180">
        <v>12</v>
      </c>
      <c r="L105" s="181" t="s">
        <v>356</v>
      </c>
      <c r="M105" s="182">
        <v>2516666.66</v>
      </c>
      <c r="N105" s="183">
        <v>0.2</v>
      </c>
      <c r="O105" s="184" t="s">
        <v>357</v>
      </c>
      <c r="P105" s="185">
        <v>6600</v>
      </c>
      <c r="Q105" s="185" t="s">
        <v>446</v>
      </c>
      <c r="R105" s="185"/>
      <c r="S105" s="186"/>
      <c r="T105" s="187" t="s">
        <v>355</v>
      </c>
      <c r="U105" s="186">
        <v>1966898</v>
      </c>
      <c r="V105" s="188"/>
      <c r="W105" s="189">
        <v>6039999.9840000002</v>
      </c>
      <c r="X105" s="190">
        <v>1725.6279999999999</v>
      </c>
      <c r="Y105" s="191">
        <v>15704</v>
      </c>
    </row>
    <row r="106" spans="1:25" ht="17.25" customHeight="1" x14ac:dyDescent="0.35">
      <c r="A106" s="277">
        <v>2069105</v>
      </c>
      <c r="B106" s="278"/>
      <c r="C106" s="279">
        <v>119010</v>
      </c>
      <c r="D106" s="280">
        <v>44273.749877974537</v>
      </c>
      <c r="E106" s="175" t="s">
        <v>497</v>
      </c>
      <c r="F106" s="176"/>
      <c r="G106" s="177">
        <v>202201</v>
      </c>
      <c r="H106" s="178">
        <v>202206</v>
      </c>
      <c r="I106" s="179" t="s">
        <v>439</v>
      </c>
      <c r="J106" s="180">
        <v>1</v>
      </c>
      <c r="K106" s="180">
        <v>1</v>
      </c>
      <c r="L106" s="181" t="s">
        <v>356</v>
      </c>
      <c r="M106" s="182">
        <v>39375000</v>
      </c>
      <c r="N106" s="183">
        <v>1</v>
      </c>
      <c r="O106" s="184" t="s">
        <v>357</v>
      </c>
      <c r="P106" s="185">
        <v>6700</v>
      </c>
      <c r="Q106" s="185" t="s">
        <v>446</v>
      </c>
      <c r="R106" s="185"/>
      <c r="S106" s="186"/>
      <c r="T106" s="187" t="s">
        <v>355</v>
      </c>
      <c r="U106" s="186">
        <v>1931449</v>
      </c>
      <c r="V106" s="188"/>
      <c r="W106" s="189">
        <v>39375000</v>
      </c>
      <c r="X106" s="190">
        <v>11249.438</v>
      </c>
      <c r="Y106" s="191">
        <v>102375</v>
      </c>
    </row>
    <row r="107" spans="1:25" ht="17.25" customHeight="1" x14ac:dyDescent="0.35">
      <c r="A107" s="277">
        <v>2069103</v>
      </c>
      <c r="B107" s="278"/>
      <c r="C107" s="279">
        <v>119010</v>
      </c>
      <c r="D107" s="280">
        <v>44273.749877974537</v>
      </c>
      <c r="E107" s="175" t="s">
        <v>498</v>
      </c>
      <c r="F107" s="176"/>
      <c r="G107" s="177">
        <v>202201</v>
      </c>
      <c r="H107" s="178">
        <v>202206</v>
      </c>
      <c r="I107" s="179" t="s">
        <v>459</v>
      </c>
      <c r="J107" s="180">
        <v>1</v>
      </c>
      <c r="K107" s="180">
        <v>6</v>
      </c>
      <c r="L107" s="181" t="s">
        <v>356</v>
      </c>
      <c r="M107" s="182">
        <v>9755585.8629999999</v>
      </c>
      <c r="N107" s="183">
        <v>0.25</v>
      </c>
      <c r="O107" s="184" t="s">
        <v>357</v>
      </c>
      <c r="P107" s="185">
        <v>6800</v>
      </c>
      <c r="Q107" s="185" t="s">
        <v>446</v>
      </c>
      <c r="R107" s="185"/>
      <c r="S107" s="186"/>
      <c r="T107" s="187" t="s">
        <v>355</v>
      </c>
      <c r="U107" s="186">
        <v>1415414</v>
      </c>
      <c r="V107" s="188"/>
      <c r="W107" s="189">
        <v>14633378.795</v>
      </c>
      <c r="X107" s="190">
        <v>4180.7560000000003</v>
      </c>
      <c r="Y107" s="191">
        <v>38046.785000000003</v>
      </c>
    </row>
    <row r="108" spans="1:25" ht="17.25" customHeight="1" x14ac:dyDescent="0.35">
      <c r="A108" s="277">
        <v>2069104</v>
      </c>
      <c r="B108" s="278"/>
      <c r="C108" s="279">
        <v>119010</v>
      </c>
      <c r="D108" s="280">
        <v>44273.749877974537</v>
      </c>
      <c r="E108" s="175" t="s">
        <v>498</v>
      </c>
      <c r="F108" s="176"/>
      <c r="G108" s="177">
        <v>202102</v>
      </c>
      <c r="H108" s="178">
        <v>202112</v>
      </c>
      <c r="I108" s="179" t="s">
        <v>459</v>
      </c>
      <c r="J108" s="180">
        <v>1</v>
      </c>
      <c r="K108" s="180">
        <v>12</v>
      </c>
      <c r="L108" s="181" t="s">
        <v>356</v>
      </c>
      <c r="M108" s="182">
        <v>7590990.9970000004</v>
      </c>
      <c r="N108" s="183">
        <v>0.2</v>
      </c>
      <c r="O108" s="184" t="s">
        <v>357</v>
      </c>
      <c r="P108" s="185">
        <v>6800</v>
      </c>
      <c r="Q108" s="185" t="s">
        <v>446</v>
      </c>
      <c r="R108" s="185"/>
      <c r="S108" s="186"/>
      <c r="T108" s="187" t="s">
        <v>355</v>
      </c>
      <c r="U108" s="186">
        <v>1966894</v>
      </c>
      <c r="V108" s="188"/>
      <c r="W108" s="189">
        <v>18218378.392999999</v>
      </c>
      <c r="X108" s="190">
        <v>5204.991</v>
      </c>
      <c r="Y108" s="191">
        <v>47367.784</v>
      </c>
    </row>
    <row r="109" spans="1:25" ht="17.25" customHeight="1" x14ac:dyDescent="0.35">
      <c r="A109" s="277">
        <v>2069101</v>
      </c>
      <c r="B109" s="278"/>
      <c r="C109" s="279" t="s">
        <v>865</v>
      </c>
      <c r="D109" s="280">
        <v>44176.724018368055</v>
      </c>
      <c r="E109" s="175" t="s">
        <v>499</v>
      </c>
      <c r="F109" s="176"/>
      <c r="G109" s="177">
        <v>202201</v>
      </c>
      <c r="H109" s="178">
        <v>202206</v>
      </c>
      <c r="I109" s="179" t="s">
        <v>459</v>
      </c>
      <c r="J109" s="180">
        <v>1</v>
      </c>
      <c r="K109" s="180">
        <v>6</v>
      </c>
      <c r="L109" s="181" t="s">
        <v>356</v>
      </c>
      <c r="M109" s="182">
        <v>1389333.33</v>
      </c>
      <c r="N109" s="183">
        <v>0.25</v>
      </c>
      <c r="O109" s="184" t="s">
        <v>357</v>
      </c>
      <c r="P109" s="185">
        <v>6860</v>
      </c>
      <c r="Q109" s="185" t="s">
        <v>460</v>
      </c>
      <c r="R109" s="185"/>
      <c r="S109" s="186"/>
      <c r="T109" s="187" t="s">
        <v>355</v>
      </c>
      <c r="U109" s="186">
        <v>1415411</v>
      </c>
      <c r="V109" s="188"/>
      <c r="W109" s="189">
        <v>2083999.9950000001</v>
      </c>
      <c r="X109" s="190">
        <v>595.399</v>
      </c>
      <c r="Y109" s="191">
        <v>5418.4</v>
      </c>
    </row>
    <row r="110" spans="1:25" ht="17.25" customHeight="1" x14ac:dyDescent="0.35">
      <c r="A110" s="277">
        <v>2069102</v>
      </c>
      <c r="B110" s="278"/>
      <c r="C110" s="279">
        <v>119010</v>
      </c>
      <c r="D110" s="280">
        <v>44256.597527465281</v>
      </c>
      <c r="E110" s="175" t="s">
        <v>499</v>
      </c>
      <c r="F110" s="176"/>
      <c r="G110" s="177">
        <v>202102</v>
      </c>
      <c r="H110" s="178">
        <v>202112</v>
      </c>
      <c r="I110" s="179" t="s">
        <v>459</v>
      </c>
      <c r="J110" s="180">
        <v>1</v>
      </c>
      <c r="K110" s="180">
        <v>12</v>
      </c>
      <c r="L110" s="181" t="s">
        <v>356</v>
      </c>
      <c r="M110" s="182">
        <v>1389333.33</v>
      </c>
      <c r="N110" s="183">
        <v>0.2</v>
      </c>
      <c r="O110" s="184" t="s">
        <v>357</v>
      </c>
      <c r="P110" s="185">
        <v>6860</v>
      </c>
      <c r="Q110" s="185" t="s">
        <v>460</v>
      </c>
      <c r="R110" s="185"/>
      <c r="S110" s="186"/>
      <c r="T110" s="187" t="s">
        <v>355</v>
      </c>
      <c r="U110" s="186">
        <v>1966891</v>
      </c>
      <c r="V110" s="188"/>
      <c r="W110" s="189">
        <v>3334399.9920000001</v>
      </c>
      <c r="X110" s="190">
        <v>952.63800000000003</v>
      </c>
      <c r="Y110" s="191">
        <v>8669.44</v>
      </c>
    </row>
    <row r="111" spans="1:25" ht="17.25" customHeight="1" x14ac:dyDescent="0.35">
      <c r="A111" s="277">
        <v>2069099</v>
      </c>
      <c r="B111" s="278"/>
      <c r="C111" s="279" t="s">
        <v>865</v>
      </c>
      <c r="D111" s="280">
        <v>44176.724018368055</v>
      </c>
      <c r="E111" s="175" t="s">
        <v>500</v>
      </c>
      <c r="F111" s="176"/>
      <c r="G111" s="177">
        <v>202201</v>
      </c>
      <c r="H111" s="178">
        <v>202206</v>
      </c>
      <c r="I111" s="179" t="s">
        <v>459</v>
      </c>
      <c r="J111" s="180">
        <v>1</v>
      </c>
      <c r="K111" s="180">
        <v>6</v>
      </c>
      <c r="L111" s="181" t="s">
        <v>356</v>
      </c>
      <c r="M111" s="182">
        <v>7264180.5499999998</v>
      </c>
      <c r="N111" s="183">
        <v>0.25</v>
      </c>
      <c r="O111" s="184" t="s">
        <v>357</v>
      </c>
      <c r="P111" s="185">
        <v>6910</v>
      </c>
      <c r="Q111" s="185" t="s">
        <v>460</v>
      </c>
      <c r="R111" s="185"/>
      <c r="S111" s="186"/>
      <c r="T111" s="187" t="s">
        <v>355</v>
      </c>
      <c r="U111" s="186">
        <v>1415409</v>
      </c>
      <c r="V111" s="188"/>
      <c r="W111" s="189">
        <v>10896270.824999999</v>
      </c>
      <c r="X111" s="190">
        <v>3113.0650000000001</v>
      </c>
      <c r="Y111" s="191">
        <v>28330.304</v>
      </c>
    </row>
    <row r="112" spans="1:25" ht="17.25" customHeight="1" x14ac:dyDescent="0.35">
      <c r="A112" s="277">
        <v>2069100</v>
      </c>
      <c r="B112" s="278"/>
      <c r="C112" s="279">
        <v>119010</v>
      </c>
      <c r="D112" s="280">
        <v>44256.597527465281</v>
      </c>
      <c r="E112" s="175" t="s">
        <v>500</v>
      </c>
      <c r="F112" s="176"/>
      <c r="G112" s="177">
        <v>202102</v>
      </c>
      <c r="H112" s="178">
        <v>202112</v>
      </c>
      <c r="I112" s="179" t="s">
        <v>459</v>
      </c>
      <c r="J112" s="180">
        <v>1</v>
      </c>
      <c r="K112" s="180">
        <v>12</v>
      </c>
      <c r="L112" s="181" t="s">
        <v>356</v>
      </c>
      <c r="M112" s="182">
        <v>7264180.5499999998</v>
      </c>
      <c r="N112" s="183">
        <v>0.2</v>
      </c>
      <c r="O112" s="184" t="s">
        <v>357</v>
      </c>
      <c r="P112" s="185">
        <v>6910</v>
      </c>
      <c r="Q112" s="185" t="s">
        <v>460</v>
      </c>
      <c r="R112" s="185"/>
      <c r="S112" s="186"/>
      <c r="T112" s="187" t="s">
        <v>355</v>
      </c>
      <c r="U112" s="186">
        <v>1966889</v>
      </c>
      <c r="V112" s="188"/>
      <c r="W112" s="189">
        <v>17434033.32</v>
      </c>
      <c r="X112" s="190">
        <v>4980.9030000000002</v>
      </c>
      <c r="Y112" s="191">
        <v>45328.487000000001</v>
      </c>
    </row>
    <row r="113" spans="1:25" ht="17.25" customHeight="1" x14ac:dyDescent="0.35">
      <c r="A113" s="277">
        <v>2069097</v>
      </c>
      <c r="B113" s="278"/>
      <c r="C113" s="279" t="s">
        <v>865</v>
      </c>
      <c r="D113" s="280">
        <v>44176.724018368055</v>
      </c>
      <c r="E113" s="175" t="s">
        <v>501</v>
      </c>
      <c r="F113" s="176"/>
      <c r="G113" s="177">
        <v>202201</v>
      </c>
      <c r="H113" s="178">
        <v>202206</v>
      </c>
      <c r="I113" s="179" t="s">
        <v>459</v>
      </c>
      <c r="J113" s="180">
        <v>1</v>
      </c>
      <c r="K113" s="180">
        <v>6</v>
      </c>
      <c r="L113" s="181" t="s">
        <v>356</v>
      </c>
      <c r="M113" s="182">
        <v>391666.66</v>
      </c>
      <c r="N113" s="183">
        <v>0.25</v>
      </c>
      <c r="O113" s="184" t="s">
        <v>357</v>
      </c>
      <c r="P113" s="185">
        <v>6920</v>
      </c>
      <c r="Q113" s="185" t="s">
        <v>460</v>
      </c>
      <c r="R113" s="185"/>
      <c r="S113" s="186"/>
      <c r="T113" s="187" t="s">
        <v>355</v>
      </c>
      <c r="U113" s="186">
        <v>1415408</v>
      </c>
      <c r="V113" s="188"/>
      <c r="W113" s="189">
        <v>587499.99</v>
      </c>
      <c r="X113" s="190">
        <v>167.84899999999999</v>
      </c>
      <c r="Y113" s="191">
        <v>1527.5</v>
      </c>
    </row>
    <row r="114" spans="1:25" ht="17.25" customHeight="1" x14ac:dyDescent="0.35">
      <c r="A114" s="277">
        <v>2069098</v>
      </c>
      <c r="B114" s="278"/>
      <c r="C114" s="279">
        <v>119010</v>
      </c>
      <c r="D114" s="280">
        <v>44256.597527465281</v>
      </c>
      <c r="E114" s="175" t="s">
        <v>501</v>
      </c>
      <c r="F114" s="176"/>
      <c r="G114" s="177">
        <v>202102</v>
      </c>
      <c r="H114" s="178">
        <v>202112</v>
      </c>
      <c r="I114" s="179" t="s">
        <v>459</v>
      </c>
      <c r="J114" s="180">
        <v>1</v>
      </c>
      <c r="K114" s="180">
        <v>12</v>
      </c>
      <c r="L114" s="181" t="s">
        <v>356</v>
      </c>
      <c r="M114" s="182">
        <v>391666.66</v>
      </c>
      <c r="N114" s="183">
        <v>0.2</v>
      </c>
      <c r="O114" s="184" t="s">
        <v>357</v>
      </c>
      <c r="P114" s="185">
        <v>6920</v>
      </c>
      <c r="Q114" s="185" t="s">
        <v>460</v>
      </c>
      <c r="R114" s="185"/>
      <c r="S114" s="186"/>
      <c r="T114" s="187" t="s">
        <v>355</v>
      </c>
      <c r="U114" s="186">
        <v>1966888</v>
      </c>
      <c r="V114" s="188"/>
      <c r="W114" s="189">
        <v>939999.98400000005</v>
      </c>
      <c r="X114" s="190">
        <v>268.55799999999999</v>
      </c>
      <c r="Y114" s="191">
        <v>2444</v>
      </c>
    </row>
    <row r="115" spans="1:25" ht="17.25" customHeight="1" x14ac:dyDescent="0.35">
      <c r="A115" s="277">
        <v>2069095</v>
      </c>
      <c r="B115" s="278"/>
      <c r="C115" s="279" t="s">
        <v>865</v>
      </c>
      <c r="D115" s="280">
        <v>44176.724018368055</v>
      </c>
      <c r="E115" s="175" t="s">
        <v>502</v>
      </c>
      <c r="F115" s="176"/>
      <c r="G115" s="177">
        <v>202201</v>
      </c>
      <c r="H115" s="178">
        <v>202206</v>
      </c>
      <c r="I115" s="179" t="s">
        <v>459</v>
      </c>
      <c r="J115" s="180">
        <v>1</v>
      </c>
      <c r="K115" s="180">
        <v>6</v>
      </c>
      <c r="L115" s="181" t="s">
        <v>356</v>
      </c>
      <c r="M115" s="182">
        <v>4957972</v>
      </c>
      <c r="N115" s="183">
        <v>0.25</v>
      </c>
      <c r="O115" s="184" t="s">
        <v>357</v>
      </c>
      <c r="P115" s="185">
        <v>6930</v>
      </c>
      <c r="Q115" s="185" t="s">
        <v>460</v>
      </c>
      <c r="R115" s="185"/>
      <c r="S115" s="186"/>
      <c r="T115" s="187" t="s">
        <v>355</v>
      </c>
      <c r="U115" s="186">
        <v>1415407</v>
      </c>
      <c r="V115" s="188"/>
      <c r="W115" s="189">
        <v>7436958</v>
      </c>
      <c r="X115" s="190">
        <v>2124.739</v>
      </c>
      <c r="Y115" s="191">
        <v>19336.091</v>
      </c>
    </row>
    <row r="116" spans="1:25" ht="17.25" customHeight="1" x14ac:dyDescent="0.35">
      <c r="A116" s="277">
        <v>2069096</v>
      </c>
      <c r="B116" s="278"/>
      <c r="C116" s="279">
        <v>119010</v>
      </c>
      <c r="D116" s="280">
        <v>44256.597527465281</v>
      </c>
      <c r="E116" s="175" t="s">
        <v>502</v>
      </c>
      <c r="F116" s="176"/>
      <c r="G116" s="177">
        <v>202102</v>
      </c>
      <c r="H116" s="178">
        <v>202112</v>
      </c>
      <c r="I116" s="179" t="s">
        <v>459</v>
      </c>
      <c r="J116" s="180">
        <v>1</v>
      </c>
      <c r="K116" s="180">
        <v>12</v>
      </c>
      <c r="L116" s="181" t="s">
        <v>356</v>
      </c>
      <c r="M116" s="182">
        <v>4957972</v>
      </c>
      <c r="N116" s="183">
        <v>0.2</v>
      </c>
      <c r="O116" s="184" t="s">
        <v>357</v>
      </c>
      <c r="P116" s="185">
        <v>6930</v>
      </c>
      <c r="Q116" s="185" t="s">
        <v>460</v>
      </c>
      <c r="R116" s="185"/>
      <c r="S116" s="186"/>
      <c r="T116" s="187" t="s">
        <v>355</v>
      </c>
      <c r="U116" s="186">
        <v>1966887</v>
      </c>
      <c r="V116" s="188"/>
      <c r="W116" s="189">
        <v>11899132.800000001</v>
      </c>
      <c r="X116" s="190">
        <v>3399.5819999999999</v>
      </c>
      <c r="Y116" s="191">
        <v>30937.744999999999</v>
      </c>
    </row>
    <row r="117" spans="1:25" ht="17.25" customHeight="1" x14ac:dyDescent="0.35">
      <c r="A117" s="277">
        <v>2069093</v>
      </c>
      <c r="B117" s="278"/>
      <c r="C117" s="279" t="s">
        <v>865</v>
      </c>
      <c r="D117" s="280">
        <v>44176.724018368055</v>
      </c>
      <c r="E117" s="175" t="s">
        <v>503</v>
      </c>
      <c r="F117" s="176"/>
      <c r="G117" s="177">
        <v>202201</v>
      </c>
      <c r="H117" s="178">
        <v>202206</v>
      </c>
      <c r="I117" s="179" t="s">
        <v>459</v>
      </c>
      <c r="J117" s="180">
        <v>1</v>
      </c>
      <c r="K117" s="180">
        <v>6</v>
      </c>
      <c r="L117" s="181" t="s">
        <v>356</v>
      </c>
      <c r="M117" s="182">
        <v>480000</v>
      </c>
      <c r="N117" s="183">
        <v>0.25</v>
      </c>
      <c r="O117" s="184" t="s">
        <v>357</v>
      </c>
      <c r="P117" s="185">
        <v>6950</v>
      </c>
      <c r="Q117" s="185" t="s">
        <v>460</v>
      </c>
      <c r="R117" s="185"/>
      <c r="S117" s="186"/>
      <c r="T117" s="187" t="s">
        <v>355</v>
      </c>
      <c r="U117" s="186">
        <v>1415406</v>
      </c>
      <c r="V117" s="188"/>
      <c r="W117" s="189">
        <v>720000</v>
      </c>
      <c r="X117" s="190">
        <v>205.70400000000001</v>
      </c>
      <c r="Y117" s="191">
        <v>1872</v>
      </c>
    </row>
    <row r="118" spans="1:25" ht="17.25" customHeight="1" x14ac:dyDescent="0.35">
      <c r="A118" s="277">
        <v>2069094</v>
      </c>
      <c r="B118" s="278"/>
      <c r="C118" s="279">
        <v>119010</v>
      </c>
      <c r="D118" s="280">
        <v>44256.597527465281</v>
      </c>
      <c r="E118" s="175" t="s">
        <v>503</v>
      </c>
      <c r="F118" s="176"/>
      <c r="G118" s="177">
        <v>202102</v>
      </c>
      <c r="H118" s="178">
        <v>202112</v>
      </c>
      <c r="I118" s="179" t="s">
        <v>459</v>
      </c>
      <c r="J118" s="180">
        <v>1</v>
      </c>
      <c r="K118" s="180">
        <v>12</v>
      </c>
      <c r="L118" s="181" t="s">
        <v>356</v>
      </c>
      <c r="M118" s="182">
        <v>480000</v>
      </c>
      <c r="N118" s="183">
        <v>0.2</v>
      </c>
      <c r="O118" s="184" t="s">
        <v>357</v>
      </c>
      <c r="P118" s="185">
        <v>6950</v>
      </c>
      <c r="Q118" s="185" t="s">
        <v>460</v>
      </c>
      <c r="R118" s="185"/>
      <c r="S118" s="186"/>
      <c r="T118" s="187" t="s">
        <v>355</v>
      </c>
      <c r="U118" s="186">
        <v>1966886</v>
      </c>
      <c r="V118" s="188"/>
      <c r="W118" s="189">
        <v>1152000</v>
      </c>
      <c r="X118" s="190">
        <v>329.12599999999998</v>
      </c>
      <c r="Y118" s="191">
        <v>2995.2</v>
      </c>
    </row>
    <row r="119" spans="1:25" ht="17.25" customHeight="1" x14ac:dyDescent="0.35">
      <c r="A119" s="277">
        <v>2069091</v>
      </c>
      <c r="B119" s="278"/>
      <c r="C119" s="279" t="s">
        <v>865</v>
      </c>
      <c r="D119" s="280">
        <v>44176.724018368055</v>
      </c>
      <c r="E119" s="175" t="s">
        <v>504</v>
      </c>
      <c r="F119" s="176"/>
      <c r="G119" s="177">
        <v>202201</v>
      </c>
      <c r="H119" s="178">
        <v>202206</v>
      </c>
      <c r="I119" s="179" t="s">
        <v>459</v>
      </c>
      <c r="J119" s="180">
        <v>1</v>
      </c>
      <c r="K119" s="180">
        <v>6</v>
      </c>
      <c r="L119" s="181" t="s">
        <v>356</v>
      </c>
      <c r="M119" s="182">
        <v>610000</v>
      </c>
      <c r="N119" s="183">
        <v>0.25</v>
      </c>
      <c r="O119" s="184" t="s">
        <v>357</v>
      </c>
      <c r="P119" s="185">
        <v>6960</v>
      </c>
      <c r="Q119" s="185" t="s">
        <v>460</v>
      </c>
      <c r="R119" s="185"/>
      <c r="S119" s="186"/>
      <c r="T119" s="187" t="s">
        <v>355</v>
      </c>
      <c r="U119" s="186">
        <v>1415405</v>
      </c>
      <c r="V119" s="188"/>
      <c r="W119" s="189">
        <v>915000</v>
      </c>
      <c r="X119" s="190">
        <v>261.416</v>
      </c>
      <c r="Y119" s="191">
        <v>2379</v>
      </c>
    </row>
    <row r="120" spans="1:25" ht="17.25" customHeight="1" x14ac:dyDescent="0.35">
      <c r="A120" s="277">
        <v>2069092</v>
      </c>
      <c r="B120" s="278"/>
      <c r="C120" s="279">
        <v>119010</v>
      </c>
      <c r="D120" s="280">
        <v>44256.597527465281</v>
      </c>
      <c r="E120" s="175" t="s">
        <v>504</v>
      </c>
      <c r="F120" s="176"/>
      <c r="G120" s="177">
        <v>202102</v>
      </c>
      <c r="H120" s="178">
        <v>202112</v>
      </c>
      <c r="I120" s="179" t="s">
        <v>459</v>
      </c>
      <c r="J120" s="180">
        <v>1</v>
      </c>
      <c r="K120" s="180">
        <v>12</v>
      </c>
      <c r="L120" s="181" t="s">
        <v>356</v>
      </c>
      <c r="M120" s="182">
        <v>610000</v>
      </c>
      <c r="N120" s="183">
        <v>0.2</v>
      </c>
      <c r="O120" s="184" t="s">
        <v>357</v>
      </c>
      <c r="P120" s="185">
        <v>6960</v>
      </c>
      <c r="Q120" s="185" t="s">
        <v>460</v>
      </c>
      <c r="R120" s="185"/>
      <c r="S120" s="186"/>
      <c r="T120" s="187" t="s">
        <v>355</v>
      </c>
      <c r="U120" s="186">
        <v>1966885</v>
      </c>
      <c r="V120" s="188"/>
      <c r="W120" s="189">
        <v>1464000</v>
      </c>
      <c r="X120" s="190">
        <v>418.26499999999999</v>
      </c>
      <c r="Y120" s="191">
        <v>3806.4</v>
      </c>
    </row>
    <row r="121" spans="1:25" ht="17.25" customHeight="1" x14ac:dyDescent="0.35">
      <c r="A121" s="277">
        <v>2069089</v>
      </c>
      <c r="B121" s="278"/>
      <c r="C121" s="279" t="s">
        <v>865</v>
      </c>
      <c r="D121" s="280">
        <v>44176.724018368055</v>
      </c>
      <c r="E121" s="175" t="s">
        <v>505</v>
      </c>
      <c r="F121" s="176"/>
      <c r="G121" s="177">
        <v>202201</v>
      </c>
      <c r="H121" s="178">
        <v>202206</v>
      </c>
      <c r="I121" s="179" t="s">
        <v>459</v>
      </c>
      <c r="J121" s="180">
        <v>1</v>
      </c>
      <c r="K121" s="180">
        <v>6</v>
      </c>
      <c r="L121" s="181" t="s">
        <v>356</v>
      </c>
      <c r="M121" s="182">
        <v>966666.66</v>
      </c>
      <c r="N121" s="183">
        <v>0.25</v>
      </c>
      <c r="O121" s="184" t="s">
        <v>357</v>
      </c>
      <c r="P121" s="185">
        <v>7000</v>
      </c>
      <c r="Q121" s="185" t="s">
        <v>460</v>
      </c>
      <c r="R121" s="185"/>
      <c r="S121" s="186"/>
      <c r="T121" s="187" t="s">
        <v>355</v>
      </c>
      <c r="U121" s="186">
        <v>1415404</v>
      </c>
      <c r="V121" s="188"/>
      <c r="W121" s="189">
        <v>1449999.99</v>
      </c>
      <c r="X121" s="190">
        <v>414.26499999999999</v>
      </c>
      <c r="Y121" s="191">
        <v>3770</v>
      </c>
    </row>
    <row r="122" spans="1:25" ht="17.25" customHeight="1" x14ac:dyDescent="0.35">
      <c r="A122" s="277">
        <v>2069090</v>
      </c>
      <c r="B122" s="278"/>
      <c r="C122" s="279">
        <v>119010</v>
      </c>
      <c r="D122" s="280">
        <v>44256.597527465281</v>
      </c>
      <c r="E122" s="175" t="s">
        <v>505</v>
      </c>
      <c r="F122" s="176"/>
      <c r="G122" s="177">
        <v>202102</v>
      </c>
      <c r="H122" s="178">
        <v>202112</v>
      </c>
      <c r="I122" s="179" t="s">
        <v>459</v>
      </c>
      <c r="J122" s="180">
        <v>1</v>
      </c>
      <c r="K122" s="180">
        <v>12</v>
      </c>
      <c r="L122" s="181" t="s">
        <v>356</v>
      </c>
      <c r="M122" s="182">
        <v>966666.66</v>
      </c>
      <c r="N122" s="183">
        <v>0.2</v>
      </c>
      <c r="O122" s="184" t="s">
        <v>357</v>
      </c>
      <c r="P122" s="185">
        <v>7000</v>
      </c>
      <c r="Q122" s="185" t="s">
        <v>460</v>
      </c>
      <c r="R122" s="185"/>
      <c r="S122" s="186"/>
      <c r="T122" s="187" t="s">
        <v>355</v>
      </c>
      <c r="U122" s="186">
        <v>1966884</v>
      </c>
      <c r="V122" s="188"/>
      <c r="W122" s="189">
        <v>2319999.9840000002</v>
      </c>
      <c r="X122" s="190">
        <v>662.82399999999996</v>
      </c>
      <c r="Y122" s="191">
        <v>6032</v>
      </c>
    </row>
    <row r="123" spans="1:25" ht="17.25" customHeight="1" x14ac:dyDescent="0.35">
      <c r="A123" s="277">
        <v>2069087</v>
      </c>
      <c r="B123" s="278"/>
      <c r="C123" s="279" t="s">
        <v>865</v>
      </c>
      <c r="D123" s="280">
        <v>44176.724018368055</v>
      </c>
      <c r="E123" s="175" t="s">
        <v>506</v>
      </c>
      <c r="F123" s="176"/>
      <c r="G123" s="177">
        <v>202201</v>
      </c>
      <c r="H123" s="178">
        <v>202206</v>
      </c>
      <c r="I123" s="179" t="s">
        <v>459</v>
      </c>
      <c r="J123" s="180">
        <v>1</v>
      </c>
      <c r="K123" s="180">
        <v>6</v>
      </c>
      <c r="L123" s="181" t="s">
        <v>356</v>
      </c>
      <c r="M123" s="182">
        <v>5190930.5</v>
      </c>
      <c r="N123" s="183">
        <v>0.25</v>
      </c>
      <c r="O123" s="184" t="s">
        <v>357</v>
      </c>
      <c r="P123" s="185">
        <v>7020</v>
      </c>
      <c r="Q123" s="185" t="s">
        <v>446</v>
      </c>
      <c r="R123" s="185"/>
      <c r="S123" s="186"/>
      <c r="T123" s="187" t="s">
        <v>355</v>
      </c>
      <c r="U123" s="186">
        <v>1415403</v>
      </c>
      <c r="V123" s="188"/>
      <c r="W123" s="189">
        <v>7786395.75</v>
      </c>
      <c r="X123" s="190">
        <v>2224.5729999999999</v>
      </c>
      <c r="Y123" s="191">
        <v>20244.629000000001</v>
      </c>
    </row>
    <row r="124" spans="1:25" ht="21.95" x14ac:dyDescent="0.35">
      <c r="A124" s="277">
        <v>2069088</v>
      </c>
      <c r="B124" s="278"/>
      <c r="C124" s="279">
        <v>119010</v>
      </c>
      <c r="D124" s="280">
        <v>44256.597527465281</v>
      </c>
      <c r="E124" s="175" t="s">
        <v>506</v>
      </c>
      <c r="F124" s="176"/>
      <c r="G124" s="177">
        <v>202102</v>
      </c>
      <c r="H124" s="178">
        <v>202112</v>
      </c>
      <c r="I124" s="179" t="s">
        <v>459</v>
      </c>
      <c r="J124" s="180">
        <v>1</v>
      </c>
      <c r="K124" s="180">
        <v>12</v>
      </c>
      <c r="L124" s="181" t="s">
        <v>356</v>
      </c>
      <c r="M124" s="182">
        <v>5190930.5</v>
      </c>
      <c r="N124" s="183">
        <v>0.2</v>
      </c>
      <c r="O124" s="184" t="s">
        <v>357</v>
      </c>
      <c r="P124" s="185">
        <v>7020</v>
      </c>
      <c r="Q124" s="185" t="s">
        <v>446</v>
      </c>
      <c r="R124" s="185"/>
      <c r="S124" s="186"/>
      <c r="T124" s="187" t="s">
        <v>355</v>
      </c>
      <c r="U124" s="186">
        <v>1966883</v>
      </c>
      <c r="V124" s="188"/>
      <c r="W124" s="189">
        <v>12458233.199999999</v>
      </c>
      <c r="X124" s="190">
        <v>3559.317</v>
      </c>
      <c r="Y124" s="191">
        <v>32391.405999999999</v>
      </c>
    </row>
    <row r="125" spans="1:25" ht="21.95" x14ac:dyDescent="0.35">
      <c r="A125" s="277">
        <v>2069085</v>
      </c>
      <c r="B125" s="278"/>
      <c r="C125" s="279" t="s">
        <v>865</v>
      </c>
      <c r="D125" s="280">
        <v>44176.724018368055</v>
      </c>
      <c r="E125" s="175" t="s">
        <v>507</v>
      </c>
      <c r="F125" s="176"/>
      <c r="G125" s="177">
        <v>202201</v>
      </c>
      <c r="H125" s="178">
        <v>202206</v>
      </c>
      <c r="I125" s="179" t="s">
        <v>459</v>
      </c>
      <c r="J125" s="180">
        <v>1</v>
      </c>
      <c r="K125" s="180">
        <v>1</v>
      </c>
      <c r="L125" s="181" t="s">
        <v>356</v>
      </c>
      <c r="M125" s="182">
        <v>19480374</v>
      </c>
      <c r="N125" s="183">
        <v>0.25</v>
      </c>
      <c r="O125" s="184" t="s">
        <v>357</v>
      </c>
      <c r="P125" s="185">
        <v>7040</v>
      </c>
      <c r="Q125" s="185" t="s">
        <v>446</v>
      </c>
      <c r="R125" s="185"/>
      <c r="S125" s="186"/>
      <c r="T125" s="187" t="s">
        <v>355</v>
      </c>
      <c r="U125" s="186">
        <v>1415402</v>
      </c>
      <c r="V125" s="188"/>
      <c r="W125" s="189">
        <v>4870093.5</v>
      </c>
      <c r="X125" s="190">
        <v>1391.386</v>
      </c>
      <c r="Y125" s="191">
        <v>12662.243</v>
      </c>
    </row>
    <row r="126" spans="1:25" ht="21.95" x14ac:dyDescent="0.35">
      <c r="A126" s="277">
        <v>2069086</v>
      </c>
      <c r="B126" s="278"/>
      <c r="C126" s="279">
        <v>119010</v>
      </c>
      <c r="D126" s="280">
        <v>44256.597527465281</v>
      </c>
      <c r="E126" s="175" t="s">
        <v>507</v>
      </c>
      <c r="F126" s="176"/>
      <c r="G126" s="177">
        <v>202102</v>
      </c>
      <c r="H126" s="178">
        <v>202112</v>
      </c>
      <c r="I126" s="179" t="s">
        <v>459</v>
      </c>
      <c r="J126" s="180">
        <v>1</v>
      </c>
      <c r="K126" s="180">
        <v>1</v>
      </c>
      <c r="L126" s="181" t="s">
        <v>356</v>
      </c>
      <c r="M126" s="182">
        <v>19480374</v>
      </c>
      <c r="N126" s="183">
        <v>0.2</v>
      </c>
      <c r="O126" s="184" t="s">
        <v>357</v>
      </c>
      <c r="P126" s="185">
        <v>7040</v>
      </c>
      <c r="Q126" s="185" t="s">
        <v>446</v>
      </c>
      <c r="R126" s="185"/>
      <c r="S126" s="186"/>
      <c r="T126" s="187" t="s">
        <v>355</v>
      </c>
      <c r="U126" s="186">
        <v>1966882</v>
      </c>
      <c r="V126" s="188"/>
      <c r="W126" s="189">
        <v>3896074.8</v>
      </c>
      <c r="X126" s="190">
        <v>1113.1089999999999</v>
      </c>
      <c r="Y126" s="191">
        <v>10129.794</v>
      </c>
    </row>
    <row r="127" spans="1:25" ht="21.95" x14ac:dyDescent="0.35">
      <c r="A127" s="277">
        <v>2069083</v>
      </c>
      <c r="B127" s="278"/>
      <c r="C127" s="279" t="s">
        <v>865</v>
      </c>
      <c r="D127" s="280">
        <v>44176.724018368055</v>
      </c>
      <c r="E127" s="175" t="s">
        <v>508</v>
      </c>
      <c r="F127" s="176"/>
      <c r="G127" s="177">
        <v>202201</v>
      </c>
      <c r="H127" s="178">
        <v>202206</v>
      </c>
      <c r="I127" s="179" t="s">
        <v>459</v>
      </c>
      <c r="J127" s="180">
        <v>1</v>
      </c>
      <c r="K127" s="180">
        <v>6</v>
      </c>
      <c r="L127" s="181" t="s">
        <v>356</v>
      </c>
      <c r="M127" s="182">
        <v>15000000</v>
      </c>
      <c r="N127" s="183">
        <v>0.25</v>
      </c>
      <c r="O127" s="184" t="s">
        <v>357</v>
      </c>
      <c r="P127" s="185">
        <v>7140</v>
      </c>
      <c r="Q127" s="185" t="s">
        <v>460</v>
      </c>
      <c r="R127" s="185"/>
      <c r="S127" s="186"/>
      <c r="T127" s="187" t="s">
        <v>355</v>
      </c>
      <c r="U127" s="186">
        <v>1415400</v>
      </c>
      <c r="V127" s="188"/>
      <c r="W127" s="189">
        <v>22500000</v>
      </c>
      <c r="X127" s="190">
        <v>6428.25</v>
      </c>
      <c r="Y127" s="191">
        <v>58500</v>
      </c>
    </row>
    <row r="128" spans="1:25" ht="21.95" x14ac:dyDescent="0.35">
      <c r="A128" s="277">
        <v>2069084</v>
      </c>
      <c r="B128" s="278"/>
      <c r="C128" s="279">
        <v>119010</v>
      </c>
      <c r="D128" s="280">
        <v>44473.977931250003</v>
      </c>
      <c r="E128" s="175" t="s">
        <v>508</v>
      </c>
      <c r="F128" s="176"/>
      <c r="G128" s="177">
        <v>202102</v>
      </c>
      <c r="H128" s="178">
        <v>202112</v>
      </c>
      <c r="I128" s="179" t="s">
        <v>459</v>
      </c>
      <c r="J128" s="180">
        <v>1</v>
      </c>
      <c r="K128" s="180">
        <v>12</v>
      </c>
      <c r="L128" s="181" t="s">
        <v>356</v>
      </c>
      <c r="M128" s="182">
        <v>14928500.175000001</v>
      </c>
      <c r="N128" s="183">
        <v>0.2</v>
      </c>
      <c r="O128" s="184" t="s">
        <v>357</v>
      </c>
      <c r="P128" s="185">
        <v>7140</v>
      </c>
      <c r="Q128" s="185" t="s">
        <v>460</v>
      </c>
      <c r="R128" s="185"/>
      <c r="S128" s="186"/>
      <c r="T128" s="187" t="s">
        <v>355</v>
      </c>
      <c r="U128" s="186">
        <v>1966880</v>
      </c>
      <c r="V128" s="188"/>
      <c r="W128" s="189">
        <v>35828400.420000002</v>
      </c>
      <c r="X128" s="190">
        <v>10236.174000000001</v>
      </c>
      <c r="Y128" s="191">
        <v>93153.841</v>
      </c>
    </row>
    <row r="129" spans="1:25" ht="14.45" x14ac:dyDescent="0.35">
      <c r="A129" s="277">
        <v>2265775</v>
      </c>
      <c r="B129" s="278"/>
      <c r="C129" s="279">
        <v>119010</v>
      </c>
      <c r="D129" s="280">
        <v>44309.908589548613</v>
      </c>
      <c r="E129" s="175" t="s">
        <v>871</v>
      </c>
      <c r="F129" s="176" t="s">
        <v>857</v>
      </c>
      <c r="G129" s="177">
        <v>202201</v>
      </c>
      <c r="H129" s="178">
        <v>202206</v>
      </c>
      <c r="I129" s="179" t="s">
        <v>459</v>
      </c>
      <c r="J129" s="180">
        <v>1</v>
      </c>
      <c r="K129" s="180">
        <v>5</v>
      </c>
      <c r="L129" s="181" t="s">
        <v>356</v>
      </c>
      <c r="M129" s="182">
        <v>2000000</v>
      </c>
      <c r="N129" s="183">
        <v>1</v>
      </c>
      <c r="O129" s="184" t="s">
        <v>354</v>
      </c>
      <c r="P129" s="185">
        <v>7140</v>
      </c>
      <c r="Q129" s="185" t="s">
        <v>325</v>
      </c>
      <c r="R129" s="185"/>
      <c r="S129" s="186">
        <v>901</v>
      </c>
      <c r="T129" s="187" t="s">
        <v>355</v>
      </c>
      <c r="U129" s="186">
        <v>0</v>
      </c>
      <c r="V129" s="188"/>
      <c r="W129" s="189">
        <v>10000000</v>
      </c>
      <c r="X129" s="190">
        <v>2857</v>
      </c>
      <c r="Y129" s="191">
        <v>26000</v>
      </c>
    </row>
    <row r="130" spans="1:25" ht="14.45" x14ac:dyDescent="0.35">
      <c r="A130" s="277">
        <v>2265776</v>
      </c>
      <c r="B130" s="278"/>
      <c r="C130" s="279">
        <v>119010</v>
      </c>
      <c r="D130" s="280">
        <v>44406.66058290509</v>
      </c>
      <c r="E130" s="175" t="s">
        <v>871</v>
      </c>
      <c r="F130" s="176" t="s">
        <v>857</v>
      </c>
      <c r="G130" s="177">
        <v>202103</v>
      </c>
      <c r="H130" s="178">
        <v>202112</v>
      </c>
      <c r="I130" s="179" t="s">
        <v>459</v>
      </c>
      <c r="J130" s="180">
        <v>1</v>
      </c>
      <c r="K130" s="180">
        <v>5</v>
      </c>
      <c r="L130" s="181" t="s">
        <v>356</v>
      </c>
      <c r="M130" s="182">
        <v>2000000</v>
      </c>
      <c r="N130" s="183">
        <v>1</v>
      </c>
      <c r="O130" s="184" t="s">
        <v>354</v>
      </c>
      <c r="P130" s="185">
        <v>7140</v>
      </c>
      <c r="Q130" s="185" t="s">
        <v>325</v>
      </c>
      <c r="R130" s="185"/>
      <c r="S130" s="186">
        <v>901</v>
      </c>
      <c r="T130" s="187" t="s">
        <v>355</v>
      </c>
      <c r="U130" s="186">
        <v>0</v>
      </c>
      <c r="V130" s="188"/>
      <c r="W130" s="189">
        <v>10000000</v>
      </c>
      <c r="X130" s="190">
        <v>2857</v>
      </c>
      <c r="Y130" s="191">
        <v>26000</v>
      </c>
    </row>
    <row r="131" spans="1:25" ht="14.45" x14ac:dyDescent="0.35">
      <c r="A131" s="277">
        <v>2069081</v>
      </c>
      <c r="B131" s="278"/>
      <c r="C131" s="279" t="s">
        <v>865</v>
      </c>
      <c r="D131" s="280">
        <v>44176.724018368055</v>
      </c>
      <c r="E131" s="175" t="s">
        <v>509</v>
      </c>
      <c r="F131" s="176"/>
      <c r="G131" s="177">
        <v>202201</v>
      </c>
      <c r="H131" s="178">
        <v>202206</v>
      </c>
      <c r="I131" s="179" t="s">
        <v>459</v>
      </c>
      <c r="J131" s="180">
        <v>1</v>
      </c>
      <c r="K131" s="180">
        <v>2</v>
      </c>
      <c r="L131" s="181" t="s">
        <v>356</v>
      </c>
      <c r="M131" s="182">
        <v>20030000</v>
      </c>
      <c r="N131" s="183">
        <v>0.25</v>
      </c>
      <c r="O131" s="184" t="s">
        <v>357</v>
      </c>
      <c r="P131" s="185">
        <v>7330</v>
      </c>
      <c r="Q131" s="185" t="s">
        <v>446</v>
      </c>
      <c r="R131" s="185"/>
      <c r="S131" s="186"/>
      <c r="T131" s="187" t="s">
        <v>355</v>
      </c>
      <c r="U131" s="186">
        <v>1415398</v>
      </c>
      <c r="V131" s="188"/>
      <c r="W131" s="189">
        <v>10015000</v>
      </c>
      <c r="X131" s="190">
        <v>2861.2860000000001</v>
      </c>
      <c r="Y131" s="191">
        <v>26039</v>
      </c>
    </row>
    <row r="132" spans="1:25" ht="14.45" x14ac:dyDescent="0.35">
      <c r="A132" s="277">
        <v>2069082</v>
      </c>
      <c r="B132" s="278"/>
      <c r="C132" s="279">
        <v>119010</v>
      </c>
      <c r="D132" s="280">
        <v>44256.597527465281</v>
      </c>
      <c r="E132" s="175" t="s">
        <v>509</v>
      </c>
      <c r="F132" s="176"/>
      <c r="G132" s="177">
        <v>202102</v>
      </c>
      <c r="H132" s="178">
        <v>202112</v>
      </c>
      <c r="I132" s="179" t="s">
        <v>459</v>
      </c>
      <c r="J132" s="180">
        <v>1</v>
      </c>
      <c r="K132" s="180">
        <v>2</v>
      </c>
      <c r="L132" s="181" t="s">
        <v>356</v>
      </c>
      <c r="M132" s="182">
        <v>20030000</v>
      </c>
      <c r="N132" s="183">
        <v>0.2</v>
      </c>
      <c r="O132" s="184" t="s">
        <v>357</v>
      </c>
      <c r="P132" s="185">
        <v>7330</v>
      </c>
      <c r="Q132" s="185" t="s">
        <v>446</v>
      </c>
      <c r="R132" s="185"/>
      <c r="S132" s="186"/>
      <c r="T132" s="187" t="s">
        <v>355</v>
      </c>
      <c r="U132" s="186">
        <v>1966878</v>
      </c>
      <c r="V132" s="188"/>
      <c r="W132" s="189">
        <v>8012000</v>
      </c>
      <c r="X132" s="190">
        <v>2289.0279999999998</v>
      </c>
      <c r="Y132" s="191">
        <v>20831.2</v>
      </c>
    </row>
    <row r="133" spans="1:25" ht="32.450000000000003" x14ac:dyDescent="0.35">
      <c r="A133" s="277">
        <v>2423428</v>
      </c>
      <c r="B133" s="278"/>
      <c r="C133" s="279">
        <v>119010</v>
      </c>
      <c r="D133" s="280">
        <v>44467.892534027778</v>
      </c>
      <c r="E133" s="175" t="s">
        <v>872</v>
      </c>
      <c r="F133" s="176"/>
      <c r="G133" s="177">
        <v>202102</v>
      </c>
      <c r="H133" s="178">
        <v>202112</v>
      </c>
      <c r="I133" s="179" t="s">
        <v>439</v>
      </c>
      <c r="J133" s="180">
        <v>5</v>
      </c>
      <c r="K133" s="180">
        <v>1</v>
      </c>
      <c r="L133" s="181" t="s">
        <v>356</v>
      </c>
      <c r="M133" s="182">
        <v>150000</v>
      </c>
      <c r="N133" s="183">
        <v>1</v>
      </c>
      <c r="O133" s="184" t="s">
        <v>357</v>
      </c>
      <c r="P133" s="185">
        <v>7520</v>
      </c>
      <c r="Q133" s="185" t="s">
        <v>446</v>
      </c>
      <c r="R133" s="185"/>
      <c r="S133" s="186"/>
      <c r="T133" s="187" t="s">
        <v>355</v>
      </c>
      <c r="U133" s="186">
        <v>1966877</v>
      </c>
      <c r="V133" s="188"/>
      <c r="W133" s="189">
        <v>750000</v>
      </c>
      <c r="X133" s="190">
        <v>214.27500000000001</v>
      </c>
      <c r="Y133" s="191">
        <v>1950</v>
      </c>
    </row>
    <row r="134" spans="1:25" ht="21.95" x14ac:dyDescent="0.35">
      <c r="A134" s="277">
        <v>2069079</v>
      </c>
      <c r="B134" s="278"/>
      <c r="C134" s="279" t="s">
        <v>865</v>
      </c>
      <c r="D134" s="280">
        <v>44176.724018368055</v>
      </c>
      <c r="E134" s="175" t="s">
        <v>510</v>
      </c>
      <c r="F134" s="176"/>
      <c r="G134" s="177">
        <v>202201</v>
      </c>
      <c r="H134" s="178">
        <v>202206</v>
      </c>
      <c r="I134" s="179" t="s">
        <v>459</v>
      </c>
      <c r="J134" s="180">
        <v>1</v>
      </c>
      <c r="K134" s="180">
        <v>6</v>
      </c>
      <c r="L134" s="181" t="s">
        <v>356</v>
      </c>
      <c r="M134" s="182">
        <v>4700000</v>
      </c>
      <c r="N134" s="183">
        <v>0.25</v>
      </c>
      <c r="O134" s="184" t="s">
        <v>357</v>
      </c>
      <c r="P134" s="185">
        <v>8170</v>
      </c>
      <c r="Q134" s="185" t="s">
        <v>468</v>
      </c>
      <c r="R134" s="185"/>
      <c r="S134" s="186"/>
      <c r="T134" s="187" t="s">
        <v>355</v>
      </c>
      <c r="U134" s="186">
        <v>1415397</v>
      </c>
      <c r="V134" s="188"/>
      <c r="W134" s="189">
        <v>7050000</v>
      </c>
      <c r="X134" s="190">
        <v>2014.1849999999999</v>
      </c>
      <c r="Y134" s="191">
        <v>18330</v>
      </c>
    </row>
    <row r="135" spans="1:25" ht="21.95" x14ac:dyDescent="0.35">
      <c r="A135" s="277">
        <v>2069080</v>
      </c>
      <c r="B135" s="278"/>
      <c r="C135" s="279">
        <v>119010</v>
      </c>
      <c r="D135" s="280">
        <v>44467.892534027778</v>
      </c>
      <c r="E135" s="175" t="s">
        <v>510</v>
      </c>
      <c r="F135" s="176"/>
      <c r="G135" s="177">
        <v>202102</v>
      </c>
      <c r="H135" s="178">
        <v>202112</v>
      </c>
      <c r="I135" s="179" t="s">
        <v>459</v>
      </c>
      <c r="J135" s="180">
        <v>1</v>
      </c>
      <c r="K135" s="180">
        <v>12</v>
      </c>
      <c r="L135" s="181" t="s">
        <v>356</v>
      </c>
      <c r="M135" s="182">
        <v>4387500.3880000003</v>
      </c>
      <c r="N135" s="183">
        <v>0.2</v>
      </c>
      <c r="O135" s="184" t="s">
        <v>357</v>
      </c>
      <c r="P135" s="185">
        <v>8170</v>
      </c>
      <c r="Q135" s="185" t="s">
        <v>468</v>
      </c>
      <c r="R135" s="185"/>
      <c r="S135" s="186"/>
      <c r="T135" s="187" t="s">
        <v>355</v>
      </c>
      <c r="U135" s="186">
        <v>1966876</v>
      </c>
      <c r="V135" s="188"/>
      <c r="W135" s="189">
        <v>10530000.931</v>
      </c>
      <c r="X135" s="190">
        <v>3008.4209999999998</v>
      </c>
      <c r="Y135" s="191">
        <v>27378.002</v>
      </c>
    </row>
  </sheetData>
  <conditionalFormatting sqref="A2:A135">
    <cfRule type="expression" dxfId="3" priority="4">
      <formula>COUNTIF(B:B,A2)&gt;0</formula>
    </cfRule>
  </conditionalFormatting>
  <conditionalFormatting sqref="W2:Y135">
    <cfRule type="expression" dxfId="2" priority="3">
      <formula>#REF!</formula>
    </cfRule>
  </conditionalFormatting>
  <conditionalFormatting sqref="O2:O135">
    <cfRule type="expression" dxfId="1" priority="2">
      <formula>#REF!</formula>
    </cfRule>
  </conditionalFormatting>
  <conditionalFormatting sqref="B2:B135">
    <cfRule type="expression" dxfId="0" priority="1">
      <formula>$F2&lt;&gt;""</formula>
    </cfRule>
  </conditionalFormatting>
  <dataValidations count="4">
    <dataValidation type="custom" operator="equal" allowBlank="1" showInputMessage="1" showErrorMessage="1" sqref="G2:H135">
      <formula1>AND(ISNUMBER(G2),LEN(G2)=6)</formula1>
    </dataValidation>
    <dataValidation type="decimal" allowBlank="1" showInputMessage="1" showErrorMessage="1" sqref="N2:N135">
      <formula1>0</formula1>
      <formula2>1</formula2>
    </dataValidation>
    <dataValidation type="decimal" operator="greaterThan" allowBlank="1" showInputMessage="1" showErrorMessage="1" sqref="M2:M135 J2:K135">
      <formula1>0</formula1>
    </dataValidation>
    <dataValidation type="list" allowBlank="1" showInputMessage="1" showErrorMessage="1" sqref="I2:I135">
      <formula1>UnitName</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topLeftCell="A148" workbookViewId="0">
      <selection activeCell="D3" sqref="D3"/>
    </sheetView>
  </sheetViews>
  <sheetFormatPr baseColWidth="10" defaultColWidth="8.7109375" defaultRowHeight="15" x14ac:dyDescent="0.25"/>
  <sheetData>
    <row r="1" spans="1:2" x14ac:dyDescent="0.25">
      <c r="A1" s="71" t="s">
        <v>511</v>
      </c>
      <c r="B1" s="72" t="s">
        <v>512</v>
      </c>
    </row>
    <row r="2" spans="1:2" x14ac:dyDescent="0.25">
      <c r="A2" s="73" t="s">
        <v>513</v>
      </c>
      <c r="B2" s="74" t="s">
        <v>514</v>
      </c>
    </row>
    <row r="3" spans="1:2" x14ac:dyDescent="0.25">
      <c r="A3" s="73" t="s">
        <v>515</v>
      </c>
      <c r="B3" s="74" t="s">
        <v>516</v>
      </c>
    </row>
    <row r="4" spans="1:2" x14ac:dyDescent="0.25">
      <c r="A4" s="73" t="s">
        <v>517</v>
      </c>
      <c r="B4" s="74" t="s">
        <v>518</v>
      </c>
    </row>
    <row r="5" spans="1:2" x14ac:dyDescent="0.25">
      <c r="A5" s="73" t="s">
        <v>519</v>
      </c>
      <c r="B5" s="74" t="s">
        <v>520</v>
      </c>
    </row>
    <row r="6" spans="1:2" x14ac:dyDescent="0.25">
      <c r="A6" s="73" t="s">
        <v>521</v>
      </c>
      <c r="B6" s="74" t="s">
        <v>522</v>
      </c>
    </row>
    <row r="7" spans="1:2" x14ac:dyDescent="0.25">
      <c r="A7" s="73" t="s">
        <v>523</v>
      </c>
      <c r="B7" s="74" t="s">
        <v>524</v>
      </c>
    </row>
    <row r="8" spans="1:2" x14ac:dyDescent="0.25">
      <c r="A8" s="73" t="s">
        <v>525</v>
      </c>
      <c r="B8" s="74" t="s">
        <v>526</v>
      </c>
    </row>
    <row r="9" spans="1:2" x14ac:dyDescent="0.25">
      <c r="A9" s="73" t="s">
        <v>527</v>
      </c>
      <c r="B9" s="74" t="s">
        <v>528</v>
      </c>
    </row>
    <row r="10" spans="1:2" x14ac:dyDescent="0.25">
      <c r="A10" s="73" t="s">
        <v>529</v>
      </c>
      <c r="B10" s="74" t="s">
        <v>530</v>
      </c>
    </row>
    <row r="11" spans="1:2" x14ac:dyDescent="0.25">
      <c r="A11" s="73" t="s">
        <v>531</v>
      </c>
      <c r="B11" s="74" t="s">
        <v>532</v>
      </c>
    </row>
    <row r="12" spans="1:2" x14ac:dyDescent="0.25">
      <c r="A12" s="73" t="s">
        <v>533</v>
      </c>
      <c r="B12" s="74" t="s">
        <v>534</v>
      </c>
    </row>
    <row r="13" spans="1:2" x14ac:dyDescent="0.25">
      <c r="A13" s="73" t="s">
        <v>535</v>
      </c>
      <c r="B13" s="74" t="s">
        <v>536</v>
      </c>
    </row>
    <row r="14" spans="1:2" x14ac:dyDescent="0.25">
      <c r="A14" s="73" t="s">
        <v>537</v>
      </c>
      <c r="B14" s="74" t="s">
        <v>538</v>
      </c>
    </row>
    <row r="15" spans="1:2" x14ac:dyDescent="0.25">
      <c r="A15" s="73" t="s">
        <v>539</v>
      </c>
      <c r="B15" s="74" t="s">
        <v>540</v>
      </c>
    </row>
    <row r="16" spans="1:2" x14ac:dyDescent="0.25">
      <c r="A16" s="73" t="s">
        <v>541</v>
      </c>
      <c r="B16" s="74" t="s">
        <v>542</v>
      </c>
    </row>
    <row r="17" spans="1:2" x14ac:dyDescent="0.25">
      <c r="A17" s="73" t="s">
        <v>543</v>
      </c>
      <c r="B17" s="74" t="s">
        <v>544</v>
      </c>
    </row>
    <row r="18" spans="1:2" x14ac:dyDescent="0.25">
      <c r="A18" s="73" t="s">
        <v>545</v>
      </c>
      <c r="B18" s="74" t="s">
        <v>546</v>
      </c>
    </row>
    <row r="19" spans="1:2" x14ac:dyDescent="0.25">
      <c r="A19" s="73" t="s">
        <v>547</v>
      </c>
      <c r="B19" s="74" t="s">
        <v>548</v>
      </c>
    </row>
    <row r="20" spans="1:2" x14ac:dyDescent="0.25">
      <c r="A20" s="73" t="s">
        <v>549</v>
      </c>
      <c r="B20" s="74" t="s">
        <v>550</v>
      </c>
    </row>
    <row r="21" spans="1:2" x14ac:dyDescent="0.25">
      <c r="A21" s="73" t="s">
        <v>551</v>
      </c>
      <c r="B21" s="74" t="s">
        <v>552</v>
      </c>
    </row>
    <row r="22" spans="1:2" x14ac:dyDescent="0.25">
      <c r="A22" s="73" t="s">
        <v>553</v>
      </c>
      <c r="B22" s="74" t="s">
        <v>554</v>
      </c>
    </row>
    <row r="23" spans="1:2" x14ac:dyDescent="0.25">
      <c r="A23" s="73" t="s">
        <v>555</v>
      </c>
      <c r="B23" s="74" t="s">
        <v>556</v>
      </c>
    </row>
    <row r="24" spans="1:2" x14ac:dyDescent="0.25">
      <c r="A24" s="73" t="s">
        <v>557</v>
      </c>
      <c r="B24" s="74" t="s">
        <v>558</v>
      </c>
    </row>
    <row r="25" spans="1:2" x14ac:dyDescent="0.25">
      <c r="A25" s="73" t="s">
        <v>559</v>
      </c>
      <c r="B25" s="74" t="s">
        <v>560</v>
      </c>
    </row>
    <row r="26" spans="1:2" x14ac:dyDescent="0.25">
      <c r="A26" s="73" t="s">
        <v>561</v>
      </c>
      <c r="B26" s="74" t="s">
        <v>562</v>
      </c>
    </row>
    <row r="27" spans="1:2" x14ac:dyDescent="0.25">
      <c r="A27" s="73" t="s">
        <v>563</v>
      </c>
      <c r="B27" s="74" t="s">
        <v>564</v>
      </c>
    </row>
    <row r="28" spans="1:2" x14ac:dyDescent="0.25">
      <c r="A28" s="73" t="s">
        <v>565</v>
      </c>
      <c r="B28" s="74" t="s">
        <v>566</v>
      </c>
    </row>
    <row r="29" spans="1:2" x14ac:dyDescent="0.25">
      <c r="A29" s="73" t="s">
        <v>567</v>
      </c>
      <c r="B29" s="74" t="s">
        <v>568</v>
      </c>
    </row>
    <row r="30" spans="1:2" x14ac:dyDescent="0.25">
      <c r="A30" s="73" t="s">
        <v>569</v>
      </c>
      <c r="B30" s="74" t="s">
        <v>570</v>
      </c>
    </row>
    <row r="31" spans="1:2" x14ac:dyDescent="0.25">
      <c r="A31" s="73" t="s">
        <v>571</v>
      </c>
      <c r="B31" s="74" t="s">
        <v>572</v>
      </c>
    </row>
    <row r="32" spans="1:2" x14ac:dyDescent="0.25">
      <c r="A32" s="73" t="s">
        <v>573</v>
      </c>
      <c r="B32" s="74" t="s">
        <v>574</v>
      </c>
    </row>
    <row r="33" spans="1:2" x14ac:dyDescent="0.25">
      <c r="A33" s="73" t="s">
        <v>575</v>
      </c>
      <c r="B33" s="74" t="s">
        <v>576</v>
      </c>
    </row>
    <row r="34" spans="1:2" x14ac:dyDescent="0.25">
      <c r="A34" s="73" t="s">
        <v>577</v>
      </c>
      <c r="B34" s="74" t="s">
        <v>578</v>
      </c>
    </row>
    <row r="35" spans="1:2" x14ac:dyDescent="0.25">
      <c r="A35" s="73" t="s">
        <v>579</v>
      </c>
      <c r="B35" s="74" t="s">
        <v>580</v>
      </c>
    </row>
    <row r="36" spans="1:2" x14ac:dyDescent="0.25">
      <c r="A36" s="73" t="s">
        <v>581</v>
      </c>
      <c r="B36" s="74" t="s">
        <v>582</v>
      </c>
    </row>
    <row r="37" spans="1:2" x14ac:dyDescent="0.25">
      <c r="A37" s="73" t="s">
        <v>583</v>
      </c>
      <c r="B37" s="74" t="s">
        <v>584</v>
      </c>
    </row>
    <row r="38" spans="1:2" x14ac:dyDescent="0.25">
      <c r="A38" s="73" t="s">
        <v>585</v>
      </c>
      <c r="B38" s="74" t="s">
        <v>586</v>
      </c>
    </row>
    <row r="39" spans="1:2" x14ac:dyDescent="0.25">
      <c r="A39" s="73" t="s">
        <v>587</v>
      </c>
      <c r="B39" s="74" t="s">
        <v>588</v>
      </c>
    </row>
    <row r="40" spans="1:2" x14ac:dyDescent="0.25">
      <c r="A40" s="73" t="s">
        <v>589</v>
      </c>
      <c r="B40" s="74" t="s">
        <v>590</v>
      </c>
    </row>
    <row r="41" spans="1:2" x14ac:dyDescent="0.25">
      <c r="A41" s="73" t="s">
        <v>591</v>
      </c>
      <c r="B41" s="74" t="s">
        <v>592</v>
      </c>
    </row>
    <row r="42" spans="1:2" x14ac:dyDescent="0.25">
      <c r="A42" s="73" t="s">
        <v>593</v>
      </c>
      <c r="B42" s="74" t="s">
        <v>594</v>
      </c>
    </row>
    <row r="43" spans="1:2" x14ac:dyDescent="0.25">
      <c r="A43" s="73" t="s">
        <v>595</v>
      </c>
      <c r="B43" s="74" t="s">
        <v>596</v>
      </c>
    </row>
    <row r="44" spans="1:2" x14ac:dyDescent="0.25">
      <c r="A44" s="73" t="s">
        <v>597</v>
      </c>
      <c r="B44" s="74" t="s">
        <v>598</v>
      </c>
    </row>
    <row r="45" spans="1:2" x14ac:dyDescent="0.25">
      <c r="A45" s="73" t="s">
        <v>599</v>
      </c>
      <c r="B45" s="74" t="s">
        <v>600</v>
      </c>
    </row>
    <row r="46" spans="1:2" x14ac:dyDescent="0.25">
      <c r="A46" s="73" t="s">
        <v>601</v>
      </c>
      <c r="B46" s="74" t="s">
        <v>602</v>
      </c>
    </row>
    <row r="47" spans="1:2" x14ac:dyDescent="0.25">
      <c r="A47" s="73" t="s">
        <v>603</v>
      </c>
      <c r="B47" s="74" t="s">
        <v>604</v>
      </c>
    </row>
    <row r="48" spans="1:2" x14ac:dyDescent="0.25">
      <c r="A48" s="73" t="s">
        <v>605</v>
      </c>
      <c r="B48" s="74" t="s">
        <v>606</v>
      </c>
    </row>
    <row r="49" spans="1:2" x14ac:dyDescent="0.25">
      <c r="A49" s="73" t="s">
        <v>607</v>
      </c>
      <c r="B49" s="74" t="s">
        <v>608</v>
      </c>
    </row>
    <row r="50" spans="1:2" x14ac:dyDescent="0.25">
      <c r="A50" s="73" t="s">
        <v>609</v>
      </c>
      <c r="B50" s="74" t="s">
        <v>610</v>
      </c>
    </row>
    <row r="51" spans="1:2" x14ac:dyDescent="0.25">
      <c r="A51" s="73" t="s">
        <v>611</v>
      </c>
      <c r="B51" s="74" t="s">
        <v>612</v>
      </c>
    </row>
    <row r="52" spans="1:2" x14ac:dyDescent="0.25">
      <c r="A52" s="73" t="s">
        <v>613</v>
      </c>
      <c r="B52" s="74" t="s">
        <v>614</v>
      </c>
    </row>
    <row r="53" spans="1:2" x14ac:dyDescent="0.25">
      <c r="A53" s="73" t="s">
        <v>615</v>
      </c>
      <c r="B53" s="74" t="s">
        <v>616</v>
      </c>
    </row>
    <row r="54" spans="1:2" x14ac:dyDescent="0.25">
      <c r="A54" s="73" t="s">
        <v>617</v>
      </c>
      <c r="B54" s="74" t="s">
        <v>618</v>
      </c>
    </row>
    <row r="55" spans="1:2" x14ac:dyDescent="0.25">
      <c r="A55" s="73" t="s">
        <v>619</v>
      </c>
      <c r="B55" s="74" t="s">
        <v>620</v>
      </c>
    </row>
    <row r="56" spans="1:2" x14ac:dyDescent="0.25">
      <c r="A56" s="73" t="s">
        <v>621</v>
      </c>
      <c r="B56" s="74" t="s">
        <v>622</v>
      </c>
    </row>
    <row r="57" spans="1:2" x14ac:dyDescent="0.25">
      <c r="A57" s="73" t="s">
        <v>623</v>
      </c>
      <c r="B57" s="74" t="s">
        <v>624</v>
      </c>
    </row>
    <row r="58" spans="1:2" x14ac:dyDescent="0.25">
      <c r="A58" s="73" t="s">
        <v>625</v>
      </c>
      <c r="B58" s="74" t="s">
        <v>626</v>
      </c>
    </row>
    <row r="59" spans="1:2" x14ac:dyDescent="0.25">
      <c r="A59" s="73" t="s">
        <v>627</v>
      </c>
      <c r="B59" s="74" t="s">
        <v>628</v>
      </c>
    </row>
    <row r="60" spans="1:2" x14ac:dyDescent="0.25">
      <c r="A60" s="73" t="s">
        <v>629</v>
      </c>
      <c r="B60" s="74" t="s">
        <v>630</v>
      </c>
    </row>
    <row r="61" spans="1:2" x14ac:dyDescent="0.25">
      <c r="A61" s="73" t="s">
        <v>631</v>
      </c>
      <c r="B61" s="74" t="s">
        <v>632</v>
      </c>
    </row>
    <row r="62" spans="1:2" x14ac:dyDescent="0.25">
      <c r="A62" s="73" t="s">
        <v>633</v>
      </c>
      <c r="B62" s="74" t="s">
        <v>634</v>
      </c>
    </row>
    <row r="63" spans="1:2" x14ac:dyDescent="0.25">
      <c r="A63" s="73" t="s">
        <v>635</v>
      </c>
      <c r="B63" s="74" t="s">
        <v>636</v>
      </c>
    </row>
    <row r="64" spans="1:2" x14ac:dyDescent="0.25">
      <c r="A64" s="73" t="s">
        <v>637</v>
      </c>
      <c r="B64" s="74" t="s">
        <v>638</v>
      </c>
    </row>
    <row r="65" spans="1:2" x14ac:dyDescent="0.25">
      <c r="A65" s="73" t="s">
        <v>639</v>
      </c>
      <c r="B65" s="74" t="s">
        <v>640</v>
      </c>
    </row>
    <row r="66" spans="1:2" x14ac:dyDescent="0.25">
      <c r="A66" s="73" t="s">
        <v>641</v>
      </c>
      <c r="B66" s="74" t="s">
        <v>642</v>
      </c>
    </row>
    <row r="67" spans="1:2" x14ac:dyDescent="0.25">
      <c r="A67" s="73" t="s">
        <v>643</v>
      </c>
      <c r="B67" s="74" t="s">
        <v>644</v>
      </c>
    </row>
    <row r="68" spans="1:2" x14ac:dyDescent="0.25">
      <c r="A68" s="73" t="s">
        <v>645</v>
      </c>
      <c r="B68" s="74" t="s">
        <v>646</v>
      </c>
    </row>
    <row r="69" spans="1:2" x14ac:dyDescent="0.25">
      <c r="A69" s="73" t="s">
        <v>647</v>
      </c>
      <c r="B69" s="74" t="s">
        <v>648</v>
      </c>
    </row>
    <row r="70" spans="1:2" x14ac:dyDescent="0.25">
      <c r="A70" s="73" t="s">
        <v>649</v>
      </c>
      <c r="B70" s="74" t="s">
        <v>650</v>
      </c>
    </row>
    <row r="71" spans="1:2" x14ac:dyDescent="0.25">
      <c r="A71" s="73" t="s">
        <v>651</v>
      </c>
      <c r="B71" s="74" t="s">
        <v>652</v>
      </c>
    </row>
    <row r="72" spans="1:2" x14ac:dyDescent="0.25">
      <c r="A72" s="73" t="s">
        <v>653</v>
      </c>
      <c r="B72" s="74" t="s">
        <v>654</v>
      </c>
    </row>
    <row r="73" spans="1:2" x14ac:dyDescent="0.25">
      <c r="A73" s="73" t="s">
        <v>655</v>
      </c>
      <c r="B73" s="74" t="s">
        <v>656</v>
      </c>
    </row>
    <row r="74" spans="1:2" x14ac:dyDescent="0.25">
      <c r="A74" s="73" t="s">
        <v>657</v>
      </c>
      <c r="B74" s="74" t="s">
        <v>658</v>
      </c>
    </row>
    <row r="75" spans="1:2" x14ac:dyDescent="0.25">
      <c r="A75" s="73" t="s">
        <v>659</v>
      </c>
      <c r="B75" s="75" t="s">
        <v>660</v>
      </c>
    </row>
    <row r="76" spans="1:2" x14ac:dyDescent="0.25">
      <c r="A76" s="73" t="s">
        <v>661</v>
      </c>
      <c r="B76" s="75" t="s">
        <v>662</v>
      </c>
    </row>
    <row r="77" spans="1:2" x14ac:dyDescent="0.25">
      <c r="A77" s="73" t="s">
        <v>663</v>
      </c>
      <c r="B77" s="75" t="s">
        <v>664</v>
      </c>
    </row>
    <row r="78" spans="1:2" x14ac:dyDescent="0.25">
      <c r="A78" s="73" t="s">
        <v>665</v>
      </c>
      <c r="B78" s="75" t="s">
        <v>666</v>
      </c>
    </row>
    <row r="79" spans="1:2" x14ac:dyDescent="0.25">
      <c r="A79" s="73" t="s">
        <v>667</v>
      </c>
      <c r="B79" s="75" t="s">
        <v>668</v>
      </c>
    </row>
    <row r="80" spans="1:2" x14ac:dyDescent="0.25">
      <c r="A80" s="73" t="s">
        <v>669</v>
      </c>
      <c r="B80" s="75" t="s">
        <v>670</v>
      </c>
    </row>
    <row r="81" spans="1:2" x14ac:dyDescent="0.25">
      <c r="A81" s="73" t="s">
        <v>671</v>
      </c>
      <c r="B81" s="75" t="s">
        <v>672</v>
      </c>
    </row>
    <row r="82" spans="1:2" x14ac:dyDescent="0.25">
      <c r="A82" s="73" t="s">
        <v>673</v>
      </c>
      <c r="B82" s="75" t="s">
        <v>674</v>
      </c>
    </row>
    <row r="83" spans="1:2" x14ac:dyDescent="0.25">
      <c r="A83" s="73" t="s">
        <v>675</v>
      </c>
      <c r="B83" s="75" t="s">
        <v>676</v>
      </c>
    </row>
    <row r="84" spans="1:2" x14ac:dyDescent="0.25">
      <c r="A84" s="73" t="s">
        <v>677</v>
      </c>
      <c r="B84" s="75" t="s">
        <v>678</v>
      </c>
    </row>
    <row r="85" spans="1:2" x14ac:dyDescent="0.25">
      <c r="A85" s="73" t="s">
        <v>679</v>
      </c>
      <c r="B85" s="75" t="s">
        <v>680</v>
      </c>
    </row>
    <row r="86" spans="1:2" x14ac:dyDescent="0.25">
      <c r="A86" s="73" t="s">
        <v>681</v>
      </c>
      <c r="B86" s="75" t="s">
        <v>682</v>
      </c>
    </row>
    <row r="87" spans="1:2" x14ac:dyDescent="0.25">
      <c r="A87" s="73" t="s">
        <v>683</v>
      </c>
      <c r="B87" s="75" t="s">
        <v>684</v>
      </c>
    </row>
    <row r="88" spans="1:2" x14ac:dyDescent="0.25">
      <c r="A88" s="73" t="s">
        <v>685</v>
      </c>
      <c r="B88" s="75" t="s">
        <v>686</v>
      </c>
    </row>
    <row r="89" spans="1:2" x14ac:dyDescent="0.25">
      <c r="A89" s="73" t="s">
        <v>687</v>
      </c>
      <c r="B89" s="75" t="s">
        <v>688</v>
      </c>
    </row>
    <row r="90" spans="1:2" x14ac:dyDescent="0.25">
      <c r="A90" s="73" t="s">
        <v>689</v>
      </c>
      <c r="B90" s="75" t="s">
        <v>690</v>
      </c>
    </row>
    <row r="91" spans="1:2" x14ac:dyDescent="0.25">
      <c r="A91" s="73" t="s">
        <v>691</v>
      </c>
      <c r="B91" s="75" t="s">
        <v>692</v>
      </c>
    </row>
    <row r="92" spans="1:2" x14ac:dyDescent="0.25">
      <c r="A92" s="73" t="s">
        <v>693</v>
      </c>
      <c r="B92" s="75" t="s">
        <v>694</v>
      </c>
    </row>
    <row r="93" spans="1:2" x14ac:dyDescent="0.25">
      <c r="A93" s="73" t="s">
        <v>695</v>
      </c>
      <c r="B93" s="75" t="s">
        <v>696</v>
      </c>
    </row>
    <row r="94" spans="1:2" x14ac:dyDescent="0.25">
      <c r="A94" s="73" t="s">
        <v>697</v>
      </c>
      <c r="B94" s="75" t="s">
        <v>698</v>
      </c>
    </row>
    <row r="95" spans="1:2" x14ac:dyDescent="0.25">
      <c r="A95" s="73" t="s">
        <v>699</v>
      </c>
      <c r="B95" s="75" t="s">
        <v>700</v>
      </c>
    </row>
    <row r="96" spans="1:2" x14ac:dyDescent="0.25">
      <c r="A96" s="73" t="s">
        <v>701</v>
      </c>
      <c r="B96" s="75" t="s">
        <v>702</v>
      </c>
    </row>
    <row r="97" spans="1:2" x14ac:dyDescent="0.25">
      <c r="A97" s="73" t="s">
        <v>703</v>
      </c>
      <c r="B97" s="75" t="s">
        <v>704</v>
      </c>
    </row>
    <row r="98" spans="1:2" x14ac:dyDescent="0.25">
      <c r="A98" s="73" t="s">
        <v>705</v>
      </c>
      <c r="B98" s="75" t="s">
        <v>706</v>
      </c>
    </row>
    <row r="99" spans="1:2" x14ac:dyDescent="0.25">
      <c r="A99" s="73" t="s">
        <v>707</v>
      </c>
      <c r="B99" s="75" t="s">
        <v>708</v>
      </c>
    </row>
    <row r="100" spans="1:2" x14ac:dyDescent="0.25">
      <c r="A100" s="73" t="s">
        <v>709</v>
      </c>
      <c r="B100" s="75" t="s">
        <v>710</v>
      </c>
    </row>
    <row r="101" spans="1:2" x14ac:dyDescent="0.25">
      <c r="A101" s="73" t="s">
        <v>711</v>
      </c>
      <c r="B101" s="75" t="s">
        <v>712</v>
      </c>
    </row>
    <row r="102" spans="1:2" x14ac:dyDescent="0.25">
      <c r="A102" s="73" t="s">
        <v>713</v>
      </c>
      <c r="B102" s="75" t="s">
        <v>714</v>
      </c>
    </row>
    <row r="103" spans="1:2" x14ac:dyDescent="0.25">
      <c r="A103" s="73" t="s">
        <v>715</v>
      </c>
      <c r="B103" s="75" t="s">
        <v>716</v>
      </c>
    </row>
    <row r="104" spans="1:2" x14ac:dyDescent="0.25">
      <c r="A104" s="73" t="s">
        <v>717</v>
      </c>
      <c r="B104" s="75" t="s">
        <v>718</v>
      </c>
    </row>
    <row r="105" spans="1:2" x14ac:dyDescent="0.25">
      <c r="A105" s="73" t="s">
        <v>719</v>
      </c>
      <c r="B105" s="75" t="s">
        <v>720</v>
      </c>
    </row>
    <row r="106" spans="1:2" x14ac:dyDescent="0.25">
      <c r="A106" s="73" t="s">
        <v>721</v>
      </c>
      <c r="B106" s="75" t="s">
        <v>722</v>
      </c>
    </row>
    <row r="107" spans="1:2" x14ac:dyDescent="0.25">
      <c r="A107" s="73" t="s">
        <v>723</v>
      </c>
      <c r="B107" s="75" t="s">
        <v>724</v>
      </c>
    </row>
    <row r="108" spans="1:2" x14ac:dyDescent="0.25">
      <c r="A108" s="73" t="s">
        <v>725</v>
      </c>
      <c r="B108" s="75" t="s">
        <v>726</v>
      </c>
    </row>
    <row r="109" spans="1:2" x14ac:dyDescent="0.25">
      <c r="A109" s="73" t="s">
        <v>727</v>
      </c>
      <c r="B109" s="75" t="s">
        <v>728</v>
      </c>
    </row>
    <row r="110" spans="1:2" x14ac:dyDescent="0.25">
      <c r="A110" s="73" t="s">
        <v>729</v>
      </c>
      <c r="B110" s="75" t="s">
        <v>730</v>
      </c>
    </row>
    <row r="111" spans="1:2" x14ac:dyDescent="0.25">
      <c r="A111" s="73" t="s">
        <v>731</v>
      </c>
      <c r="B111" s="75" t="s">
        <v>732</v>
      </c>
    </row>
    <row r="112" spans="1:2" x14ac:dyDescent="0.25">
      <c r="A112" s="73" t="s">
        <v>733</v>
      </c>
      <c r="B112" s="75" t="s">
        <v>734</v>
      </c>
    </row>
    <row r="113" spans="1:2" x14ac:dyDescent="0.25">
      <c r="A113" s="73" t="s">
        <v>735</v>
      </c>
      <c r="B113" s="75" t="s">
        <v>736</v>
      </c>
    </row>
    <row r="114" spans="1:2" x14ac:dyDescent="0.25">
      <c r="A114" s="73" t="s">
        <v>737</v>
      </c>
      <c r="B114" s="75" t="s">
        <v>738</v>
      </c>
    </row>
    <row r="115" spans="1:2" x14ac:dyDescent="0.25">
      <c r="A115" s="73" t="s">
        <v>739</v>
      </c>
      <c r="B115" s="75" t="s">
        <v>740</v>
      </c>
    </row>
    <row r="116" spans="1:2" x14ac:dyDescent="0.25">
      <c r="A116" s="73" t="s">
        <v>741</v>
      </c>
      <c r="B116" s="75" t="s">
        <v>742</v>
      </c>
    </row>
    <row r="117" spans="1:2" x14ac:dyDescent="0.25">
      <c r="A117" s="73" t="s">
        <v>743</v>
      </c>
      <c r="B117" s="75" t="s">
        <v>744</v>
      </c>
    </row>
    <row r="118" spans="1:2" x14ac:dyDescent="0.25">
      <c r="A118" s="73" t="s">
        <v>745</v>
      </c>
      <c r="B118" s="75" t="s">
        <v>746</v>
      </c>
    </row>
    <row r="119" spans="1:2" x14ac:dyDescent="0.25">
      <c r="A119" s="73" t="s">
        <v>747</v>
      </c>
      <c r="B119" s="75" t="s">
        <v>748</v>
      </c>
    </row>
    <row r="120" spans="1:2" x14ac:dyDescent="0.25">
      <c r="A120" s="73" t="s">
        <v>749</v>
      </c>
      <c r="B120" s="75" t="s">
        <v>750</v>
      </c>
    </row>
    <row r="121" spans="1:2" x14ac:dyDescent="0.25">
      <c r="A121" s="73" t="s">
        <v>751</v>
      </c>
      <c r="B121" s="75" t="s">
        <v>752</v>
      </c>
    </row>
    <row r="122" spans="1:2" x14ac:dyDescent="0.25">
      <c r="A122" s="73" t="s">
        <v>753</v>
      </c>
      <c r="B122" s="75" t="s">
        <v>754</v>
      </c>
    </row>
    <row r="123" spans="1:2" x14ac:dyDescent="0.25">
      <c r="A123" s="73" t="s">
        <v>755</v>
      </c>
      <c r="B123" s="75" t="s">
        <v>756</v>
      </c>
    </row>
    <row r="124" spans="1:2" x14ac:dyDescent="0.25">
      <c r="A124" s="73" t="s">
        <v>757</v>
      </c>
      <c r="B124" s="75" t="s">
        <v>758</v>
      </c>
    </row>
    <row r="125" spans="1:2" x14ac:dyDescent="0.25">
      <c r="A125" s="73" t="s">
        <v>759</v>
      </c>
      <c r="B125" s="75" t="s">
        <v>760</v>
      </c>
    </row>
    <row r="126" spans="1:2" x14ac:dyDescent="0.25">
      <c r="A126" s="73" t="s">
        <v>761</v>
      </c>
      <c r="B126" s="75" t="s">
        <v>762</v>
      </c>
    </row>
    <row r="127" spans="1:2" x14ac:dyDescent="0.25">
      <c r="A127" s="73" t="s">
        <v>763</v>
      </c>
      <c r="B127" s="75" t="s">
        <v>764</v>
      </c>
    </row>
    <row r="128" spans="1:2" x14ac:dyDescent="0.25">
      <c r="A128" s="73" t="s">
        <v>765</v>
      </c>
      <c r="B128" s="75" t="s">
        <v>766</v>
      </c>
    </row>
    <row r="129" spans="1:2" x14ac:dyDescent="0.25">
      <c r="A129" s="73" t="s">
        <v>767</v>
      </c>
      <c r="B129" s="75" t="s">
        <v>768</v>
      </c>
    </row>
    <row r="130" spans="1:2" x14ac:dyDescent="0.25">
      <c r="A130" s="73" t="s">
        <v>769</v>
      </c>
      <c r="B130" s="75" t="s">
        <v>770</v>
      </c>
    </row>
    <row r="131" spans="1:2" x14ac:dyDescent="0.25">
      <c r="A131" s="73" t="s">
        <v>771</v>
      </c>
      <c r="B131" s="75" t="s">
        <v>772</v>
      </c>
    </row>
    <row r="132" spans="1:2" x14ac:dyDescent="0.25">
      <c r="A132" s="73" t="s">
        <v>773</v>
      </c>
      <c r="B132" s="75" t="s">
        <v>774</v>
      </c>
    </row>
    <row r="133" spans="1:2" x14ac:dyDescent="0.25">
      <c r="A133" s="73" t="s">
        <v>775</v>
      </c>
      <c r="B133" s="75" t="s">
        <v>776</v>
      </c>
    </row>
    <row r="134" spans="1:2" x14ac:dyDescent="0.25">
      <c r="A134" s="73" t="s">
        <v>777</v>
      </c>
      <c r="B134" s="75" t="s">
        <v>778</v>
      </c>
    </row>
    <row r="135" spans="1:2" x14ac:dyDescent="0.25">
      <c r="A135" s="73" t="s">
        <v>779</v>
      </c>
      <c r="B135" s="75" t="s">
        <v>780</v>
      </c>
    </row>
    <row r="136" spans="1:2" x14ac:dyDescent="0.25">
      <c r="A136" s="73" t="s">
        <v>781</v>
      </c>
      <c r="B136" s="75" t="s">
        <v>782</v>
      </c>
    </row>
    <row r="137" spans="1:2" x14ac:dyDescent="0.25">
      <c r="A137" s="73" t="s">
        <v>783</v>
      </c>
      <c r="B137" s="75" t="s">
        <v>784</v>
      </c>
    </row>
    <row r="138" spans="1:2" x14ac:dyDescent="0.25">
      <c r="A138" s="73" t="s">
        <v>785</v>
      </c>
      <c r="B138" s="75" t="s">
        <v>786</v>
      </c>
    </row>
    <row r="139" spans="1:2" x14ac:dyDescent="0.25">
      <c r="A139" s="73" t="s">
        <v>787</v>
      </c>
      <c r="B139" s="75" t="s">
        <v>788</v>
      </c>
    </row>
    <row r="140" spans="1:2" x14ac:dyDescent="0.25">
      <c r="A140" s="73" t="s">
        <v>789</v>
      </c>
      <c r="B140" s="75" t="s">
        <v>790</v>
      </c>
    </row>
    <row r="141" spans="1:2" x14ac:dyDescent="0.25">
      <c r="A141" s="73" t="s">
        <v>791</v>
      </c>
      <c r="B141" s="75" t="s">
        <v>792</v>
      </c>
    </row>
    <row r="142" spans="1:2" x14ac:dyDescent="0.25">
      <c r="A142" s="73" t="s">
        <v>793</v>
      </c>
      <c r="B142" s="75" t="s">
        <v>794</v>
      </c>
    </row>
    <row r="143" spans="1:2" x14ac:dyDescent="0.25">
      <c r="A143" s="73" t="s">
        <v>795</v>
      </c>
      <c r="B143" s="75" t="s">
        <v>796</v>
      </c>
    </row>
    <row r="144" spans="1:2" x14ac:dyDescent="0.25">
      <c r="A144" s="73" t="s">
        <v>797</v>
      </c>
      <c r="B144" s="76" t="s">
        <v>798</v>
      </c>
    </row>
    <row r="145" spans="1:2" x14ac:dyDescent="0.25">
      <c r="A145" s="73" t="s">
        <v>799</v>
      </c>
      <c r="B145" s="75" t="s">
        <v>800</v>
      </c>
    </row>
    <row r="146" spans="1:2" x14ac:dyDescent="0.25">
      <c r="A146" s="73" t="s">
        <v>801</v>
      </c>
      <c r="B146" s="75" t="s">
        <v>802</v>
      </c>
    </row>
    <row r="147" spans="1:2" x14ac:dyDescent="0.25">
      <c r="A147" s="73" t="s">
        <v>803</v>
      </c>
      <c r="B147" s="75" t="s">
        <v>804</v>
      </c>
    </row>
    <row r="148" spans="1:2" x14ac:dyDescent="0.25">
      <c r="A148" s="73" t="s">
        <v>805</v>
      </c>
      <c r="B148" s="75" t="s">
        <v>806</v>
      </c>
    </row>
    <row r="149" spans="1:2" x14ac:dyDescent="0.25">
      <c r="A149" s="73" t="s">
        <v>807</v>
      </c>
      <c r="B149" s="75" t="s">
        <v>808</v>
      </c>
    </row>
    <row r="150" spans="1:2" x14ac:dyDescent="0.25">
      <c r="A150" s="73" t="s">
        <v>809</v>
      </c>
      <c r="B150" s="75" t="s">
        <v>810</v>
      </c>
    </row>
    <row r="151" spans="1:2" x14ac:dyDescent="0.25">
      <c r="A151" s="73" t="s">
        <v>811</v>
      </c>
      <c r="B151" s="75" t="s">
        <v>812</v>
      </c>
    </row>
    <row r="152" spans="1:2" x14ac:dyDescent="0.25">
      <c r="A152" s="73" t="s">
        <v>813</v>
      </c>
      <c r="B152" s="75" t="s">
        <v>814</v>
      </c>
    </row>
    <row r="153" spans="1:2" x14ac:dyDescent="0.25">
      <c r="A153" s="73" t="s">
        <v>815</v>
      </c>
      <c r="B153" s="75" t="s">
        <v>816</v>
      </c>
    </row>
    <row r="154" spans="1:2" x14ac:dyDescent="0.25">
      <c r="A154" s="73" t="s">
        <v>817</v>
      </c>
      <c r="B154" s="75" t="s">
        <v>818</v>
      </c>
    </row>
    <row r="155" spans="1:2" x14ac:dyDescent="0.25">
      <c r="A155" s="73" t="s">
        <v>819</v>
      </c>
      <c r="B155" s="75" t="s">
        <v>820</v>
      </c>
    </row>
    <row r="156" spans="1:2" x14ac:dyDescent="0.25">
      <c r="A156" s="73" t="s">
        <v>821</v>
      </c>
      <c r="B156" s="75" t="s">
        <v>822</v>
      </c>
    </row>
    <row r="157" spans="1:2" x14ac:dyDescent="0.25">
      <c r="A157" s="73" t="s">
        <v>823</v>
      </c>
      <c r="B157" s="75" t="s">
        <v>824</v>
      </c>
    </row>
    <row r="158" spans="1:2" x14ac:dyDescent="0.25">
      <c r="A158" s="73" t="s">
        <v>825</v>
      </c>
      <c r="B158" s="75" t="s">
        <v>826</v>
      </c>
    </row>
    <row r="159" spans="1:2" x14ac:dyDescent="0.25">
      <c r="A159" s="73" t="s">
        <v>827</v>
      </c>
      <c r="B159" s="75" t="s">
        <v>828</v>
      </c>
    </row>
    <row r="160" spans="1:2" x14ac:dyDescent="0.25">
      <c r="A160" s="73" t="s">
        <v>829</v>
      </c>
      <c r="B160" s="75" t="s">
        <v>830</v>
      </c>
    </row>
    <row r="161" spans="1:2" x14ac:dyDescent="0.25">
      <c r="A161" s="73" t="s">
        <v>831</v>
      </c>
      <c r="B161" s="75" t="s">
        <v>832</v>
      </c>
    </row>
    <row r="162" spans="1:2" x14ac:dyDescent="0.25">
      <c r="A162" s="73" t="s">
        <v>833</v>
      </c>
      <c r="B162" s="75" t="s">
        <v>834</v>
      </c>
    </row>
    <row r="163" spans="1:2" x14ac:dyDescent="0.25">
      <c r="A163" s="73" t="s">
        <v>835</v>
      </c>
      <c r="B163" s="75" t="s">
        <v>836</v>
      </c>
    </row>
    <row r="164" spans="1:2" x14ac:dyDescent="0.25">
      <c r="A164" s="73" t="s">
        <v>837</v>
      </c>
      <c r="B164" s="75" t="s">
        <v>838</v>
      </c>
    </row>
    <row r="165" spans="1:2" x14ac:dyDescent="0.25">
      <c r="A165" s="73" t="s">
        <v>839</v>
      </c>
      <c r="B165" s="75" t="s">
        <v>840</v>
      </c>
    </row>
    <row r="166" spans="1:2" x14ac:dyDescent="0.25">
      <c r="A166" s="73" t="s">
        <v>841</v>
      </c>
      <c r="B166" s="75" t="s">
        <v>842</v>
      </c>
    </row>
    <row r="167" spans="1:2" x14ac:dyDescent="0.25">
      <c r="A167" s="73" t="s">
        <v>843</v>
      </c>
      <c r="B167" s="75" t="s">
        <v>844</v>
      </c>
    </row>
    <row r="168" spans="1:2" x14ac:dyDescent="0.25">
      <c r="A168" s="73" t="s">
        <v>845</v>
      </c>
      <c r="B168" s="75" t="s">
        <v>846</v>
      </c>
    </row>
    <row r="169" spans="1:2" x14ac:dyDescent="0.25">
      <c r="A169" s="73" t="s">
        <v>847</v>
      </c>
      <c r="B169" s="75" t="s">
        <v>848</v>
      </c>
    </row>
    <row r="170" spans="1:2" x14ac:dyDescent="0.25">
      <c r="A170" s="73" t="s">
        <v>849</v>
      </c>
      <c r="B170" s="75" t="s">
        <v>850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39"/>
  <sheetViews>
    <sheetView showGridLines="0" showZeros="0" tabSelected="1" topLeftCell="A216" zoomScale="80" zoomScaleNormal="80" workbookViewId="0">
      <selection activeCell="H226" sqref="H226"/>
    </sheetView>
  </sheetViews>
  <sheetFormatPr baseColWidth="10" defaultColWidth="9.28515625" defaultRowHeight="15" x14ac:dyDescent="0.25"/>
  <cols>
    <col min="1" max="1" width="9.28515625" style="267"/>
    <col min="2" max="2" width="30.7109375" style="33" customWidth="1"/>
    <col min="3" max="3" width="62.42578125" style="33" customWidth="1"/>
    <col min="4" max="4" width="35.7109375" style="33" customWidth="1"/>
    <col min="5" max="6" width="23.28515625" style="33" customWidth="1"/>
    <col min="7" max="7" width="18.42578125" style="33" customWidth="1"/>
    <col min="8" max="8" width="31.42578125" style="33" customWidth="1"/>
    <col min="9" max="9" width="28.28515625" style="131" customWidth="1"/>
    <col min="10" max="10" width="70.42578125" style="131" customWidth="1"/>
    <col min="11" max="11" width="31.42578125" style="33" customWidth="1"/>
    <col min="12" max="12" width="18.7109375" style="33" customWidth="1"/>
    <col min="13" max="13" width="9.28515625" style="33"/>
    <col min="14" max="14" width="17.7109375" style="33" customWidth="1"/>
    <col min="15" max="15" width="26.42578125" style="33" customWidth="1"/>
    <col min="16" max="16" width="22.42578125" style="33" customWidth="1"/>
    <col min="17" max="17" width="29.7109375" style="33" customWidth="1"/>
    <col min="18" max="18" width="23.42578125" style="33" customWidth="1"/>
    <col min="19" max="19" width="18.42578125" style="33" customWidth="1"/>
    <col min="20" max="20" width="17.42578125" style="33" customWidth="1"/>
    <col min="21" max="21" width="25.28515625" style="33" customWidth="1"/>
    <col min="22" max="16384" width="9.28515625" style="33"/>
  </cols>
  <sheetData>
    <row r="1" spans="1:12" ht="30" customHeight="1" x14ac:dyDescent="0.7">
      <c r="B1" s="496" t="s">
        <v>3</v>
      </c>
      <c r="C1" s="496"/>
      <c r="D1" s="496"/>
      <c r="E1" s="496"/>
      <c r="F1" s="31"/>
      <c r="G1" s="31"/>
      <c r="H1" s="32"/>
      <c r="I1" s="137"/>
      <c r="J1" s="137"/>
      <c r="K1" s="32"/>
    </row>
    <row r="2" spans="1:12" ht="15.75" x14ac:dyDescent="0.25">
      <c r="B2" s="126" t="s">
        <v>1</v>
      </c>
    </row>
    <row r="3" spans="1:12" ht="18.75" x14ac:dyDescent="0.3">
      <c r="B3" s="498" t="s">
        <v>4</v>
      </c>
      <c r="C3" s="498"/>
      <c r="D3" s="498"/>
      <c r="E3" s="498"/>
    </row>
    <row r="4" spans="1:12" ht="18.75" x14ac:dyDescent="0.3">
      <c r="B4" s="271"/>
      <c r="C4" s="271"/>
      <c r="D4" s="271"/>
      <c r="E4" s="271"/>
    </row>
    <row r="5" spans="1:12" ht="99.75" customHeight="1" x14ac:dyDescent="0.25">
      <c r="B5" s="143" t="s">
        <v>5</v>
      </c>
      <c r="C5" s="143" t="s">
        <v>6</v>
      </c>
      <c r="D5" s="148" t="s">
        <v>7</v>
      </c>
      <c r="E5" s="143" t="s">
        <v>8</v>
      </c>
      <c r="F5" s="143" t="s">
        <v>9</v>
      </c>
      <c r="G5" s="143" t="s">
        <v>10</v>
      </c>
      <c r="H5" s="143" t="s">
        <v>11</v>
      </c>
      <c r="I5" s="143" t="s">
        <v>12</v>
      </c>
      <c r="J5" s="143" t="s">
        <v>13</v>
      </c>
      <c r="K5" s="143" t="s">
        <v>14</v>
      </c>
      <c r="L5" s="39"/>
    </row>
    <row r="6" spans="1:12" ht="51" customHeight="1" x14ac:dyDescent="0.25">
      <c r="B6" s="89" t="s">
        <v>15</v>
      </c>
      <c r="C6" s="495" t="s">
        <v>16</v>
      </c>
      <c r="D6" s="495"/>
      <c r="E6" s="495"/>
      <c r="F6" s="495"/>
      <c r="G6" s="495"/>
      <c r="H6" s="495"/>
      <c r="I6" s="487"/>
      <c r="J6" s="487"/>
      <c r="K6" s="495"/>
      <c r="L6" s="14"/>
    </row>
    <row r="7" spans="1:12" ht="51" customHeight="1" x14ac:dyDescent="0.25">
      <c r="B7" s="89" t="s">
        <v>17</v>
      </c>
      <c r="C7" s="497" t="s">
        <v>18</v>
      </c>
      <c r="D7" s="497"/>
      <c r="E7" s="497"/>
      <c r="F7" s="497"/>
      <c r="G7" s="497"/>
      <c r="H7" s="497"/>
      <c r="I7" s="489"/>
      <c r="J7" s="489"/>
      <c r="K7" s="497"/>
      <c r="L7" s="41"/>
    </row>
    <row r="8" spans="1:12" ht="52.15" customHeight="1" x14ac:dyDescent="0.25">
      <c r="A8" s="267" t="s">
        <v>19</v>
      </c>
      <c r="B8" s="194" t="s">
        <v>19</v>
      </c>
      <c r="C8" s="149" t="s">
        <v>20</v>
      </c>
      <c r="D8" s="195">
        <v>55272.718697074182</v>
      </c>
      <c r="E8" s="195"/>
      <c r="F8" s="195"/>
      <c r="G8" s="196">
        <f>D8</f>
        <v>55272.718697074182</v>
      </c>
      <c r="H8" s="197">
        <v>0.27</v>
      </c>
      <c r="I8" s="198">
        <f>+SUMIFS('GL NRC'!$X:$X,'GL NRC'!$AC:$AC,'1) Budget Tables'!A8)</f>
        <v>5611.22</v>
      </c>
      <c r="J8" s="199" t="s">
        <v>21</v>
      </c>
      <c r="K8" s="200"/>
      <c r="L8" s="201"/>
    </row>
    <row r="9" spans="1:12" ht="52.15" customHeight="1" x14ac:dyDescent="0.25">
      <c r="A9" s="267" t="s">
        <v>22</v>
      </c>
      <c r="B9" s="194" t="s">
        <v>22</v>
      </c>
      <c r="C9" s="149" t="s">
        <v>23</v>
      </c>
      <c r="D9" s="195">
        <v>30272.718697074182</v>
      </c>
      <c r="E9" s="195"/>
      <c r="F9" s="195"/>
      <c r="G9" s="196">
        <f t="shared" ref="G9:G15" si="0">D9</f>
        <v>30272.718697074182</v>
      </c>
      <c r="H9" s="197">
        <v>0.4</v>
      </c>
      <c r="I9" s="198">
        <f>+SUMIFS('GL NRC'!$X:$X,'GL NRC'!$AC:$AC,'1) Budget Tables'!A9)</f>
        <v>10552.21</v>
      </c>
      <c r="J9" s="199" t="s">
        <v>24</v>
      </c>
      <c r="K9" s="200"/>
      <c r="L9" s="201"/>
    </row>
    <row r="10" spans="1:12" ht="66.75" customHeight="1" x14ac:dyDescent="0.25">
      <c r="A10" s="267" t="s">
        <v>25</v>
      </c>
      <c r="B10" s="194" t="s">
        <v>25</v>
      </c>
      <c r="C10" s="149" t="s">
        <v>26</v>
      </c>
      <c r="D10" s="195">
        <v>17272.718697074182</v>
      </c>
      <c r="E10" s="195"/>
      <c r="F10" s="195"/>
      <c r="G10" s="196">
        <f t="shared" si="0"/>
        <v>17272.718697074182</v>
      </c>
      <c r="H10" s="197">
        <v>0.5</v>
      </c>
      <c r="I10" s="198">
        <f>+SUMIFS('GL NRC'!$X:$X,'GL NRC'!$AC:$AC,'1) Budget Tables'!A10)</f>
        <v>19925.159999999996</v>
      </c>
      <c r="J10" s="199" t="s">
        <v>27</v>
      </c>
      <c r="K10" s="200"/>
      <c r="L10" s="201"/>
    </row>
    <row r="11" spans="1:12" ht="15.75" hidden="1" x14ac:dyDescent="0.25">
      <c r="B11" s="194" t="s">
        <v>28</v>
      </c>
      <c r="C11" s="149"/>
      <c r="D11" s="195"/>
      <c r="E11" s="195"/>
      <c r="F11" s="195"/>
      <c r="G11" s="196">
        <f t="shared" si="0"/>
        <v>0</v>
      </c>
      <c r="H11" s="197"/>
      <c r="I11" s="198"/>
      <c r="J11" s="202"/>
      <c r="K11" s="200"/>
      <c r="L11" s="201"/>
    </row>
    <row r="12" spans="1:12" ht="15.75" hidden="1" x14ac:dyDescent="0.25">
      <c r="B12" s="194" t="s">
        <v>29</v>
      </c>
      <c r="C12" s="149"/>
      <c r="D12" s="195"/>
      <c r="E12" s="195"/>
      <c r="F12" s="195"/>
      <c r="G12" s="196">
        <f t="shared" si="0"/>
        <v>0</v>
      </c>
      <c r="H12" s="197"/>
      <c r="I12" s="198"/>
      <c r="J12" s="202"/>
      <c r="K12" s="200"/>
      <c r="L12" s="201"/>
    </row>
    <row r="13" spans="1:12" ht="15.75" hidden="1" x14ac:dyDescent="0.25">
      <c r="B13" s="194" t="s">
        <v>30</v>
      </c>
      <c r="C13" s="149"/>
      <c r="D13" s="195"/>
      <c r="E13" s="195"/>
      <c r="F13" s="195"/>
      <c r="G13" s="196">
        <f t="shared" si="0"/>
        <v>0</v>
      </c>
      <c r="H13" s="197"/>
      <c r="I13" s="198"/>
      <c r="J13" s="202"/>
      <c r="K13" s="200"/>
      <c r="L13" s="201"/>
    </row>
    <row r="14" spans="1:12" ht="15.75" hidden="1" x14ac:dyDescent="0.25">
      <c r="B14" s="194" t="s">
        <v>31</v>
      </c>
      <c r="C14" s="270"/>
      <c r="D14" s="203"/>
      <c r="E14" s="203"/>
      <c r="F14" s="203"/>
      <c r="G14" s="196">
        <f t="shared" si="0"/>
        <v>0</v>
      </c>
      <c r="H14" s="204"/>
      <c r="I14" s="202"/>
      <c r="J14" s="202"/>
      <c r="K14" s="205"/>
      <c r="L14" s="201"/>
    </row>
    <row r="15" spans="1:12" ht="15.75" hidden="1" x14ac:dyDescent="0.25">
      <c r="A15" s="265"/>
      <c r="B15" s="194" t="s">
        <v>32</v>
      </c>
      <c r="C15" s="270"/>
      <c r="D15" s="203"/>
      <c r="E15" s="203"/>
      <c r="F15" s="203"/>
      <c r="G15" s="196">
        <f t="shared" si="0"/>
        <v>0</v>
      </c>
      <c r="H15" s="204"/>
      <c r="I15" s="202"/>
      <c r="J15" s="202"/>
      <c r="K15" s="205"/>
      <c r="L15" s="35"/>
    </row>
    <row r="16" spans="1:12" ht="15.75" x14ac:dyDescent="0.25">
      <c r="A16" s="265"/>
      <c r="C16" s="89" t="s">
        <v>33</v>
      </c>
      <c r="D16" s="15">
        <f>SUM(D8:D15)</f>
        <v>102818.15609122254</v>
      </c>
      <c r="E16" s="15">
        <f>SUM(E8:E15)</f>
        <v>0</v>
      </c>
      <c r="F16" s="15">
        <f>SUM(F8:F15)</f>
        <v>0</v>
      </c>
      <c r="G16" s="15">
        <f>SUM(G8:G15)</f>
        <v>102818.15609122254</v>
      </c>
      <c r="H16" s="103">
        <f>(H8*G8)+(H9*G9)+(H10*G10)+(H11*G11)+(H12*G12)+(H13*G13)+(H14*G14)+(H15*G15)</f>
        <v>35669.080875576794</v>
      </c>
      <c r="I16" s="103">
        <f>SUM(I8:I15)</f>
        <v>36088.589999999997</v>
      </c>
      <c r="J16" s="144"/>
      <c r="K16" s="205"/>
      <c r="L16" s="42"/>
    </row>
    <row r="17" spans="1:12" ht="51" customHeight="1" x14ac:dyDescent="0.25">
      <c r="A17" s="265"/>
      <c r="B17" s="89" t="s">
        <v>34</v>
      </c>
      <c r="C17" s="488" t="s">
        <v>35</v>
      </c>
      <c r="D17" s="488"/>
      <c r="E17" s="488"/>
      <c r="F17" s="488"/>
      <c r="G17" s="488"/>
      <c r="H17" s="488"/>
      <c r="I17" s="489"/>
      <c r="J17" s="489"/>
      <c r="K17" s="488"/>
      <c r="L17" s="41"/>
    </row>
    <row r="18" spans="1:12" ht="92.65" customHeight="1" x14ac:dyDescent="0.25">
      <c r="A18" s="265" t="s">
        <v>36</v>
      </c>
      <c r="B18" s="194" t="s">
        <v>37</v>
      </c>
      <c r="C18" s="149" t="s">
        <v>38</v>
      </c>
      <c r="D18" s="150">
        <v>63716.196958502755</v>
      </c>
      <c r="E18" s="195"/>
      <c r="F18" s="195"/>
      <c r="G18" s="196">
        <f>D18</f>
        <v>63716.196958502755</v>
      </c>
      <c r="H18" s="151">
        <v>0.25</v>
      </c>
      <c r="I18" s="198">
        <f>+SUMIFS('GL NRC'!$X:$X,'GL NRC'!$AC:$AC,'1) Budget Tables'!A18)</f>
        <v>15099</v>
      </c>
      <c r="J18" s="199" t="s">
        <v>39</v>
      </c>
      <c r="K18" s="200"/>
      <c r="L18" s="201"/>
    </row>
    <row r="19" spans="1:12" ht="92.65" customHeight="1" x14ac:dyDescent="0.25">
      <c r="A19" s="265" t="s">
        <v>40</v>
      </c>
      <c r="B19" s="194" t="s">
        <v>41</v>
      </c>
      <c r="C19" s="258" t="s">
        <v>42</v>
      </c>
      <c r="D19" s="150">
        <v>63216.196958502755</v>
      </c>
      <c r="E19" s="195"/>
      <c r="F19" s="195"/>
      <c r="G19" s="196">
        <f t="shared" ref="G19:G25" si="1">D19</f>
        <v>63216.196958502755</v>
      </c>
      <c r="H19" s="151">
        <v>0.5</v>
      </c>
      <c r="I19" s="198">
        <f>+SUMIFS('GL NRC'!$X:$X,'GL NRC'!$AC:$AC,'1) Budget Tables'!A19)</f>
        <v>84.78</v>
      </c>
      <c r="J19" s="193" t="s">
        <v>43</v>
      </c>
      <c r="K19" s="200"/>
      <c r="L19" s="201"/>
    </row>
    <row r="20" spans="1:12" ht="15.75" hidden="1" x14ac:dyDescent="0.25">
      <c r="A20" s="265"/>
      <c r="B20" s="194" t="s">
        <v>44</v>
      </c>
      <c r="C20" s="149"/>
      <c r="D20" s="195"/>
      <c r="E20" s="195"/>
      <c r="F20" s="195"/>
      <c r="G20" s="196">
        <f t="shared" si="1"/>
        <v>0</v>
      </c>
      <c r="H20" s="197"/>
      <c r="I20" s="198"/>
      <c r="J20" s="198"/>
      <c r="K20" s="200"/>
      <c r="L20" s="201"/>
    </row>
    <row r="21" spans="1:12" ht="15.75" hidden="1" x14ac:dyDescent="0.25">
      <c r="A21" s="265"/>
      <c r="B21" s="194" t="s">
        <v>45</v>
      </c>
      <c r="C21" s="149"/>
      <c r="D21" s="195"/>
      <c r="E21" s="195"/>
      <c r="F21" s="195"/>
      <c r="G21" s="196">
        <f t="shared" si="1"/>
        <v>0</v>
      </c>
      <c r="H21" s="197"/>
      <c r="I21" s="198"/>
      <c r="J21" s="198"/>
      <c r="K21" s="200"/>
      <c r="L21" s="201"/>
    </row>
    <row r="22" spans="1:12" ht="15.75" hidden="1" x14ac:dyDescent="0.25">
      <c r="A22" s="265"/>
      <c r="B22" s="194" t="s">
        <v>46</v>
      </c>
      <c r="C22" s="149"/>
      <c r="D22" s="195"/>
      <c r="E22" s="195"/>
      <c r="F22" s="195"/>
      <c r="G22" s="196">
        <f t="shared" si="1"/>
        <v>0</v>
      </c>
      <c r="H22" s="197"/>
      <c r="I22" s="198"/>
      <c r="J22" s="198"/>
      <c r="K22" s="200"/>
      <c r="L22" s="201"/>
    </row>
    <row r="23" spans="1:12" ht="15.75" hidden="1" x14ac:dyDescent="0.25">
      <c r="A23" s="265"/>
      <c r="B23" s="194" t="s">
        <v>47</v>
      </c>
      <c r="C23" s="149"/>
      <c r="D23" s="195"/>
      <c r="E23" s="195"/>
      <c r="F23" s="195"/>
      <c r="G23" s="196">
        <f t="shared" si="1"/>
        <v>0</v>
      </c>
      <c r="H23" s="197"/>
      <c r="I23" s="198"/>
      <c r="J23" s="198"/>
      <c r="K23" s="200"/>
      <c r="L23" s="201"/>
    </row>
    <row r="24" spans="1:12" ht="15.75" hidden="1" x14ac:dyDescent="0.25">
      <c r="A24" s="265"/>
      <c r="B24" s="194" t="s">
        <v>48</v>
      </c>
      <c r="C24" s="270"/>
      <c r="D24" s="203"/>
      <c r="E24" s="203"/>
      <c r="F24" s="203"/>
      <c r="G24" s="196">
        <f t="shared" si="1"/>
        <v>0</v>
      </c>
      <c r="H24" s="204"/>
      <c r="I24" s="202"/>
      <c r="J24" s="202"/>
      <c r="K24" s="205"/>
      <c r="L24" s="201"/>
    </row>
    <row r="25" spans="1:12" ht="15.75" hidden="1" x14ac:dyDescent="0.25">
      <c r="A25" s="265"/>
      <c r="B25" s="194" t="s">
        <v>49</v>
      </c>
      <c r="C25" s="270"/>
      <c r="D25" s="203"/>
      <c r="E25" s="203"/>
      <c r="F25" s="203"/>
      <c r="G25" s="196">
        <f t="shared" si="1"/>
        <v>0</v>
      </c>
      <c r="H25" s="204"/>
      <c r="I25" s="202"/>
      <c r="J25" s="202"/>
      <c r="K25" s="205"/>
      <c r="L25" s="201"/>
    </row>
    <row r="26" spans="1:12" ht="15.75" x14ac:dyDescent="0.25">
      <c r="A26" s="265"/>
      <c r="C26" s="89" t="s">
        <v>33</v>
      </c>
      <c r="D26" s="18">
        <f>SUM(D18:D25)</f>
        <v>126932.39391700551</v>
      </c>
      <c r="E26" s="18">
        <f t="shared" ref="E26:G26" si="2">SUM(E18:E25)</f>
        <v>0</v>
      </c>
      <c r="F26" s="18">
        <f t="shared" si="2"/>
        <v>0</v>
      </c>
      <c r="G26" s="18">
        <f t="shared" si="2"/>
        <v>126932.39391700551</v>
      </c>
      <c r="H26" s="103">
        <f>(H18*G18)+(H19*G19)+(H20*G20)+(H21*G21)+(H22*G22)+(H23*G23)+(H24*G24)+(H25*G25)</f>
        <v>47537.147718877066</v>
      </c>
      <c r="I26" s="103">
        <f>SUM(I18:I25)</f>
        <v>15183.78</v>
      </c>
      <c r="J26" s="144"/>
      <c r="K26" s="205"/>
      <c r="L26" s="42"/>
    </row>
    <row r="27" spans="1:12" ht="51" customHeight="1" x14ac:dyDescent="0.25">
      <c r="A27" s="265"/>
      <c r="B27" s="89" t="s">
        <v>50</v>
      </c>
      <c r="C27" s="488" t="s">
        <v>51</v>
      </c>
      <c r="D27" s="488"/>
      <c r="E27" s="488"/>
      <c r="F27" s="488"/>
      <c r="G27" s="488"/>
      <c r="H27" s="488"/>
      <c r="I27" s="489"/>
      <c r="J27" s="489"/>
      <c r="K27" s="488"/>
      <c r="L27" s="41"/>
    </row>
    <row r="28" spans="1:12" ht="42" customHeight="1" x14ac:dyDescent="0.25">
      <c r="A28" s="265" t="s">
        <v>52</v>
      </c>
      <c r="B28" s="194" t="s">
        <v>53</v>
      </c>
      <c r="C28" s="149" t="s">
        <v>54</v>
      </c>
      <c r="D28" s="195">
        <v>62716.196958502755</v>
      </c>
      <c r="E28" s="195"/>
      <c r="F28" s="195"/>
      <c r="G28" s="196">
        <f>D28</f>
        <v>62716.196958502755</v>
      </c>
      <c r="H28" s="197">
        <v>0.41</v>
      </c>
      <c r="I28" s="198">
        <f>+SUMIFS('GL NRC'!$X:$X,'GL NRC'!$AC:$AC,'1) Budget Tables'!A28)</f>
        <v>0</v>
      </c>
      <c r="J28" s="193" t="s">
        <v>55</v>
      </c>
      <c r="K28" s="200"/>
      <c r="L28" s="201"/>
    </row>
    <row r="29" spans="1:12" ht="31.5" x14ac:dyDescent="0.25">
      <c r="A29" s="265" t="s">
        <v>56</v>
      </c>
      <c r="B29" s="194" t="s">
        <v>57</v>
      </c>
      <c r="C29" s="149" t="s">
        <v>58</v>
      </c>
      <c r="D29" s="195">
        <v>133716.19695850275</v>
      </c>
      <c r="E29" s="195"/>
      <c r="F29" s="195"/>
      <c r="G29" s="196">
        <f t="shared" ref="G29:G35" si="3">D29</f>
        <v>133716.19695850275</v>
      </c>
      <c r="H29" s="197">
        <v>0.3</v>
      </c>
      <c r="I29" s="198">
        <f>+SUMIFS('GL NRC'!$X:$X,'GL NRC'!$AC:$AC,'1) Budget Tables'!A29)</f>
        <v>316.51</v>
      </c>
      <c r="J29" s="193" t="s">
        <v>59</v>
      </c>
      <c r="K29" s="200"/>
      <c r="L29" s="201"/>
    </row>
    <row r="30" spans="1:12" ht="15.75" hidden="1" x14ac:dyDescent="0.25">
      <c r="A30" s="265"/>
      <c r="B30" s="194" t="s">
        <v>60</v>
      </c>
      <c r="C30" s="149"/>
      <c r="D30" s="195"/>
      <c r="E30" s="195"/>
      <c r="F30" s="195"/>
      <c r="G30" s="196">
        <f t="shared" si="3"/>
        <v>0</v>
      </c>
      <c r="H30" s="197"/>
      <c r="I30" s="198"/>
      <c r="J30" s="198"/>
      <c r="K30" s="200"/>
      <c r="L30" s="201"/>
    </row>
    <row r="31" spans="1:12" ht="15.75" hidden="1" x14ac:dyDescent="0.25">
      <c r="A31" s="265"/>
      <c r="B31" s="194" t="s">
        <v>61</v>
      </c>
      <c r="C31" s="149"/>
      <c r="D31" s="195"/>
      <c r="E31" s="195"/>
      <c r="F31" s="195"/>
      <c r="G31" s="196">
        <f t="shared" si="3"/>
        <v>0</v>
      </c>
      <c r="H31" s="197"/>
      <c r="I31" s="198"/>
      <c r="J31" s="198"/>
      <c r="K31" s="200"/>
      <c r="L31" s="201"/>
    </row>
    <row r="32" spans="1:12" s="34" customFormat="1" ht="15.75" hidden="1" x14ac:dyDescent="0.25">
      <c r="A32" s="265"/>
      <c r="B32" s="194" t="s">
        <v>62</v>
      </c>
      <c r="C32" s="149"/>
      <c r="D32" s="195"/>
      <c r="E32" s="195"/>
      <c r="F32" s="195"/>
      <c r="G32" s="196">
        <f t="shared" si="3"/>
        <v>0</v>
      </c>
      <c r="H32" s="197"/>
      <c r="I32" s="198"/>
      <c r="J32" s="198"/>
      <c r="K32" s="200"/>
      <c r="L32" s="201"/>
    </row>
    <row r="33" spans="1:12" s="34" customFormat="1" ht="15.75" hidden="1" x14ac:dyDescent="0.25">
      <c r="A33" s="265"/>
      <c r="B33" s="194" t="s">
        <v>63</v>
      </c>
      <c r="C33" s="149"/>
      <c r="D33" s="195"/>
      <c r="E33" s="195"/>
      <c r="F33" s="195"/>
      <c r="G33" s="196">
        <f t="shared" si="3"/>
        <v>0</v>
      </c>
      <c r="H33" s="197"/>
      <c r="I33" s="198"/>
      <c r="J33" s="198"/>
      <c r="K33" s="200"/>
      <c r="L33" s="201"/>
    </row>
    <row r="34" spans="1:12" s="34" customFormat="1" ht="15.75" hidden="1" x14ac:dyDescent="0.25">
      <c r="A34" s="267"/>
      <c r="B34" s="194" t="s">
        <v>64</v>
      </c>
      <c r="C34" s="270"/>
      <c r="D34" s="203"/>
      <c r="E34" s="203"/>
      <c r="F34" s="203"/>
      <c r="G34" s="196">
        <f t="shared" si="3"/>
        <v>0</v>
      </c>
      <c r="H34" s="204"/>
      <c r="I34" s="202"/>
      <c r="J34" s="202"/>
      <c r="K34" s="205"/>
      <c r="L34" s="201"/>
    </row>
    <row r="35" spans="1:12" ht="15.75" hidden="1" x14ac:dyDescent="0.25">
      <c r="B35" s="194" t="s">
        <v>65</v>
      </c>
      <c r="C35" s="270"/>
      <c r="D35" s="203"/>
      <c r="E35" s="203"/>
      <c r="F35" s="203"/>
      <c r="G35" s="196">
        <f t="shared" si="3"/>
        <v>0</v>
      </c>
      <c r="H35" s="204"/>
      <c r="I35" s="202"/>
      <c r="J35" s="202"/>
      <c r="K35" s="205"/>
      <c r="L35" s="201"/>
    </row>
    <row r="36" spans="1:12" ht="15.75" x14ac:dyDescent="0.25">
      <c r="C36" s="89" t="s">
        <v>33</v>
      </c>
      <c r="D36" s="18">
        <f>SUM(D28:D35)</f>
        <v>196432.39391700551</v>
      </c>
      <c r="E36" s="18">
        <f t="shared" ref="E36:G36" si="4">SUM(E28:E35)</f>
        <v>0</v>
      </c>
      <c r="F36" s="18">
        <f t="shared" si="4"/>
        <v>0</v>
      </c>
      <c r="G36" s="18">
        <f t="shared" si="4"/>
        <v>196432.39391700551</v>
      </c>
      <c r="H36" s="103">
        <f>(H28*G28)+(H29*G29)+(H30*G30)+(H31*G31)+(H32*G32)+(H33*G33)+(H34*G34)+(H35*G35)</f>
        <v>65828.499840536955</v>
      </c>
      <c r="I36" s="103">
        <f>SUM(I28:I35)</f>
        <v>316.51</v>
      </c>
      <c r="J36" s="144"/>
      <c r="K36" s="205"/>
      <c r="L36" s="42"/>
    </row>
    <row r="37" spans="1:12" ht="51" hidden="1" customHeight="1" x14ac:dyDescent="0.25">
      <c r="B37" s="89" t="s">
        <v>66</v>
      </c>
      <c r="C37" s="488"/>
      <c r="D37" s="488"/>
      <c r="E37" s="488"/>
      <c r="F37" s="488"/>
      <c r="G37" s="488"/>
      <c r="H37" s="488"/>
      <c r="I37" s="489"/>
      <c r="J37" s="489"/>
      <c r="K37" s="488"/>
      <c r="L37" s="41"/>
    </row>
    <row r="38" spans="1:12" ht="15.75" hidden="1" x14ac:dyDescent="0.25">
      <c r="B38" s="194" t="s">
        <v>67</v>
      </c>
      <c r="C38" s="149"/>
      <c r="D38" s="195"/>
      <c r="E38" s="195"/>
      <c r="F38" s="195"/>
      <c r="G38" s="196">
        <f>D38</f>
        <v>0</v>
      </c>
      <c r="H38" s="197"/>
      <c r="I38" s="198"/>
      <c r="J38" s="198"/>
      <c r="K38" s="200"/>
      <c r="L38" s="201"/>
    </row>
    <row r="39" spans="1:12" ht="15.75" hidden="1" x14ac:dyDescent="0.25">
      <c r="B39" s="194" t="s">
        <v>68</v>
      </c>
      <c r="C39" s="149"/>
      <c r="D39" s="195"/>
      <c r="E39" s="195"/>
      <c r="F39" s="195"/>
      <c r="G39" s="196">
        <f t="shared" ref="G39:G45" si="5">D39</f>
        <v>0</v>
      </c>
      <c r="H39" s="197"/>
      <c r="I39" s="198"/>
      <c r="J39" s="198"/>
      <c r="K39" s="200"/>
      <c r="L39" s="201"/>
    </row>
    <row r="40" spans="1:12" ht="15.75" hidden="1" x14ac:dyDescent="0.25">
      <c r="B40" s="194" t="s">
        <v>69</v>
      </c>
      <c r="C40" s="149"/>
      <c r="D40" s="195"/>
      <c r="E40" s="195"/>
      <c r="F40" s="195"/>
      <c r="G40" s="196">
        <f t="shared" si="5"/>
        <v>0</v>
      </c>
      <c r="H40" s="197"/>
      <c r="I40" s="198"/>
      <c r="J40" s="198"/>
      <c r="K40" s="200"/>
      <c r="L40" s="201"/>
    </row>
    <row r="41" spans="1:12" ht="15.75" hidden="1" x14ac:dyDescent="0.25">
      <c r="B41" s="194" t="s">
        <v>70</v>
      </c>
      <c r="C41" s="149"/>
      <c r="D41" s="195"/>
      <c r="E41" s="195"/>
      <c r="F41" s="195"/>
      <c r="G41" s="196">
        <f t="shared" si="5"/>
        <v>0</v>
      </c>
      <c r="H41" s="197"/>
      <c r="I41" s="198"/>
      <c r="J41" s="198"/>
      <c r="K41" s="200"/>
      <c r="L41" s="201"/>
    </row>
    <row r="42" spans="1:12" ht="15.75" hidden="1" x14ac:dyDescent="0.25">
      <c r="B42" s="194" t="s">
        <v>71</v>
      </c>
      <c r="C42" s="149"/>
      <c r="D42" s="195"/>
      <c r="E42" s="195"/>
      <c r="F42" s="195"/>
      <c r="G42" s="196">
        <f t="shared" si="5"/>
        <v>0</v>
      </c>
      <c r="H42" s="197"/>
      <c r="I42" s="198"/>
      <c r="J42" s="198"/>
      <c r="K42" s="200"/>
      <c r="L42" s="201"/>
    </row>
    <row r="43" spans="1:12" ht="15.75" hidden="1" x14ac:dyDescent="0.25">
      <c r="A43" s="265"/>
      <c r="B43" s="194" t="s">
        <v>72</v>
      </c>
      <c r="C43" s="149"/>
      <c r="D43" s="195"/>
      <c r="E43" s="195"/>
      <c r="F43" s="195"/>
      <c r="G43" s="196">
        <f t="shared" si="5"/>
        <v>0</v>
      </c>
      <c r="H43" s="197"/>
      <c r="I43" s="198"/>
      <c r="J43" s="198"/>
      <c r="K43" s="200"/>
      <c r="L43" s="201"/>
    </row>
    <row r="44" spans="1:12" s="34" customFormat="1" ht="15.75" hidden="1" x14ac:dyDescent="0.25">
      <c r="A44" s="267"/>
      <c r="B44" s="194" t="s">
        <v>73</v>
      </c>
      <c r="C44" s="270"/>
      <c r="D44" s="203"/>
      <c r="E44" s="203"/>
      <c r="F44" s="203"/>
      <c r="G44" s="196">
        <f t="shared" si="5"/>
        <v>0</v>
      </c>
      <c r="H44" s="204"/>
      <c r="I44" s="202"/>
      <c r="J44" s="202"/>
      <c r="K44" s="205"/>
      <c r="L44" s="201"/>
    </row>
    <row r="45" spans="1:12" ht="15.75" hidden="1" x14ac:dyDescent="0.25">
      <c r="B45" s="194" t="s">
        <v>74</v>
      </c>
      <c r="C45" s="270"/>
      <c r="D45" s="203"/>
      <c r="E45" s="203"/>
      <c r="F45" s="203"/>
      <c r="G45" s="196">
        <f t="shared" si="5"/>
        <v>0</v>
      </c>
      <c r="H45" s="204"/>
      <c r="I45" s="202"/>
      <c r="J45" s="202"/>
      <c r="K45" s="205"/>
      <c r="L45" s="201"/>
    </row>
    <row r="46" spans="1:12" ht="15.75" hidden="1" x14ac:dyDescent="0.25">
      <c r="C46" s="89" t="s">
        <v>33</v>
      </c>
      <c r="D46" s="15">
        <f>SUM(D38:D45)</f>
        <v>0</v>
      </c>
      <c r="E46" s="15">
        <f t="shared" ref="E46:G46" si="6">SUM(E38:E45)</f>
        <v>0</v>
      </c>
      <c r="F46" s="15">
        <f t="shared" si="6"/>
        <v>0</v>
      </c>
      <c r="G46" s="15">
        <f t="shared" si="6"/>
        <v>0</v>
      </c>
      <c r="H46" s="103">
        <f>(H38*G38)+(H39*G39)+(H40*G40)+(H41*G41)+(H42*G42)+(H43*G43)+(H44*G44)+(H45*G45)</f>
        <v>0</v>
      </c>
      <c r="I46" s="103">
        <f>SUM(I38:I45)</f>
        <v>0</v>
      </c>
      <c r="J46" s="144"/>
      <c r="K46" s="205"/>
      <c r="L46" s="42"/>
    </row>
    <row r="47" spans="1:12" ht="15.75" x14ac:dyDescent="0.25">
      <c r="B47" s="206"/>
      <c r="C47" s="207"/>
      <c r="D47" s="208"/>
      <c r="E47" s="208"/>
      <c r="F47" s="208"/>
      <c r="G47" s="208"/>
      <c r="H47" s="208"/>
      <c r="I47" s="208"/>
      <c r="J47" s="208"/>
      <c r="K47" s="208"/>
      <c r="L47" s="209"/>
    </row>
    <row r="48" spans="1:12" ht="51" customHeight="1" x14ac:dyDescent="0.25">
      <c r="B48" s="89" t="s">
        <v>75</v>
      </c>
      <c r="C48" s="486" t="s">
        <v>76</v>
      </c>
      <c r="D48" s="486"/>
      <c r="E48" s="486"/>
      <c r="F48" s="486"/>
      <c r="G48" s="486"/>
      <c r="H48" s="486"/>
      <c r="I48" s="487"/>
      <c r="J48" s="487"/>
      <c r="K48" s="486"/>
      <c r="L48" s="14"/>
    </row>
    <row r="49" spans="1:12" ht="51" customHeight="1" x14ac:dyDescent="0.25">
      <c r="B49" s="89" t="s">
        <v>77</v>
      </c>
      <c r="C49" s="488" t="s">
        <v>78</v>
      </c>
      <c r="D49" s="488"/>
      <c r="E49" s="488"/>
      <c r="F49" s="488"/>
      <c r="G49" s="488"/>
      <c r="H49" s="488"/>
      <c r="I49" s="489"/>
      <c r="J49" s="489"/>
      <c r="K49" s="488"/>
      <c r="L49" s="41"/>
    </row>
    <row r="50" spans="1:12" ht="47.25" x14ac:dyDescent="0.25">
      <c r="A50" s="267" t="s">
        <v>79</v>
      </c>
      <c r="B50" s="194" t="s">
        <v>79</v>
      </c>
      <c r="C50" s="149" t="s">
        <v>80</v>
      </c>
      <c r="D50" s="195">
        <v>9340</v>
      </c>
      <c r="E50" s="195"/>
      <c r="F50" s="195"/>
      <c r="G50" s="196">
        <f>D50</f>
        <v>9340</v>
      </c>
      <c r="H50" s="197">
        <v>1</v>
      </c>
      <c r="I50" s="198">
        <f>+SUMIFS('ACONC '!$J:$J,'ACONC '!$C:$C,'1) Budget Tables'!A50)/'ACONC '!$R$2</f>
        <v>9440.6215749999992</v>
      </c>
      <c r="J50" s="490" t="s">
        <v>81</v>
      </c>
      <c r="K50" s="200"/>
      <c r="L50" s="201"/>
    </row>
    <row r="51" spans="1:12" ht="47.25" customHeight="1" x14ac:dyDescent="0.25">
      <c r="A51" s="267" t="s">
        <v>82</v>
      </c>
      <c r="B51" s="194" t="s">
        <v>82</v>
      </c>
      <c r="C51" s="149" t="s">
        <v>83</v>
      </c>
      <c r="D51" s="195">
        <v>15054.285714285716</v>
      </c>
      <c r="E51" s="195"/>
      <c r="F51" s="195"/>
      <c r="G51" s="196">
        <f t="shared" ref="G51:G57" si="7">D51</f>
        <v>15054.285714285716</v>
      </c>
      <c r="H51" s="197">
        <v>1</v>
      </c>
      <c r="I51" s="198">
        <f>+SUMIFS('ACONC '!$J:$J,'ACONC '!$C:$C,'1) Budget Tables'!A51)/'ACONC '!$R$2</f>
        <v>0</v>
      </c>
      <c r="J51" s="491"/>
      <c r="K51" s="200"/>
      <c r="L51" s="201"/>
    </row>
    <row r="52" spans="1:12" ht="47.25" customHeight="1" x14ac:dyDescent="0.25">
      <c r="A52" s="267" t="s">
        <v>84</v>
      </c>
      <c r="B52" s="194" t="s">
        <v>84</v>
      </c>
      <c r="C52" s="149" t="s">
        <v>85</v>
      </c>
      <c r="D52" s="195">
        <v>4340.0000000000009</v>
      </c>
      <c r="E52" s="195"/>
      <c r="F52" s="195"/>
      <c r="G52" s="196">
        <f t="shared" si="7"/>
        <v>4340.0000000000009</v>
      </c>
      <c r="H52" s="197">
        <v>1</v>
      </c>
      <c r="I52" s="198">
        <f>+SUMIFS('ACONC '!$J:$J,'ACONC '!$C:$C,'1) Budget Tables'!A52)/'ACONC '!$R$2</f>
        <v>0</v>
      </c>
      <c r="J52" s="491"/>
      <c r="K52" s="200"/>
      <c r="L52" s="201"/>
    </row>
    <row r="53" spans="1:12" ht="47.25" customHeight="1" x14ac:dyDescent="0.25">
      <c r="A53" s="267" t="s">
        <v>86</v>
      </c>
      <c r="B53" s="194" t="s">
        <v>86</v>
      </c>
      <c r="C53" s="149" t="s">
        <v>87</v>
      </c>
      <c r="D53" s="195">
        <v>4482.8571428571431</v>
      </c>
      <c r="E53" s="195"/>
      <c r="F53" s="195"/>
      <c r="G53" s="196">
        <f t="shared" si="7"/>
        <v>4482.8571428571431</v>
      </c>
      <c r="H53" s="197">
        <v>1</v>
      </c>
      <c r="I53" s="198">
        <f>+SUMIFS('ACONC '!$J:$J,'ACONC '!$C:$C,'1) Budget Tables'!A53)/'ACONC '!$R$2</f>
        <v>0</v>
      </c>
      <c r="J53" s="491"/>
      <c r="K53" s="200"/>
      <c r="L53" s="201"/>
    </row>
    <row r="54" spans="1:12" ht="47.25" customHeight="1" x14ac:dyDescent="0.25">
      <c r="A54" s="267" t="s">
        <v>88</v>
      </c>
      <c r="B54" s="194" t="s">
        <v>88</v>
      </c>
      <c r="C54" s="149" t="s">
        <v>89</v>
      </c>
      <c r="D54" s="195">
        <v>12197.142857142857</v>
      </c>
      <c r="E54" s="195"/>
      <c r="F54" s="195"/>
      <c r="G54" s="196">
        <f t="shared" si="7"/>
        <v>12197.142857142857</v>
      </c>
      <c r="H54" s="197">
        <v>1</v>
      </c>
      <c r="I54" s="198">
        <f>+SUMIFS('ACONC '!$J:$J,'ACONC '!$C:$C,'1) Budget Tables'!A54)/'ACONC '!$R$2</f>
        <v>0</v>
      </c>
      <c r="J54" s="492"/>
      <c r="K54" s="200"/>
      <c r="L54" s="201"/>
    </row>
    <row r="55" spans="1:12" ht="15.75" hidden="1" x14ac:dyDescent="0.25">
      <c r="B55" s="194" t="s">
        <v>90</v>
      </c>
      <c r="C55" s="149"/>
      <c r="D55" s="195"/>
      <c r="E55" s="195"/>
      <c r="F55" s="195"/>
      <c r="G55" s="196">
        <f t="shared" si="7"/>
        <v>0</v>
      </c>
      <c r="H55" s="197"/>
      <c r="I55" s="198"/>
      <c r="J55" s="198"/>
      <c r="K55" s="200"/>
      <c r="L55" s="201"/>
    </row>
    <row r="56" spans="1:12" ht="15.75" hidden="1" x14ac:dyDescent="0.25">
      <c r="A56" s="265"/>
      <c r="B56" s="194" t="s">
        <v>91</v>
      </c>
      <c r="C56" s="270"/>
      <c r="D56" s="203"/>
      <c r="E56" s="203"/>
      <c r="F56" s="203"/>
      <c r="G56" s="196">
        <f t="shared" si="7"/>
        <v>0</v>
      </c>
      <c r="H56" s="204"/>
      <c r="I56" s="202"/>
      <c r="J56" s="202"/>
      <c r="K56" s="205"/>
      <c r="L56" s="201"/>
    </row>
    <row r="57" spans="1:12" s="34" customFormat="1" ht="15.75" hidden="1" x14ac:dyDescent="0.25">
      <c r="A57" s="265"/>
      <c r="B57" s="194" t="s">
        <v>92</v>
      </c>
      <c r="C57" s="270"/>
      <c r="D57" s="203"/>
      <c r="E57" s="203"/>
      <c r="F57" s="203"/>
      <c r="G57" s="196">
        <f t="shared" si="7"/>
        <v>0</v>
      </c>
      <c r="H57" s="204"/>
      <c r="I57" s="202"/>
      <c r="J57" s="202"/>
      <c r="K57" s="205"/>
      <c r="L57" s="201"/>
    </row>
    <row r="58" spans="1:12" s="34" customFormat="1" ht="15.75" x14ac:dyDescent="0.25">
      <c r="A58" s="267"/>
      <c r="B58" s="33"/>
      <c r="C58" s="89" t="s">
        <v>33</v>
      </c>
      <c r="D58" s="15">
        <f>SUM(D50:D57)</f>
        <v>45414.285714285717</v>
      </c>
      <c r="E58" s="15">
        <f t="shared" ref="E58:G58" si="8">SUM(E50:E57)</f>
        <v>0</v>
      </c>
      <c r="F58" s="15">
        <f t="shared" si="8"/>
        <v>0</v>
      </c>
      <c r="G58" s="18">
        <f t="shared" si="8"/>
        <v>45414.285714285717</v>
      </c>
      <c r="H58" s="103">
        <f>(H50*G50)+(H51*G51)+(H52*G52)+(H53*G53)+(H54*G54)+(H55*G55)+(H56*G56)+(H57*G57)</f>
        <v>45414.285714285717</v>
      </c>
      <c r="I58" s="103">
        <f>SUM(I50:I57)</f>
        <v>9440.6215749999992</v>
      </c>
      <c r="J58" s="144"/>
      <c r="K58" s="205"/>
      <c r="L58" s="42"/>
    </row>
    <row r="59" spans="1:12" ht="51" customHeight="1" x14ac:dyDescent="0.25">
      <c r="B59" s="89" t="s">
        <v>93</v>
      </c>
      <c r="C59" s="488" t="s">
        <v>94</v>
      </c>
      <c r="D59" s="488"/>
      <c r="E59" s="488"/>
      <c r="F59" s="488"/>
      <c r="G59" s="488"/>
      <c r="H59" s="488"/>
      <c r="I59" s="489"/>
      <c r="J59" s="489"/>
      <c r="K59" s="488"/>
      <c r="L59" s="41"/>
    </row>
    <row r="60" spans="1:12" ht="47.25" x14ac:dyDescent="0.25">
      <c r="A60" s="267" t="s">
        <v>95</v>
      </c>
      <c r="B60" s="194" t="s">
        <v>96</v>
      </c>
      <c r="C60" s="149" t="s">
        <v>97</v>
      </c>
      <c r="D60" s="195">
        <v>7108.7912087912091</v>
      </c>
      <c r="E60" s="195"/>
      <c r="F60" s="195"/>
      <c r="G60" s="196">
        <f t="shared" ref="G60:G72" si="9">D60</f>
        <v>7108.7912087912091</v>
      </c>
      <c r="H60" s="197">
        <v>1</v>
      </c>
      <c r="I60" s="198">
        <f>+SUMIFS('ACONC '!$J:$J,'ACONC '!$C:$C,'1) Budget Tables'!A60)/'ACONC '!$R$2</f>
        <v>11880</v>
      </c>
      <c r="J60" s="490" t="s">
        <v>98</v>
      </c>
      <c r="K60" s="200"/>
      <c r="L60" s="201"/>
    </row>
    <row r="61" spans="1:12" ht="47.25" customHeight="1" x14ac:dyDescent="0.25">
      <c r="A61" s="267" t="s">
        <v>99</v>
      </c>
      <c r="B61" s="194" t="s">
        <v>100</v>
      </c>
      <c r="C61" s="149" t="s">
        <v>101</v>
      </c>
      <c r="D61" s="195">
        <v>12823.076923076924</v>
      </c>
      <c r="E61" s="195"/>
      <c r="F61" s="195"/>
      <c r="G61" s="196">
        <f t="shared" si="9"/>
        <v>12823.076923076924</v>
      </c>
      <c r="H61" s="197">
        <v>1</v>
      </c>
      <c r="I61" s="198">
        <f>+SUMIFS('ACONC '!$J:$J,'ACONC '!$C:$C,'1) Budget Tables'!A61)/'ACONC '!$R$2</f>
        <v>0</v>
      </c>
      <c r="J61" s="491"/>
      <c r="K61" s="200"/>
      <c r="L61" s="201"/>
    </row>
    <row r="62" spans="1:12" ht="47.25" customHeight="1" x14ac:dyDescent="0.25">
      <c r="A62" s="267" t="s">
        <v>102</v>
      </c>
      <c r="B62" s="194" t="s">
        <v>103</v>
      </c>
      <c r="C62" s="149" t="s">
        <v>104</v>
      </c>
      <c r="D62" s="195">
        <v>2108.7912087912091</v>
      </c>
      <c r="E62" s="195"/>
      <c r="F62" s="195"/>
      <c r="G62" s="196">
        <f t="shared" si="9"/>
        <v>2108.7912087912091</v>
      </c>
      <c r="H62" s="197">
        <v>1</v>
      </c>
      <c r="I62" s="198">
        <f>+SUMIFS('ACONC '!$J:$J,'ACONC '!$C:$C,'1) Budget Tables'!A62)/'ACONC '!$R$2</f>
        <v>2062.5</v>
      </c>
      <c r="J62" s="491"/>
      <c r="K62" s="200"/>
      <c r="L62" s="201"/>
    </row>
    <row r="63" spans="1:12" ht="47.25" customHeight="1" x14ac:dyDescent="0.25">
      <c r="A63" s="267" t="s">
        <v>105</v>
      </c>
      <c r="B63" s="194" t="s">
        <v>106</v>
      </c>
      <c r="C63" s="149" t="s">
        <v>107</v>
      </c>
      <c r="D63" s="195">
        <v>2251.6483516483518</v>
      </c>
      <c r="E63" s="195"/>
      <c r="F63" s="195"/>
      <c r="G63" s="196">
        <f t="shared" si="9"/>
        <v>2251.6483516483518</v>
      </c>
      <c r="H63" s="197">
        <v>1</v>
      </c>
      <c r="I63" s="198">
        <f>+SUMIFS('ACONC '!$J:$J,'ACONC '!$C:$C,'1) Budget Tables'!A63)/'ACONC '!$R$2</f>
        <v>0</v>
      </c>
      <c r="J63" s="491"/>
      <c r="K63" s="200"/>
      <c r="L63" s="201"/>
    </row>
    <row r="64" spans="1:12" ht="47.25" customHeight="1" x14ac:dyDescent="0.25">
      <c r="A64" s="267" t="s">
        <v>108</v>
      </c>
      <c r="B64" s="194" t="s">
        <v>109</v>
      </c>
      <c r="C64" s="149" t="s">
        <v>110</v>
      </c>
      <c r="D64" s="195">
        <v>9965.9340659340651</v>
      </c>
      <c r="E64" s="195"/>
      <c r="F64" s="195"/>
      <c r="G64" s="196">
        <f t="shared" si="9"/>
        <v>9965.9340659340651</v>
      </c>
      <c r="H64" s="197">
        <v>1</v>
      </c>
      <c r="I64" s="198">
        <f>+SUMIFS('ACONC '!$J:$J,'ACONC '!$C:$C,'1) Budget Tables'!A64)/'ACONC '!$R$2</f>
        <v>0</v>
      </c>
      <c r="J64" s="492"/>
      <c r="K64" s="200"/>
      <c r="L64" s="201"/>
    </row>
    <row r="65" spans="1:12" ht="47.25" customHeight="1" x14ac:dyDescent="0.25">
      <c r="A65" s="267" t="s">
        <v>111</v>
      </c>
      <c r="B65" s="194" t="s">
        <v>112</v>
      </c>
      <c r="C65" s="149" t="s">
        <v>113</v>
      </c>
      <c r="D65" s="195">
        <v>2108.7912087912091</v>
      </c>
      <c r="E65" s="195"/>
      <c r="F65" s="195"/>
      <c r="G65" s="196">
        <f t="shared" si="9"/>
        <v>2108.7912087912091</v>
      </c>
      <c r="H65" s="197">
        <v>1</v>
      </c>
      <c r="I65" s="198">
        <f>+SUMIFS('ACONC '!$J:$J,'ACONC '!$C:$C,'1) Budget Tables'!A65)/'ACONC '!$R$2</f>
        <v>0</v>
      </c>
      <c r="J65" s="490" t="s">
        <v>114</v>
      </c>
      <c r="K65" s="200"/>
      <c r="L65" s="201"/>
    </row>
    <row r="66" spans="1:12" ht="31.5" x14ac:dyDescent="0.25">
      <c r="A66" s="267" t="s">
        <v>115</v>
      </c>
      <c r="B66" s="194" t="s">
        <v>116</v>
      </c>
      <c r="C66" s="270" t="s">
        <v>117</v>
      </c>
      <c r="D66" s="203">
        <v>2394.5054945054944</v>
      </c>
      <c r="E66" s="203"/>
      <c r="F66" s="203"/>
      <c r="G66" s="196">
        <f t="shared" si="9"/>
        <v>2394.5054945054944</v>
      </c>
      <c r="H66" s="204">
        <v>1</v>
      </c>
      <c r="I66" s="198">
        <f>+SUMIFS('ACONC '!$J:$J,'ACONC '!$C:$C,'1) Budget Tables'!A66)/'ACONC '!$R$2</f>
        <v>0</v>
      </c>
      <c r="J66" s="491"/>
      <c r="K66" s="205"/>
      <c r="L66" s="201"/>
    </row>
    <row r="67" spans="1:12" ht="31.5" x14ac:dyDescent="0.25">
      <c r="A67" s="267" t="s">
        <v>118</v>
      </c>
      <c r="B67" s="194" t="s">
        <v>119</v>
      </c>
      <c r="C67" s="270" t="s">
        <v>120</v>
      </c>
      <c r="D67" s="203">
        <v>1965.934065934066</v>
      </c>
      <c r="E67" s="203"/>
      <c r="F67" s="203"/>
      <c r="G67" s="196">
        <f t="shared" si="9"/>
        <v>1965.934065934066</v>
      </c>
      <c r="H67" s="204">
        <v>1</v>
      </c>
      <c r="I67" s="198">
        <f>+SUMIFS('ACONC '!$J:$J,'ACONC '!$C:$C,'1) Budget Tables'!A67)/'ACONC '!$R$2</f>
        <v>0</v>
      </c>
      <c r="J67" s="491"/>
      <c r="K67" s="205"/>
      <c r="L67" s="201"/>
    </row>
    <row r="68" spans="1:12" ht="31.5" x14ac:dyDescent="0.25">
      <c r="A68" s="267" t="s">
        <v>121</v>
      </c>
      <c r="B68" s="194" t="s">
        <v>122</v>
      </c>
      <c r="C68" s="270" t="s">
        <v>123</v>
      </c>
      <c r="D68" s="203">
        <v>1680.2197802197804</v>
      </c>
      <c r="E68" s="203"/>
      <c r="F68" s="203"/>
      <c r="G68" s="196">
        <f t="shared" si="9"/>
        <v>1680.2197802197804</v>
      </c>
      <c r="H68" s="204">
        <v>1</v>
      </c>
      <c r="I68" s="198">
        <f>+SUMIFS('ACONC '!$J:$J,'ACONC '!$C:$C,'1) Budget Tables'!A68)/'ACONC '!$R$2</f>
        <v>0</v>
      </c>
      <c r="J68" s="491"/>
      <c r="K68" s="205"/>
      <c r="L68" s="201"/>
    </row>
    <row r="69" spans="1:12" ht="31.5" x14ac:dyDescent="0.25">
      <c r="A69" s="267" t="s">
        <v>124</v>
      </c>
      <c r="B69" s="194" t="s">
        <v>125</v>
      </c>
      <c r="C69" s="270" t="s">
        <v>126</v>
      </c>
      <c r="D69" s="203">
        <v>2537.3626373626375</v>
      </c>
      <c r="E69" s="203"/>
      <c r="F69" s="203"/>
      <c r="G69" s="196">
        <f t="shared" si="9"/>
        <v>2537.3626373626375</v>
      </c>
      <c r="H69" s="204">
        <v>1</v>
      </c>
      <c r="I69" s="198">
        <f>+SUMIFS('ACONC '!$J:$J,'ACONC '!$C:$C,'1) Budget Tables'!A69)/'ACONC '!$R$2</f>
        <v>0</v>
      </c>
      <c r="J69" s="491"/>
      <c r="K69" s="205"/>
      <c r="L69" s="201"/>
    </row>
    <row r="70" spans="1:12" ht="31.5" x14ac:dyDescent="0.25">
      <c r="A70" s="267" t="s">
        <v>127</v>
      </c>
      <c r="B70" s="194" t="s">
        <v>128</v>
      </c>
      <c r="C70" s="270" t="s">
        <v>129</v>
      </c>
      <c r="D70" s="203">
        <v>2251.6483516483518</v>
      </c>
      <c r="E70" s="203"/>
      <c r="F70" s="203"/>
      <c r="G70" s="196">
        <f t="shared" si="9"/>
        <v>2251.6483516483518</v>
      </c>
      <c r="H70" s="204">
        <v>1</v>
      </c>
      <c r="I70" s="198">
        <f>+SUMIFS('ACONC '!$J:$J,'ACONC '!$C:$C,'1) Budget Tables'!A70)/'ACONC '!$R$2</f>
        <v>0</v>
      </c>
      <c r="J70" s="491"/>
      <c r="K70" s="205"/>
      <c r="L70" s="201"/>
    </row>
    <row r="71" spans="1:12" ht="31.5" customHeight="1" x14ac:dyDescent="0.25">
      <c r="A71" s="267" t="s">
        <v>130</v>
      </c>
      <c r="B71" s="194" t="s">
        <v>131</v>
      </c>
      <c r="C71" s="270" t="s">
        <v>132</v>
      </c>
      <c r="D71" s="203">
        <v>2108.7912087912091</v>
      </c>
      <c r="E71" s="203"/>
      <c r="F71" s="203"/>
      <c r="G71" s="196">
        <f t="shared" si="9"/>
        <v>2108.7912087912091</v>
      </c>
      <c r="H71" s="204">
        <v>1</v>
      </c>
      <c r="I71" s="198">
        <f>+SUMIFS('ACONC '!$J:$J,'ACONC '!$C:$C,'1) Budget Tables'!A71)/'ACONC '!$R$2</f>
        <v>0</v>
      </c>
      <c r="J71" s="491"/>
      <c r="K71" s="205"/>
      <c r="L71" s="201"/>
    </row>
    <row r="72" spans="1:12" ht="31.5" x14ac:dyDescent="0.25">
      <c r="A72" s="267" t="s">
        <v>133</v>
      </c>
      <c r="B72" s="194" t="s">
        <v>134</v>
      </c>
      <c r="C72" s="270" t="s">
        <v>135</v>
      </c>
      <c r="D72" s="203">
        <v>12823.076923076924</v>
      </c>
      <c r="E72" s="203"/>
      <c r="F72" s="203"/>
      <c r="G72" s="196">
        <f t="shared" si="9"/>
        <v>12823.076923076924</v>
      </c>
      <c r="H72" s="204">
        <v>1</v>
      </c>
      <c r="I72" s="198">
        <f>+SUMIFS('ACONC '!$J:$J,'ACONC '!$C:$C,'1) Budget Tables'!A72)/'ACONC '!$R$2</f>
        <v>0</v>
      </c>
      <c r="J72" s="491"/>
      <c r="K72" s="205"/>
      <c r="L72" s="201"/>
    </row>
    <row r="73" spans="1:12" ht="63" x14ac:dyDescent="0.25">
      <c r="A73" s="267" t="s">
        <v>136</v>
      </c>
      <c r="B73" s="194" t="s">
        <v>137</v>
      </c>
      <c r="C73" s="270" t="s">
        <v>138</v>
      </c>
      <c r="D73" s="203">
        <v>12735.714285714286</v>
      </c>
      <c r="E73" s="203"/>
      <c r="F73" s="203"/>
      <c r="G73" s="196">
        <f t="shared" ref="G73:G78" si="10">D73</f>
        <v>12735.714285714286</v>
      </c>
      <c r="H73" s="204">
        <v>1</v>
      </c>
      <c r="I73" s="198">
        <f>+SUMIFS('ACONC '!$J:$J,'ACONC '!$C:$C,'1) Budget Tables'!A73)/'ACONC '!$R$2</f>
        <v>0</v>
      </c>
      <c r="J73" s="493" t="s">
        <v>139</v>
      </c>
      <c r="K73" s="260"/>
      <c r="L73" s="201"/>
    </row>
    <row r="74" spans="1:12" ht="47.25" customHeight="1" x14ac:dyDescent="0.25">
      <c r="A74" s="267" t="s">
        <v>140</v>
      </c>
      <c r="B74" s="194" t="s">
        <v>141</v>
      </c>
      <c r="C74" s="270" t="s">
        <v>142</v>
      </c>
      <c r="D74" s="203">
        <v>22450</v>
      </c>
      <c r="E74" s="203"/>
      <c r="F74" s="203"/>
      <c r="G74" s="196">
        <f t="shared" si="10"/>
        <v>22450</v>
      </c>
      <c r="H74" s="204">
        <v>1</v>
      </c>
      <c r="I74" s="198">
        <f>+SUMIFS('ACONC '!$J:$J,'ACONC '!$C:$C,'1) Budget Tables'!A74)/'ACONC '!$R$2</f>
        <v>0</v>
      </c>
      <c r="J74" s="493"/>
      <c r="K74" s="260"/>
      <c r="L74" s="201"/>
    </row>
    <row r="75" spans="1:12" ht="47.25" customHeight="1" x14ac:dyDescent="0.25">
      <c r="A75" s="267" t="s">
        <v>143</v>
      </c>
      <c r="B75" s="194" t="s">
        <v>144</v>
      </c>
      <c r="C75" s="270" t="s">
        <v>104</v>
      </c>
      <c r="D75" s="203">
        <v>3735.7142857142862</v>
      </c>
      <c r="E75" s="203"/>
      <c r="F75" s="203"/>
      <c r="G75" s="196">
        <f t="shared" si="10"/>
        <v>3735.7142857142862</v>
      </c>
      <c r="H75" s="204">
        <v>1</v>
      </c>
      <c r="I75" s="198">
        <f>+SUMIFS('ACONC '!$J:$J,'ACONC '!$C:$C,'1) Budget Tables'!A75)/'ACONC '!$R$2</f>
        <v>0</v>
      </c>
      <c r="J75" s="493"/>
      <c r="K75" s="260"/>
      <c r="L75" s="201"/>
    </row>
    <row r="76" spans="1:12" ht="47.25" customHeight="1" x14ac:dyDescent="0.25">
      <c r="A76" s="267" t="s">
        <v>145</v>
      </c>
      <c r="B76" s="194" t="s">
        <v>146</v>
      </c>
      <c r="C76" s="270" t="s">
        <v>87</v>
      </c>
      <c r="D76" s="203">
        <v>3878.5714285714294</v>
      </c>
      <c r="E76" s="203"/>
      <c r="F76" s="203"/>
      <c r="G76" s="196">
        <f t="shared" si="10"/>
        <v>3878.5714285714294</v>
      </c>
      <c r="H76" s="204">
        <v>1</v>
      </c>
      <c r="I76" s="198">
        <f>+SUMIFS('ACONC '!$J:$J,'ACONC '!$C:$C,'1) Budget Tables'!A76)/'ACONC '!$R$2</f>
        <v>0</v>
      </c>
      <c r="J76" s="493"/>
      <c r="K76" s="260"/>
      <c r="L76" s="201"/>
    </row>
    <row r="77" spans="1:12" ht="31.5" x14ac:dyDescent="0.25">
      <c r="A77" s="267" t="s">
        <v>147</v>
      </c>
      <c r="B77" s="194" t="s">
        <v>148</v>
      </c>
      <c r="C77" s="270" t="s">
        <v>149</v>
      </c>
      <c r="D77" s="203">
        <v>7307.1428571428569</v>
      </c>
      <c r="E77" s="203"/>
      <c r="F77" s="203"/>
      <c r="G77" s="196">
        <f t="shared" si="10"/>
        <v>7307.1428571428569</v>
      </c>
      <c r="H77" s="204">
        <v>1</v>
      </c>
      <c r="I77" s="198">
        <f>+SUMIFS('ACONC '!$J:$J,'ACONC '!$C:$C,'1) Budget Tables'!A77)/'ACONC '!$R$2</f>
        <v>0</v>
      </c>
      <c r="J77" s="272" t="s">
        <v>150</v>
      </c>
      <c r="K77" s="205"/>
      <c r="L77" s="201"/>
    </row>
    <row r="78" spans="1:12" ht="47.25" x14ac:dyDescent="0.25">
      <c r="A78" s="267" t="s">
        <v>151</v>
      </c>
      <c r="B78" s="194" t="s">
        <v>152</v>
      </c>
      <c r="C78" s="270" t="s">
        <v>153</v>
      </c>
      <c r="D78" s="203">
        <v>6621.4285714285725</v>
      </c>
      <c r="E78" s="203"/>
      <c r="F78" s="203"/>
      <c r="G78" s="196">
        <f t="shared" si="10"/>
        <v>6621.4285714285725</v>
      </c>
      <c r="H78" s="204">
        <v>1</v>
      </c>
      <c r="I78" s="198">
        <f>+SUMIFS('ACONC '!$J:$J,'ACONC '!$C:$C,'1) Budget Tables'!A78)/'ACONC '!$R$2</f>
        <v>0</v>
      </c>
      <c r="J78" s="259" t="s">
        <v>154</v>
      </c>
      <c r="K78" s="205"/>
      <c r="L78" s="201"/>
    </row>
    <row r="79" spans="1:12" ht="15.75" hidden="1" x14ac:dyDescent="0.25">
      <c r="B79" s="194" t="s">
        <v>155</v>
      </c>
      <c r="C79" s="270"/>
      <c r="D79" s="203"/>
      <c r="E79" s="203"/>
      <c r="F79" s="203"/>
      <c r="G79" s="196"/>
      <c r="H79" s="204"/>
      <c r="I79" s="202"/>
      <c r="J79" s="193"/>
      <c r="K79" s="205"/>
      <c r="L79" s="201"/>
    </row>
    <row r="80" spans="1:12" ht="31.5" hidden="1" x14ac:dyDescent="0.25">
      <c r="B80" s="194" t="s">
        <v>156</v>
      </c>
      <c r="C80" s="270"/>
      <c r="D80" s="203"/>
      <c r="E80" s="203"/>
      <c r="F80" s="203"/>
      <c r="G80" s="196">
        <f t="shared" ref="G80" si="11">D80</f>
        <v>0</v>
      </c>
      <c r="H80" s="204"/>
      <c r="I80" s="202"/>
      <c r="J80" s="193" t="s">
        <v>157</v>
      </c>
      <c r="K80" s="205"/>
      <c r="L80" s="201"/>
    </row>
    <row r="81" spans="1:12" ht="15.75" x14ac:dyDescent="0.25">
      <c r="C81" s="89" t="s">
        <v>33</v>
      </c>
      <c r="D81" s="18">
        <f>SUM(D60:D80)</f>
        <v>118857.14285714287</v>
      </c>
      <c r="E81" s="18">
        <f t="shared" ref="E81:G81" si="12">SUM(E60:E80)</f>
        <v>0</v>
      </c>
      <c r="F81" s="18">
        <f t="shared" si="12"/>
        <v>0</v>
      </c>
      <c r="G81" s="18">
        <f t="shared" si="12"/>
        <v>118857.14285714287</v>
      </c>
      <c r="H81" s="103">
        <f>(H60*G60)+(H61*G61)+(H62*G62)+(H63*G63)+(H64*G64)+(H65*G65)+(H66*G66)+(H67*G67)+(H68*G68)+(H69*G69)+(H70*G70)+(H71*G71)+(H72*G72)+(H73*G73)+(H74*G74)+(H75*G75)+(H76*G76)+(H77*G77)+H78*G78</f>
        <v>118857.14285714287</v>
      </c>
      <c r="I81" s="103">
        <f>SUM(I60:I80)</f>
        <v>13942.5</v>
      </c>
      <c r="J81" s="144"/>
      <c r="K81" s="205"/>
      <c r="L81" s="42"/>
    </row>
    <row r="82" spans="1:12" ht="51" customHeight="1" x14ac:dyDescent="0.25">
      <c r="B82" s="89" t="s">
        <v>158</v>
      </c>
      <c r="C82" s="488" t="s">
        <v>159</v>
      </c>
      <c r="D82" s="488"/>
      <c r="E82" s="488"/>
      <c r="F82" s="488"/>
      <c r="G82" s="488"/>
      <c r="H82" s="488"/>
      <c r="I82" s="489"/>
      <c r="J82" s="489"/>
      <c r="K82" s="488"/>
      <c r="L82" s="41"/>
    </row>
    <row r="83" spans="1:12" ht="31.5" x14ac:dyDescent="0.25">
      <c r="A83" s="267" t="s">
        <v>160</v>
      </c>
      <c r="B83" s="194" t="s">
        <v>161</v>
      </c>
      <c r="C83" s="270" t="s">
        <v>162</v>
      </c>
      <c r="D83" s="203">
        <v>167797.1428571429</v>
      </c>
      <c r="E83" s="203"/>
      <c r="F83" s="203"/>
      <c r="G83" s="196">
        <f t="shared" ref="G83:G93" si="13">D83</f>
        <v>167797.1428571429</v>
      </c>
      <c r="H83" s="204">
        <v>1</v>
      </c>
      <c r="I83" s="202">
        <f>+SUMIFS('ACONC '!$J:$J,'ACONC '!$C:$C,'1) Budget Tables'!A83)/'ACONC '!$R$2</f>
        <v>6187.5</v>
      </c>
      <c r="J83" s="193" t="s">
        <v>163</v>
      </c>
      <c r="K83" s="205"/>
      <c r="L83" s="201"/>
    </row>
    <row r="84" spans="1:12" ht="63" x14ac:dyDescent="0.25">
      <c r="A84" s="267" t="s">
        <v>164</v>
      </c>
      <c r="B84" s="194" t="s">
        <v>165</v>
      </c>
      <c r="C84" s="258" t="s">
        <v>166</v>
      </c>
      <c r="D84" s="203">
        <v>10482.857142857143</v>
      </c>
      <c r="E84" s="203"/>
      <c r="F84" s="203"/>
      <c r="G84" s="196">
        <f t="shared" ref="G84:G92" si="14">D84</f>
        <v>10482.857142857143</v>
      </c>
      <c r="H84" s="204">
        <v>1</v>
      </c>
      <c r="I84" s="202">
        <f>+SUMIFS('ACONC '!$J:$J,'ACONC '!$C:$C,'1) Budget Tables'!A84)/'ACONC '!$R$2</f>
        <v>0</v>
      </c>
      <c r="J84" s="259" t="s">
        <v>167</v>
      </c>
      <c r="K84" s="205"/>
      <c r="L84" s="201"/>
    </row>
    <row r="85" spans="1:12" ht="47.25" x14ac:dyDescent="0.25">
      <c r="A85" s="267" t="s">
        <v>168</v>
      </c>
      <c r="B85" s="194" t="s">
        <v>169</v>
      </c>
      <c r="C85" s="270" t="s">
        <v>170</v>
      </c>
      <c r="D85" s="203">
        <v>7054.2857142857147</v>
      </c>
      <c r="E85" s="203"/>
      <c r="F85" s="203"/>
      <c r="G85" s="196">
        <f t="shared" si="14"/>
        <v>7054.2857142857147</v>
      </c>
      <c r="H85" s="204">
        <v>1</v>
      </c>
      <c r="I85" s="202">
        <f>+SUMIFS('ACONC '!$J:$J,'ACONC '!$C:$C,'1) Budget Tables'!A85)/'ACONC '!$R$2</f>
        <v>0</v>
      </c>
      <c r="J85" s="193" t="s">
        <v>171</v>
      </c>
      <c r="K85" s="205"/>
      <c r="L85" s="201"/>
    </row>
    <row r="86" spans="1:12" ht="31.5" customHeight="1" x14ac:dyDescent="0.25">
      <c r="A86" s="267" t="s">
        <v>172</v>
      </c>
      <c r="B86" s="194" t="s">
        <v>173</v>
      </c>
      <c r="C86" s="270" t="s">
        <v>174</v>
      </c>
      <c r="D86" s="203">
        <v>3911.428571428572</v>
      </c>
      <c r="E86" s="203"/>
      <c r="F86" s="203"/>
      <c r="G86" s="196">
        <f t="shared" si="14"/>
        <v>3911.428571428572</v>
      </c>
      <c r="H86" s="204">
        <v>1</v>
      </c>
      <c r="I86" s="202">
        <f>+SUMIFS('ACONC '!$J:$J,'ACONC '!$C:$C,'1) Budget Tables'!A86)/'ACONC '!$R$2</f>
        <v>6976.6227382500001</v>
      </c>
      <c r="J86" s="490" t="s">
        <v>175</v>
      </c>
      <c r="K86" s="205"/>
      <c r="L86" s="201"/>
    </row>
    <row r="87" spans="1:12" ht="31.5" x14ac:dyDescent="0.25">
      <c r="A87" s="267" t="s">
        <v>176</v>
      </c>
      <c r="B87" s="194" t="s">
        <v>177</v>
      </c>
      <c r="C87" s="270" t="s">
        <v>178</v>
      </c>
      <c r="D87" s="203">
        <v>6482.8571428571431</v>
      </c>
      <c r="E87" s="203"/>
      <c r="F87" s="203"/>
      <c r="G87" s="196">
        <f t="shared" si="14"/>
        <v>6482.8571428571431</v>
      </c>
      <c r="H87" s="204">
        <v>1</v>
      </c>
      <c r="I87" s="202">
        <f>+SUMIFS('ACONC '!$J:$J,'ACONC '!$C:$C,'1) Budget Tables'!A87)/'ACONC '!$R$2</f>
        <v>0</v>
      </c>
      <c r="J87" s="492"/>
      <c r="K87" s="205"/>
      <c r="L87" s="201"/>
    </row>
    <row r="88" spans="1:12" ht="15.75" hidden="1" x14ac:dyDescent="0.25">
      <c r="B88" s="194" t="s">
        <v>179</v>
      </c>
      <c r="C88" s="270"/>
      <c r="D88" s="203"/>
      <c r="E88" s="203"/>
      <c r="F88" s="203"/>
      <c r="G88" s="196">
        <f t="shared" si="14"/>
        <v>0</v>
      </c>
      <c r="H88" s="204"/>
      <c r="I88" s="202"/>
      <c r="J88" s="202"/>
      <c r="K88" s="205"/>
      <c r="L88" s="201"/>
    </row>
    <row r="89" spans="1:12" ht="15.75" hidden="1" x14ac:dyDescent="0.25">
      <c r="B89" s="194" t="s">
        <v>180</v>
      </c>
      <c r="C89" s="270"/>
      <c r="D89" s="203"/>
      <c r="E89" s="203"/>
      <c r="F89" s="203"/>
      <c r="G89" s="196">
        <f t="shared" si="14"/>
        <v>0</v>
      </c>
      <c r="H89" s="204"/>
      <c r="I89" s="202"/>
      <c r="J89" s="202"/>
      <c r="K89" s="205"/>
      <c r="L89" s="201"/>
    </row>
    <row r="90" spans="1:12" ht="15.75" hidden="1" x14ac:dyDescent="0.25">
      <c r="B90" s="194" t="s">
        <v>181</v>
      </c>
      <c r="C90" s="270"/>
      <c r="D90" s="203"/>
      <c r="E90" s="203"/>
      <c r="F90" s="203"/>
      <c r="G90" s="196">
        <f t="shared" si="14"/>
        <v>0</v>
      </c>
      <c r="H90" s="204"/>
      <c r="I90" s="202"/>
      <c r="J90" s="202"/>
      <c r="K90" s="205"/>
      <c r="L90" s="201"/>
    </row>
    <row r="91" spans="1:12" ht="15.75" hidden="1" x14ac:dyDescent="0.25">
      <c r="B91" s="194" t="s">
        <v>182</v>
      </c>
      <c r="C91" s="270"/>
      <c r="D91" s="203"/>
      <c r="E91" s="203"/>
      <c r="F91" s="203"/>
      <c r="G91" s="196">
        <f t="shared" si="14"/>
        <v>0</v>
      </c>
      <c r="H91" s="204"/>
      <c r="I91" s="202"/>
      <c r="J91" s="202"/>
      <c r="K91" s="205"/>
      <c r="L91" s="201"/>
    </row>
    <row r="92" spans="1:12" ht="15.75" hidden="1" x14ac:dyDescent="0.25">
      <c r="B92" s="194" t="s">
        <v>183</v>
      </c>
      <c r="C92" s="270"/>
      <c r="D92" s="203"/>
      <c r="E92" s="203"/>
      <c r="F92" s="203"/>
      <c r="G92" s="196">
        <f t="shared" si="14"/>
        <v>0</v>
      </c>
      <c r="H92" s="204"/>
      <c r="I92" s="202"/>
      <c r="J92" s="202"/>
      <c r="K92" s="205"/>
      <c r="L92" s="201"/>
    </row>
    <row r="93" spans="1:12" ht="15.75" hidden="1" x14ac:dyDescent="0.25">
      <c r="B93" s="194" t="s">
        <v>184</v>
      </c>
      <c r="C93" s="270"/>
      <c r="D93" s="203"/>
      <c r="E93" s="203"/>
      <c r="F93" s="203"/>
      <c r="G93" s="196">
        <f t="shared" si="13"/>
        <v>0</v>
      </c>
      <c r="H93" s="204"/>
      <c r="I93" s="202"/>
      <c r="J93" s="202"/>
      <c r="K93" s="205"/>
      <c r="L93" s="201"/>
    </row>
    <row r="94" spans="1:12" ht="15.75" x14ac:dyDescent="0.25">
      <c r="C94" s="89" t="s">
        <v>33</v>
      </c>
      <c r="D94" s="18">
        <f>SUM(D83:D93)</f>
        <v>195728.57142857145</v>
      </c>
      <c r="E94" s="18">
        <f>SUM(E83:E93)</f>
        <v>0</v>
      </c>
      <c r="F94" s="18">
        <f>SUM(F83:F93)</f>
        <v>0</v>
      </c>
      <c r="G94" s="18">
        <f>SUM(G83:G93)</f>
        <v>195728.57142857145</v>
      </c>
      <c r="H94" s="103">
        <f>+(H83*G83)+(H93*G93)+(H84*G84)+(H85*G85)+(H86*G86)+(H87*G87)</f>
        <v>195728.57142857145</v>
      </c>
      <c r="I94" s="103">
        <f>SUM(I83:I93)</f>
        <v>13164.12273825</v>
      </c>
      <c r="J94" s="144"/>
      <c r="K94" s="205"/>
      <c r="L94" s="42"/>
    </row>
    <row r="95" spans="1:12" ht="51" hidden="1" customHeight="1" x14ac:dyDescent="0.25">
      <c r="B95" s="89" t="s">
        <v>185</v>
      </c>
      <c r="C95" s="488"/>
      <c r="D95" s="488"/>
      <c r="E95" s="488"/>
      <c r="F95" s="488"/>
      <c r="G95" s="488"/>
      <c r="H95" s="488"/>
      <c r="I95" s="489"/>
      <c r="J95" s="489"/>
      <c r="K95" s="488"/>
      <c r="L95" s="41"/>
    </row>
    <row r="96" spans="1:12" ht="15.75" hidden="1" x14ac:dyDescent="0.25">
      <c r="B96" s="194" t="s">
        <v>186</v>
      </c>
      <c r="C96" s="149"/>
      <c r="D96" s="195"/>
      <c r="E96" s="195"/>
      <c r="F96" s="195"/>
      <c r="G96" s="196">
        <f>D96</f>
        <v>0</v>
      </c>
      <c r="H96" s="197"/>
      <c r="I96" s="198"/>
      <c r="J96" s="198"/>
      <c r="K96" s="200"/>
      <c r="L96" s="201"/>
    </row>
    <row r="97" spans="1:12" ht="15.75" hidden="1" x14ac:dyDescent="0.25">
      <c r="B97" s="194" t="s">
        <v>187</v>
      </c>
      <c r="C97" s="149"/>
      <c r="D97" s="195"/>
      <c r="E97" s="195"/>
      <c r="F97" s="195"/>
      <c r="G97" s="196">
        <f t="shared" ref="G97:G103" si="15">D97</f>
        <v>0</v>
      </c>
      <c r="H97" s="197"/>
      <c r="I97" s="198"/>
      <c r="J97" s="198"/>
      <c r="K97" s="200"/>
      <c r="L97" s="201"/>
    </row>
    <row r="98" spans="1:12" ht="15.75" hidden="1" x14ac:dyDescent="0.25">
      <c r="B98" s="194" t="s">
        <v>188</v>
      </c>
      <c r="C98" s="149"/>
      <c r="D98" s="195"/>
      <c r="E98" s="195"/>
      <c r="F98" s="195"/>
      <c r="G98" s="196">
        <f t="shared" si="15"/>
        <v>0</v>
      </c>
      <c r="H98" s="197"/>
      <c r="I98" s="198"/>
      <c r="J98" s="198"/>
      <c r="K98" s="200"/>
      <c r="L98" s="201"/>
    </row>
    <row r="99" spans="1:12" ht="15.75" hidden="1" x14ac:dyDescent="0.25">
      <c r="B99" s="194" t="s">
        <v>189</v>
      </c>
      <c r="C99" s="149"/>
      <c r="D99" s="195"/>
      <c r="E99" s="195"/>
      <c r="F99" s="195"/>
      <c r="G99" s="196">
        <f t="shared" si="15"/>
        <v>0</v>
      </c>
      <c r="H99" s="197"/>
      <c r="I99" s="198"/>
      <c r="J99" s="198"/>
      <c r="K99" s="200"/>
      <c r="L99" s="201"/>
    </row>
    <row r="100" spans="1:12" ht="15.75" hidden="1" x14ac:dyDescent="0.25">
      <c r="B100" s="194" t="s">
        <v>190</v>
      </c>
      <c r="C100" s="149"/>
      <c r="D100" s="195"/>
      <c r="E100" s="195"/>
      <c r="F100" s="195"/>
      <c r="G100" s="196">
        <f t="shared" si="15"/>
        <v>0</v>
      </c>
      <c r="H100" s="197"/>
      <c r="I100" s="198"/>
      <c r="J100" s="198"/>
      <c r="K100" s="200"/>
      <c r="L100" s="201"/>
    </row>
    <row r="101" spans="1:12" ht="15.75" hidden="1" x14ac:dyDescent="0.25">
      <c r="B101" s="194" t="s">
        <v>191</v>
      </c>
      <c r="C101" s="149"/>
      <c r="D101" s="195"/>
      <c r="E101" s="195"/>
      <c r="F101" s="195"/>
      <c r="G101" s="196">
        <f t="shared" si="15"/>
        <v>0</v>
      </c>
      <c r="H101" s="197"/>
      <c r="I101" s="198"/>
      <c r="J101" s="198"/>
      <c r="K101" s="200"/>
      <c r="L101" s="201"/>
    </row>
    <row r="102" spans="1:12" ht="15.75" hidden="1" x14ac:dyDescent="0.25">
      <c r="B102" s="194" t="s">
        <v>192</v>
      </c>
      <c r="C102" s="270"/>
      <c r="D102" s="203"/>
      <c r="E102" s="203"/>
      <c r="F102" s="203"/>
      <c r="G102" s="196">
        <f t="shared" si="15"/>
        <v>0</v>
      </c>
      <c r="H102" s="204"/>
      <c r="I102" s="202"/>
      <c r="J102" s="202"/>
      <c r="K102" s="205"/>
      <c r="L102" s="201"/>
    </row>
    <row r="103" spans="1:12" ht="15.75" hidden="1" x14ac:dyDescent="0.25">
      <c r="B103" s="194" t="s">
        <v>193</v>
      </c>
      <c r="C103" s="270"/>
      <c r="D103" s="203"/>
      <c r="E103" s="203"/>
      <c r="F103" s="203"/>
      <c r="G103" s="196">
        <f t="shared" si="15"/>
        <v>0</v>
      </c>
      <c r="H103" s="204"/>
      <c r="I103" s="202"/>
      <c r="J103" s="202"/>
      <c r="K103" s="205"/>
      <c r="L103" s="201"/>
    </row>
    <row r="104" spans="1:12" ht="15.75" hidden="1" x14ac:dyDescent="0.25">
      <c r="C104" s="89" t="s">
        <v>33</v>
      </c>
      <c r="D104" s="15">
        <f>SUM(D96:D103)</f>
        <v>0</v>
      </c>
      <c r="E104" s="15">
        <f t="shared" ref="E104:G104" si="16">SUM(E96:E103)</f>
        <v>0</v>
      </c>
      <c r="F104" s="15">
        <f t="shared" si="16"/>
        <v>0</v>
      </c>
      <c r="G104" s="15">
        <f t="shared" si="16"/>
        <v>0</v>
      </c>
      <c r="H104" s="103">
        <f>(H96*G96)+(H97*G97)+(H98*G98)+(H99*G99)+(H100*G100)+(H101*G101)+(H102*G102)+(H103*G103)</f>
        <v>0</v>
      </c>
      <c r="I104" s="103">
        <f>SUM(I96:I103)</f>
        <v>0</v>
      </c>
      <c r="J104" s="144"/>
      <c r="K104" s="205"/>
      <c r="L104" s="42"/>
    </row>
    <row r="105" spans="1:12" ht="15.75" customHeight="1" x14ac:dyDescent="0.25">
      <c r="B105" s="5"/>
      <c r="C105" s="206"/>
      <c r="D105" s="210"/>
      <c r="E105" s="210"/>
      <c r="F105" s="210"/>
      <c r="G105" s="210"/>
      <c r="H105" s="210"/>
      <c r="I105" s="210"/>
      <c r="J105" s="210"/>
      <c r="K105" s="206"/>
      <c r="L105" s="3"/>
    </row>
    <row r="106" spans="1:12" ht="48.6" customHeight="1" x14ac:dyDescent="0.25">
      <c r="B106" s="89" t="s">
        <v>194</v>
      </c>
      <c r="C106" s="494" t="s">
        <v>195</v>
      </c>
      <c r="D106" s="494"/>
      <c r="E106" s="494"/>
      <c r="F106" s="494"/>
      <c r="G106" s="494"/>
      <c r="H106" s="494"/>
      <c r="I106" s="487"/>
      <c r="J106" s="487"/>
      <c r="K106" s="494"/>
      <c r="L106" s="14"/>
    </row>
    <row r="107" spans="1:12" ht="58.9" customHeight="1" x14ac:dyDescent="0.25">
      <c r="B107" s="89" t="s">
        <v>196</v>
      </c>
      <c r="C107" s="488" t="s">
        <v>197</v>
      </c>
      <c r="D107" s="488"/>
      <c r="E107" s="488"/>
      <c r="F107" s="488"/>
      <c r="G107" s="488"/>
      <c r="H107" s="488"/>
      <c r="I107" s="489"/>
      <c r="J107" s="489"/>
      <c r="K107" s="488"/>
      <c r="L107" s="41"/>
    </row>
    <row r="108" spans="1:12" ht="31.5" x14ac:dyDescent="0.25">
      <c r="A108" s="267" t="s">
        <v>198</v>
      </c>
      <c r="B108" s="194" t="s">
        <v>199</v>
      </c>
      <c r="C108" s="149" t="s">
        <v>200</v>
      </c>
      <c r="D108" s="195">
        <v>7283</v>
      </c>
      <c r="E108" s="195"/>
      <c r="F108" s="195"/>
      <c r="G108" s="196">
        <f>D108</f>
        <v>7283</v>
      </c>
      <c r="H108" s="197">
        <v>0.4</v>
      </c>
      <c r="I108" s="198">
        <f>+SUMIFS(PACIFISTA!$J:$J,PACIFISTA!$D:$D,'1) Budget Tables'!A108)/PACIFISTA!$R$2</f>
        <v>6598.6318151099995</v>
      </c>
      <c r="J108" s="193" t="s">
        <v>201</v>
      </c>
      <c r="K108" s="200"/>
      <c r="L108" s="201"/>
    </row>
    <row r="109" spans="1:12" ht="97.5" customHeight="1" x14ac:dyDescent="0.25">
      <c r="A109" s="267" t="s">
        <v>202</v>
      </c>
      <c r="B109" s="194" t="s">
        <v>203</v>
      </c>
      <c r="C109" s="149" t="s">
        <v>204</v>
      </c>
      <c r="D109" s="195">
        <v>9104</v>
      </c>
      <c r="E109" s="195"/>
      <c r="F109" s="195"/>
      <c r="G109" s="196">
        <f t="shared" ref="G109:G115" si="17">D109</f>
        <v>9104</v>
      </c>
      <c r="H109" s="197">
        <v>0.6</v>
      </c>
      <c r="I109" s="198"/>
      <c r="J109" s="211" t="s">
        <v>205</v>
      </c>
      <c r="K109" s="200"/>
      <c r="L109" s="201"/>
    </row>
    <row r="110" spans="1:12" ht="47.25" x14ac:dyDescent="0.25">
      <c r="A110" s="267" t="s">
        <v>206</v>
      </c>
      <c r="B110" s="194" t="s">
        <v>207</v>
      </c>
      <c r="C110" s="149" t="s">
        <v>208</v>
      </c>
      <c r="D110" s="195">
        <v>22759</v>
      </c>
      <c r="E110" s="195"/>
      <c r="F110" s="195"/>
      <c r="G110" s="196">
        <f t="shared" si="17"/>
        <v>22759</v>
      </c>
      <c r="H110" s="197">
        <v>0.2</v>
      </c>
      <c r="I110" s="198"/>
      <c r="J110" s="193" t="s">
        <v>209</v>
      </c>
      <c r="K110" s="200"/>
      <c r="L110" s="201"/>
    </row>
    <row r="111" spans="1:12" ht="47.25" x14ac:dyDescent="0.25">
      <c r="A111" s="267" t="s">
        <v>210</v>
      </c>
      <c r="B111" s="194" t="s">
        <v>211</v>
      </c>
      <c r="C111" s="149" t="s">
        <v>212</v>
      </c>
      <c r="D111" s="195">
        <v>45519</v>
      </c>
      <c r="E111" s="195"/>
      <c r="F111" s="195"/>
      <c r="G111" s="196">
        <f t="shared" si="17"/>
        <v>45519</v>
      </c>
      <c r="H111" s="197">
        <v>0.6</v>
      </c>
      <c r="I111" s="198"/>
      <c r="J111" s="193" t="s">
        <v>213</v>
      </c>
      <c r="K111" s="200"/>
      <c r="L111" s="201"/>
    </row>
    <row r="112" spans="1:12" ht="63" x14ac:dyDescent="0.25">
      <c r="A112" s="267" t="s">
        <v>214</v>
      </c>
      <c r="B112" s="194" t="s">
        <v>215</v>
      </c>
      <c r="C112" s="149" t="s">
        <v>216</v>
      </c>
      <c r="D112" s="195">
        <v>6373</v>
      </c>
      <c r="E112" s="195"/>
      <c r="F112" s="195"/>
      <c r="G112" s="196">
        <f t="shared" si="17"/>
        <v>6373</v>
      </c>
      <c r="H112" s="197">
        <v>0.5</v>
      </c>
      <c r="I112" s="198"/>
      <c r="J112" s="211" t="s">
        <v>217</v>
      </c>
      <c r="K112" s="200"/>
      <c r="L112" s="201"/>
    </row>
    <row r="113" spans="1:12" ht="15.75" hidden="1" x14ac:dyDescent="0.25">
      <c r="B113" s="194" t="s">
        <v>218</v>
      </c>
      <c r="C113" s="149"/>
      <c r="D113" s="195"/>
      <c r="E113" s="195"/>
      <c r="F113" s="195"/>
      <c r="G113" s="196">
        <f t="shared" si="17"/>
        <v>0</v>
      </c>
      <c r="H113" s="197"/>
      <c r="I113" s="198"/>
      <c r="J113" s="198"/>
      <c r="K113" s="200"/>
      <c r="L113" s="201"/>
    </row>
    <row r="114" spans="1:12" ht="15.75" hidden="1" x14ac:dyDescent="0.25">
      <c r="B114" s="194" t="s">
        <v>219</v>
      </c>
      <c r="C114" s="270"/>
      <c r="D114" s="203"/>
      <c r="E114" s="203"/>
      <c r="F114" s="203"/>
      <c r="G114" s="196">
        <f t="shared" si="17"/>
        <v>0</v>
      </c>
      <c r="H114" s="204"/>
      <c r="I114" s="202"/>
      <c r="J114" s="202"/>
      <c r="K114" s="205"/>
      <c r="L114" s="201"/>
    </row>
    <row r="115" spans="1:12" ht="15.75" hidden="1" x14ac:dyDescent="0.25">
      <c r="B115" s="194" t="s">
        <v>220</v>
      </c>
      <c r="C115" s="270"/>
      <c r="D115" s="203"/>
      <c r="E115" s="203"/>
      <c r="F115" s="203"/>
      <c r="G115" s="196">
        <f t="shared" si="17"/>
        <v>0</v>
      </c>
      <c r="H115" s="204"/>
      <c r="I115" s="202"/>
      <c r="J115" s="202"/>
      <c r="K115" s="205"/>
      <c r="L115" s="201"/>
    </row>
    <row r="116" spans="1:12" ht="15.75" x14ac:dyDescent="0.25">
      <c r="C116" s="89" t="s">
        <v>33</v>
      </c>
      <c r="D116" s="15">
        <f>SUM(D108:D115)</f>
        <v>91038</v>
      </c>
      <c r="E116" s="15">
        <f t="shared" ref="E116:G116" si="18">SUM(E108:E115)</f>
        <v>0</v>
      </c>
      <c r="F116" s="15">
        <f t="shared" si="18"/>
        <v>0</v>
      </c>
      <c r="G116" s="18">
        <f t="shared" si="18"/>
        <v>91038</v>
      </c>
      <c r="H116" s="103">
        <f>(H108*G108)+(H109*G109)+(H110*G110)+(H111*G111)+(H112*G112)+(H113*G113)+(H114*G114)+(H115*G115)</f>
        <v>43425.3</v>
      </c>
      <c r="I116" s="103">
        <f>SUM(I108:I115)</f>
        <v>6598.6318151099995</v>
      </c>
      <c r="J116" s="144"/>
      <c r="K116" s="205"/>
      <c r="L116" s="42"/>
    </row>
    <row r="117" spans="1:12" ht="51" customHeight="1" x14ac:dyDescent="0.25">
      <c r="B117" s="89" t="s">
        <v>221</v>
      </c>
      <c r="C117" s="488" t="s">
        <v>222</v>
      </c>
      <c r="D117" s="488"/>
      <c r="E117" s="488"/>
      <c r="F117" s="488"/>
      <c r="G117" s="488"/>
      <c r="H117" s="488"/>
      <c r="I117" s="489"/>
      <c r="J117" s="489"/>
      <c r="K117" s="488"/>
      <c r="L117" s="41"/>
    </row>
    <row r="118" spans="1:12" ht="78.75" x14ac:dyDescent="0.25">
      <c r="A118" s="267" t="s">
        <v>223</v>
      </c>
      <c r="B118" s="194" t="s">
        <v>224</v>
      </c>
      <c r="C118" s="149" t="s">
        <v>225</v>
      </c>
      <c r="D118" s="195">
        <v>16981</v>
      </c>
      <c r="E118" s="195"/>
      <c r="F118" s="195"/>
      <c r="G118" s="196">
        <f>D118</f>
        <v>16981</v>
      </c>
      <c r="H118" s="197">
        <v>0.6</v>
      </c>
      <c r="I118" s="198"/>
      <c r="J118" s="211" t="s">
        <v>226</v>
      </c>
      <c r="K118" s="200"/>
      <c r="L118" s="201"/>
    </row>
    <row r="119" spans="1:12" ht="31.5" x14ac:dyDescent="0.25">
      <c r="A119" s="267" t="s">
        <v>227</v>
      </c>
      <c r="B119" s="194" t="s">
        <v>228</v>
      </c>
      <c r="C119" s="149" t="s">
        <v>229</v>
      </c>
      <c r="D119" s="195">
        <v>7278</v>
      </c>
      <c r="E119" s="195"/>
      <c r="F119" s="195"/>
      <c r="G119" s="196">
        <f t="shared" ref="G119:G125" si="19">D119</f>
        <v>7278</v>
      </c>
      <c r="H119" s="197">
        <v>0.1</v>
      </c>
      <c r="I119" s="198"/>
      <c r="J119" s="193" t="s">
        <v>230</v>
      </c>
      <c r="K119" s="200"/>
      <c r="L119" s="201"/>
    </row>
    <row r="120" spans="1:12" ht="63" x14ac:dyDescent="0.25">
      <c r="A120" s="267" t="s">
        <v>231</v>
      </c>
      <c r="B120" s="194" t="s">
        <v>232</v>
      </c>
      <c r="C120" s="149" t="s">
        <v>233</v>
      </c>
      <c r="D120" s="195">
        <v>12129</v>
      </c>
      <c r="E120" s="195"/>
      <c r="F120" s="195"/>
      <c r="G120" s="196">
        <f t="shared" si="19"/>
        <v>12129</v>
      </c>
      <c r="H120" s="197">
        <v>0.6</v>
      </c>
      <c r="I120" s="198"/>
      <c r="J120" s="211" t="s">
        <v>234</v>
      </c>
      <c r="K120" s="200"/>
      <c r="L120" s="201"/>
    </row>
    <row r="121" spans="1:12" ht="47.25" x14ac:dyDescent="0.25">
      <c r="A121" s="267" t="s">
        <v>235</v>
      </c>
      <c r="B121" s="194" t="s">
        <v>236</v>
      </c>
      <c r="C121" s="149" t="s">
        <v>237</v>
      </c>
      <c r="D121" s="195">
        <v>24259</v>
      </c>
      <c r="E121" s="195"/>
      <c r="F121" s="195"/>
      <c r="G121" s="196">
        <f t="shared" si="19"/>
        <v>24259</v>
      </c>
      <c r="H121" s="197">
        <v>0.5</v>
      </c>
      <c r="I121" s="198"/>
      <c r="J121" s="193" t="s">
        <v>238</v>
      </c>
      <c r="K121" s="200"/>
      <c r="L121" s="201"/>
    </row>
    <row r="122" spans="1:12" ht="47.25" x14ac:dyDescent="0.25">
      <c r="A122" s="267" t="s">
        <v>239</v>
      </c>
      <c r="B122" s="194" t="s">
        <v>240</v>
      </c>
      <c r="C122" s="149" t="s">
        <v>241</v>
      </c>
      <c r="D122" s="195">
        <v>20216</v>
      </c>
      <c r="E122" s="195"/>
      <c r="F122" s="195"/>
      <c r="G122" s="196">
        <f t="shared" si="19"/>
        <v>20216</v>
      </c>
      <c r="H122" s="197">
        <v>0.4</v>
      </c>
      <c r="I122" s="198"/>
      <c r="J122" s="193" t="s">
        <v>242</v>
      </c>
      <c r="K122" s="200"/>
      <c r="L122" s="201"/>
    </row>
    <row r="123" spans="1:12" ht="15.75" x14ac:dyDescent="0.25">
      <c r="A123" s="267" t="s">
        <v>243</v>
      </c>
      <c r="B123" s="194" t="s">
        <v>244</v>
      </c>
      <c r="C123" s="149"/>
      <c r="D123" s="195"/>
      <c r="E123" s="195"/>
      <c r="F123" s="195"/>
      <c r="G123" s="196">
        <f t="shared" si="19"/>
        <v>0</v>
      </c>
      <c r="H123" s="197"/>
      <c r="I123" s="198"/>
      <c r="J123" s="198"/>
      <c r="K123" s="200"/>
      <c r="L123" s="201"/>
    </row>
    <row r="124" spans="1:12" ht="15.75" x14ac:dyDescent="0.25">
      <c r="A124" s="267" t="s">
        <v>245</v>
      </c>
      <c r="B124" s="194" t="s">
        <v>246</v>
      </c>
      <c r="C124" s="270"/>
      <c r="D124" s="203"/>
      <c r="E124" s="203"/>
      <c r="F124" s="203"/>
      <c r="G124" s="196">
        <f t="shared" si="19"/>
        <v>0</v>
      </c>
      <c r="H124" s="204"/>
      <c r="I124" s="198"/>
      <c r="J124" s="202"/>
      <c r="K124" s="205"/>
      <c r="L124" s="201"/>
    </row>
    <row r="125" spans="1:12" ht="15.75" x14ac:dyDescent="0.25">
      <c r="A125" s="267" t="s">
        <v>247</v>
      </c>
      <c r="B125" s="194" t="s">
        <v>248</v>
      </c>
      <c r="C125" s="270"/>
      <c r="D125" s="203"/>
      <c r="E125" s="203"/>
      <c r="F125" s="203"/>
      <c r="G125" s="196">
        <f t="shared" si="19"/>
        <v>0</v>
      </c>
      <c r="H125" s="204"/>
      <c r="I125" s="198"/>
      <c r="J125" s="202"/>
      <c r="K125" s="205"/>
      <c r="L125" s="201"/>
    </row>
    <row r="126" spans="1:12" ht="15.75" x14ac:dyDescent="0.25">
      <c r="C126" s="89" t="s">
        <v>33</v>
      </c>
      <c r="D126" s="18">
        <f>SUM(D118:D125)</f>
        <v>80863</v>
      </c>
      <c r="E126" s="18">
        <f t="shared" ref="E126:G126" si="20">SUM(E118:E125)</f>
        <v>0</v>
      </c>
      <c r="F126" s="18">
        <f t="shared" si="20"/>
        <v>0</v>
      </c>
      <c r="G126" s="18">
        <f t="shared" si="20"/>
        <v>80863</v>
      </c>
      <c r="H126" s="103">
        <f>(H118*G118)+(H119*G119)+(H120*G120)+(H121*G121)+(H122*G122)+(H123*G123)+(H124*G124)+(H125*G125)</f>
        <v>38409.699999999997</v>
      </c>
      <c r="I126" s="103">
        <f>SUM(I118:I125)</f>
        <v>0</v>
      </c>
      <c r="J126" s="144"/>
      <c r="K126" s="205"/>
      <c r="L126" s="42"/>
    </row>
    <row r="127" spans="1:12" ht="51" customHeight="1" x14ac:dyDescent="0.25">
      <c r="B127" s="89" t="s">
        <v>249</v>
      </c>
      <c r="C127" s="488" t="s">
        <v>250</v>
      </c>
      <c r="D127" s="488"/>
      <c r="E127" s="488"/>
      <c r="F127" s="488"/>
      <c r="G127" s="488"/>
      <c r="H127" s="488"/>
      <c r="I127" s="489"/>
      <c r="J127" s="489"/>
      <c r="K127" s="488"/>
      <c r="L127" s="41"/>
    </row>
    <row r="128" spans="1:12" ht="78.75" x14ac:dyDescent="0.25">
      <c r="A128" s="267" t="s">
        <v>251</v>
      </c>
      <c r="B128" s="194" t="s">
        <v>252</v>
      </c>
      <c r="C128" s="149" t="s">
        <v>253</v>
      </c>
      <c r="D128" s="195">
        <v>6809</v>
      </c>
      <c r="E128" s="195"/>
      <c r="F128" s="195"/>
      <c r="G128" s="196">
        <f>D128</f>
        <v>6809</v>
      </c>
      <c r="H128" s="197">
        <v>0.3</v>
      </c>
      <c r="I128" s="198"/>
      <c r="J128" s="211" t="s">
        <v>254</v>
      </c>
      <c r="K128" s="200"/>
      <c r="L128" s="201"/>
    </row>
    <row r="129" spans="1:12" ht="78.75" x14ac:dyDescent="0.25">
      <c r="A129" s="267" t="s">
        <v>255</v>
      </c>
      <c r="B129" s="194" t="s">
        <v>256</v>
      </c>
      <c r="C129" s="149" t="s">
        <v>257</v>
      </c>
      <c r="D129" s="195">
        <v>13620</v>
      </c>
      <c r="E129" s="195"/>
      <c r="F129" s="195"/>
      <c r="G129" s="196">
        <f t="shared" ref="G129:G135" si="21">D129</f>
        <v>13620</v>
      </c>
      <c r="H129" s="197">
        <v>0.6</v>
      </c>
      <c r="I129" s="198"/>
      <c r="J129" s="211" t="s">
        <v>258</v>
      </c>
      <c r="K129" s="200"/>
      <c r="L129" s="201"/>
    </row>
    <row r="130" spans="1:12" ht="63" x14ac:dyDescent="0.25">
      <c r="A130" s="267" t="s">
        <v>259</v>
      </c>
      <c r="B130" s="194" t="s">
        <v>260</v>
      </c>
      <c r="C130" s="149" t="s">
        <v>261</v>
      </c>
      <c r="D130" s="195">
        <v>20430</v>
      </c>
      <c r="E130" s="195"/>
      <c r="F130" s="195"/>
      <c r="G130" s="196">
        <f t="shared" si="21"/>
        <v>20430</v>
      </c>
      <c r="H130" s="197">
        <v>0.5</v>
      </c>
      <c r="I130" s="198"/>
      <c r="J130" s="211" t="s">
        <v>262</v>
      </c>
      <c r="K130" s="200"/>
      <c r="L130" s="201"/>
    </row>
    <row r="131" spans="1:12" ht="63" x14ac:dyDescent="0.25">
      <c r="A131" s="267" t="s">
        <v>263</v>
      </c>
      <c r="B131" s="194" t="s">
        <v>264</v>
      </c>
      <c r="C131" s="149" t="s">
        <v>265</v>
      </c>
      <c r="D131" s="195">
        <v>10896</v>
      </c>
      <c r="E131" s="195"/>
      <c r="F131" s="195"/>
      <c r="G131" s="196">
        <f t="shared" si="21"/>
        <v>10896</v>
      </c>
      <c r="H131" s="197">
        <v>0.3</v>
      </c>
      <c r="I131" s="198"/>
      <c r="J131" s="211" t="s">
        <v>266</v>
      </c>
      <c r="K131" s="200"/>
      <c r="L131" s="201"/>
    </row>
    <row r="132" spans="1:12" ht="78.75" x14ac:dyDescent="0.25">
      <c r="A132" s="267" t="s">
        <v>267</v>
      </c>
      <c r="B132" s="194" t="s">
        <v>268</v>
      </c>
      <c r="C132" s="149" t="s">
        <v>269</v>
      </c>
      <c r="D132" s="195">
        <v>16344</v>
      </c>
      <c r="E132" s="195"/>
      <c r="F132" s="195"/>
      <c r="G132" s="196">
        <f t="shared" si="21"/>
        <v>16344</v>
      </c>
      <c r="H132" s="197">
        <v>0.5</v>
      </c>
      <c r="I132" s="198"/>
      <c r="J132" s="211" t="s">
        <v>270</v>
      </c>
      <c r="K132" s="200"/>
      <c r="L132" s="201"/>
    </row>
    <row r="133" spans="1:12" ht="15.75" hidden="1" x14ac:dyDescent="0.25">
      <c r="B133" s="194" t="s">
        <v>271</v>
      </c>
      <c r="C133" s="149"/>
      <c r="D133" s="195"/>
      <c r="E133" s="195"/>
      <c r="F133" s="195"/>
      <c r="G133" s="196">
        <f t="shared" si="21"/>
        <v>0</v>
      </c>
      <c r="H133" s="197"/>
      <c r="I133" s="198"/>
      <c r="J133" s="198"/>
      <c r="K133" s="200"/>
      <c r="L133" s="201"/>
    </row>
    <row r="134" spans="1:12" ht="15.75" hidden="1" x14ac:dyDescent="0.25">
      <c r="B134" s="194" t="s">
        <v>272</v>
      </c>
      <c r="C134" s="270"/>
      <c r="D134" s="203"/>
      <c r="E134" s="203"/>
      <c r="F134" s="203"/>
      <c r="G134" s="196">
        <f t="shared" si="21"/>
        <v>0</v>
      </c>
      <c r="H134" s="204"/>
      <c r="I134" s="202"/>
      <c r="J134" s="202"/>
      <c r="K134" s="205"/>
      <c r="L134" s="201"/>
    </row>
    <row r="135" spans="1:12" ht="15.75" hidden="1" x14ac:dyDescent="0.25">
      <c r="B135" s="194" t="s">
        <v>273</v>
      </c>
      <c r="C135" s="270"/>
      <c r="D135" s="203"/>
      <c r="E135" s="203"/>
      <c r="F135" s="203"/>
      <c r="G135" s="196">
        <f t="shared" si="21"/>
        <v>0</v>
      </c>
      <c r="H135" s="204"/>
      <c r="I135" s="202"/>
      <c r="J135" s="202"/>
      <c r="K135" s="205"/>
      <c r="L135" s="201"/>
    </row>
    <row r="136" spans="1:12" ht="15.75" x14ac:dyDescent="0.25">
      <c r="C136" s="89" t="s">
        <v>33</v>
      </c>
      <c r="D136" s="18">
        <f>SUM(D128:D135)</f>
        <v>68099</v>
      </c>
      <c r="E136" s="18">
        <f t="shared" ref="E136:G136" si="22">SUM(E128:E135)</f>
        <v>0</v>
      </c>
      <c r="F136" s="18">
        <f t="shared" si="22"/>
        <v>0</v>
      </c>
      <c r="G136" s="18">
        <f t="shared" si="22"/>
        <v>68099</v>
      </c>
      <c r="H136" s="103">
        <f>(H128*G128)+(H129*G129)+(H130*G130)+(H131*G131)+(H132*G132)+(H133*G133)+(H134*G134)+(H135*G135)</f>
        <v>31870.5</v>
      </c>
      <c r="I136" s="103">
        <f>SUM(I128:I135)</f>
        <v>0</v>
      </c>
      <c r="J136" s="144"/>
      <c r="K136" s="205"/>
      <c r="L136" s="42"/>
    </row>
    <row r="137" spans="1:12" ht="51" hidden="1" customHeight="1" x14ac:dyDescent="0.25">
      <c r="B137" s="89" t="s">
        <v>274</v>
      </c>
      <c r="C137" s="488"/>
      <c r="D137" s="488"/>
      <c r="E137" s="488"/>
      <c r="F137" s="488"/>
      <c r="G137" s="488"/>
      <c r="H137" s="488"/>
      <c r="I137" s="489"/>
      <c r="J137" s="489"/>
      <c r="K137" s="488"/>
      <c r="L137" s="41"/>
    </row>
    <row r="138" spans="1:12" ht="15.75" hidden="1" x14ac:dyDescent="0.25">
      <c r="B138" s="194" t="s">
        <v>275</v>
      </c>
      <c r="C138" s="149"/>
      <c r="D138" s="195"/>
      <c r="E138" s="195"/>
      <c r="F138" s="195"/>
      <c r="G138" s="196">
        <f>D138</f>
        <v>0</v>
      </c>
      <c r="H138" s="197"/>
      <c r="I138" s="198"/>
      <c r="J138" s="198"/>
      <c r="K138" s="200"/>
      <c r="L138" s="201"/>
    </row>
    <row r="139" spans="1:12" ht="15.75" hidden="1" x14ac:dyDescent="0.25">
      <c r="B139" s="194" t="s">
        <v>276</v>
      </c>
      <c r="C139" s="149"/>
      <c r="D139" s="195"/>
      <c r="E139" s="195"/>
      <c r="F139" s="195"/>
      <c r="G139" s="196">
        <f t="shared" ref="G139:G145" si="23">D139</f>
        <v>0</v>
      </c>
      <c r="H139" s="197"/>
      <c r="I139" s="198"/>
      <c r="J139" s="198"/>
      <c r="K139" s="200"/>
      <c r="L139" s="201"/>
    </row>
    <row r="140" spans="1:12" ht="15.75" hidden="1" x14ac:dyDescent="0.25">
      <c r="B140" s="194" t="s">
        <v>277</v>
      </c>
      <c r="C140" s="149"/>
      <c r="D140" s="195"/>
      <c r="E140" s="195"/>
      <c r="F140" s="195"/>
      <c r="G140" s="196">
        <f t="shared" si="23"/>
        <v>0</v>
      </c>
      <c r="H140" s="197"/>
      <c r="I140" s="198"/>
      <c r="J140" s="198"/>
      <c r="K140" s="200"/>
      <c r="L140" s="201"/>
    </row>
    <row r="141" spans="1:12" ht="15.75" hidden="1" x14ac:dyDescent="0.25">
      <c r="B141" s="194" t="s">
        <v>278</v>
      </c>
      <c r="C141" s="149"/>
      <c r="D141" s="195"/>
      <c r="E141" s="195"/>
      <c r="F141" s="195"/>
      <c r="G141" s="196">
        <f t="shared" si="23"/>
        <v>0</v>
      </c>
      <c r="H141" s="197"/>
      <c r="I141" s="198"/>
      <c r="J141" s="198"/>
      <c r="K141" s="200"/>
      <c r="L141" s="201"/>
    </row>
    <row r="142" spans="1:12" ht="15.75" hidden="1" x14ac:dyDescent="0.25">
      <c r="B142" s="194" t="s">
        <v>279</v>
      </c>
      <c r="C142" s="149"/>
      <c r="D142" s="195"/>
      <c r="E142" s="195"/>
      <c r="F142" s="195"/>
      <c r="G142" s="196">
        <f t="shared" si="23"/>
        <v>0</v>
      </c>
      <c r="H142" s="197"/>
      <c r="I142" s="198"/>
      <c r="J142" s="198"/>
      <c r="K142" s="200"/>
      <c r="L142" s="201"/>
    </row>
    <row r="143" spans="1:12" ht="15.75" hidden="1" x14ac:dyDescent="0.25">
      <c r="B143" s="194" t="s">
        <v>280</v>
      </c>
      <c r="C143" s="149"/>
      <c r="D143" s="195"/>
      <c r="E143" s="195"/>
      <c r="F143" s="195"/>
      <c r="G143" s="196">
        <f t="shared" si="23"/>
        <v>0</v>
      </c>
      <c r="H143" s="197"/>
      <c r="I143" s="198"/>
      <c r="J143" s="198"/>
      <c r="K143" s="200"/>
      <c r="L143" s="201"/>
    </row>
    <row r="144" spans="1:12" ht="15.75" hidden="1" x14ac:dyDescent="0.25">
      <c r="B144" s="194" t="s">
        <v>281</v>
      </c>
      <c r="C144" s="270"/>
      <c r="D144" s="203"/>
      <c r="E144" s="203"/>
      <c r="F144" s="203"/>
      <c r="G144" s="196">
        <f t="shared" si="23"/>
        <v>0</v>
      </c>
      <c r="H144" s="204"/>
      <c r="I144" s="202"/>
      <c r="J144" s="202"/>
      <c r="K144" s="205"/>
      <c r="L144" s="201"/>
    </row>
    <row r="145" spans="2:12" ht="15.75" hidden="1" x14ac:dyDescent="0.25">
      <c r="B145" s="194" t="s">
        <v>282</v>
      </c>
      <c r="C145" s="270"/>
      <c r="D145" s="203"/>
      <c r="E145" s="203"/>
      <c r="F145" s="203"/>
      <c r="G145" s="196">
        <f t="shared" si="23"/>
        <v>0</v>
      </c>
      <c r="H145" s="204"/>
      <c r="I145" s="202"/>
      <c r="J145" s="202"/>
      <c r="K145" s="205"/>
      <c r="L145" s="201"/>
    </row>
    <row r="146" spans="2:12" ht="15.75" hidden="1" x14ac:dyDescent="0.25">
      <c r="C146" s="89" t="s">
        <v>33</v>
      </c>
      <c r="D146" s="15">
        <f>SUM(D138:D145)</f>
        <v>0</v>
      </c>
      <c r="E146" s="15">
        <f t="shared" ref="E146:G146" si="24">SUM(E138:E145)</f>
        <v>0</v>
      </c>
      <c r="F146" s="15">
        <f t="shared" si="24"/>
        <v>0</v>
      </c>
      <c r="G146" s="15">
        <f t="shared" si="24"/>
        <v>0</v>
      </c>
      <c r="H146" s="103">
        <f>(H138*G138)+(H139*G139)+(H140*G140)+(H141*G141)+(H142*G142)+(H143*G143)+(H144*G144)+(H145*G145)</f>
        <v>0</v>
      </c>
      <c r="I146" s="103">
        <f>SUM(I138:I145)</f>
        <v>0</v>
      </c>
      <c r="J146" s="144"/>
      <c r="K146" s="205"/>
      <c r="L146" s="42"/>
    </row>
    <row r="147" spans="2:12" ht="15.75" hidden="1" customHeight="1" x14ac:dyDescent="0.25">
      <c r="B147" s="5"/>
      <c r="C147" s="206"/>
      <c r="D147" s="210"/>
      <c r="E147" s="210"/>
      <c r="F147" s="210"/>
      <c r="G147" s="210"/>
      <c r="H147" s="210"/>
      <c r="I147" s="210"/>
      <c r="J147" s="210"/>
      <c r="K147" s="212"/>
      <c r="L147" s="3"/>
    </row>
    <row r="148" spans="2:12" ht="51" hidden="1" customHeight="1" x14ac:dyDescent="0.25">
      <c r="B148" s="89" t="s">
        <v>283</v>
      </c>
      <c r="C148" s="494"/>
      <c r="D148" s="494"/>
      <c r="E148" s="494"/>
      <c r="F148" s="494"/>
      <c r="G148" s="494"/>
      <c r="H148" s="494"/>
      <c r="I148" s="487"/>
      <c r="J148" s="487"/>
      <c r="K148" s="494"/>
      <c r="L148" s="14"/>
    </row>
    <row r="149" spans="2:12" ht="51" hidden="1" customHeight="1" x14ac:dyDescent="0.25">
      <c r="B149" s="89" t="s">
        <v>284</v>
      </c>
      <c r="C149" s="488"/>
      <c r="D149" s="488"/>
      <c r="E149" s="488"/>
      <c r="F149" s="488"/>
      <c r="G149" s="488"/>
      <c r="H149" s="488"/>
      <c r="I149" s="489"/>
      <c r="J149" s="489"/>
      <c r="K149" s="488"/>
      <c r="L149" s="41"/>
    </row>
    <row r="150" spans="2:12" ht="15.75" hidden="1" x14ac:dyDescent="0.25">
      <c r="B150" s="194" t="s">
        <v>285</v>
      </c>
      <c r="C150" s="149"/>
      <c r="D150" s="195"/>
      <c r="E150" s="195"/>
      <c r="F150" s="195"/>
      <c r="G150" s="196">
        <f>D150</f>
        <v>0</v>
      </c>
      <c r="H150" s="197"/>
      <c r="I150" s="198"/>
      <c r="J150" s="198"/>
      <c r="K150" s="200"/>
      <c r="L150" s="201"/>
    </row>
    <row r="151" spans="2:12" ht="15.75" hidden="1" x14ac:dyDescent="0.25">
      <c r="B151" s="194" t="s">
        <v>286</v>
      </c>
      <c r="C151" s="149"/>
      <c r="D151" s="195"/>
      <c r="E151" s="195"/>
      <c r="F151" s="195"/>
      <c r="G151" s="196">
        <f t="shared" ref="G151:G157" si="25">D151</f>
        <v>0</v>
      </c>
      <c r="H151" s="197"/>
      <c r="I151" s="198"/>
      <c r="J151" s="198"/>
      <c r="K151" s="200"/>
      <c r="L151" s="201"/>
    </row>
    <row r="152" spans="2:12" ht="15.75" hidden="1" x14ac:dyDescent="0.25">
      <c r="B152" s="194" t="s">
        <v>287</v>
      </c>
      <c r="C152" s="149"/>
      <c r="D152" s="195"/>
      <c r="E152" s="195"/>
      <c r="F152" s="195"/>
      <c r="G152" s="196">
        <f t="shared" si="25"/>
        <v>0</v>
      </c>
      <c r="H152" s="197"/>
      <c r="I152" s="198"/>
      <c r="J152" s="198"/>
      <c r="K152" s="200"/>
      <c r="L152" s="201"/>
    </row>
    <row r="153" spans="2:12" ht="15.75" hidden="1" x14ac:dyDescent="0.25">
      <c r="B153" s="194" t="s">
        <v>288</v>
      </c>
      <c r="C153" s="149"/>
      <c r="D153" s="195"/>
      <c r="E153" s="195"/>
      <c r="F153" s="195"/>
      <c r="G153" s="196">
        <f t="shared" si="25"/>
        <v>0</v>
      </c>
      <c r="H153" s="197"/>
      <c r="I153" s="198"/>
      <c r="J153" s="198"/>
      <c r="K153" s="200"/>
      <c r="L153" s="201"/>
    </row>
    <row r="154" spans="2:12" ht="15.75" hidden="1" x14ac:dyDescent="0.25">
      <c r="B154" s="194" t="s">
        <v>289</v>
      </c>
      <c r="C154" s="149"/>
      <c r="D154" s="195"/>
      <c r="E154" s="195"/>
      <c r="F154" s="195"/>
      <c r="G154" s="196">
        <f t="shared" si="25"/>
        <v>0</v>
      </c>
      <c r="H154" s="197"/>
      <c r="I154" s="198"/>
      <c r="J154" s="198"/>
      <c r="K154" s="200"/>
      <c r="L154" s="201"/>
    </row>
    <row r="155" spans="2:12" ht="15.75" hidden="1" x14ac:dyDescent="0.25">
      <c r="B155" s="194" t="s">
        <v>290</v>
      </c>
      <c r="C155" s="149"/>
      <c r="D155" s="195"/>
      <c r="E155" s="195"/>
      <c r="F155" s="195"/>
      <c r="G155" s="196">
        <f t="shared" si="25"/>
        <v>0</v>
      </c>
      <c r="H155" s="197"/>
      <c r="I155" s="198"/>
      <c r="J155" s="198"/>
      <c r="K155" s="200"/>
      <c r="L155" s="201"/>
    </row>
    <row r="156" spans="2:12" ht="15.75" hidden="1" x14ac:dyDescent="0.25">
      <c r="B156" s="194" t="s">
        <v>291</v>
      </c>
      <c r="C156" s="270"/>
      <c r="D156" s="203"/>
      <c r="E156" s="203"/>
      <c r="F156" s="203"/>
      <c r="G156" s="196">
        <f t="shared" si="25"/>
        <v>0</v>
      </c>
      <c r="H156" s="204"/>
      <c r="I156" s="202"/>
      <c r="J156" s="202"/>
      <c r="K156" s="205"/>
      <c r="L156" s="201"/>
    </row>
    <row r="157" spans="2:12" ht="15.75" hidden="1" x14ac:dyDescent="0.25">
      <c r="B157" s="194" t="s">
        <v>292</v>
      </c>
      <c r="C157" s="270"/>
      <c r="D157" s="203"/>
      <c r="E157" s="203"/>
      <c r="F157" s="203"/>
      <c r="G157" s="196">
        <f t="shared" si="25"/>
        <v>0</v>
      </c>
      <c r="H157" s="204"/>
      <c r="I157" s="202"/>
      <c r="J157" s="202"/>
      <c r="K157" s="205"/>
      <c r="L157" s="201"/>
    </row>
    <row r="158" spans="2:12" ht="15.75" hidden="1" x14ac:dyDescent="0.25">
      <c r="C158" s="89" t="s">
        <v>33</v>
      </c>
      <c r="D158" s="15">
        <f>SUM(D150:D157)</f>
        <v>0</v>
      </c>
      <c r="E158" s="15">
        <f t="shared" ref="E158:G158" si="26">SUM(E150:E157)</f>
        <v>0</v>
      </c>
      <c r="F158" s="15">
        <f t="shared" si="26"/>
        <v>0</v>
      </c>
      <c r="G158" s="18">
        <f t="shared" si="26"/>
        <v>0</v>
      </c>
      <c r="H158" s="103">
        <f>(H150*G150)+(H151*G151)+(H152*G152)+(H153*G153)+(H154*G154)+(H155*G155)+(H156*G156)+(H157*G157)</f>
        <v>0</v>
      </c>
      <c r="I158" s="103">
        <f>SUM(I150:I157)</f>
        <v>0</v>
      </c>
      <c r="J158" s="144"/>
      <c r="K158" s="205"/>
      <c r="L158" s="42"/>
    </row>
    <row r="159" spans="2:12" ht="51" hidden="1" customHeight="1" x14ac:dyDescent="0.25">
      <c r="B159" s="89" t="s">
        <v>293</v>
      </c>
      <c r="C159" s="488"/>
      <c r="D159" s="488"/>
      <c r="E159" s="488"/>
      <c r="F159" s="488"/>
      <c r="G159" s="488"/>
      <c r="H159" s="488"/>
      <c r="I159" s="489"/>
      <c r="J159" s="489"/>
      <c r="K159" s="488"/>
      <c r="L159" s="41"/>
    </row>
    <row r="160" spans="2:12" ht="15.75" hidden="1" x14ac:dyDescent="0.25">
      <c r="B160" s="194" t="s">
        <v>294</v>
      </c>
      <c r="C160" s="149"/>
      <c r="D160" s="195"/>
      <c r="E160" s="195"/>
      <c r="F160" s="195"/>
      <c r="G160" s="196">
        <f>D160</f>
        <v>0</v>
      </c>
      <c r="H160" s="197"/>
      <c r="I160" s="198"/>
      <c r="J160" s="198"/>
      <c r="K160" s="200"/>
      <c r="L160" s="201"/>
    </row>
    <row r="161" spans="2:12" ht="15.75" hidden="1" x14ac:dyDescent="0.25">
      <c r="B161" s="194" t="s">
        <v>295</v>
      </c>
      <c r="C161" s="149"/>
      <c r="D161" s="195"/>
      <c r="E161" s="195"/>
      <c r="F161" s="195"/>
      <c r="G161" s="196">
        <f t="shared" ref="G161:G167" si="27">D161</f>
        <v>0</v>
      </c>
      <c r="H161" s="197"/>
      <c r="I161" s="198"/>
      <c r="J161" s="198"/>
      <c r="K161" s="200"/>
      <c r="L161" s="201"/>
    </row>
    <row r="162" spans="2:12" ht="15.75" hidden="1" x14ac:dyDescent="0.25">
      <c r="B162" s="194" t="s">
        <v>296</v>
      </c>
      <c r="C162" s="149"/>
      <c r="D162" s="195"/>
      <c r="E162" s="195"/>
      <c r="F162" s="195"/>
      <c r="G162" s="196">
        <f t="shared" si="27"/>
        <v>0</v>
      </c>
      <c r="H162" s="197"/>
      <c r="I162" s="198"/>
      <c r="J162" s="198"/>
      <c r="K162" s="200"/>
      <c r="L162" s="201"/>
    </row>
    <row r="163" spans="2:12" ht="15.75" hidden="1" x14ac:dyDescent="0.25">
      <c r="B163" s="194" t="s">
        <v>297</v>
      </c>
      <c r="C163" s="149"/>
      <c r="D163" s="195"/>
      <c r="E163" s="195"/>
      <c r="F163" s="195"/>
      <c r="G163" s="196">
        <f t="shared" si="27"/>
        <v>0</v>
      </c>
      <c r="H163" s="197"/>
      <c r="I163" s="198"/>
      <c r="J163" s="198"/>
      <c r="K163" s="200"/>
      <c r="L163" s="201"/>
    </row>
    <row r="164" spans="2:12" ht="15.75" hidden="1" x14ac:dyDescent="0.25">
      <c r="B164" s="194" t="s">
        <v>298</v>
      </c>
      <c r="C164" s="149"/>
      <c r="D164" s="195"/>
      <c r="E164" s="195"/>
      <c r="F164" s="195"/>
      <c r="G164" s="196">
        <f t="shared" si="27"/>
        <v>0</v>
      </c>
      <c r="H164" s="197"/>
      <c r="I164" s="198"/>
      <c r="J164" s="198"/>
      <c r="K164" s="200"/>
      <c r="L164" s="201"/>
    </row>
    <row r="165" spans="2:12" ht="15.75" hidden="1" x14ac:dyDescent="0.25">
      <c r="B165" s="194" t="s">
        <v>299</v>
      </c>
      <c r="C165" s="149"/>
      <c r="D165" s="195"/>
      <c r="E165" s="195"/>
      <c r="F165" s="195"/>
      <c r="G165" s="196">
        <f t="shared" si="27"/>
        <v>0</v>
      </c>
      <c r="H165" s="197"/>
      <c r="I165" s="198"/>
      <c r="J165" s="198"/>
      <c r="K165" s="200"/>
      <c r="L165" s="201"/>
    </row>
    <row r="166" spans="2:12" ht="15.75" hidden="1" x14ac:dyDescent="0.25">
      <c r="B166" s="194" t="s">
        <v>300</v>
      </c>
      <c r="C166" s="270"/>
      <c r="D166" s="203"/>
      <c r="E166" s="203"/>
      <c r="F166" s="203"/>
      <c r="G166" s="196">
        <f t="shared" si="27"/>
        <v>0</v>
      </c>
      <c r="H166" s="204"/>
      <c r="I166" s="202"/>
      <c r="J166" s="202"/>
      <c r="K166" s="205"/>
      <c r="L166" s="201"/>
    </row>
    <row r="167" spans="2:12" ht="15.75" hidden="1" x14ac:dyDescent="0.25">
      <c r="B167" s="194" t="s">
        <v>301</v>
      </c>
      <c r="C167" s="270"/>
      <c r="D167" s="203"/>
      <c r="E167" s="203"/>
      <c r="F167" s="203"/>
      <c r="G167" s="196">
        <f t="shared" si="27"/>
        <v>0</v>
      </c>
      <c r="H167" s="204"/>
      <c r="I167" s="202"/>
      <c r="J167" s="202"/>
      <c r="K167" s="205"/>
      <c r="L167" s="201"/>
    </row>
    <row r="168" spans="2:12" ht="15.75" hidden="1" x14ac:dyDescent="0.25">
      <c r="C168" s="89" t="s">
        <v>33</v>
      </c>
      <c r="D168" s="18">
        <f>SUM(D160:D167)</f>
        <v>0</v>
      </c>
      <c r="E168" s="18">
        <f t="shared" ref="E168:G168" si="28">SUM(E160:E167)</f>
        <v>0</v>
      </c>
      <c r="F168" s="18">
        <f t="shared" si="28"/>
        <v>0</v>
      </c>
      <c r="G168" s="18">
        <f t="shared" si="28"/>
        <v>0</v>
      </c>
      <c r="H168" s="103">
        <f>(H160*G160)+(H161*G161)+(H162*G162)+(H163*G163)+(H164*G164)+(H165*G165)+(H166*G166)+(H167*G167)</f>
        <v>0</v>
      </c>
      <c r="I168" s="103">
        <f>SUM(I160:I167)</f>
        <v>0</v>
      </c>
      <c r="J168" s="144"/>
      <c r="K168" s="205"/>
      <c r="L168" s="42"/>
    </row>
    <row r="169" spans="2:12" ht="51" hidden="1" customHeight="1" x14ac:dyDescent="0.25">
      <c r="B169" s="89" t="s">
        <v>302</v>
      </c>
      <c r="C169" s="488"/>
      <c r="D169" s="488"/>
      <c r="E169" s="488"/>
      <c r="F169" s="488"/>
      <c r="G169" s="488"/>
      <c r="H169" s="488"/>
      <c r="I169" s="489"/>
      <c r="J169" s="489"/>
      <c r="K169" s="488"/>
      <c r="L169" s="41"/>
    </row>
    <row r="170" spans="2:12" ht="15.75" hidden="1" x14ac:dyDescent="0.25">
      <c r="B170" s="194" t="s">
        <v>303</v>
      </c>
      <c r="C170" s="149"/>
      <c r="D170" s="195"/>
      <c r="E170" s="195"/>
      <c r="F170" s="195"/>
      <c r="G170" s="196">
        <f>D170</f>
        <v>0</v>
      </c>
      <c r="H170" s="197"/>
      <c r="I170" s="198"/>
      <c r="J170" s="198"/>
      <c r="K170" s="200"/>
      <c r="L170" s="201"/>
    </row>
    <row r="171" spans="2:12" ht="15.75" hidden="1" x14ac:dyDescent="0.25">
      <c r="B171" s="194" t="s">
        <v>304</v>
      </c>
      <c r="C171" s="149"/>
      <c r="D171" s="195"/>
      <c r="E171" s="195"/>
      <c r="F171" s="195"/>
      <c r="G171" s="196">
        <f t="shared" ref="G171:G177" si="29">D171</f>
        <v>0</v>
      </c>
      <c r="H171" s="197"/>
      <c r="I171" s="198"/>
      <c r="J171" s="198"/>
      <c r="K171" s="200"/>
      <c r="L171" s="201"/>
    </row>
    <row r="172" spans="2:12" ht="15.75" hidden="1" x14ac:dyDescent="0.25">
      <c r="B172" s="194" t="s">
        <v>305</v>
      </c>
      <c r="C172" s="149"/>
      <c r="D172" s="195"/>
      <c r="E172" s="195"/>
      <c r="F172" s="195"/>
      <c r="G172" s="196">
        <f t="shared" si="29"/>
        <v>0</v>
      </c>
      <c r="H172" s="197"/>
      <c r="I172" s="198"/>
      <c r="J172" s="198"/>
      <c r="K172" s="200"/>
      <c r="L172" s="201"/>
    </row>
    <row r="173" spans="2:12" ht="15.75" hidden="1" x14ac:dyDescent="0.25">
      <c r="B173" s="194" t="s">
        <v>306</v>
      </c>
      <c r="C173" s="149"/>
      <c r="D173" s="195"/>
      <c r="E173" s="195"/>
      <c r="F173" s="195"/>
      <c r="G173" s="196">
        <f t="shared" si="29"/>
        <v>0</v>
      </c>
      <c r="H173" s="197"/>
      <c r="I173" s="198"/>
      <c r="J173" s="198"/>
      <c r="K173" s="200"/>
      <c r="L173" s="201"/>
    </row>
    <row r="174" spans="2:12" ht="15.75" hidden="1" x14ac:dyDescent="0.25">
      <c r="B174" s="194" t="s">
        <v>307</v>
      </c>
      <c r="C174" s="149"/>
      <c r="D174" s="195"/>
      <c r="E174" s="195"/>
      <c r="F174" s="195"/>
      <c r="G174" s="196">
        <f t="shared" si="29"/>
        <v>0</v>
      </c>
      <c r="H174" s="197"/>
      <c r="I174" s="198"/>
      <c r="J174" s="198"/>
      <c r="K174" s="200"/>
      <c r="L174" s="201"/>
    </row>
    <row r="175" spans="2:12" ht="15.75" hidden="1" x14ac:dyDescent="0.25">
      <c r="B175" s="194" t="s">
        <v>308</v>
      </c>
      <c r="C175" s="149"/>
      <c r="D175" s="195"/>
      <c r="E175" s="195"/>
      <c r="F175" s="195"/>
      <c r="G175" s="196">
        <f t="shared" si="29"/>
        <v>0</v>
      </c>
      <c r="H175" s="197"/>
      <c r="I175" s="198"/>
      <c r="J175" s="198"/>
      <c r="K175" s="200"/>
      <c r="L175" s="201"/>
    </row>
    <row r="176" spans="2:12" ht="15.75" hidden="1" x14ac:dyDescent="0.25">
      <c r="B176" s="194" t="s">
        <v>309</v>
      </c>
      <c r="C176" s="270"/>
      <c r="D176" s="203"/>
      <c r="E176" s="203"/>
      <c r="F176" s="203"/>
      <c r="G176" s="196">
        <f t="shared" si="29"/>
        <v>0</v>
      </c>
      <c r="H176" s="204"/>
      <c r="I176" s="202"/>
      <c r="J176" s="202"/>
      <c r="K176" s="205"/>
      <c r="L176" s="201"/>
    </row>
    <row r="177" spans="1:12" ht="15.75" hidden="1" x14ac:dyDescent="0.25">
      <c r="B177" s="194" t="s">
        <v>310</v>
      </c>
      <c r="C177" s="270"/>
      <c r="D177" s="203"/>
      <c r="E177" s="203"/>
      <c r="F177" s="203"/>
      <c r="G177" s="196">
        <f t="shared" si="29"/>
        <v>0</v>
      </c>
      <c r="H177" s="204"/>
      <c r="I177" s="202"/>
      <c r="J177" s="202"/>
      <c r="K177" s="205"/>
      <c r="L177" s="201"/>
    </row>
    <row r="178" spans="1:12" ht="15.75" hidden="1" x14ac:dyDescent="0.25">
      <c r="C178" s="89" t="s">
        <v>33</v>
      </c>
      <c r="D178" s="18">
        <f>SUM(D170:D177)</f>
        <v>0</v>
      </c>
      <c r="E178" s="18">
        <f t="shared" ref="E178:G178" si="30">SUM(E170:E177)</f>
        <v>0</v>
      </c>
      <c r="F178" s="18">
        <f t="shared" si="30"/>
        <v>0</v>
      </c>
      <c r="G178" s="18">
        <f t="shared" si="30"/>
        <v>0</v>
      </c>
      <c r="H178" s="103">
        <f>(H170*G170)+(H171*G171)+(H172*G172)+(H173*G173)+(H174*G174)+(H175*G175)+(H176*G176)+(H177*G177)</f>
        <v>0</v>
      </c>
      <c r="I178" s="103">
        <f>SUM(I170:I177)</f>
        <v>0</v>
      </c>
      <c r="J178" s="144"/>
      <c r="K178" s="205"/>
      <c r="L178" s="42"/>
    </row>
    <row r="179" spans="1:12" ht="51" hidden="1" customHeight="1" x14ac:dyDescent="0.25">
      <c r="B179" s="89" t="s">
        <v>311</v>
      </c>
      <c r="C179" s="488"/>
      <c r="D179" s="488"/>
      <c r="E179" s="488"/>
      <c r="F179" s="488"/>
      <c r="G179" s="488"/>
      <c r="H179" s="488"/>
      <c r="I179" s="489"/>
      <c r="J179" s="489"/>
      <c r="K179" s="488"/>
      <c r="L179" s="41"/>
    </row>
    <row r="180" spans="1:12" ht="15.75" hidden="1" x14ac:dyDescent="0.25">
      <c r="B180" s="194" t="s">
        <v>312</v>
      </c>
      <c r="C180" s="149"/>
      <c r="D180" s="195"/>
      <c r="E180" s="195"/>
      <c r="F180" s="195"/>
      <c r="G180" s="196">
        <f>D180</f>
        <v>0</v>
      </c>
      <c r="H180" s="197"/>
      <c r="I180" s="198"/>
      <c r="J180" s="198"/>
      <c r="K180" s="200"/>
      <c r="L180" s="201"/>
    </row>
    <row r="181" spans="1:12" ht="15.75" hidden="1" x14ac:dyDescent="0.25">
      <c r="B181" s="194" t="s">
        <v>313</v>
      </c>
      <c r="C181" s="149"/>
      <c r="D181" s="195"/>
      <c r="E181" s="195"/>
      <c r="F181" s="195"/>
      <c r="G181" s="196">
        <f t="shared" ref="G181:G187" si="31">D181</f>
        <v>0</v>
      </c>
      <c r="H181" s="197"/>
      <c r="I181" s="198"/>
      <c r="J181" s="198"/>
      <c r="K181" s="200"/>
      <c r="L181" s="201"/>
    </row>
    <row r="182" spans="1:12" ht="15.75" hidden="1" x14ac:dyDescent="0.25">
      <c r="B182" s="194" t="s">
        <v>314</v>
      </c>
      <c r="C182" s="149"/>
      <c r="D182" s="195"/>
      <c r="E182" s="195"/>
      <c r="F182" s="195"/>
      <c r="G182" s="196">
        <f t="shared" si="31"/>
        <v>0</v>
      </c>
      <c r="H182" s="197"/>
      <c r="I182" s="198"/>
      <c r="J182" s="198"/>
      <c r="K182" s="200"/>
      <c r="L182" s="201"/>
    </row>
    <row r="183" spans="1:12" ht="15.75" hidden="1" x14ac:dyDescent="0.25">
      <c r="B183" s="194" t="s">
        <v>315</v>
      </c>
      <c r="C183" s="149"/>
      <c r="D183" s="195"/>
      <c r="E183" s="195"/>
      <c r="F183" s="195"/>
      <c r="G183" s="196">
        <f t="shared" si="31"/>
        <v>0</v>
      </c>
      <c r="H183" s="197"/>
      <c r="I183" s="198"/>
      <c r="J183" s="198"/>
      <c r="K183" s="200"/>
      <c r="L183" s="201"/>
    </row>
    <row r="184" spans="1:12" ht="15.75" hidden="1" x14ac:dyDescent="0.25">
      <c r="B184" s="194" t="s">
        <v>316</v>
      </c>
      <c r="C184" s="149"/>
      <c r="D184" s="195"/>
      <c r="E184" s="195"/>
      <c r="F184" s="195"/>
      <c r="G184" s="196">
        <f t="shared" si="31"/>
        <v>0</v>
      </c>
      <c r="H184" s="197"/>
      <c r="I184" s="198"/>
      <c r="J184" s="198"/>
      <c r="K184" s="200"/>
      <c r="L184" s="201"/>
    </row>
    <row r="185" spans="1:12" ht="15.75" hidden="1" x14ac:dyDescent="0.25">
      <c r="B185" s="194" t="s">
        <v>317</v>
      </c>
      <c r="C185" s="149"/>
      <c r="D185" s="195"/>
      <c r="E185" s="195"/>
      <c r="F185" s="195"/>
      <c r="G185" s="196">
        <f t="shared" si="31"/>
        <v>0</v>
      </c>
      <c r="H185" s="197"/>
      <c r="I185" s="198"/>
      <c r="J185" s="198"/>
      <c r="K185" s="200"/>
      <c r="L185" s="201"/>
    </row>
    <row r="186" spans="1:12" ht="15.75" hidden="1" x14ac:dyDescent="0.25">
      <c r="B186" s="194" t="s">
        <v>318</v>
      </c>
      <c r="C186" s="270"/>
      <c r="D186" s="203"/>
      <c r="E186" s="203"/>
      <c r="F186" s="203"/>
      <c r="G186" s="196">
        <f t="shared" si="31"/>
        <v>0</v>
      </c>
      <c r="H186" s="204"/>
      <c r="I186" s="202"/>
      <c r="J186" s="202"/>
      <c r="K186" s="205"/>
      <c r="L186" s="201"/>
    </row>
    <row r="187" spans="1:12" ht="15.75" hidden="1" x14ac:dyDescent="0.25">
      <c r="B187" s="194" t="s">
        <v>319</v>
      </c>
      <c r="C187" s="270"/>
      <c r="D187" s="203"/>
      <c r="E187" s="203"/>
      <c r="F187" s="203"/>
      <c r="G187" s="196">
        <f t="shared" si="31"/>
        <v>0</v>
      </c>
      <c r="H187" s="204"/>
      <c r="I187" s="202"/>
      <c r="J187" s="202"/>
      <c r="K187" s="205"/>
      <c r="L187" s="201"/>
    </row>
    <row r="188" spans="1:12" ht="15.75" hidden="1" x14ac:dyDescent="0.25">
      <c r="C188" s="89" t="s">
        <v>33</v>
      </c>
      <c r="D188" s="15">
        <f>SUM(D180:D187)</f>
        <v>0</v>
      </c>
      <c r="E188" s="15">
        <f t="shared" ref="E188:G188" si="32">SUM(E180:E187)</f>
        <v>0</v>
      </c>
      <c r="F188" s="15">
        <f t="shared" si="32"/>
        <v>0</v>
      </c>
      <c r="G188" s="15">
        <f t="shared" si="32"/>
        <v>0</v>
      </c>
      <c r="H188" s="103">
        <f>(H180*G180)+(H181*G181)+(H182*G182)+(H183*G183)+(H184*G184)+(H185*G185)+(H186*G186)+(H187*G187)</f>
        <v>0</v>
      </c>
      <c r="I188" s="103">
        <f>SUM(I180:I187)</f>
        <v>0</v>
      </c>
      <c r="J188" s="144"/>
      <c r="K188" s="205"/>
      <c r="L188" s="42"/>
    </row>
    <row r="189" spans="1:12" ht="15.75" customHeight="1" x14ac:dyDescent="0.25">
      <c r="B189" s="5"/>
      <c r="C189" s="206"/>
      <c r="D189" s="210"/>
      <c r="E189" s="210"/>
      <c r="F189" s="210"/>
      <c r="G189" s="210"/>
      <c r="H189" s="210"/>
      <c r="I189" s="210"/>
      <c r="J189" s="210"/>
      <c r="K189" s="206"/>
      <c r="L189" s="3"/>
    </row>
    <row r="190" spans="1:12" ht="15.75" customHeight="1" x14ac:dyDescent="0.25">
      <c r="B190" s="5"/>
      <c r="C190" s="206"/>
      <c r="D190" s="210"/>
      <c r="E190" s="210"/>
      <c r="F190" s="210"/>
      <c r="G190" s="210"/>
      <c r="H190" s="210"/>
      <c r="I190" s="210"/>
      <c r="J190" s="210"/>
      <c r="K190" s="206"/>
      <c r="L190" s="3"/>
    </row>
    <row r="191" spans="1:12" ht="63.75" customHeight="1" x14ac:dyDescent="0.25">
      <c r="A191" s="266" t="s">
        <v>320</v>
      </c>
      <c r="B191" s="89" t="s">
        <v>321</v>
      </c>
      <c r="C191" s="213" t="s">
        <v>322</v>
      </c>
      <c r="D191" s="214">
        <f>188298.254-26312</f>
        <v>161986.25399999999</v>
      </c>
      <c r="E191" s="214"/>
      <c r="G191" s="215">
        <f>D191</f>
        <v>161986.25399999999</v>
      </c>
      <c r="H191" s="216"/>
      <c r="I191" s="214">
        <f>+SUMIFS('GL NRC'!$X:$X,'GL NRC'!$AC:$AC,'1) Budget Tables'!A191)</f>
        <v>35440.539999999986</v>
      </c>
      <c r="J191" s="214"/>
      <c r="K191" s="217"/>
      <c r="L191" s="42"/>
    </row>
    <row r="192" spans="1:12" ht="69.75" customHeight="1" x14ac:dyDescent="0.25">
      <c r="A192" s="266" t="s">
        <v>323</v>
      </c>
      <c r="B192" s="89" t="s">
        <v>324</v>
      </c>
      <c r="C192" s="213" t="s">
        <v>322</v>
      </c>
      <c r="D192" s="214">
        <f>101137.577+26312</f>
        <v>127449.577</v>
      </c>
      <c r="E192" s="214"/>
      <c r="F192" s="214"/>
      <c r="G192" s="215">
        <f t="shared" ref="G192:G193" si="33">D192</f>
        <v>127449.577</v>
      </c>
      <c r="H192" s="216"/>
      <c r="I192" s="214">
        <f>+SUMIFS('GL NRC'!$X:$X,'GL NRC'!$AC:$AC,'1) Budget Tables'!A192)</f>
        <v>25997.749999999985</v>
      </c>
      <c r="J192" s="214"/>
      <c r="K192" s="217"/>
      <c r="L192" s="42"/>
    </row>
    <row r="193" spans="1:12" ht="57" customHeight="1" x14ac:dyDescent="0.25">
      <c r="A193" s="267" t="s">
        <v>325</v>
      </c>
      <c r="B193" s="89" t="s">
        <v>326</v>
      </c>
      <c r="C193" s="218" t="s">
        <v>327</v>
      </c>
      <c r="D193" s="214">
        <f>66429-D199</f>
        <v>66429</v>
      </c>
      <c r="E193" s="214"/>
      <c r="F193" s="214"/>
      <c r="G193" s="215">
        <f t="shared" si="33"/>
        <v>66429</v>
      </c>
      <c r="H193" s="216"/>
      <c r="I193" s="214">
        <f>+SUMIFS('GL NRC'!$X:$X,'GL NRC'!$AC:$AC,'1) Budget Tables'!A193)</f>
        <v>1586.8899999999994</v>
      </c>
      <c r="J193" s="214"/>
      <c r="K193" s="217"/>
      <c r="L193" s="42"/>
    </row>
    <row r="194" spans="1:12" ht="65.25" customHeight="1" x14ac:dyDescent="0.25">
      <c r="B194" s="104" t="s">
        <v>328</v>
      </c>
      <c r="C194" s="213"/>
      <c r="D194" s="214">
        <v>13000</v>
      </c>
      <c r="E194" s="214"/>
      <c r="F194" s="214"/>
      <c r="G194" s="215">
        <f>D194</f>
        <v>13000</v>
      </c>
      <c r="H194" s="216"/>
      <c r="I194" s="214"/>
      <c r="J194" s="214"/>
      <c r="K194" s="217"/>
      <c r="L194" s="42"/>
    </row>
    <row r="195" spans="1:12" ht="65.25" customHeight="1" x14ac:dyDescent="0.25">
      <c r="B195" s="89" t="s">
        <v>329</v>
      </c>
      <c r="C195" s="213" t="s">
        <v>330</v>
      </c>
      <c r="D195" s="214">
        <v>11250</v>
      </c>
      <c r="E195" s="214"/>
      <c r="F195" s="214"/>
      <c r="G195" s="215">
        <f>D195</f>
        <v>11250</v>
      </c>
      <c r="H195" s="216"/>
      <c r="I195" s="214"/>
      <c r="J195" s="214"/>
      <c r="K195" s="217"/>
      <c r="L195" s="42"/>
    </row>
    <row r="196" spans="1:12" ht="21.75" customHeight="1" x14ac:dyDescent="0.25">
      <c r="B196" s="5"/>
      <c r="C196" s="105" t="s">
        <v>331</v>
      </c>
      <c r="D196" s="108">
        <f>SUM(D191:D195)</f>
        <v>380114.83100000001</v>
      </c>
      <c r="E196" s="108">
        <f>SUM(E191:E194)</f>
        <v>0</v>
      </c>
      <c r="F196" s="108">
        <f>SUM(F191:F194)</f>
        <v>0</v>
      </c>
      <c r="G196" s="108">
        <f>SUM(G191:G195)</f>
        <v>380114.83100000001</v>
      </c>
      <c r="H196" s="103">
        <f>(H191*G191)+(H192*G192)+(H193*G193)+(H194*G194)+(H195*G195)</f>
        <v>0</v>
      </c>
      <c r="I196" s="103">
        <f>SUM(I191:I195)</f>
        <v>63025.179999999971</v>
      </c>
      <c r="J196" s="144"/>
      <c r="K196" s="213"/>
      <c r="L196" s="13"/>
    </row>
    <row r="197" spans="1:12" ht="15.75" customHeight="1" x14ac:dyDescent="0.25">
      <c r="B197" s="5"/>
      <c r="C197" s="206"/>
      <c r="D197" s="210"/>
      <c r="E197" s="210"/>
      <c r="F197" s="210"/>
      <c r="G197" s="210"/>
      <c r="H197" s="210"/>
      <c r="I197" s="210"/>
      <c r="J197" s="210"/>
      <c r="K197" s="206"/>
      <c r="L197" s="13"/>
    </row>
    <row r="198" spans="1:12" ht="15.75" customHeight="1" x14ac:dyDescent="0.25">
      <c r="B198" s="5"/>
      <c r="C198" s="206"/>
      <c r="D198" s="210"/>
      <c r="E198" s="210"/>
      <c r="F198" s="210"/>
      <c r="G198" s="210"/>
      <c r="H198" s="210"/>
      <c r="I198" s="210"/>
      <c r="J198" s="210"/>
      <c r="K198" s="206"/>
      <c r="L198" s="13"/>
    </row>
    <row r="199" spans="1:12" s="265" customFormat="1" ht="15.75" customHeight="1" x14ac:dyDescent="0.25">
      <c r="B199" s="261"/>
      <c r="C199" s="262"/>
      <c r="D199" s="281"/>
      <c r="E199" s="263"/>
      <c r="F199" s="263"/>
      <c r="G199" s="263"/>
      <c r="H199" s="263"/>
      <c r="I199" s="263"/>
      <c r="J199" s="263"/>
      <c r="K199" s="262"/>
      <c r="L199" s="264"/>
    </row>
    <row r="200" spans="1:12" ht="15.75" customHeight="1" x14ac:dyDescent="0.25">
      <c r="B200" s="5"/>
      <c r="C200" s="206"/>
      <c r="D200" s="210"/>
      <c r="E200" s="210"/>
      <c r="F200" s="210"/>
      <c r="G200" s="210"/>
      <c r="H200" s="210"/>
      <c r="I200" s="210"/>
      <c r="J200" s="210"/>
      <c r="K200" s="206"/>
      <c r="L200" s="13"/>
    </row>
    <row r="201" spans="1:12" ht="15.75" customHeight="1" x14ac:dyDescent="0.25">
      <c r="B201" s="5"/>
      <c r="C201" s="206"/>
      <c r="D201" s="210"/>
      <c r="E201" s="210"/>
      <c r="F201" s="210"/>
      <c r="G201" s="210"/>
      <c r="H201" s="210"/>
      <c r="I201" s="210"/>
      <c r="J201" s="210"/>
      <c r="K201" s="206"/>
      <c r="L201" s="13"/>
    </row>
    <row r="202" spans="1:12" ht="15.75" customHeight="1" x14ac:dyDescent="0.25">
      <c r="B202" s="5"/>
      <c r="C202" s="206"/>
      <c r="D202" s="210"/>
      <c r="E202" s="210"/>
      <c r="F202" s="210"/>
      <c r="G202" s="210"/>
      <c r="H202" s="210"/>
      <c r="I202" s="210"/>
      <c r="J202" s="210"/>
      <c r="K202" s="206"/>
      <c r="L202" s="13"/>
    </row>
    <row r="203" spans="1:12" ht="15.75" customHeight="1" thickBot="1" x14ac:dyDescent="0.3">
      <c r="B203" s="5"/>
      <c r="C203" s="206"/>
      <c r="D203" s="210"/>
      <c r="E203" s="210"/>
      <c r="F203" s="210"/>
      <c r="G203" s="210"/>
      <c r="H203" s="210"/>
      <c r="I203" s="210"/>
      <c r="J203" s="210"/>
      <c r="K203" s="206"/>
      <c r="L203" s="13"/>
    </row>
    <row r="204" spans="1:12" ht="15.75" x14ac:dyDescent="0.25">
      <c r="B204" s="5"/>
      <c r="C204" s="503" t="s">
        <v>332</v>
      </c>
      <c r="D204" s="504"/>
      <c r="E204" s="112"/>
      <c r="F204" s="112"/>
      <c r="G204" s="112"/>
      <c r="H204" s="13"/>
      <c r="I204" s="130"/>
      <c r="J204" s="130"/>
      <c r="K204" s="13"/>
    </row>
    <row r="205" spans="1:12" ht="40.5" customHeight="1" x14ac:dyDescent="0.25">
      <c r="B205" s="5"/>
      <c r="C205" s="499"/>
      <c r="D205" s="505" t="str">
        <f>D5</f>
        <v>Recipient Organization</v>
      </c>
      <c r="E205" s="113" t="s">
        <v>333</v>
      </c>
      <c r="F205" s="103" t="s">
        <v>334</v>
      </c>
      <c r="G205" s="501" t="s">
        <v>10</v>
      </c>
      <c r="H205" s="206"/>
      <c r="I205" s="210"/>
      <c r="J205" s="210"/>
      <c r="K205" s="13"/>
    </row>
    <row r="206" spans="1:12" ht="24.75" customHeight="1" x14ac:dyDescent="0.25">
      <c r="B206" s="5"/>
      <c r="C206" s="500"/>
      <c r="D206" s="506"/>
      <c r="E206" s="114"/>
      <c r="F206" s="109"/>
      <c r="G206" s="502"/>
      <c r="H206" s="206"/>
      <c r="I206" s="210"/>
      <c r="J206" s="210"/>
      <c r="K206" s="13"/>
    </row>
    <row r="207" spans="1:12" ht="41.25" customHeight="1" x14ac:dyDescent="0.25">
      <c r="B207" s="219"/>
      <c r="C207" s="220" t="s">
        <v>335</v>
      </c>
      <c r="D207" s="221">
        <f>SUM(D16,D26,D36,D46,D58,D81,D94,D104,D116,D126,D136,D146,D158,D168,D178,D188,D191,D192,D193,D194,D195)</f>
        <v>1406297.7749252338</v>
      </c>
      <c r="E207" s="222">
        <f>SUM(E16,E26,E36,E46,E58,E81,E94,E104,E116,E126,E136,E146,E158,E168,E178,E188,E191,E192,E193)</f>
        <v>0</v>
      </c>
      <c r="F207" s="223">
        <f>SUM(F16,F26,F36,F46,F58,F81,F94,F104,F116,F126,F136,F146,F158,F168,F178,F188,F191,F192,F193)</f>
        <v>0</v>
      </c>
      <c r="G207" s="224">
        <f>SUM(D207:F207)</f>
        <v>1406297.7749252338</v>
      </c>
      <c r="H207" s="206"/>
      <c r="I207" s="210"/>
      <c r="J207" s="210"/>
      <c r="K207" s="225"/>
    </row>
    <row r="208" spans="1:12" ht="51.75" customHeight="1" x14ac:dyDescent="0.25">
      <c r="B208" s="226"/>
      <c r="C208" s="220" t="s">
        <v>336</v>
      </c>
      <c r="D208" s="221">
        <f>D207*0.07</f>
        <v>98440.844244766369</v>
      </c>
      <c r="E208" s="222">
        <f>E207*0.07</f>
        <v>0</v>
      </c>
      <c r="F208" s="223">
        <f t="shared" ref="F208" si="34">F207*0.07</f>
        <v>0</v>
      </c>
      <c r="G208" s="224">
        <f>G207*0.07</f>
        <v>98440.844244766369</v>
      </c>
      <c r="H208" s="226"/>
      <c r="I208" s="227"/>
      <c r="J208" s="227"/>
      <c r="K208" s="228"/>
    </row>
    <row r="209" spans="1:12" ht="51.75" customHeight="1" thickBot="1" x14ac:dyDescent="0.3">
      <c r="B209" s="226"/>
      <c r="C209" s="25" t="s">
        <v>10</v>
      </c>
      <c r="D209" s="152">
        <f>SUM(D207:D208)</f>
        <v>1504738.6191700001</v>
      </c>
      <c r="E209" s="115">
        <f t="shared" ref="E209:F209" si="35">SUM(E207:E208)</f>
        <v>0</v>
      </c>
      <c r="F209" s="93">
        <f t="shared" si="35"/>
        <v>0</v>
      </c>
      <c r="G209" s="153">
        <f>SUM(G207:G208)</f>
        <v>1504738.6191700001</v>
      </c>
      <c r="H209" s="226"/>
      <c r="I209" s="227"/>
      <c r="J209" s="227"/>
      <c r="K209" s="228"/>
    </row>
    <row r="210" spans="1:12" ht="42" customHeight="1" x14ac:dyDescent="0.25">
      <c r="B210" s="226"/>
      <c r="K210" s="3"/>
      <c r="L210" s="228"/>
    </row>
    <row r="211" spans="1:12" s="34" customFormat="1" ht="29.25" customHeight="1" thickBot="1" x14ac:dyDescent="0.3">
      <c r="A211" s="265"/>
      <c r="B211" s="206"/>
      <c r="C211" s="28"/>
      <c r="D211" s="29"/>
      <c r="E211" s="29"/>
      <c r="F211" s="29"/>
      <c r="G211" s="29"/>
      <c r="H211" s="29"/>
      <c r="I211" s="132"/>
      <c r="J211" s="132"/>
      <c r="K211" s="13"/>
      <c r="L211" s="225"/>
    </row>
    <row r="212" spans="1:12" ht="23.25" customHeight="1" x14ac:dyDescent="0.25">
      <c r="B212" s="228"/>
      <c r="C212" s="478" t="s">
        <v>337</v>
      </c>
      <c r="D212" s="479"/>
      <c r="E212" s="480"/>
      <c r="F212" s="480"/>
      <c r="G212" s="480"/>
      <c r="H212" s="481"/>
      <c r="I212" s="133"/>
      <c r="J212" s="133"/>
      <c r="K212" s="228"/>
      <c r="L212" s="35"/>
    </row>
    <row r="213" spans="1:12" ht="41.25" customHeight="1" x14ac:dyDescent="0.25">
      <c r="B213" s="228"/>
      <c r="C213" s="90"/>
      <c r="D213" s="484" t="str">
        <f>D5</f>
        <v>Recipient Organization</v>
      </c>
      <c r="E213" s="91" t="s">
        <v>333</v>
      </c>
      <c r="F213" s="91" t="s">
        <v>334</v>
      </c>
      <c r="G213" s="471" t="s">
        <v>10</v>
      </c>
      <c r="H213" s="473" t="s">
        <v>338</v>
      </c>
      <c r="I213" s="133"/>
      <c r="J213" s="133"/>
      <c r="K213" s="228"/>
      <c r="L213" s="35"/>
    </row>
    <row r="214" spans="1:12" ht="27.75" customHeight="1" x14ac:dyDescent="0.25">
      <c r="B214" s="228"/>
      <c r="C214" s="90"/>
      <c r="D214" s="485"/>
      <c r="E214" s="91"/>
      <c r="F214" s="91"/>
      <c r="G214" s="472"/>
      <c r="H214" s="474"/>
      <c r="I214" s="133"/>
      <c r="J214" s="133"/>
      <c r="K214" s="228"/>
      <c r="L214" s="35"/>
    </row>
    <row r="215" spans="1:12" ht="55.5" customHeight="1" x14ac:dyDescent="0.25">
      <c r="B215" s="228"/>
      <c r="C215" s="24" t="s">
        <v>339</v>
      </c>
      <c r="D215" s="154">
        <f>D209*H215</f>
        <v>526658.51670949999</v>
      </c>
      <c r="E215" s="92">
        <f>SUM(E207:E208)*0.7</f>
        <v>0</v>
      </c>
      <c r="F215" s="92">
        <f>SUM(F207:F208)*0.7</f>
        <v>0</v>
      </c>
      <c r="G215" s="92"/>
      <c r="H215" s="127">
        <v>0.35</v>
      </c>
      <c r="I215" s="130"/>
      <c r="J215" s="130"/>
      <c r="K215" s="228"/>
      <c r="L215" s="35"/>
    </row>
    <row r="216" spans="1:12" ht="57.75" customHeight="1" x14ac:dyDescent="0.25">
      <c r="B216" s="477"/>
      <c r="C216" s="106" t="s">
        <v>340</v>
      </c>
      <c r="D216" s="155">
        <f>D209*H216</f>
        <v>526658.51670949999</v>
      </c>
      <c r="E216" s="107">
        <f>SUM(E207:E208)*0.3</f>
        <v>0</v>
      </c>
      <c r="F216" s="107">
        <f>SUM(F207:F208)*0.3</f>
        <v>0</v>
      </c>
      <c r="G216" s="107"/>
      <c r="H216" s="128">
        <v>0.35</v>
      </c>
      <c r="I216" s="130"/>
      <c r="J216" s="130"/>
      <c r="K216" s="35"/>
      <c r="L216" s="35"/>
    </row>
    <row r="217" spans="1:12" ht="57.75" customHeight="1" x14ac:dyDescent="0.25">
      <c r="B217" s="477"/>
      <c r="C217" s="106" t="s">
        <v>341</v>
      </c>
      <c r="D217" s="155">
        <f>D209*H217</f>
        <v>451421.58575100004</v>
      </c>
      <c r="E217" s="107"/>
      <c r="F217" s="107"/>
      <c r="G217" s="107"/>
      <c r="H217" s="128">
        <v>0.3</v>
      </c>
      <c r="I217" s="130"/>
      <c r="J217" s="130"/>
      <c r="K217" s="35"/>
      <c r="L217" s="35"/>
    </row>
    <row r="218" spans="1:12" ht="38.25" customHeight="1" thickBot="1" x14ac:dyDescent="0.3">
      <c r="B218" s="477"/>
      <c r="C218" s="25" t="s">
        <v>342</v>
      </c>
      <c r="D218" s="153">
        <f>SUM(D215:D217)</f>
        <v>1504738.6191700001</v>
      </c>
      <c r="E218" s="93">
        <f t="shared" ref="E218:F218" si="36">SUM(E215:E216)</f>
        <v>0</v>
      </c>
      <c r="F218" s="93">
        <f t="shared" si="36"/>
        <v>0</v>
      </c>
      <c r="G218" s="94"/>
      <c r="H218" s="95"/>
      <c r="I218" s="134"/>
      <c r="J218" s="134"/>
      <c r="K218" s="35"/>
      <c r="L218" s="35"/>
    </row>
    <row r="219" spans="1:12" ht="21.75" customHeight="1" thickBot="1" x14ac:dyDescent="0.3">
      <c r="B219" s="477"/>
      <c r="C219" s="2"/>
      <c r="D219" s="10"/>
      <c r="E219" s="10"/>
      <c r="F219" s="10"/>
      <c r="G219" s="10"/>
      <c r="H219" s="10"/>
      <c r="I219" s="135"/>
      <c r="J219" s="135"/>
      <c r="K219" s="35"/>
      <c r="L219" s="35"/>
    </row>
    <row r="220" spans="1:12" ht="49.5" customHeight="1" x14ac:dyDescent="0.25">
      <c r="B220" s="477"/>
      <c r="C220" s="96" t="s">
        <v>343</v>
      </c>
      <c r="D220" s="97">
        <f>SUM(H16,H26,H36,H46,H58,H81,H94,H104,H116,H126,H136,H146,H158,H168,H178,H188,H196)*1.07</f>
        <v>666332.04442544025</v>
      </c>
      <c r="E220" s="29"/>
      <c r="F220" s="29"/>
      <c r="G220" s="29"/>
      <c r="H220" s="138" t="s">
        <v>344</v>
      </c>
      <c r="I220" s="469">
        <f>SUM(I196,I188,I178,I168,I158,I146,I136,I126,I116,I104,I94,I81,I58,I46,I36,I26,I16)</f>
        <v>157759.93612835999</v>
      </c>
      <c r="J220" s="145"/>
      <c r="K220" s="35"/>
      <c r="L220" s="35"/>
    </row>
    <row r="221" spans="1:12" ht="28.5" customHeight="1" thickBot="1" x14ac:dyDescent="0.3">
      <c r="B221" s="477"/>
      <c r="C221" s="98" t="s">
        <v>345</v>
      </c>
      <c r="D221" s="129">
        <f>D220/D209</f>
        <v>0.4428224516447799</v>
      </c>
      <c r="E221" s="36"/>
      <c r="F221" s="36"/>
      <c r="G221" s="36"/>
      <c r="H221" s="139" t="s">
        <v>346</v>
      </c>
      <c r="I221" s="140">
        <f>I220/D207</f>
        <v>0.11218103231141593</v>
      </c>
      <c r="J221" s="146"/>
      <c r="K221" s="35"/>
      <c r="L221" s="35"/>
    </row>
    <row r="222" spans="1:12" ht="28.5" customHeight="1" x14ac:dyDescent="0.25">
      <c r="B222" s="477"/>
      <c r="C222" s="475"/>
      <c r="D222" s="476"/>
      <c r="E222" s="37"/>
      <c r="F222" s="37"/>
      <c r="G222" s="37"/>
      <c r="K222" s="35"/>
      <c r="L222" s="35"/>
    </row>
    <row r="223" spans="1:12" ht="28.5" customHeight="1" x14ac:dyDescent="0.25">
      <c r="B223" s="477"/>
      <c r="C223" s="98" t="s">
        <v>347</v>
      </c>
      <c r="D223" s="99">
        <f>SUM(D193:D194)*1.07</f>
        <v>84989.03</v>
      </c>
      <c r="E223" s="38"/>
      <c r="F223" s="38"/>
      <c r="G223" s="38"/>
      <c r="K223" s="35"/>
      <c r="L223" s="35"/>
    </row>
    <row r="224" spans="1:12" ht="23.25" customHeight="1" x14ac:dyDescent="0.25">
      <c r="B224" s="477"/>
      <c r="C224" s="98" t="s">
        <v>348</v>
      </c>
      <c r="D224" s="129">
        <f>D223/D209</f>
        <v>5.6480925602134913E-2</v>
      </c>
      <c r="E224" s="38"/>
      <c r="F224" s="38"/>
      <c r="G224" s="38"/>
      <c r="K224" s="35"/>
      <c r="L224" s="35"/>
    </row>
    <row r="225" spans="1:12" ht="68.25" customHeight="1" thickBot="1" x14ac:dyDescent="0.3">
      <c r="B225" s="477"/>
      <c r="C225" s="482" t="s">
        <v>349</v>
      </c>
      <c r="D225" s="483"/>
      <c r="E225" s="30"/>
      <c r="F225" s="30"/>
      <c r="G225" s="30"/>
      <c r="H225" s="35"/>
      <c r="I225" s="136"/>
      <c r="J225" s="136"/>
      <c r="K225" s="35"/>
      <c r="L225" s="35"/>
    </row>
    <row r="226" spans="1:12" ht="55.5" customHeight="1" x14ac:dyDescent="0.25">
      <c r="B226" s="477"/>
      <c r="L226" s="34"/>
    </row>
    <row r="227" spans="1:12" ht="42.75" customHeight="1" x14ac:dyDescent="0.25">
      <c r="B227" s="477"/>
      <c r="K227" s="35"/>
    </row>
    <row r="228" spans="1:12" ht="21.75" customHeight="1" x14ac:dyDescent="0.25">
      <c r="B228" s="477"/>
      <c r="K228" s="35"/>
    </row>
    <row r="229" spans="1:12" ht="21.75" customHeight="1" x14ac:dyDescent="0.25">
      <c r="A229" s="266"/>
      <c r="B229" s="477"/>
    </row>
    <row r="230" spans="1:12" s="35" customFormat="1" ht="23.25" customHeight="1" x14ac:dyDescent="0.25">
      <c r="A230" s="267"/>
      <c r="B230" s="477"/>
      <c r="C230" s="33"/>
      <c r="D230" s="33"/>
      <c r="E230" s="33"/>
      <c r="F230" s="33"/>
      <c r="G230" s="33"/>
      <c r="H230" s="33"/>
      <c r="I230" s="131"/>
      <c r="J230" s="131"/>
      <c r="K230" s="33"/>
      <c r="L230" s="33"/>
    </row>
    <row r="231" spans="1:12" ht="23.25" customHeight="1" x14ac:dyDescent="0.25"/>
    <row r="232" spans="1:12" ht="21.75" customHeight="1" x14ac:dyDescent="0.25"/>
    <row r="233" spans="1:12" ht="16.5" customHeight="1" x14ac:dyDescent="0.25"/>
    <row r="234" spans="1:12" ht="29.25" customHeight="1" x14ac:dyDescent="0.25"/>
    <row r="235" spans="1:12" ht="24.75" customHeight="1" x14ac:dyDescent="0.25"/>
    <row r="236" spans="1:12" ht="33" customHeight="1" x14ac:dyDescent="0.25"/>
    <row r="238" spans="1:12" ht="15" customHeight="1" x14ac:dyDescent="0.25"/>
    <row r="239" spans="1:12" ht="25.5" customHeight="1" x14ac:dyDescent="0.25"/>
  </sheetData>
  <sheetProtection formatCells="0" formatColumns="0" formatRows="0"/>
  <mergeCells count="38">
    <mergeCell ref="C205:C206"/>
    <mergeCell ref="G205:G206"/>
    <mergeCell ref="C148:K148"/>
    <mergeCell ref="C159:K159"/>
    <mergeCell ref="C149:K149"/>
    <mergeCell ref="C169:K169"/>
    <mergeCell ref="C204:D204"/>
    <mergeCell ref="C179:K179"/>
    <mergeCell ref="D205:D206"/>
    <mergeCell ref="C37:K37"/>
    <mergeCell ref="C6:K6"/>
    <mergeCell ref="B1:E1"/>
    <mergeCell ref="C17:K17"/>
    <mergeCell ref="C7:K7"/>
    <mergeCell ref="C27:K27"/>
    <mergeCell ref="B3:E3"/>
    <mergeCell ref="C106:K106"/>
    <mergeCell ref="C107:K107"/>
    <mergeCell ref="C117:K117"/>
    <mergeCell ref="C127:K127"/>
    <mergeCell ref="C137:K137"/>
    <mergeCell ref="C48:K48"/>
    <mergeCell ref="C49:K49"/>
    <mergeCell ref="C59:K59"/>
    <mergeCell ref="C82:K82"/>
    <mergeCell ref="C95:K95"/>
    <mergeCell ref="J50:J54"/>
    <mergeCell ref="J60:J64"/>
    <mergeCell ref="J73:J76"/>
    <mergeCell ref="J86:J87"/>
    <mergeCell ref="J65:J72"/>
    <mergeCell ref="G213:G214"/>
    <mergeCell ref="H213:H214"/>
    <mergeCell ref="C222:D222"/>
    <mergeCell ref="B216:B230"/>
    <mergeCell ref="C212:H212"/>
    <mergeCell ref="C225:D225"/>
    <mergeCell ref="D213:D214"/>
  </mergeCells>
  <conditionalFormatting sqref="D221">
    <cfRule type="cellIs" dxfId="45" priority="47" operator="lessThan">
      <formula>0.15</formula>
    </cfRule>
  </conditionalFormatting>
  <conditionalFormatting sqref="D224">
    <cfRule type="cellIs" dxfId="44" priority="45" operator="lessThan">
      <formula>0.05</formula>
    </cfRule>
  </conditionalFormatting>
  <dataValidations xWindow="431" yWindow="475" count="6">
    <dataValidation allowBlank="1" showInputMessage="1" showErrorMessage="1" prompt="% Towards Gender Equality and Women's Empowerment Must be Higher than 15%_x000a_" sqref="D221:G221"/>
    <dataValidation allowBlank="1" showInputMessage="1" showErrorMessage="1" prompt="M&amp;E Budget Cannot be Less than 5%_x000a_" sqref="D224:G224"/>
    <dataValidation allowBlank="1" showInputMessage="1" showErrorMessage="1" prompt="Insert *text* description of Outcome here" sqref="C6:K6 C48:K48 C106:K106 C148:K148"/>
    <dataValidation allowBlank="1" showInputMessage="1" showErrorMessage="1" prompt="Insert *text* description of Output here" sqref="C7 C17 C27 C37 C49 C59 C82 C95 C107 C117 C127 C137 C149 C159 C169 C179"/>
    <dataValidation allowBlank="1" showInputMessage="1" showErrorMessage="1" prompt="Insert *text* description of Activity here" sqref="C8 C18 C28 C38 C50 C60 C96 C108 C118 C128 C138 C150 C160 C170 C180"/>
    <dataValidation allowBlank="1" showErrorMessage="1" prompt="% Towards Gender Equality and Women's Empowerment Must be Higher than 15%_x000a_" sqref="D223:G223"/>
  </dataValidations>
  <pageMargins left="0.7" right="0.7" top="0.75" bottom="0.75" header="0.3" footer="0.3"/>
  <pageSetup scale="74"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0"/>
  </sheetPr>
  <dimension ref="A1:AD1054"/>
  <sheetViews>
    <sheetView topLeftCell="K1015" workbookViewId="0">
      <selection activeCell="X30" sqref="X30:X1054"/>
    </sheetView>
  </sheetViews>
  <sheetFormatPr baseColWidth="10" defaultColWidth="11.42578125" defaultRowHeight="15" x14ac:dyDescent="0.25"/>
  <sheetData>
    <row r="1" spans="1:30" x14ac:dyDescent="0.25">
      <c r="A1" s="459" t="s">
        <v>1024</v>
      </c>
      <c r="B1" s="459" t="s">
        <v>350</v>
      </c>
      <c r="C1" s="459" t="s">
        <v>1025</v>
      </c>
      <c r="D1" s="459" t="s">
        <v>351</v>
      </c>
      <c r="E1" s="459" t="s">
        <v>1026</v>
      </c>
      <c r="F1" s="459" t="s">
        <v>1027</v>
      </c>
      <c r="G1" s="459" t="s">
        <v>1028</v>
      </c>
      <c r="H1" s="459" t="s">
        <v>1029</v>
      </c>
      <c r="I1" s="459" t="s">
        <v>1030</v>
      </c>
      <c r="J1" s="459" t="s">
        <v>352</v>
      </c>
      <c r="K1" s="459" t="s">
        <v>1031</v>
      </c>
      <c r="L1" s="459" t="s">
        <v>1032</v>
      </c>
      <c r="M1" s="459" t="s">
        <v>1033</v>
      </c>
      <c r="N1" s="459" t="s">
        <v>1034</v>
      </c>
      <c r="O1" s="459" t="s">
        <v>1035</v>
      </c>
      <c r="P1" s="459" t="s">
        <v>1036</v>
      </c>
      <c r="Q1" s="459" t="s">
        <v>1037</v>
      </c>
      <c r="R1" s="459" t="s">
        <v>1038</v>
      </c>
      <c r="S1" s="459" t="s">
        <v>1039</v>
      </c>
      <c r="T1" s="459" t="s">
        <v>1040</v>
      </c>
      <c r="U1" s="459" t="s">
        <v>1041</v>
      </c>
      <c r="V1" s="459" t="s">
        <v>353</v>
      </c>
      <c r="W1" s="459" t="s">
        <v>1042</v>
      </c>
      <c r="X1" s="459" t="s">
        <v>1043</v>
      </c>
      <c r="Y1" s="459" t="s">
        <v>1044</v>
      </c>
      <c r="Z1" s="459" t="s">
        <v>1045</v>
      </c>
      <c r="AA1" s="459" t="s">
        <v>1046</v>
      </c>
      <c r="AB1" s="459" t="s">
        <v>1047</v>
      </c>
      <c r="AC1" s="459" t="s">
        <v>1048</v>
      </c>
      <c r="AD1" s="459" t="s">
        <v>1049</v>
      </c>
    </row>
    <row r="2" spans="1:30" hidden="1" x14ac:dyDescent="0.25">
      <c r="A2" t="s">
        <v>1050</v>
      </c>
      <c r="B2" t="s">
        <v>1051</v>
      </c>
      <c r="C2" t="s">
        <v>1052</v>
      </c>
      <c r="D2" t="s">
        <v>1052</v>
      </c>
      <c r="E2" t="s">
        <v>1053</v>
      </c>
      <c r="F2" t="s">
        <v>1054</v>
      </c>
      <c r="G2">
        <v>11008490</v>
      </c>
      <c r="H2">
        <v>202102</v>
      </c>
      <c r="I2">
        <v>44246</v>
      </c>
      <c r="J2" t="s">
        <v>1055</v>
      </c>
      <c r="K2" t="s">
        <v>1056</v>
      </c>
      <c r="M2" t="s">
        <v>355</v>
      </c>
      <c r="O2" t="s">
        <v>355</v>
      </c>
      <c r="P2" t="s">
        <v>355</v>
      </c>
      <c r="Q2" t="s">
        <v>355</v>
      </c>
      <c r="R2" t="s">
        <v>355</v>
      </c>
      <c r="S2" t="s">
        <v>355</v>
      </c>
      <c r="U2" t="s">
        <v>1057</v>
      </c>
      <c r="V2" t="s">
        <v>1043</v>
      </c>
      <c r="W2">
        <v>-525000</v>
      </c>
      <c r="X2">
        <v>-525000</v>
      </c>
      <c r="Y2">
        <v>-4415512.5</v>
      </c>
      <c r="Z2">
        <v>-437050.43</v>
      </c>
      <c r="AA2">
        <v>0</v>
      </c>
      <c r="AB2">
        <v>44249.819397951389</v>
      </c>
    </row>
    <row r="3" spans="1:30" hidden="1" x14ac:dyDescent="0.25">
      <c r="A3" t="s">
        <v>1051</v>
      </c>
      <c r="B3" t="s">
        <v>1051</v>
      </c>
      <c r="C3" t="s">
        <v>1058</v>
      </c>
      <c r="D3" t="s">
        <v>1059</v>
      </c>
      <c r="E3" t="s">
        <v>1060</v>
      </c>
      <c r="F3" t="s">
        <v>1061</v>
      </c>
      <c r="G3">
        <v>6100680</v>
      </c>
      <c r="H3">
        <v>202104</v>
      </c>
      <c r="I3">
        <v>44313</v>
      </c>
      <c r="J3">
        <v>119010</v>
      </c>
      <c r="K3" t="s">
        <v>1056</v>
      </c>
      <c r="L3" t="s">
        <v>1062</v>
      </c>
      <c r="M3" t="s">
        <v>1063</v>
      </c>
      <c r="O3" t="s">
        <v>1064</v>
      </c>
      <c r="P3" t="s">
        <v>1065</v>
      </c>
      <c r="Q3" t="s">
        <v>354</v>
      </c>
      <c r="R3">
        <v>2069148</v>
      </c>
      <c r="S3" t="s">
        <v>1062</v>
      </c>
      <c r="U3" t="s">
        <v>1066</v>
      </c>
      <c r="V3" t="s">
        <v>356</v>
      </c>
      <c r="W3">
        <v>1071563</v>
      </c>
      <c r="X3">
        <v>294.68</v>
      </c>
      <c r="Y3">
        <v>2441.02</v>
      </c>
      <c r="Z3">
        <v>1071563</v>
      </c>
      <c r="AA3">
        <v>0</v>
      </c>
      <c r="AB3">
        <v>44316.998394826391</v>
      </c>
      <c r="AC3" t="s">
        <v>198</v>
      </c>
      <c r="AD3">
        <v>6</v>
      </c>
    </row>
    <row r="4" spans="1:30" hidden="1" x14ac:dyDescent="0.25">
      <c r="A4" t="s">
        <v>1051</v>
      </c>
      <c r="B4" t="s">
        <v>1051</v>
      </c>
      <c r="C4" t="s">
        <v>1058</v>
      </c>
      <c r="D4" t="s">
        <v>1059</v>
      </c>
      <c r="E4" t="s">
        <v>1060</v>
      </c>
      <c r="F4" t="s">
        <v>1061</v>
      </c>
      <c r="G4">
        <v>6101019</v>
      </c>
      <c r="H4">
        <v>202106</v>
      </c>
      <c r="I4">
        <v>44369</v>
      </c>
      <c r="J4">
        <v>119010</v>
      </c>
      <c r="K4" t="s">
        <v>1056</v>
      </c>
      <c r="L4" t="s">
        <v>1067</v>
      </c>
      <c r="M4" t="s">
        <v>1068</v>
      </c>
      <c r="O4" t="s">
        <v>1069</v>
      </c>
      <c r="P4" t="s">
        <v>1070</v>
      </c>
      <c r="Q4" t="s">
        <v>354</v>
      </c>
      <c r="R4">
        <v>2069147</v>
      </c>
      <c r="S4" t="s">
        <v>1071</v>
      </c>
      <c r="U4" t="s">
        <v>1072</v>
      </c>
      <c r="V4" t="s">
        <v>356</v>
      </c>
      <c r="W4">
        <v>29000000</v>
      </c>
      <c r="X4">
        <v>8091</v>
      </c>
      <c r="Y4">
        <v>68527</v>
      </c>
      <c r="Z4">
        <v>29000000</v>
      </c>
      <c r="AA4">
        <v>0</v>
      </c>
      <c r="AB4">
        <v>44369.752420486111</v>
      </c>
      <c r="AC4" t="s">
        <v>79</v>
      </c>
      <c r="AD4">
        <v>6</v>
      </c>
    </row>
    <row r="5" spans="1:30" hidden="1" x14ac:dyDescent="0.25">
      <c r="A5" t="s">
        <v>1051</v>
      </c>
      <c r="B5" t="s">
        <v>1051</v>
      </c>
      <c r="C5" t="s">
        <v>1058</v>
      </c>
      <c r="D5" t="s">
        <v>1059</v>
      </c>
      <c r="E5" t="s">
        <v>1060</v>
      </c>
      <c r="F5" t="s">
        <v>1061</v>
      </c>
      <c r="G5">
        <v>6101661</v>
      </c>
      <c r="H5">
        <v>202108</v>
      </c>
      <c r="I5">
        <v>44439</v>
      </c>
      <c r="J5">
        <v>119010</v>
      </c>
      <c r="K5" t="s">
        <v>1056</v>
      </c>
      <c r="L5" t="s">
        <v>1062</v>
      </c>
      <c r="M5" t="s">
        <v>1063</v>
      </c>
      <c r="O5" t="s">
        <v>1064</v>
      </c>
      <c r="P5" t="s">
        <v>1065</v>
      </c>
      <c r="Q5" t="s">
        <v>354</v>
      </c>
      <c r="R5">
        <v>2069148</v>
      </c>
      <c r="S5" t="s">
        <v>1062</v>
      </c>
      <c r="U5" t="s">
        <v>1073</v>
      </c>
      <c r="V5" t="s">
        <v>356</v>
      </c>
      <c r="W5">
        <v>15864689</v>
      </c>
      <c r="X5">
        <v>4104.67</v>
      </c>
      <c r="Y5">
        <v>35745.050000000003</v>
      </c>
      <c r="Z5">
        <v>15864689</v>
      </c>
      <c r="AA5">
        <v>0</v>
      </c>
      <c r="AB5">
        <v>44441.916087071761</v>
      </c>
      <c r="AC5" t="s">
        <v>198</v>
      </c>
      <c r="AD5">
        <v>6</v>
      </c>
    </row>
    <row r="6" spans="1:30" hidden="1" x14ac:dyDescent="0.25">
      <c r="A6" t="s">
        <v>1051</v>
      </c>
      <c r="B6" t="s">
        <v>1051</v>
      </c>
      <c r="C6" t="s">
        <v>1058</v>
      </c>
      <c r="D6" t="s">
        <v>1059</v>
      </c>
      <c r="E6" t="s">
        <v>1060</v>
      </c>
      <c r="F6" t="s">
        <v>1061</v>
      </c>
      <c r="G6">
        <v>6101502</v>
      </c>
      <c r="H6">
        <v>202108</v>
      </c>
      <c r="I6">
        <v>44421</v>
      </c>
      <c r="J6">
        <v>119010</v>
      </c>
      <c r="K6" t="s">
        <v>1056</v>
      </c>
      <c r="L6" t="s">
        <v>1067</v>
      </c>
      <c r="M6" t="s">
        <v>1068</v>
      </c>
      <c r="O6" t="s">
        <v>1069</v>
      </c>
      <c r="P6" t="s">
        <v>1070</v>
      </c>
      <c r="Q6" t="s">
        <v>354</v>
      </c>
      <c r="R6">
        <v>2069147</v>
      </c>
      <c r="S6" t="s">
        <v>355</v>
      </c>
      <c r="U6" t="s">
        <v>1074</v>
      </c>
      <c r="V6" t="s">
        <v>356</v>
      </c>
      <c r="W6">
        <v>29500000</v>
      </c>
      <c r="X6">
        <v>7552</v>
      </c>
      <c r="Y6">
        <v>65254</v>
      </c>
      <c r="Z6">
        <v>29500000</v>
      </c>
      <c r="AA6">
        <v>0</v>
      </c>
      <c r="AB6">
        <v>44421.755296261574</v>
      </c>
      <c r="AC6" t="s">
        <v>79</v>
      </c>
      <c r="AD6">
        <v>6</v>
      </c>
    </row>
    <row r="7" spans="1:30" hidden="1" x14ac:dyDescent="0.25">
      <c r="A7" t="s">
        <v>1051</v>
      </c>
      <c r="B7" t="s">
        <v>1051</v>
      </c>
      <c r="C7" t="s">
        <v>1058</v>
      </c>
      <c r="D7" t="s">
        <v>1059</v>
      </c>
      <c r="E7" t="s">
        <v>1060</v>
      </c>
      <c r="F7" t="s">
        <v>1061</v>
      </c>
      <c r="G7">
        <v>6102147</v>
      </c>
      <c r="H7">
        <v>202109</v>
      </c>
      <c r="I7">
        <v>44469</v>
      </c>
      <c r="J7">
        <v>119010</v>
      </c>
      <c r="K7" t="s">
        <v>1056</v>
      </c>
      <c r="L7" t="s">
        <v>1067</v>
      </c>
      <c r="M7" t="s">
        <v>1068</v>
      </c>
      <c r="O7" t="s">
        <v>1069</v>
      </c>
      <c r="P7" t="s">
        <v>1070</v>
      </c>
      <c r="Q7" t="s">
        <v>354</v>
      </c>
      <c r="R7">
        <v>2069147</v>
      </c>
      <c r="S7" t="s">
        <v>1067</v>
      </c>
      <c r="U7" t="s">
        <v>1075</v>
      </c>
      <c r="V7" t="s">
        <v>356</v>
      </c>
      <c r="W7">
        <v>20500000</v>
      </c>
      <c r="X7">
        <v>5345.99</v>
      </c>
      <c r="Y7">
        <v>46484.98</v>
      </c>
      <c r="Z7">
        <v>20500000</v>
      </c>
      <c r="AA7">
        <v>0</v>
      </c>
      <c r="AB7">
        <v>44473.659431944441</v>
      </c>
      <c r="AC7" t="s">
        <v>79</v>
      </c>
      <c r="AD7">
        <v>6</v>
      </c>
    </row>
    <row r="8" spans="1:30" hidden="1" x14ac:dyDescent="0.25">
      <c r="A8" t="s">
        <v>1051</v>
      </c>
      <c r="B8" t="s">
        <v>1051</v>
      </c>
      <c r="C8" t="s">
        <v>1058</v>
      </c>
      <c r="D8" t="s">
        <v>1059</v>
      </c>
      <c r="E8" t="s">
        <v>1060</v>
      </c>
      <c r="F8" t="s">
        <v>1061</v>
      </c>
      <c r="G8">
        <v>6102011</v>
      </c>
      <c r="H8">
        <v>202109</v>
      </c>
      <c r="I8">
        <v>44460</v>
      </c>
      <c r="J8">
        <v>119010</v>
      </c>
      <c r="K8" t="s">
        <v>1056</v>
      </c>
      <c r="L8" t="s">
        <v>1067</v>
      </c>
      <c r="M8" t="s">
        <v>1068</v>
      </c>
      <c r="O8" t="s">
        <v>1069</v>
      </c>
      <c r="P8" t="s">
        <v>1070</v>
      </c>
      <c r="Q8" t="s">
        <v>354</v>
      </c>
      <c r="R8">
        <v>2069147</v>
      </c>
      <c r="S8" t="s">
        <v>1067</v>
      </c>
      <c r="U8" t="s">
        <v>1076</v>
      </c>
      <c r="V8" t="s">
        <v>356</v>
      </c>
      <c r="W8">
        <v>20500000</v>
      </c>
      <c r="X8">
        <v>5358.91</v>
      </c>
      <c r="Y8">
        <v>46594.66</v>
      </c>
      <c r="Z8">
        <v>20500000</v>
      </c>
      <c r="AA8">
        <v>0</v>
      </c>
      <c r="AB8">
        <v>44460.79896122685</v>
      </c>
      <c r="AC8" t="s">
        <v>79</v>
      </c>
      <c r="AD8">
        <v>6</v>
      </c>
    </row>
    <row r="9" spans="1:30" hidden="1" x14ac:dyDescent="0.25">
      <c r="A9" t="s">
        <v>1051</v>
      </c>
      <c r="B9" t="s">
        <v>1051</v>
      </c>
      <c r="C9" t="s">
        <v>1077</v>
      </c>
      <c r="D9" t="s">
        <v>1078</v>
      </c>
      <c r="E9" t="s">
        <v>1060</v>
      </c>
      <c r="F9" t="s">
        <v>1061</v>
      </c>
      <c r="G9">
        <v>6100680</v>
      </c>
      <c r="H9">
        <v>202104</v>
      </c>
      <c r="I9">
        <v>44313</v>
      </c>
      <c r="J9">
        <v>119010</v>
      </c>
      <c r="K9" t="s">
        <v>1056</v>
      </c>
      <c r="L9" t="s">
        <v>1062</v>
      </c>
      <c r="M9" t="s">
        <v>1063</v>
      </c>
      <c r="O9" t="s">
        <v>1064</v>
      </c>
      <c r="P9" t="s">
        <v>1065</v>
      </c>
      <c r="Q9" t="s">
        <v>354</v>
      </c>
      <c r="R9">
        <v>2069144</v>
      </c>
      <c r="S9" t="s">
        <v>1062</v>
      </c>
      <c r="U9" t="s">
        <v>1079</v>
      </c>
      <c r="V9" t="s">
        <v>356</v>
      </c>
      <c r="W9">
        <v>5220</v>
      </c>
      <c r="X9">
        <v>1.44</v>
      </c>
      <c r="Y9">
        <v>11.89</v>
      </c>
      <c r="Z9">
        <v>5220</v>
      </c>
      <c r="AA9">
        <v>0</v>
      </c>
      <c r="AB9">
        <v>44316.998395023147</v>
      </c>
      <c r="AC9" t="s">
        <v>198</v>
      </c>
      <c r="AD9">
        <v>6</v>
      </c>
    </row>
    <row r="10" spans="1:30" hidden="1" x14ac:dyDescent="0.25">
      <c r="A10" t="s">
        <v>1051</v>
      </c>
      <c r="B10" t="s">
        <v>1051</v>
      </c>
      <c r="C10" t="s">
        <v>1077</v>
      </c>
      <c r="D10" t="s">
        <v>1078</v>
      </c>
      <c r="E10" t="s">
        <v>1060</v>
      </c>
      <c r="F10" t="s">
        <v>1061</v>
      </c>
      <c r="G10">
        <v>6100853</v>
      </c>
      <c r="H10">
        <v>202105</v>
      </c>
      <c r="I10">
        <v>44334</v>
      </c>
      <c r="J10">
        <v>119010</v>
      </c>
      <c r="K10" t="s">
        <v>1056</v>
      </c>
      <c r="L10" t="s">
        <v>1067</v>
      </c>
      <c r="M10" t="s">
        <v>1068</v>
      </c>
      <c r="O10" t="s">
        <v>1069</v>
      </c>
      <c r="P10" t="s">
        <v>1070</v>
      </c>
      <c r="Q10" t="s">
        <v>354</v>
      </c>
      <c r="R10">
        <v>2069143</v>
      </c>
      <c r="S10" t="s">
        <v>1067</v>
      </c>
      <c r="U10" t="s">
        <v>1080</v>
      </c>
      <c r="V10" t="s">
        <v>356</v>
      </c>
      <c r="W10">
        <v>281963.36</v>
      </c>
      <c r="X10">
        <v>73.31</v>
      </c>
      <c r="Y10">
        <v>601.42999999999995</v>
      </c>
      <c r="Z10">
        <v>281963.36</v>
      </c>
      <c r="AA10">
        <v>0</v>
      </c>
      <c r="AB10">
        <v>44337.642736805552</v>
      </c>
      <c r="AC10" t="s">
        <v>79</v>
      </c>
      <c r="AD10">
        <v>6</v>
      </c>
    </row>
    <row r="11" spans="1:30" hidden="1" x14ac:dyDescent="0.25">
      <c r="A11" t="s">
        <v>1051</v>
      </c>
      <c r="B11" t="s">
        <v>1051</v>
      </c>
      <c r="C11" t="s">
        <v>1077</v>
      </c>
      <c r="D11" t="s">
        <v>1078</v>
      </c>
      <c r="E11" t="s">
        <v>1060</v>
      </c>
      <c r="F11" t="s">
        <v>1061</v>
      </c>
      <c r="G11">
        <v>6101019</v>
      </c>
      <c r="H11">
        <v>202106</v>
      </c>
      <c r="I11">
        <v>44369</v>
      </c>
      <c r="J11">
        <v>119010</v>
      </c>
      <c r="K11" t="s">
        <v>1056</v>
      </c>
      <c r="L11" t="s">
        <v>1067</v>
      </c>
      <c r="M11" t="s">
        <v>1068</v>
      </c>
      <c r="O11" t="s">
        <v>1069</v>
      </c>
      <c r="P11" t="s">
        <v>1070</v>
      </c>
      <c r="Q11" t="s">
        <v>354</v>
      </c>
      <c r="R11">
        <v>2069143</v>
      </c>
      <c r="S11" t="s">
        <v>1071</v>
      </c>
      <c r="U11" t="s">
        <v>1081</v>
      </c>
      <c r="V11" t="s">
        <v>356</v>
      </c>
      <c r="W11">
        <v>228179.26</v>
      </c>
      <c r="X11">
        <v>63.66</v>
      </c>
      <c r="Y11">
        <v>539.19000000000005</v>
      </c>
      <c r="Z11">
        <v>228179.26</v>
      </c>
      <c r="AA11">
        <v>0</v>
      </c>
      <c r="AB11">
        <v>44369.752420486111</v>
      </c>
      <c r="AC11" t="s">
        <v>79</v>
      </c>
      <c r="AD11">
        <v>6</v>
      </c>
    </row>
    <row r="12" spans="1:30" hidden="1" x14ac:dyDescent="0.25">
      <c r="A12" t="s">
        <v>1051</v>
      </c>
      <c r="B12" t="s">
        <v>1051</v>
      </c>
      <c r="C12" t="s">
        <v>1077</v>
      </c>
      <c r="D12" t="s">
        <v>1078</v>
      </c>
      <c r="E12" t="s">
        <v>1060</v>
      </c>
      <c r="F12" t="s">
        <v>1061</v>
      </c>
      <c r="G12">
        <v>6101661</v>
      </c>
      <c r="H12">
        <v>202108</v>
      </c>
      <c r="I12">
        <v>44439</v>
      </c>
      <c r="J12">
        <v>119010</v>
      </c>
      <c r="K12" t="s">
        <v>1056</v>
      </c>
      <c r="L12" t="s">
        <v>1062</v>
      </c>
      <c r="M12" t="s">
        <v>1063</v>
      </c>
      <c r="O12" t="s">
        <v>1064</v>
      </c>
      <c r="P12" t="s">
        <v>1065</v>
      </c>
      <c r="Q12" t="s">
        <v>354</v>
      </c>
      <c r="R12">
        <v>2069144</v>
      </c>
      <c r="S12" t="s">
        <v>1062</v>
      </c>
      <c r="U12" t="s">
        <v>1082</v>
      </c>
      <c r="V12" t="s">
        <v>356</v>
      </c>
      <c r="W12">
        <v>371557.6</v>
      </c>
      <c r="X12">
        <v>96.13</v>
      </c>
      <c r="Y12">
        <v>837.16</v>
      </c>
      <c r="Z12">
        <v>371557.6</v>
      </c>
      <c r="AA12">
        <v>0</v>
      </c>
      <c r="AB12">
        <v>44441.916087071761</v>
      </c>
      <c r="AC12" t="s">
        <v>198</v>
      </c>
      <c r="AD12">
        <v>6</v>
      </c>
    </row>
    <row r="13" spans="1:30" hidden="1" x14ac:dyDescent="0.25">
      <c r="A13" t="s">
        <v>1051</v>
      </c>
      <c r="B13" t="s">
        <v>1051</v>
      </c>
      <c r="C13" t="s">
        <v>1077</v>
      </c>
      <c r="D13" t="s">
        <v>1078</v>
      </c>
      <c r="E13" t="s">
        <v>1060</v>
      </c>
      <c r="F13" t="s">
        <v>1061</v>
      </c>
      <c r="G13">
        <v>6101502</v>
      </c>
      <c r="H13">
        <v>202108</v>
      </c>
      <c r="I13">
        <v>44421</v>
      </c>
      <c r="J13">
        <v>119010</v>
      </c>
      <c r="K13" t="s">
        <v>1056</v>
      </c>
      <c r="L13" t="s">
        <v>1067</v>
      </c>
      <c r="M13" t="s">
        <v>1068</v>
      </c>
      <c r="O13" t="s">
        <v>1069</v>
      </c>
      <c r="P13" t="s">
        <v>1070</v>
      </c>
      <c r="Q13" t="s">
        <v>354</v>
      </c>
      <c r="R13">
        <v>2069143</v>
      </c>
      <c r="S13" t="s">
        <v>355</v>
      </c>
      <c r="U13" t="s">
        <v>1083</v>
      </c>
      <c r="V13" t="s">
        <v>356</v>
      </c>
      <c r="W13">
        <v>150870.43</v>
      </c>
      <c r="X13">
        <v>38.619999999999997</v>
      </c>
      <c r="Y13">
        <v>333.73</v>
      </c>
      <c r="Z13">
        <v>150870.43</v>
      </c>
      <c r="AA13">
        <v>0</v>
      </c>
      <c r="AB13">
        <v>44421.75529641204</v>
      </c>
      <c r="AC13" t="s">
        <v>79</v>
      </c>
      <c r="AD13">
        <v>6</v>
      </c>
    </row>
    <row r="14" spans="1:30" hidden="1" x14ac:dyDescent="0.25">
      <c r="A14" t="s">
        <v>1051</v>
      </c>
      <c r="B14" t="s">
        <v>1051</v>
      </c>
      <c r="C14" t="s">
        <v>1077</v>
      </c>
      <c r="D14" t="s">
        <v>1078</v>
      </c>
      <c r="E14" t="s">
        <v>1060</v>
      </c>
      <c r="F14" t="s">
        <v>1061</v>
      </c>
      <c r="G14">
        <v>6102011</v>
      </c>
      <c r="H14">
        <v>202109</v>
      </c>
      <c r="I14">
        <v>44460</v>
      </c>
      <c r="J14">
        <v>119010</v>
      </c>
      <c r="K14" t="s">
        <v>1056</v>
      </c>
      <c r="L14" t="s">
        <v>1067</v>
      </c>
      <c r="M14" t="s">
        <v>1068</v>
      </c>
      <c r="O14" t="s">
        <v>1069</v>
      </c>
      <c r="P14" t="s">
        <v>1070</v>
      </c>
      <c r="Q14" t="s">
        <v>354</v>
      </c>
      <c r="R14">
        <v>2069143</v>
      </c>
      <c r="S14" t="s">
        <v>1067</v>
      </c>
      <c r="U14" t="s">
        <v>1084</v>
      </c>
      <c r="V14" t="s">
        <v>356</v>
      </c>
      <c r="W14">
        <v>407683.26</v>
      </c>
      <c r="X14">
        <v>106.57</v>
      </c>
      <c r="Y14">
        <v>926.63</v>
      </c>
      <c r="Z14">
        <v>407683.26</v>
      </c>
      <c r="AA14">
        <v>0</v>
      </c>
      <c r="AB14">
        <v>44460.79896122685</v>
      </c>
      <c r="AC14" t="s">
        <v>79</v>
      </c>
      <c r="AD14">
        <v>6</v>
      </c>
    </row>
    <row r="15" spans="1:30" hidden="1" x14ac:dyDescent="0.25">
      <c r="A15" t="s">
        <v>1051</v>
      </c>
      <c r="B15" t="s">
        <v>1051</v>
      </c>
      <c r="C15" t="s">
        <v>1077</v>
      </c>
      <c r="D15" t="s">
        <v>1078</v>
      </c>
      <c r="E15" t="s">
        <v>1060</v>
      </c>
      <c r="F15" t="s">
        <v>1061</v>
      </c>
      <c r="G15">
        <v>6102147</v>
      </c>
      <c r="H15">
        <v>202109</v>
      </c>
      <c r="I15">
        <v>44469</v>
      </c>
      <c r="J15">
        <v>119010</v>
      </c>
      <c r="K15" t="s">
        <v>1056</v>
      </c>
      <c r="L15" t="s">
        <v>1067</v>
      </c>
      <c r="M15" t="s">
        <v>1068</v>
      </c>
      <c r="O15" t="s">
        <v>1069</v>
      </c>
      <c r="P15" t="s">
        <v>1070</v>
      </c>
      <c r="Q15" t="s">
        <v>354</v>
      </c>
      <c r="R15">
        <v>2069143</v>
      </c>
      <c r="S15" t="s">
        <v>1067</v>
      </c>
      <c r="U15" t="s">
        <v>1085</v>
      </c>
      <c r="V15" t="s">
        <v>356</v>
      </c>
      <c r="W15">
        <v>300840.92</v>
      </c>
      <c r="X15">
        <v>78.45</v>
      </c>
      <c r="Y15">
        <v>682.17</v>
      </c>
      <c r="Z15">
        <v>300840.92</v>
      </c>
      <c r="AA15">
        <v>0</v>
      </c>
      <c r="AB15">
        <v>44473.659431944441</v>
      </c>
      <c r="AC15" t="s">
        <v>79</v>
      </c>
      <c r="AD15">
        <v>6</v>
      </c>
    </row>
    <row r="16" spans="1:30" hidden="1" x14ac:dyDescent="0.25">
      <c r="A16" t="s">
        <v>1051</v>
      </c>
      <c r="B16" t="s">
        <v>1051</v>
      </c>
      <c r="C16" t="s">
        <v>1086</v>
      </c>
      <c r="D16" t="s">
        <v>1087</v>
      </c>
      <c r="E16" t="s">
        <v>1060</v>
      </c>
      <c r="F16" t="s">
        <v>1061</v>
      </c>
      <c r="G16">
        <v>6101661</v>
      </c>
      <c r="H16">
        <v>202108</v>
      </c>
      <c r="I16">
        <v>44439</v>
      </c>
      <c r="J16">
        <v>119010</v>
      </c>
      <c r="K16" t="s">
        <v>1056</v>
      </c>
      <c r="L16" t="s">
        <v>1062</v>
      </c>
      <c r="M16" t="s">
        <v>1063</v>
      </c>
      <c r="O16" t="s">
        <v>1064</v>
      </c>
      <c r="P16" t="s">
        <v>1065</v>
      </c>
      <c r="Q16" t="s">
        <v>354</v>
      </c>
      <c r="R16">
        <v>2069140</v>
      </c>
      <c r="S16" t="s">
        <v>1062</v>
      </c>
      <c r="U16" t="s">
        <v>1088</v>
      </c>
      <c r="V16" t="s">
        <v>356</v>
      </c>
      <c r="W16">
        <v>6337980</v>
      </c>
      <c r="X16">
        <v>1639.83</v>
      </c>
      <c r="Y16">
        <v>14280.23</v>
      </c>
      <c r="Z16">
        <v>6337980</v>
      </c>
      <c r="AA16">
        <v>0</v>
      </c>
      <c r="AB16">
        <v>44441.916087268517</v>
      </c>
      <c r="AC16" t="s">
        <v>198</v>
      </c>
      <c r="AD16">
        <v>6</v>
      </c>
    </row>
    <row r="17" spans="1:30" hidden="1" x14ac:dyDescent="0.25">
      <c r="A17" t="s">
        <v>1051</v>
      </c>
      <c r="B17" t="s">
        <v>1051</v>
      </c>
      <c r="C17" t="s">
        <v>1089</v>
      </c>
      <c r="D17" t="s">
        <v>1090</v>
      </c>
      <c r="E17" t="s">
        <v>1060</v>
      </c>
      <c r="F17" t="s">
        <v>1061</v>
      </c>
      <c r="G17">
        <v>6101502</v>
      </c>
      <c r="H17">
        <v>202108</v>
      </c>
      <c r="I17">
        <v>44421</v>
      </c>
      <c r="J17">
        <v>119010</v>
      </c>
      <c r="K17" t="s">
        <v>1056</v>
      </c>
      <c r="L17" t="s">
        <v>1067</v>
      </c>
      <c r="M17" t="s">
        <v>1068</v>
      </c>
      <c r="O17" t="s">
        <v>1069</v>
      </c>
      <c r="P17" t="s">
        <v>1070</v>
      </c>
      <c r="Q17" t="s">
        <v>354</v>
      </c>
      <c r="R17">
        <v>2069136</v>
      </c>
      <c r="S17" t="s">
        <v>355</v>
      </c>
      <c r="U17" t="s">
        <v>1091</v>
      </c>
      <c r="V17" t="s">
        <v>356</v>
      </c>
      <c r="W17">
        <v>8029533</v>
      </c>
      <c r="X17">
        <v>2055.56</v>
      </c>
      <c r="Y17">
        <v>17761.330000000002</v>
      </c>
      <c r="Z17">
        <v>8029533</v>
      </c>
      <c r="AA17">
        <v>0</v>
      </c>
      <c r="AB17">
        <v>44421.75529641204</v>
      </c>
      <c r="AC17" t="s">
        <v>82</v>
      </c>
      <c r="AD17">
        <v>6</v>
      </c>
    </row>
    <row r="18" spans="1:30" hidden="1" x14ac:dyDescent="0.25">
      <c r="A18" t="s">
        <v>1051</v>
      </c>
      <c r="B18" t="s">
        <v>1051</v>
      </c>
      <c r="C18" t="s">
        <v>1089</v>
      </c>
      <c r="D18" t="s">
        <v>1090</v>
      </c>
      <c r="E18" t="s">
        <v>1060</v>
      </c>
      <c r="F18" t="s">
        <v>1061</v>
      </c>
      <c r="G18">
        <v>6102147</v>
      </c>
      <c r="H18">
        <v>202109</v>
      </c>
      <c r="I18">
        <v>44469</v>
      </c>
      <c r="J18">
        <v>119010</v>
      </c>
      <c r="K18" t="s">
        <v>1056</v>
      </c>
      <c r="L18" t="s">
        <v>1067</v>
      </c>
      <c r="M18" t="s">
        <v>1068</v>
      </c>
      <c r="O18" t="s">
        <v>1069</v>
      </c>
      <c r="P18" t="s">
        <v>1070</v>
      </c>
      <c r="Q18" t="s">
        <v>354</v>
      </c>
      <c r="R18">
        <v>2069136</v>
      </c>
      <c r="S18" t="s">
        <v>1067</v>
      </c>
      <c r="U18" t="s">
        <v>1092</v>
      </c>
      <c r="V18" t="s">
        <v>356</v>
      </c>
      <c r="W18">
        <v>24000000</v>
      </c>
      <c r="X18">
        <v>6258.72</v>
      </c>
      <c r="Y18">
        <v>54421.440000000002</v>
      </c>
      <c r="Z18">
        <v>24000000</v>
      </c>
      <c r="AA18">
        <v>0</v>
      </c>
      <c r="AB18">
        <v>44473.659432141205</v>
      </c>
      <c r="AC18" t="s">
        <v>82</v>
      </c>
      <c r="AD18">
        <v>6</v>
      </c>
    </row>
    <row r="19" spans="1:30" hidden="1" x14ac:dyDescent="0.25">
      <c r="A19" t="s">
        <v>1051</v>
      </c>
      <c r="B19" t="s">
        <v>1051</v>
      </c>
      <c r="C19" t="s">
        <v>1093</v>
      </c>
      <c r="D19" t="s">
        <v>1094</v>
      </c>
      <c r="E19" t="s">
        <v>1095</v>
      </c>
      <c r="F19" t="s">
        <v>1096</v>
      </c>
      <c r="G19">
        <v>1100445</v>
      </c>
      <c r="H19">
        <v>202103</v>
      </c>
      <c r="I19">
        <v>44279</v>
      </c>
      <c r="J19" t="s">
        <v>1097</v>
      </c>
      <c r="K19" t="s">
        <v>1056</v>
      </c>
      <c r="L19" t="s">
        <v>1062</v>
      </c>
      <c r="M19" t="s">
        <v>1063</v>
      </c>
      <c r="O19" t="s">
        <v>1064</v>
      </c>
      <c r="P19" t="s">
        <v>1065</v>
      </c>
      <c r="Q19" t="s">
        <v>354</v>
      </c>
      <c r="R19">
        <v>2244667</v>
      </c>
      <c r="S19" t="s">
        <v>1098</v>
      </c>
      <c r="U19" t="s">
        <v>1099</v>
      </c>
      <c r="V19" t="s">
        <v>356</v>
      </c>
      <c r="W19">
        <v>252000000</v>
      </c>
      <c r="X19">
        <v>70308</v>
      </c>
      <c r="Y19">
        <v>593460</v>
      </c>
      <c r="Z19">
        <v>252000000</v>
      </c>
      <c r="AA19">
        <v>0</v>
      </c>
      <c r="AB19">
        <v>44299.808214583332</v>
      </c>
    </row>
    <row r="20" spans="1:30" hidden="1" x14ac:dyDescent="0.25">
      <c r="A20" t="s">
        <v>1051</v>
      </c>
      <c r="B20" t="s">
        <v>1051</v>
      </c>
      <c r="C20" t="s">
        <v>1093</v>
      </c>
      <c r="D20" t="s">
        <v>1094</v>
      </c>
      <c r="E20" t="s">
        <v>1060</v>
      </c>
      <c r="F20" t="s">
        <v>1061</v>
      </c>
      <c r="G20">
        <v>6100680</v>
      </c>
      <c r="H20">
        <v>202104</v>
      </c>
      <c r="I20">
        <v>44313</v>
      </c>
      <c r="J20">
        <v>119010</v>
      </c>
      <c r="K20" t="s">
        <v>1056</v>
      </c>
      <c r="L20" t="s">
        <v>1062</v>
      </c>
      <c r="M20" t="s">
        <v>1063</v>
      </c>
      <c r="O20" t="s">
        <v>1064</v>
      </c>
      <c r="P20" t="s">
        <v>1065</v>
      </c>
      <c r="Q20" t="s">
        <v>354</v>
      </c>
      <c r="R20">
        <v>2244667</v>
      </c>
      <c r="S20" t="s">
        <v>1062</v>
      </c>
      <c r="U20" t="s">
        <v>1100</v>
      </c>
      <c r="V20" t="s">
        <v>356</v>
      </c>
      <c r="W20">
        <v>-1076783</v>
      </c>
      <c r="X20">
        <v>-296.12</v>
      </c>
      <c r="Y20">
        <v>-2452.91</v>
      </c>
      <c r="Z20">
        <v>-1076783</v>
      </c>
      <c r="AA20">
        <v>0</v>
      </c>
      <c r="AB20">
        <v>44316.998394826391</v>
      </c>
    </row>
    <row r="21" spans="1:30" hidden="1" x14ac:dyDescent="0.25">
      <c r="A21" t="s">
        <v>1051</v>
      </c>
      <c r="B21" t="s">
        <v>1051</v>
      </c>
      <c r="C21" t="s">
        <v>1093</v>
      </c>
      <c r="D21" t="s">
        <v>1094</v>
      </c>
      <c r="E21" t="s">
        <v>1095</v>
      </c>
      <c r="F21" t="s">
        <v>1096</v>
      </c>
      <c r="G21">
        <v>1100564</v>
      </c>
      <c r="H21">
        <v>202104</v>
      </c>
      <c r="I21">
        <v>44295</v>
      </c>
      <c r="J21" t="s">
        <v>1097</v>
      </c>
      <c r="K21" t="s">
        <v>1056</v>
      </c>
      <c r="L21" t="s">
        <v>1067</v>
      </c>
      <c r="M21" t="s">
        <v>1068</v>
      </c>
      <c r="O21" t="s">
        <v>1069</v>
      </c>
      <c r="P21" t="s">
        <v>1070</v>
      </c>
      <c r="Q21" t="s">
        <v>354</v>
      </c>
      <c r="R21">
        <v>2244668</v>
      </c>
      <c r="S21" t="s">
        <v>1071</v>
      </c>
      <c r="U21" t="s">
        <v>1101</v>
      </c>
      <c r="V21" t="s">
        <v>356</v>
      </c>
      <c r="W21">
        <v>378000000</v>
      </c>
      <c r="X21">
        <v>103950</v>
      </c>
      <c r="Y21">
        <v>889434</v>
      </c>
      <c r="Z21">
        <v>378000000</v>
      </c>
      <c r="AA21">
        <v>0</v>
      </c>
      <c r="AB21">
        <v>44326.74515023148</v>
      </c>
    </row>
    <row r="22" spans="1:30" hidden="1" x14ac:dyDescent="0.25">
      <c r="A22" t="s">
        <v>1051</v>
      </c>
      <c r="B22" t="s">
        <v>1051</v>
      </c>
      <c r="C22" t="s">
        <v>1093</v>
      </c>
      <c r="D22" t="s">
        <v>1094</v>
      </c>
      <c r="E22" t="s">
        <v>1060</v>
      </c>
      <c r="F22" t="s">
        <v>1061</v>
      </c>
      <c r="G22">
        <v>6100853</v>
      </c>
      <c r="H22">
        <v>202105</v>
      </c>
      <c r="I22">
        <v>44334</v>
      </c>
      <c r="J22">
        <v>119010</v>
      </c>
      <c r="K22" t="s">
        <v>1056</v>
      </c>
      <c r="L22" t="s">
        <v>1067</v>
      </c>
      <c r="M22" t="s">
        <v>1068</v>
      </c>
      <c r="O22" t="s">
        <v>1069</v>
      </c>
      <c r="P22" t="s">
        <v>1070</v>
      </c>
      <c r="Q22" t="s">
        <v>354</v>
      </c>
      <c r="R22">
        <v>2244668</v>
      </c>
      <c r="S22" t="s">
        <v>1067</v>
      </c>
      <c r="U22" t="s">
        <v>1102</v>
      </c>
      <c r="V22" t="s">
        <v>356</v>
      </c>
      <c r="W22">
        <v>-281963.36</v>
      </c>
      <c r="X22">
        <v>-73.31</v>
      </c>
      <c r="Y22">
        <v>-601.42999999999995</v>
      </c>
      <c r="Z22">
        <v>-281963.36</v>
      </c>
      <c r="AA22">
        <v>0</v>
      </c>
      <c r="AB22">
        <v>44337.642736805552</v>
      </c>
    </row>
    <row r="23" spans="1:30" hidden="1" x14ac:dyDescent="0.25">
      <c r="A23" t="s">
        <v>1051</v>
      </c>
      <c r="B23" t="s">
        <v>1051</v>
      </c>
      <c r="C23" t="s">
        <v>1093</v>
      </c>
      <c r="D23" t="s">
        <v>1094</v>
      </c>
      <c r="E23" t="s">
        <v>1060</v>
      </c>
      <c r="F23" t="s">
        <v>1061</v>
      </c>
      <c r="G23">
        <v>6101019</v>
      </c>
      <c r="H23">
        <v>202106</v>
      </c>
      <c r="I23">
        <v>44369</v>
      </c>
      <c r="J23">
        <v>119010</v>
      </c>
      <c r="K23" t="s">
        <v>1056</v>
      </c>
      <c r="L23" t="s">
        <v>1067</v>
      </c>
      <c r="M23" t="s">
        <v>1068</v>
      </c>
      <c r="O23" t="s">
        <v>1069</v>
      </c>
      <c r="P23" t="s">
        <v>1070</v>
      </c>
      <c r="Q23" t="s">
        <v>354</v>
      </c>
      <c r="R23">
        <v>2244668</v>
      </c>
      <c r="S23" t="s">
        <v>1067</v>
      </c>
      <c r="U23" t="s">
        <v>1103</v>
      </c>
      <c r="V23" t="s">
        <v>356</v>
      </c>
      <c r="W23">
        <v>-29228179.260000002</v>
      </c>
      <c r="X23">
        <v>-8154.66</v>
      </c>
      <c r="Y23">
        <v>-69066.19</v>
      </c>
      <c r="Z23">
        <v>-29228179.260000002</v>
      </c>
      <c r="AA23">
        <v>0</v>
      </c>
      <c r="AB23">
        <v>44369.752420486111</v>
      </c>
    </row>
    <row r="24" spans="1:30" hidden="1" x14ac:dyDescent="0.25">
      <c r="A24" t="s">
        <v>1051</v>
      </c>
      <c r="B24" t="s">
        <v>1051</v>
      </c>
      <c r="C24" t="s">
        <v>1093</v>
      </c>
      <c r="D24" t="s">
        <v>1094</v>
      </c>
      <c r="E24" t="s">
        <v>1060</v>
      </c>
      <c r="F24" t="s">
        <v>1061</v>
      </c>
      <c r="G24">
        <v>6101661</v>
      </c>
      <c r="H24">
        <v>202108</v>
      </c>
      <c r="I24">
        <v>44439</v>
      </c>
      <c r="J24">
        <v>119010</v>
      </c>
      <c r="K24" t="s">
        <v>1056</v>
      </c>
      <c r="L24" t="s">
        <v>1062</v>
      </c>
      <c r="M24" t="s">
        <v>1063</v>
      </c>
      <c r="O24" t="s">
        <v>1064</v>
      </c>
      <c r="P24" t="s">
        <v>1065</v>
      </c>
      <c r="Q24" t="s">
        <v>354</v>
      </c>
      <c r="R24">
        <v>2244667</v>
      </c>
      <c r="S24" t="s">
        <v>1062</v>
      </c>
      <c r="U24" t="s">
        <v>1104</v>
      </c>
      <c r="V24" t="s">
        <v>356</v>
      </c>
      <c r="W24">
        <v>-22574226.600000001</v>
      </c>
      <c r="X24">
        <v>-5840.63</v>
      </c>
      <c r="Y24">
        <v>-50862.44</v>
      </c>
      <c r="Z24">
        <v>-22574226.600000001</v>
      </c>
      <c r="AA24">
        <v>0</v>
      </c>
      <c r="AB24">
        <v>44441.916087071761</v>
      </c>
      <c r="AC24" t="s">
        <v>441</v>
      </c>
    </row>
    <row r="25" spans="1:30" hidden="1" x14ac:dyDescent="0.25">
      <c r="A25" t="s">
        <v>1051</v>
      </c>
      <c r="B25" t="s">
        <v>1051</v>
      </c>
      <c r="C25" t="s">
        <v>1093</v>
      </c>
      <c r="D25" t="s">
        <v>1094</v>
      </c>
      <c r="E25" t="s">
        <v>1060</v>
      </c>
      <c r="F25" t="s">
        <v>1061</v>
      </c>
      <c r="G25">
        <v>6101502</v>
      </c>
      <c r="H25">
        <v>202108</v>
      </c>
      <c r="I25">
        <v>44421</v>
      </c>
      <c r="J25">
        <v>119010</v>
      </c>
      <c r="K25" t="s">
        <v>1056</v>
      </c>
      <c r="L25" t="s">
        <v>1067</v>
      </c>
      <c r="M25" t="s">
        <v>1068</v>
      </c>
      <c r="O25" t="s">
        <v>1069</v>
      </c>
      <c r="P25" t="s">
        <v>1070</v>
      </c>
      <c r="Q25" t="s">
        <v>354</v>
      </c>
      <c r="R25">
        <v>2069136</v>
      </c>
      <c r="S25" t="s">
        <v>1067</v>
      </c>
      <c r="U25" t="s">
        <v>1105</v>
      </c>
      <c r="V25" t="s">
        <v>356</v>
      </c>
      <c r="W25">
        <v>-37680403.43</v>
      </c>
      <c r="X25">
        <v>-9646.18</v>
      </c>
      <c r="Y25">
        <v>-83349.05</v>
      </c>
      <c r="Z25">
        <v>-37680403.43</v>
      </c>
      <c r="AA25">
        <v>0</v>
      </c>
      <c r="AB25">
        <v>44421.75529641204</v>
      </c>
      <c r="AC25" t="s">
        <v>440</v>
      </c>
    </row>
    <row r="26" spans="1:30" hidden="1" x14ac:dyDescent="0.25">
      <c r="A26" t="s">
        <v>1051</v>
      </c>
      <c r="B26" t="s">
        <v>1106</v>
      </c>
      <c r="C26" t="s">
        <v>1093</v>
      </c>
      <c r="D26" t="s">
        <v>1094</v>
      </c>
      <c r="E26" t="s">
        <v>1060</v>
      </c>
      <c r="F26" t="s">
        <v>1061</v>
      </c>
      <c r="G26">
        <v>6101503</v>
      </c>
      <c r="H26">
        <v>202108</v>
      </c>
      <c r="I26">
        <v>44421</v>
      </c>
      <c r="J26">
        <v>119010</v>
      </c>
      <c r="K26" t="s">
        <v>1056</v>
      </c>
      <c r="L26" t="s">
        <v>1067</v>
      </c>
      <c r="M26" t="s">
        <v>1068</v>
      </c>
      <c r="O26" t="s">
        <v>1069</v>
      </c>
      <c r="P26" t="s">
        <v>1070</v>
      </c>
      <c r="Q26" t="s">
        <v>354</v>
      </c>
      <c r="R26">
        <v>2069136</v>
      </c>
      <c r="S26" t="s">
        <v>1067</v>
      </c>
      <c r="U26" t="s">
        <v>1107</v>
      </c>
      <c r="V26" t="s">
        <v>356</v>
      </c>
      <c r="W26">
        <v>37680403.43</v>
      </c>
      <c r="X26">
        <v>9646.18</v>
      </c>
      <c r="Y26">
        <v>83349.05</v>
      </c>
      <c r="Z26">
        <v>37680403.43</v>
      </c>
      <c r="AA26">
        <v>0</v>
      </c>
      <c r="AB26">
        <v>44421.796445636573</v>
      </c>
      <c r="AC26" t="s">
        <v>440</v>
      </c>
    </row>
    <row r="27" spans="1:30" hidden="1" x14ac:dyDescent="0.25">
      <c r="A27" t="s">
        <v>1051</v>
      </c>
      <c r="B27" t="s">
        <v>1106</v>
      </c>
      <c r="C27" t="s">
        <v>1093</v>
      </c>
      <c r="D27" t="s">
        <v>1094</v>
      </c>
      <c r="E27" t="s">
        <v>1060</v>
      </c>
      <c r="F27" t="s">
        <v>1061</v>
      </c>
      <c r="G27">
        <v>6101503</v>
      </c>
      <c r="H27">
        <v>202108</v>
      </c>
      <c r="I27">
        <v>44421</v>
      </c>
      <c r="J27">
        <v>119010</v>
      </c>
      <c r="K27" t="s">
        <v>1056</v>
      </c>
      <c r="L27" t="s">
        <v>1067</v>
      </c>
      <c r="M27" t="s">
        <v>1068</v>
      </c>
      <c r="O27" t="s">
        <v>1069</v>
      </c>
      <c r="P27" t="s">
        <v>1070</v>
      </c>
      <c r="Q27" t="s">
        <v>354</v>
      </c>
      <c r="R27">
        <v>2244668</v>
      </c>
      <c r="S27" t="s">
        <v>1067</v>
      </c>
      <c r="U27" t="s">
        <v>1107</v>
      </c>
      <c r="V27" t="s">
        <v>356</v>
      </c>
      <c r="W27">
        <v>-37680403.43</v>
      </c>
      <c r="X27">
        <v>-9646.18</v>
      </c>
      <c r="Y27">
        <v>-83349.05</v>
      </c>
      <c r="Z27">
        <v>-37680403.43</v>
      </c>
      <c r="AA27">
        <v>0</v>
      </c>
      <c r="AB27">
        <v>44421.796445636573</v>
      </c>
      <c r="AC27" t="s">
        <v>440</v>
      </c>
    </row>
    <row r="28" spans="1:30" hidden="1" x14ac:dyDescent="0.25">
      <c r="A28" t="s">
        <v>1051</v>
      </c>
      <c r="B28" t="s">
        <v>1051</v>
      </c>
      <c r="C28" t="s">
        <v>1093</v>
      </c>
      <c r="D28" t="s">
        <v>1094</v>
      </c>
      <c r="E28" t="s">
        <v>1060</v>
      </c>
      <c r="F28" t="s">
        <v>1061</v>
      </c>
      <c r="G28">
        <v>6102011</v>
      </c>
      <c r="H28">
        <v>202109</v>
      </c>
      <c r="I28">
        <v>44460</v>
      </c>
      <c r="J28">
        <v>119010</v>
      </c>
      <c r="K28" t="s">
        <v>1056</v>
      </c>
      <c r="L28" t="s">
        <v>1067</v>
      </c>
      <c r="M28" t="s">
        <v>1068</v>
      </c>
      <c r="O28" t="s">
        <v>1069</v>
      </c>
      <c r="P28" t="s">
        <v>1070</v>
      </c>
      <c r="Q28" t="s">
        <v>354</v>
      </c>
      <c r="R28">
        <v>2244668</v>
      </c>
      <c r="S28" t="s">
        <v>1067</v>
      </c>
      <c r="U28" t="s">
        <v>1108</v>
      </c>
      <c r="V28" t="s">
        <v>356</v>
      </c>
      <c r="W28">
        <v>-20907683.260000002</v>
      </c>
      <c r="X28">
        <v>-5465.48</v>
      </c>
      <c r="Y28">
        <v>-47521.279999999999</v>
      </c>
      <c r="Z28">
        <v>-20907683.260000002</v>
      </c>
      <c r="AA28">
        <v>0</v>
      </c>
      <c r="AB28">
        <v>44460.79896122685</v>
      </c>
      <c r="AC28" t="s">
        <v>440</v>
      </c>
    </row>
    <row r="29" spans="1:30" hidden="1" x14ac:dyDescent="0.25">
      <c r="A29" t="s">
        <v>1051</v>
      </c>
      <c r="B29" t="s">
        <v>1051</v>
      </c>
      <c r="C29" t="s">
        <v>1093</v>
      </c>
      <c r="D29" t="s">
        <v>1094</v>
      </c>
      <c r="E29" t="s">
        <v>1060</v>
      </c>
      <c r="F29" t="s">
        <v>1061</v>
      </c>
      <c r="G29">
        <v>6102147</v>
      </c>
      <c r="H29">
        <v>202109</v>
      </c>
      <c r="I29">
        <v>44469</v>
      </c>
      <c r="J29">
        <v>119010</v>
      </c>
      <c r="K29" t="s">
        <v>1056</v>
      </c>
      <c r="L29" t="s">
        <v>1067</v>
      </c>
      <c r="M29" t="s">
        <v>1068</v>
      </c>
      <c r="O29" t="s">
        <v>1069</v>
      </c>
      <c r="P29" t="s">
        <v>1070</v>
      </c>
      <c r="Q29" t="s">
        <v>354</v>
      </c>
      <c r="R29">
        <v>2244668</v>
      </c>
      <c r="S29" t="s">
        <v>1067</v>
      </c>
      <c r="U29" t="s">
        <v>1109</v>
      </c>
      <c r="V29" t="s">
        <v>356</v>
      </c>
      <c r="W29">
        <v>-44800840.920000002</v>
      </c>
      <c r="X29">
        <v>-11683.16</v>
      </c>
      <c r="Y29">
        <v>-101588.59</v>
      </c>
      <c r="Z29">
        <v>-44800840.920000002</v>
      </c>
      <c r="AA29">
        <v>0</v>
      </c>
      <c r="AB29">
        <v>44473.659431944441</v>
      </c>
      <c r="AC29" t="s">
        <v>440</v>
      </c>
    </row>
    <row r="30" spans="1:30" x14ac:dyDescent="0.25">
      <c r="A30" t="s">
        <v>1051</v>
      </c>
      <c r="B30" t="s">
        <v>1106</v>
      </c>
      <c r="C30" t="s">
        <v>1110</v>
      </c>
      <c r="D30" t="s">
        <v>1111</v>
      </c>
      <c r="E30" t="s">
        <v>1060</v>
      </c>
      <c r="F30" t="s">
        <v>1061</v>
      </c>
      <c r="G30">
        <v>6101841</v>
      </c>
      <c r="H30">
        <v>202108</v>
      </c>
      <c r="I30">
        <v>44438</v>
      </c>
      <c r="J30">
        <v>124932</v>
      </c>
      <c r="K30" t="s">
        <v>1056</v>
      </c>
      <c r="L30" t="s">
        <v>1112</v>
      </c>
      <c r="M30" t="s">
        <v>1113</v>
      </c>
      <c r="O30" t="s">
        <v>1114</v>
      </c>
      <c r="P30" t="s">
        <v>1115</v>
      </c>
      <c r="Q30" t="s">
        <v>357</v>
      </c>
      <c r="R30">
        <v>2069135</v>
      </c>
      <c r="S30" t="s">
        <v>355</v>
      </c>
      <c r="U30" t="s">
        <v>1116</v>
      </c>
      <c r="V30" t="s">
        <v>356</v>
      </c>
      <c r="W30">
        <v>-948100</v>
      </c>
      <c r="X30">
        <v>-242.4</v>
      </c>
      <c r="Y30">
        <v>-2093.9899999999998</v>
      </c>
      <c r="Z30">
        <v>-948100</v>
      </c>
      <c r="AA30">
        <v>0</v>
      </c>
      <c r="AB30">
        <v>44446.822882094908</v>
      </c>
      <c r="AC30" t="s">
        <v>323</v>
      </c>
      <c r="AD30">
        <v>3</v>
      </c>
    </row>
    <row r="31" spans="1:30" x14ac:dyDescent="0.25">
      <c r="A31" t="s">
        <v>1051</v>
      </c>
      <c r="B31" t="s">
        <v>1106</v>
      </c>
      <c r="C31" t="s">
        <v>1110</v>
      </c>
      <c r="D31" t="s">
        <v>1111</v>
      </c>
      <c r="E31" t="s">
        <v>1060</v>
      </c>
      <c r="F31" t="s">
        <v>1061</v>
      </c>
      <c r="G31">
        <v>6101615</v>
      </c>
      <c r="H31">
        <v>202108</v>
      </c>
      <c r="I31">
        <v>44428</v>
      </c>
      <c r="J31" t="s">
        <v>1117</v>
      </c>
      <c r="K31" t="s">
        <v>1056</v>
      </c>
      <c r="L31" t="s">
        <v>1112</v>
      </c>
      <c r="M31" t="s">
        <v>1113</v>
      </c>
      <c r="O31" t="s">
        <v>1114</v>
      </c>
      <c r="P31" t="s">
        <v>1115</v>
      </c>
      <c r="Q31" t="s">
        <v>357</v>
      </c>
      <c r="R31">
        <v>2069135</v>
      </c>
      <c r="S31" t="s">
        <v>355</v>
      </c>
      <c r="U31" t="s">
        <v>1118</v>
      </c>
      <c r="V31" t="s">
        <v>356</v>
      </c>
      <c r="W31">
        <v>948100</v>
      </c>
      <c r="X31">
        <v>242.4</v>
      </c>
      <c r="Y31">
        <v>2093.9899999999998</v>
      </c>
      <c r="Z31">
        <v>948100</v>
      </c>
      <c r="AA31">
        <v>0</v>
      </c>
      <c r="AB31">
        <v>44433.835121180557</v>
      </c>
      <c r="AC31" t="s">
        <v>323</v>
      </c>
      <c r="AD31">
        <v>3</v>
      </c>
    </row>
    <row r="32" spans="1:30" x14ac:dyDescent="0.25">
      <c r="A32" t="s">
        <v>1051</v>
      </c>
      <c r="B32" t="s">
        <v>1106</v>
      </c>
      <c r="C32" t="s">
        <v>1110</v>
      </c>
      <c r="D32" t="s">
        <v>1111</v>
      </c>
      <c r="E32" t="s">
        <v>1060</v>
      </c>
      <c r="F32" t="s">
        <v>1061</v>
      </c>
      <c r="G32">
        <v>6101615</v>
      </c>
      <c r="H32">
        <v>202108</v>
      </c>
      <c r="I32">
        <v>44428</v>
      </c>
      <c r="J32" t="s">
        <v>1117</v>
      </c>
      <c r="K32" t="s">
        <v>1056</v>
      </c>
      <c r="L32" t="s">
        <v>1119</v>
      </c>
      <c r="M32" t="s">
        <v>1113</v>
      </c>
      <c r="O32" t="s">
        <v>1114</v>
      </c>
      <c r="P32" t="s">
        <v>1115</v>
      </c>
      <c r="Q32" t="s">
        <v>357</v>
      </c>
      <c r="R32">
        <v>2069135</v>
      </c>
      <c r="S32" t="s">
        <v>355</v>
      </c>
      <c r="U32" t="s">
        <v>1120</v>
      </c>
      <c r="V32" t="s">
        <v>356</v>
      </c>
      <c r="W32">
        <v>948100</v>
      </c>
      <c r="X32">
        <v>242.4</v>
      </c>
      <c r="Y32">
        <v>2093.9899999999998</v>
      </c>
      <c r="Z32">
        <v>948100</v>
      </c>
      <c r="AA32">
        <v>0</v>
      </c>
      <c r="AB32">
        <v>44433.835121180557</v>
      </c>
      <c r="AC32" t="s">
        <v>323</v>
      </c>
      <c r="AD32">
        <v>3</v>
      </c>
    </row>
    <row r="33" spans="1:30" x14ac:dyDescent="0.25">
      <c r="A33" t="s">
        <v>1051</v>
      </c>
      <c r="B33" t="s">
        <v>1106</v>
      </c>
      <c r="C33" t="s">
        <v>1110</v>
      </c>
      <c r="D33" t="s">
        <v>1111</v>
      </c>
      <c r="E33" t="s">
        <v>1060</v>
      </c>
      <c r="F33" t="s">
        <v>1061</v>
      </c>
      <c r="G33">
        <v>6101841</v>
      </c>
      <c r="H33">
        <v>202108</v>
      </c>
      <c r="I33">
        <v>44438</v>
      </c>
      <c r="J33">
        <v>124932</v>
      </c>
      <c r="K33" t="s">
        <v>1056</v>
      </c>
      <c r="L33" t="s">
        <v>1119</v>
      </c>
      <c r="M33" t="s">
        <v>1113</v>
      </c>
      <c r="O33" t="s">
        <v>1114</v>
      </c>
      <c r="P33" t="s">
        <v>1115</v>
      </c>
      <c r="Q33" t="s">
        <v>357</v>
      </c>
      <c r="R33">
        <v>2069135</v>
      </c>
      <c r="S33" t="s">
        <v>355</v>
      </c>
      <c r="U33" t="s">
        <v>1121</v>
      </c>
      <c r="V33" t="s">
        <v>356</v>
      </c>
      <c r="W33">
        <v>-948100</v>
      </c>
      <c r="X33">
        <v>-242.4</v>
      </c>
      <c r="Y33">
        <v>-2093.9899999999998</v>
      </c>
      <c r="Z33">
        <v>-948100</v>
      </c>
      <c r="AA33">
        <v>0</v>
      </c>
      <c r="AB33">
        <v>44446.822882094908</v>
      </c>
      <c r="AC33" t="s">
        <v>323</v>
      </c>
      <c r="AD33">
        <v>3</v>
      </c>
    </row>
    <row r="34" spans="1:30" x14ac:dyDescent="0.25">
      <c r="A34" t="s">
        <v>1051</v>
      </c>
      <c r="B34" t="s">
        <v>1106</v>
      </c>
      <c r="C34" t="s">
        <v>1110</v>
      </c>
      <c r="D34" t="s">
        <v>1111</v>
      </c>
      <c r="E34" t="s">
        <v>1060</v>
      </c>
      <c r="F34" t="s">
        <v>1061</v>
      </c>
      <c r="G34">
        <v>6101841</v>
      </c>
      <c r="H34">
        <v>202108</v>
      </c>
      <c r="I34">
        <v>44438</v>
      </c>
      <c r="J34">
        <v>124932</v>
      </c>
      <c r="K34" t="s">
        <v>1056</v>
      </c>
      <c r="L34" t="s">
        <v>1122</v>
      </c>
      <c r="M34" t="s">
        <v>1113</v>
      </c>
      <c r="O34" t="s">
        <v>1114</v>
      </c>
      <c r="P34" t="s">
        <v>1115</v>
      </c>
      <c r="Q34" t="s">
        <v>357</v>
      </c>
      <c r="R34">
        <v>2069135</v>
      </c>
      <c r="S34" t="s">
        <v>355</v>
      </c>
      <c r="U34" t="s">
        <v>1123</v>
      </c>
      <c r="V34" t="s">
        <v>356</v>
      </c>
      <c r="W34">
        <v>-948100</v>
      </c>
      <c r="X34">
        <v>-242.4</v>
      </c>
      <c r="Y34">
        <v>-2093.9899999999998</v>
      </c>
      <c r="Z34">
        <v>-948100</v>
      </c>
      <c r="AA34">
        <v>0</v>
      </c>
      <c r="AB34">
        <v>44446.822882094908</v>
      </c>
      <c r="AC34" t="s">
        <v>323</v>
      </c>
      <c r="AD34">
        <v>3</v>
      </c>
    </row>
    <row r="35" spans="1:30" x14ac:dyDescent="0.25">
      <c r="A35" t="s">
        <v>1051</v>
      </c>
      <c r="B35" t="s">
        <v>1106</v>
      </c>
      <c r="C35" t="s">
        <v>1110</v>
      </c>
      <c r="D35" t="s">
        <v>1111</v>
      </c>
      <c r="E35" t="s">
        <v>1060</v>
      </c>
      <c r="F35" t="s">
        <v>1061</v>
      </c>
      <c r="G35">
        <v>6101615</v>
      </c>
      <c r="H35">
        <v>202108</v>
      </c>
      <c r="I35">
        <v>44428</v>
      </c>
      <c r="J35" t="s">
        <v>1117</v>
      </c>
      <c r="K35" t="s">
        <v>1056</v>
      </c>
      <c r="L35" t="s">
        <v>1122</v>
      </c>
      <c r="M35" t="s">
        <v>1113</v>
      </c>
      <c r="O35" t="s">
        <v>1114</v>
      </c>
      <c r="P35" t="s">
        <v>1115</v>
      </c>
      <c r="Q35" t="s">
        <v>357</v>
      </c>
      <c r="R35">
        <v>2069135</v>
      </c>
      <c r="S35" t="s">
        <v>355</v>
      </c>
      <c r="U35" t="s">
        <v>1124</v>
      </c>
      <c r="V35" t="s">
        <v>356</v>
      </c>
      <c r="W35">
        <v>948100</v>
      </c>
      <c r="X35">
        <v>242.4</v>
      </c>
      <c r="Y35">
        <v>2093.9899999999998</v>
      </c>
      <c r="Z35">
        <v>948100</v>
      </c>
      <c r="AA35">
        <v>0</v>
      </c>
      <c r="AB35">
        <v>44433.835121180557</v>
      </c>
      <c r="AC35" t="s">
        <v>323</v>
      </c>
      <c r="AD35">
        <v>3</v>
      </c>
    </row>
    <row r="36" spans="1:30" x14ac:dyDescent="0.25">
      <c r="A36" t="s">
        <v>1051</v>
      </c>
      <c r="B36" t="s">
        <v>1106</v>
      </c>
      <c r="C36" t="s">
        <v>1110</v>
      </c>
      <c r="D36" t="s">
        <v>1111</v>
      </c>
      <c r="E36" t="s">
        <v>1060</v>
      </c>
      <c r="F36" t="s">
        <v>1061</v>
      </c>
      <c r="G36">
        <v>6101615</v>
      </c>
      <c r="H36">
        <v>202108</v>
      </c>
      <c r="I36">
        <v>44428</v>
      </c>
      <c r="J36" t="s">
        <v>1117</v>
      </c>
      <c r="K36" t="s">
        <v>1056</v>
      </c>
      <c r="L36" t="s">
        <v>1125</v>
      </c>
      <c r="M36" t="s">
        <v>1113</v>
      </c>
      <c r="O36" t="s">
        <v>1114</v>
      </c>
      <c r="P36" t="s">
        <v>1115</v>
      </c>
      <c r="Q36" t="s">
        <v>357</v>
      </c>
      <c r="R36">
        <v>2069135</v>
      </c>
      <c r="S36" t="s">
        <v>355</v>
      </c>
      <c r="U36" t="s">
        <v>1126</v>
      </c>
      <c r="V36" t="s">
        <v>356</v>
      </c>
      <c r="W36">
        <v>948100</v>
      </c>
      <c r="X36">
        <v>242.4</v>
      </c>
      <c r="Y36">
        <v>2093.9899999999998</v>
      </c>
      <c r="Z36">
        <v>948100</v>
      </c>
      <c r="AA36">
        <v>0</v>
      </c>
      <c r="AB36">
        <v>44433.835121180557</v>
      </c>
      <c r="AC36" t="s">
        <v>323</v>
      </c>
      <c r="AD36">
        <v>3</v>
      </c>
    </row>
    <row r="37" spans="1:30" x14ac:dyDescent="0.25">
      <c r="A37" t="s">
        <v>1051</v>
      </c>
      <c r="B37" t="s">
        <v>1106</v>
      </c>
      <c r="C37" t="s">
        <v>1110</v>
      </c>
      <c r="D37" t="s">
        <v>1111</v>
      </c>
      <c r="E37" t="s">
        <v>1060</v>
      </c>
      <c r="F37" t="s">
        <v>1061</v>
      </c>
      <c r="G37">
        <v>6101841</v>
      </c>
      <c r="H37">
        <v>202108</v>
      </c>
      <c r="I37">
        <v>44438</v>
      </c>
      <c r="J37">
        <v>124932</v>
      </c>
      <c r="K37" t="s">
        <v>1056</v>
      </c>
      <c r="L37" t="s">
        <v>1125</v>
      </c>
      <c r="M37" t="s">
        <v>1113</v>
      </c>
      <c r="O37" t="s">
        <v>1114</v>
      </c>
      <c r="P37" t="s">
        <v>1115</v>
      </c>
      <c r="Q37" t="s">
        <v>357</v>
      </c>
      <c r="R37">
        <v>2069135</v>
      </c>
      <c r="S37" t="s">
        <v>355</v>
      </c>
      <c r="U37" t="s">
        <v>1127</v>
      </c>
      <c r="V37" t="s">
        <v>356</v>
      </c>
      <c r="W37">
        <v>-948100</v>
      </c>
      <c r="X37">
        <v>-242.4</v>
      </c>
      <c r="Y37">
        <v>-2093.9899999999998</v>
      </c>
      <c r="Z37">
        <v>-948100</v>
      </c>
      <c r="AA37">
        <v>0</v>
      </c>
      <c r="AB37">
        <v>44446.822882094908</v>
      </c>
      <c r="AC37" t="s">
        <v>323</v>
      </c>
      <c r="AD37">
        <v>3</v>
      </c>
    </row>
    <row r="38" spans="1:30" x14ac:dyDescent="0.25">
      <c r="A38" t="s">
        <v>1051</v>
      </c>
      <c r="B38" t="s">
        <v>1106</v>
      </c>
      <c r="C38" t="s">
        <v>1110</v>
      </c>
      <c r="D38" t="s">
        <v>1111</v>
      </c>
      <c r="E38" t="s">
        <v>1060</v>
      </c>
      <c r="F38" t="s">
        <v>1061</v>
      </c>
      <c r="G38">
        <v>6101841</v>
      </c>
      <c r="H38">
        <v>202108</v>
      </c>
      <c r="I38">
        <v>44438</v>
      </c>
      <c r="J38">
        <v>124932</v>
      </c>
      <c r="K38" t="s">
        <v>1056</v>
      </c>
      <c r="L38" t="s">
        <v>1128</v>
      </c>
      <c r="M38" t="s">
        <v>1113</v>
      </c>
      <c r="O38" t="s">
        <v>1114</v>
      </c>
      <c r="P38" t="s">
        <v>1115</v>
      </c>
      <c r="Q38" t="s">
        <v>357</v>
      </c>
      <c r="R38">
        <v>2069135</v>
      </c>
      <c r="S38" t="s">
        <v>355</v>
      </c>
      <c r="U38" t="s">
        <v>1129</v>
      </c>
      <c r="V38" t="s">
        <v>356</v>
      </c>
      <c r="W38">
        <v>-948100</v>
      </c>
      <c r="X38">
        <v>-242.4</v>
      </c>
      <c r="Y38">
        <v>-2093.9899999999998</v>
      </c>
      <c r="Z38">
        <v>-948100</v>
      </c>
      <c r="AA38">
        <v>0</v>
      </c>
      <c r="AB38">
        <v>44446.822882094908</v>
      </c>
      <c r="AC38" t="s">
        <v>323</v>
      </c>
      <c r="AD38">
        <v>3</v>
      </c>
    </row>
    <row r="39" spans="1:30" x14ac:dyDescent="0.25">
      <c r="A39" t="s">
        <v>1051</v>
      </c>
      <c r="B39" t="s">
        <v>1106</v>
      </c>
      <c r="C39" t="s">
        <v>1110</v>
      </c>
      <c r="D39" t="s">
        <v>1111</v>
      </c>
      <c r="E39" t="s">
        <v>1060</v>
      </c>
      <c r="F39" t="s">
        <v>1061</v>
      </c>
      <c r="G39">
        <v>6101615</v>
      </c>
      <c r="H39">
        <v>202108</v>
      </c>
      <c r="I39">
        <v>44428</v>
      </c>
      <c r="J39" t="s">
        <v>1117</v>
      </c>
      <c r="K39" t="s">
        <v>1056</v>
      </c>
      <c r="L39" t="s">
        <v>1128</v>
      </c>
      <c r="M39" t="s">
        <v>1113</v>
      </c>
      <c r="O39" t="s">
        <v>1114</v>
      </c>
      <c r="P39" t="s">
        <v>1115</v>
      </c>
      <c r="Q39" t="s">
        <v>357</v>
      </c>
      <c r="R39">
        <v>2069135</v>
      </c>
      <c r="S39" t="s">
        <v>355</v>
      </c>
      <c r="U39" t="s">
        <v>1130</v>
      </c>
      <c r="V39" t="s">
        <v>356</v>
      </c>
      <c r="W39">
        <v>948100</v>
      </c>
      <c r="X39">
        <v>242.4</v>
      </c>
      <c r="Y39">
        <v>2093.9899999999998</v>
      </c>
      <c r="Z39">
        <v>948100</v>
      </c>
      <c r="AA39">
        <v>0</v>
      </c>
      <c r="AB39">
        <v>44433.835121377313</v>
      </c>
      <c r="AC39" t="s">
        <v>323</v>
      </c>
      <c r="AD39">
        <v>3</v>
      </c>
    </row>
    <row r="40" spans="1:30" x14ac:dyDescent="0.25">
      <c r="A40" t="s">
        <v>1051</v>
      </c>
      <c r="B40" t="s">
        <v>1106</v>
      </c>
      <c r="C40" t="s">
        <v>1110</v>
      </c>
      <c r="D40" t="s">
        <v>1111</v>
      </c>
      <c r="E40" t="s">
        <v>1060</v>
      </c>
      <c r="F40" t="s">
        <v>1061</v>
      </c>
      <c r="G40">
        <v>6101615</v>
      </c>
      <c r="H40">
        <v>202108</v>
      </c>
      <c r="I40">
        <v>44428</v>
      </c>
      <c r="J40" t="s">
        <v>1117</v>
      </c>
      <c r="K40" t="s">
        <v>1056</v>
      </c>
      <c r="L40" t="s">
        <v>1131</v>
      </c>
      <c r="M40" t="s">
        <v>1113</v>
      </c>
      <c r="O40" t="s">
        <v>1114</v>
      </c>
      <c r="P40" t="s">
        <v>1115</v>
      </c>
      <c r="Q40" t="s">
        <v>357</v>
      </c>
      <c r="R40">
        <v>2069135</v>
      </c>
      <c r="S40" t="s">
        <v>355</v>
      </c>
      <c r="U40" t="s">
        <v>1132</v>
      </c>
      <c r="V40" t="s">
        <v>356</v>
      </c>
      <c r="W40">
        <v>948100</v>
      </c>
      <c r="X40">
        <v>242.4</v>
      </c>
      <c r="Y40">
        <v>2093.9899999999998</v>
      </c>
      <c r="Z40">
        <v>948100</v>
      </c>
      <c r="AA40">
        <v>0</v>
      </c>
      <c r="AB40">
        <v>44433.835121377313</v>
      </c>
      <c r="AC40" t="s">
        <v>323</v>
      </c>
      <c r="AD40">
        <v>3</v>
      </c>
    </row>
    <row r="41" spans="1:30" x14ac:dyDescent="0.25">
      <c r="A41" t="s">
        <v>1051</v>
      </c>
      <c r="B41" t="s">
        <v>1106</v>
      </c>
      <c r="C41" t="s">
        <v>1110</v>
      </c>
      <c r="D41" t="s">
        <v>1111</v>
      </c>
      <c r="E41" t="s">
        <v>1060</v>
      </c>
      <c r="F41" t="s">
        <v>1061</v>
      </c>
      <c r="G41">
        <v>6101841</v>
      </c>
      <c r="H41">
        <v>202108</v>
      </c>
      <c r="I41">
        <v>44438</v>
      </c>
      <c r="J41">
        <v>124932</v>
      </c>
      <c r="K41" t="s">
        <v>1056</v>
      </c>
      <c r="L41" t="s">
        <v>1131</v>
      </c>
      <c r="M41" t="s">
        <v>1113</v>
      </c>
      <c r="O41" t="s">
        <v>1114</v>
      </c>
      <c r="P41" t="s">
        <v>1115</v>
      </c>
      <c r="Q41" t="s">
        <v>357</v>
      </c>
      <c r="R41">
        <v>2069135</v>
      </c>
      <c r="S41" t="s">
        <v>355</v>
      </c>
      <c r="U41" t="s">
        <v>1133</v>
      </c>
      <c r="V41" t="s">
        <v>356</v>
      </c>
      <c r="W41">
        <v>-948100</v>
      </c>
      <c r="X41">
        <v>-242.4</v>
      </c>
      <c r="Y41">
        <v>-2093.9899999999998</v>
      </c>
      <c r="Z41">
        <v>-948100</v>
      </c>
      <c r="AA41">
        <v>0</v>
      </c>
      <c r="AB41">
        <v>44446.822882094908</v>
      </c>
      <c r="AC41" t="s">
        <v>323</v>
      </c>
      <c r="AD41">
        <v>3</v>
      </c>
    </row>
    <row r="42" spans="1:30" x14ac:dyDescent="0.25">
      <c r="A42" t="s">
        <v>1051</v>
      </c>
      <c r="B42" t="s">
        <v>1106</v>
      </c>
      <c r="C42" t="s">
        <v>1134</v>
      </c>
      <c r="D42" t="s">
        <v>1135</v>
      </c>
      <c r="E42" t="s">
        <v>1060</v>
      </c>
      <c r="F42" t="s">
        <v>1061</v>
      </c>
      <c r="G42">
        <v>6101841</v>
      </c>
      <c r="H42">
        <v>202108</v>
      </c>
      <c r="I42">
        <v>44438</v>
      </c>
      <c r="J42">
        <v>124932</v>
      </c>
      <c r="K42" t="s">
        <v>1056</v>
      </c>
      <c r="L42" t="s">
        <v>1112</v>
      </c>
      <c r="M42" t="s">
        <v>1113</v>
      </c>
      <c r="O42" t="s">
        <v>1114</v>
      </c>
      <c r="P42" t="s">
        <v>1115</v>
      </c>
      <c r="Q42" t="s">
        <v>357</v>
      </c>
      <c r="R42">
        <v>2069135</v>
      </c>
      <c r="S42" t="s">
        <v>355</v>
      </c>
      <c r="U42" t="s">
        <v>1116</v>
      </c>
      <c r="V42" t="s">
        <v>356</v>
      </c>
      <c r="W42">
        <v>948100</v>
      </c>
      <c r="X42">
        <v>242.4</v>
      </c>
      <c r="Y42">
        <v>2093.9899999999998</v>
      </c>
      <c r="Z42">
        <v>948100</v>
      </c>
      <c r="AA42">
        <v>0</v>
      </c>
      <c r="AB42">
        <v>44446.822882094908</v>
      </c>
      <c r="AC42" t="s">
        <v>323</v>
      </c>
      <c r="AD42">
        <v>3</v>
      </c>
    </row>
    <row r="43" spans="1:30" x14ac:dyDescent="0.25">
      <c r="A43" t="s">
        <v>1051</v>
      </c>
      <c r="B43" t="s">
        <v>1106</v>
      </c>
      <c r="C43" t="s">
        <v>1134</v>
      </c>
      <c r="D43" t="s">
        <v>1135</v>
      </c>
      <c r="E43" t="s">
        <v>1060</v>
      </c>
      <c r="F43" t="s">
        <v>1061</v>
      </c>
      <c r="G43">
        <v>6101615</v>
      </c>
      <c r="H43">
        <v>202108</v>
      </c>
      <c r="I43">
        <v>44428</v>
      </c>
      <c r="J43" t="s">
        <v>1117</v>
      </c>
      <c r="K43" t="s">
        <v>1056</v>
      </c>
      <c r="L43" t="s">
        <v>1112</v>
      </c>
      <c r="M43" t="s">
        <v>1113</v>
      </c>
      <c r="O43" t="s">
        <v>1114</v>
      </c>
      <c r="P43" t="s">
        <v>1115</v>
      </c>
      <c r="Q43" t="s">
        <v>357</v>
      </c>
      <c r="R43">
        <v>2069135</v>
      </c>
      <c r="S43" t="s">
        <v>355</v>
      </c>
      <c r="U43" t="s">
        <v>1136</v>
      </c>
      <c r="V43" t="s">
        <v>356</v>
      </c>
      <c r="W43">
        <v>41230</v>
      </c>
      <c r="X43">
        <v>10.54</v>
      </c>
      <c r="Y43">
        <v>91.06</v>
      </c>
      <c r="Z43">
        <v>41230</v>
      </c>
      <c r="AA43">
        <v>0</v>
      </c>
      <c r="AB43">
        <v>44433.83512207176</v>
      </c>
      <c r="AC43" t="s">
        <v>323</v>
      </c>
      <c r="AD43">
        <v>3</v>
      </c>
    </row>
    <row r="44" spans="1:30" x14ac:dyDescent="0.25">
      <c r="A44" t="s">
        <v>1051</v>
      </c>
      <c r="B44" t="s">
        <v>1106</v>
      </c>
      <c r="C44" t="s">
        <v>1134</v>
      </c>
      <c r="D44" t="s">
        <v>1135</v>
      </c>
      <c r="E44" t="s">
        <v>1060</v>
      </c>
      <c r="F44" t="s">
        <v>1061</v>
      </c>
      <c r="G44">
        <v>6101615</v>
      </c>
      <c r="H44">
        <v>202108</v>
      </c>
      <c r="I44">
        <v>44428</v>
      </c>
      <c r="J44" t="s">
        <v>1117</v>
      </c>
      <c r="K44" t="s">
        <v>1056</v>
      </c>
      <c r="L44" t="s">
        <v>1119</v>
      </c>
      <c r="M44" t="s">
        <v>1113</v>
      </c>
      <c r="O44" t="s">
        <v>1114</v>
      </c>
      <c r="P44" t="s">
        <v>1115</v>
      </c>
      <c r="Q44" t="s">
        <v>357</v>
      </c>
      <c r="R44">
        <v>2069135</v>
      </c>
      <c r="S44" t="s">
        <v>355</v>
      </c>
      <c r="U44" t="s">
        <v>1137</v>
      </c>
      <c r="V44" t="s">
        <v>356</v>
      </c>
      <c r="W44">
        <v>41230</v>
      </c>
      <c r="X44">
        <v>10.54</v>
      </c>
      <c r="Y44">
        <v>91.06</v>
      </c>
      <c r="Z44">
        <v>41230</v>
      </c>
      <c r="AA44">
        <v>0</v>
      </c>
      <c r="AB44">
        <v>44433.83512207176</v>
      </c>
      <c r="AC44" t="s">
        <v>323</v>
      </c>
      <c r="AD44">
        <v>3</v>
      </c>
    </row>
    <row r="45" spans="1:30" x14ac:dyDescent="0.25">
      <c r="A45" t="s">
        <v>1051</v>
      </c>
      <c r="B45" t="s">
        <v>1106</v>
      </c>
      <c r="C45" t="s">
        <v>1134</v>
      </c>
      <c r="D45" t="s">
        <v>1135</v>
      </c>
      <c r="E45" t="s">
        <v>1060</v>
      </c>
      <c r="F45" t="s">
        <v>1061</v>
      </c>
      <c r="G45">
        <v>6101841</v>
      </c>
      <c r="H45">
        <v>202108</v>
      </c>
      <c r="I45">
        <v>44438</v>
      </c>
      <c r="J45">
        <v>124932</v>
      </c>
      <c r="K45" t="s">
        <v>1056</v>
      </c>
      <c r="L45" t="s">
        <v>1119</v>
      </c>
      <c r="M45" t="s">
        <v>1113</v>
      </c>
      <c r="O45" t="s">
        <v>1114</v>
      </c>
      <c r="P45" t="s">
        <v>1115</v>
      </c>
      <c r="Q45" t="s">
        <v>357</v>
      </c>
      <c r="R45">
        <v>2069135</v>
      </c>
      <c r="S45" t="s">
        <v>355</v>
      </c>
      <c r="U45" t="s">
        <v>1121</v>
      </c>
      <c r="V45" t="s">
        <v>356</v>
      </c>
      <c r="W45">
        <v>948100</v>
      </c>
      <c r="X45">
        <v>242.4</v>
      </c>
      <c r="Y45">
        <v>2093.9899999999998</v>
      </c>
      <c r="Z45">
        <v>948100</v>
      </c>
      <c r="AA45">
        <v>0</v>
      </c>
      <c r="AB45">
        <v>44446.822882094908</v>
      </c>
      <c r="AC45" t="s">
        <v>323</v>
      </c>
      <c r="AD45">
        <v>3</v>
      </c>
    </row>
    <row r="46" spans="1:30" x14ac:dyDescent="0.25">
      <c r="A46" t="s">
        <v>1051</v>
      </c>
      <c r="B46" t="s">
        <v>1106</v>
      </c>
      <c r="C46" t="s">
        <v>1134</v>
      </c>
      <c r="D46" t="s">
        <v>1135</v>
      </c>
      <c r="E46" t="s">
        <v>1060</v>
      </c>
      <c r="F46" t="s">
        <v>1061</v>
      </c>
      <c r="G46">
        <v>6101841</v>
      </c>
      <c r="H46">
        <v>202108</v>
      </c>
      <c r="I46">
        <v>44438</v>
      </c>
      <c r="J46">
        <v>124932</v>
      </c>
      <c r="K46" t="s">
        <v>1056</v>
      </c>
      <c r="L46" t="s">
        <v>1122</v>
      </c>
      <c r="M46" t="s">
        <v>1113</v>
      </c>
      <c r="O46" t="s">
        <v>1114</v>
      </c>
      <c r="P46" t="s">
        <v>1115</v>
      </c>
      <c r="Q46" t="s">
        <v>357</v>
      </c>
      <c r="R46">
        <v>2069135</v>
      </c>
      <c r="S46" t="s">
        <v>355</v>
      </c>
      <c r="U46" t="s">
        <v>1123</v>
      </c>
      <c r="V46" t="s">
        <v>356</v>
      </c>
      <c r="W46">
        <v>948100</v>
      </c>
      <c r="X46">
        <v>242.4</v>
      </c>
      <c r="Y46">
        <v>2093.9899999999998</v>
      </c>
      <c r="Z46">
        <v>948100</v>
      </c>
      <c r="AA46">
        <v>0</v>
      </c>
      <c r="AB46">
        <v>44446.822882094908</v>
      </c>
      <c r="AC46" t="s">
        <v>323</v>
      </c>
      <c r="AD46">
        <v>3</v>
      </c>
    </row>
    <row r="47" spans="1:30" x14ac:dyDescent="0.25">
      <c r="A47" t="s">
        <v>1051</v>
      </c>
      <c r="B47" t="s">
        <v>1106</v>
      </c>
      <c r="C47" t="s">
        <v>1134</v>
      </c>
      <c r="D47" t="s">
        <v>1135</v>
      </c>
      <c r="E47" t="s">
        <v>1060</v>
      </c>
      <c r="F47" t="s">
        <v>1061</v>
      </c>
      <c r="G47">
        <v>6101615</v>
      </c>
      <c r="H47">
        <v>202108</v>
      </c>
      <c r="I47">
        <v>44428</v>
      </c>
      <c r="J47" t="s">
        <v>1117</v>
      </c>
      <c r="K47" t="s">
        <v>1056</v>
      </c>
      <c r="L47" t="s">
        <v>1122</v>
      </c>
      <c r="M47" t="s">
        <v>1113</v>
      </c>
      <c r="O47" t="s">
        <v>1114</v>
      </c>
      <c r="P47" t="s">
        <v>1115</v>
      </c>
      <c r="Q47" t="s">
        <v>357</v>
      </c>
      <c r="R47">
        <v>2069135</v>
      </c>
      <c r="S47" t="s">
        <v>355</v>
      </c>
      <c r="U47" t="s">
        <v>1138</v>
      </c>
      <c r="V47" t="s">
        <v>356</v>
      </c>
      <c r="W47">
        <v>41230</v>
      </c>
      <c r="X47">
        <v>10.54</v>
      </c>
      <c r="Y47">
        <v>91.06</v>
      </c>
      <c r="Z47">
        <v>41230</v>
      </c>
      <c r="AA47">
        <v>0</v>
      </c>
      <c r="AB47">
        <v>44433.835122256947</v>
      </c>
      <c r="AC47" t="s">
        <v>323</v>
      </c>
      <c r="AD47">
        <v>3</v>
      </c>
    </row>
    <row r="48" spans="1:30" x14ac:dyDescent="0.25">
      <c r="A48" t="s">
        <v>1051</v>
      </c>
      <c r="B48" t="s">
        <v>1106</v>
      </c>
      <c r="C48" t="s">
        <v>1134</v>
      </c>
      <c r="D48" t="s">
        <v>1135</v>
      </c>
      <c r="E48" t="s">
        <v>1060</v>
      </c>
      <c r="F48" t="s">
        <v>1061</v>
      </c>
      <c r="G48">
        <v>6101615</v>
      </c>
      <c r="H48">
        <v>202108</v>
      </c>
      <c r="I48">
        <v>44428</v>
      </c>
      <c r="J48" t="s">
        <v>1117</v>
      </c>
      <c r="K48" t="s">
        <v>1056</v>
      </c>
      <c r="L48" t="s">
        <v>1125</v>
      </c>
      <c r="M48" t="s">
        <v>1113</v>
      </c>
      <c r="O48" t="s">
        <v>1114</v>
      </c>
      <c r="P48" t="s">
        <v>1115</v>
      </c>
      <c r="Q48" t="s">
        <v>357</v>
      </c>
      <c r="R48">
        <v>2069135</v>
      </c>
      <c r="S48" t="s">
        <v>355</v>
      </c>
      <c r="U48" t="s">
        <v>1139</v>
      </c>
      <c r="V48" t="s">
        <v>356</v>
      </c>
      <c r="W48">
        <v>41230</v>
      </c>
      <c r="X48">
        <v>10.54</v>
      </c>
      <c r="Y48">
        <v>91.06</v>
      </c>
      <c r="Z48">
        <v>41230</v>
      </c>
      <c r="AA48">
        <v>0</v>
      </c>
      <c r="AB48">
        <v>44433.835122256947</v>
      </c>
      <c r="AC48" t="s">
        <v>323</v>
      </c>
      <c r="AD48">
        <v>3</v>
      </c>
    </row>
    <row r="49" spans="1:30" x14ac:dyDescent="0.25">
      <c r="A49" t="s">
        <v>1051</v>
      </c>
      <c r="B49" t="s">
        <v>1106</v>
      </c>
      <c r="C49" t="s">
        <v>1134</v>
      </c>
      <c r="D49" t="s">
        <v>1135</v>
      </c>
      <c r="E49" t="s">
        <v>1060</v>
      </c>
      <c r="F49" t="s">
        <v>1061</v>
      </c>
      <c r="G49">
        <v>6101841</v>
      </c>
      <c r="H49">
        <v>202108</v>
      </c>
      <c r="I49">
        <v>44438</v>
      </c>
      <c r="J49">
        <v>124932</v>
      </c>
      <c r="K49" t="s">
        <v>1056</v>
      </c>
      <c r="L49" t="s">
        <v>1125</v>
      </c>
      <c r="M49" t="s">
        <v>1113</v>
      </c>
      <c r="O49" t="s">
        <v>1114</v>
      </c>
      <c r="P49" t="s">
        <v>1115</v>
      </c>
      <c r="Q49" t="s">
        <v>357</v>
      </c>
      <c r="R49">
        <v>2069135</v>
      </c>
      <c r="S49" t="s">
        <v>355</v>
      </c>
      <c r="U49" t="s">
        <v>1127</v>
      </c>
      <c r="V49" t="s">
        <v>356</v>
      </c>
      <c r="W49">
        <v>948100</v>
      </c>
      <c r="X49">
        <v>242.4</v>
      </c>
      <c r="Y49">
        <v>2093.9899999999998</v>
      </c>
      <c r="Z49">
        <v>948100</v>
      </c>
      <c r="AA49">
        <v>0</v>
      </c>
      <c r="AB49">
        <v>44446.822882094908</v>
      </c>
      <c r="AC49" t="s">
        <v>323</v>
      </c>
      <c r="AD49">
        <v>3</v>
      </c>
    </row>
    <row r="50" spans="1:30" x14ac:dyDescent="0.25">
      <c r="A50" t="s">
        <v>1051</v>
      </c>
      <c r="B50" t="s">
        <v>1106</v>
      </c>
      <c r="C50" t="s">
        <v>1134</v>
      </c>
      <c r="D50" t="s">
        <v>1135</v>
      </c>
      <c r="E50" t="s">
        <v>1060</v>
      </c>
      <c r="F50" t="s">
        <v>1061</v>
      </c>
      <c r="G50">
        <v>6101841</v>
      </c>
      <c r="H50">
        <v>202108</v>
      </c>
      <c r="I50">
        <v>44438</v>
      </c>
      <c r="J50">
        <v>124932</v>
      </c>
      <c r="K50" t="s">
        <v>1056</v>
      </c>
      <c r="L50" t="s">
        <v>1128</v>
      </c>
      <c r="M50" t="s">
        <v>1113</v>
      </c>
      <c r="O50" t="s">
        <v>1114</v>
      </c>
      <c r="P50" t="s">
        <v>1115</v>
      </c>
      <c r="Q50" t="s">
        <v>357</v>
      </c>
      <c r="R50">
        <v>2069135</v>
      </c>
      <c r="S50" t="s">
        <v>355</v>
      </c>
      <c r="U50" t="s">
        <v>1129</v>
      </c>
      <c r="V50" t="s">
        <v>356</v>
      </c>
      <c r="W50">
        <v>948100</v>
      </c>
      <c r="X50">
        <v>242.4</v>
      </c>
      <c r="Y50">
        <v>2093.9899999999998</v>
      </c>
      <c r="Z50">
        <v>948100</v>
      </c>
      <c r="AA50">
        <v>0</v>
      </c>
      <c r="AB50">
        <v>44446.822882094908</v>
      </c>
      <c r="AC50" t="s">
        <v>323</v>
      </c>
      <c r="AD50">
        <v>3</v>
      </c>
    </row>
    <row r="51" spans="1:30" x14ac:dyDescent="0.25">
      <c r="A51" t="s">
        <v>1051</v>
      </c>
      <c r="B51" t="s">
        <v>1106</v>
      </c>
      <c r="C51" t="s">
        <v>1134</v>
      </c>
      <c r="D51" t="s">
        <v>1135</v>
      </c>
      <c r="E51" t="s">
        <v>1060</v>
      </c>
      <c r="F51" t="s">
        <v>1061</v>
      </c>
      <c r="G51">
        <v>6101615</v>
      </c>
      <c r="H51">
        <v>202108</v>
      </c>
      <c r="I51">
        <v>44428</v>
      </c>
      <c r="J51" t="s">
        <v>1117</v>
      </c>
      <c r="K51" t="s">
        <v>1056</v>
      </c>
      <c r="L51" t="s">
        <v>1128</v>
      </c>
      <c r="M51" t="s">
        <v>1113</v>
      </c>
      <c r="O51" t="s">
        <v>1114</v>
      </c>
      <c r="P51" t="s">
        <v>1115</v>
      </c>
      <c r="Q51" t="s">
        <v>357</v>
      </c>
      <c r="R51">
        <v>2069135</v>
      </c>
      <c r="S51" t="s">
        <v>355</v>
      </c>
      <c r="U51" t="s">
        <v>1140</v>
      </c>
      <c r="V51" t="s">
        <v>356</v>
      </c>
      <c r="W51">
        <v>41230</v>
      </c>
      <c r="X51">
        <v>10.54</v>
      </c>
      <c r="Y51">
        <v>91.06</v>
      </c>
      <c r="Z51">
        <v>41230</v>
      </c>
      <c r="AA51">
        <v>0</v>
      </c>
      <c r="AB51">
        <v>44433.835122256947</v>
      </c>
      <c r="AC51" t="s">
        <v>323</v>
      </c>
      <c r="AD51">
        <v>3</v>
      </c>
    </row>
    <row r="52" spans="1:30" x14ac:dyDescent="0.25">
      <c r="A52" t="s">
        <v>1051</v>
      </c>
      <c r="B52" t="s">
        <v>1106</v>
      </c>
      <c r="C52" t="s">
        <v>1134</v>
      </c>
      <c r="D52" t="s">
        <v>1135</v>
      </c>
      <c r="E52" t="s">
        <v>1060</v>
      </c>
      <c r="F52" t="s">
        <v>1061</v>
      </c>
      <c r="G52">
        <v>6101615</v>
      </c>
      <c r="H52">
        <v>202108</v>
      </c>
      <c r="I52">
        <v>44428</v>
      </c>
      <c r="J52" t="s">
        <v>1117</v>
      </c>
      <c r="K52" t="s">
        <v>1056</v>
      </c>
      <c r="L52" t="s">
        <v>1131</v>
      </c>
      <c r="M52" t="s">
        <v>1113</v>
      </c>
      <c r="O52" t="s">
        <v>1114</v>
      </c>
      <c r="P52" t="s">
        <v>1115</v>
      </c>
      <c r="Q52" t="s">
        <v>357</v>
      </c>
      <c r="R52">
        <v>2069135</v>
      </c>
      <c r="S52" t="s">
        <v>355</v>
      </c>
      <c r="U52" t="s">
        <v>1141</v>
      </c>
      <c r="V52" t="s">
        <v>356</v>
      </c>
      <c r="W52">
        <v>41230</v>
      </c>
      <c r="X52">
        <v>10.54</v>
      </c>
      <c r="Y52">
        <v>91.06</v>
      </c>
      <c r="Z52">
        <v>41230</v>
      </c>
      <c r="AA52">
        <v>0</v>
      </c>
      <c r="AB52">
        <v>44433.835122256947</v>
      </c>
      <c r="AC52" t="s">
        <v>323</v>
      </c>
      <c r="AD52">
        <v>3</v>
      </c>
    </row>
    <row r="53" spans="1:30" x14ac:dyDescent="0.25">
      <c r="A53" t="s">
        <v>1051</v>
      </c>
      <c r="B53" t="s">
        <v>1106</v>
      </c>
      <c r="C53" t="s">
        <v>1134</v>
      </c>
      <c r="D53" t="s">
        <v>1135</v>
      </c>
      <c r="E53" t="s">
        <v>1060</v>
      </c>
      <c r="F53" t="s">
        <v>1061</v>
      </c>
      <c r="G53">
        <v>6101841</v>
      </c>
      <c r="H53">
        <v>202108</v>
      </c>
      <c r="I53">
        <v>44438</v>
      </c>
      <c r="J53">
        <v>124932</v>
      </c>
      <c r="K53" t="s">
        <v>1056</v>
      </c>
      <c r="L53" t="s">
        <v>1131</v>
      </c>
      <c r="M53" t="s">
        <v>1113</v>
      </c>
      <c r="O53" t="s">
        <v>1114</v>
      </c>
      <c r="P53" t="s">
        <v>1115</v>
      </c>
      <c r="Q53" t="s">
        <v>357</v>
      </c>
      <c r="R53">
        <v>2069135</v>
      </c>
      <c r="S53" t="s">
        <v>355</v>
      </c>
      <c r="U53" t="s">
        <v>1133</v>
      </c>
      <c r="V53" t="s">
        <v>356</v>
      </c>
      <c r="W53">
        <v>948100</v>
      </c>
      <c r="X53">
        <v>242.4</v>
      </c>
      <c r="Y53">
        <v>2093.9899999999998</v>
      </c>
      <c r="Z53">
        <v>948100</v>
      </c>
      <c r="AA53">
        <v>0</v>
      </c>
      <c r="AB53">
        <v>44446.822882094908</v>
      </c>
      <c r="AC53" t="s">
        <v>323</v>
      </c>
      <c r="AD53">
        <v>3</v>
      </c>
    </row>
    <row r="54" spans="1:30" x14ac:dyDescent="0.25">
      <c r="A54" t="s">
        <v>1051</v>
      </c>
      <c r="B54" t="s">
        <v>1106</v>
      </c>
      <c r="C54" t="s">
        <v>1134</v>
      </c>
      <c r="D54" t="s">
        <v>1142</v>
      </c>
      <c r="E54" t="s">
        <v>1060</v>
      </c>
      <c r="F54" t="s">
        <v>1061</v>
      </c>
      <c r="G54">
        <v>6101615</v>
      </c>
      <c r="H54">
        <v>202108</v>
      </c>
      <c r="I54">
        <v>44428</v>
      </c>
      <c r="J54" t="s">
        <v>1117</v>
      </c>
      <c r="K54" t="s">
        <v>1056</v>
      </c>
      <c r="L54" t="s">
        <v>1112</v>
      </c>
      <c r="M54" t="s">
        <v>1113</v>
      </c>
      <c r="O54" t="s">
        <v>1114</v>
      </c>
      <c r="P54" t="s">
        <v>1115</v>
      </c>
      <c r="Q54" t="s">
        <v>357</v>
      </c>
      <c r="R54">
        <v>2069135</v>
      </c>
      <c r="S54" t="s">
        <v>355</v>
      </c>
      <c r="U54" t="s">
        <v>1136</v>
      </c>
      <c r="V54" t="s">
        <v>356</v>
      </c>
      <c r="W54">
        <v>217000</v>
      </c>
      <c r="X54">
        <v>55.48</v>
      </c>
      <c r="Y54">
        <v>479.27</v>
      </c>
      <c r="Z54">
        <v>217000</v>
      </c>
      <c r="AA54">
        <v>613</v>
      </c>
      <c r="AB54">
        <v>44433.835120636577</v>
      </c>
      <c r="AC54" t="s">
        <v>323</v>
      </c>
      <c r="AD54">
        <v>3</v>
      </c>
    </row>
    <row r="55" spans="1:30" x14ac:dyDescent="0.25">
      <c r="A55" t="s">
        <v>1051</v>
      </c>
      <c r="B55" t="s">
        <v>1106</v>
      </c>
      <c r="C55" t="s">
        <v>1134</v>
      </c>
      <c r="D55" t="s">
        <v>1142</v>
      </c>
      <c r="E55" t="s">
        <v>1060</v>
      </c>
      <c r="F55" t="s">
        <v>1061</v>
      </c>
      <c r="G55">
        <v>6101615</v>
      </c>
      <c r="H55">
        <v>202108</v>
      </c>
      <c r="I55">
        <v>44428</v>
      </c>
      <c r="J55" t="s">
        <v>1117</v>
      </c>
      <c r="K55" t="s">
        <v>1056</v>
      </c>
      <c r="L55" t="s">
        <v>1112</v>
      </c>
      <c r="M55" t="s">
        <v>1113</v>
      </c>
      <c r="O55" t="s">
        <v>1114</v>
      </c>
      <c r="P55" t="s">
        <v>1115</v>
      </c>
      <c r="Q55" t="s">
        <v>357</v>
      </c>
      <c r="R55">
        <v>2069135</v>
      </c>
      <c r="S55" t="s">
        <v>355</v>
      </c>
      <c r="U55" t="s">
        <v>1118</v>
      </c>
      <c r="V55" t="s">
        <v>356</v>
      </c>
      <c r="W55">
        <v>4990000</v>
      </c>
      <c r="X55">
        <v>1275.79</v>
      </c>
      <c r="Y55">
        <v>11021.01</v>
      </c>
      <c r="Z55">
        <v>4990000</v>
      </c>
      <c r="AA55">
        <v>69</v>
      </c>
      <c r="AB55">
        <v>44433.83511990741</v>
      </c>
      <c r="AC55" t="s">
        <v>323</v>
      </c>
      <c r="AD55">
        <v>3</v>
      </c>
    </row>
    <row r="56" spans="1:30" x14ac:dyDescent="0.25">
      <c r="A56" t="s">
        <v>1051</v>
      </c>
      <c r="B56" t="s">
        <v>1106</v>
      </c>
      <c r="C56" t="s">
        <v>1134</v>
      </c>
      <c r="D56" t="s">
        <v>1142</v>
      </c>
      <c r="E56" t="s">
        <v>1060</v>
      </c>
      <c r="F56" t="s">
        <v>1061</v>
      </c>
      <c r="G56">
        <v>6101615</v>
      </c>
      <c r="H56">
        <v>202108</v>
      </c>
      <c r="I56">
        <v>44428</v>
      </c>
      <c r="J56" t="s">
        <v>1117</v>
      </c>
      <c r="K56" t="s">
        <v>1056</v>
      </c>
      <c r="L56" t="s">
        <v>1119</v>
      </c>
      <c r="M56" t="s">
        <v>1113</v>
      </c>
      <c r="O56" t="s">
        <v>1114</v>
      </c>
      <c r="P56" t="s">
        <v>1115</v>
      </c>
      <c r="Q56" t="s">
        <v>357</v>
      </c>
      <c r="R56">
        <v>2069135</v>
      </c>
      <c r="S56" t="s">
        <v>355</v>
      </c>
      <c r="U56" t="s">
        <v>1120</v>
      </c>
      <c r="V56" t="s">
        <v>356</v>
      </c>
      <c r="W56">
        <v>4990000</v>
      </c>
      <c r="X56">
        <v>1275.79</v>
      </c>
      <c r="Y56">
        <v>11021.01</v>
      </c>
      <c r="Z56">
        <v>4990000</v>
      </c>
      <c r="AA56">
        <v>69</v>
      </c>
      <c r="AB56">
        <v>44433.83511990741</v>
      </c>
      <c r="AC56" t="s">
        <v>323</v>
      </c>
      <c r="AD56">
        <v>3</v>
      </c>
    </row>
    <row r="57" spans="1:30" x14ac:dyDescent="0.25">
      <c r="A57" t="s">
        <v>1051</v>
      </c>
      <c r="B57" t="s">
        <v>1106</v>
      </c>
      <c r="C57" t="s">
        <v>1134</v>
      </c>
      <c r="D57" t="s">
        <v>1142</v>
      </c>
      <c r="E57" t="s">
        <v>1060</v>
      </c>
      <c r="F57" t="s">
        <v>1061</v>
      </c>
      <c r="G57">
        <v>6101615</v>
      </c>
      <c r="H57">
        <v>202108</v>
      </c>
      <c r="I57">
        <v>44428</v>
      </c>
      <c r="J57" t="s">
        <v>1117</v>
      </c>
      <c r="K57" t="s">
        <v>1056</v>
      </c>
      <c r="L57" t="s">
        <v>1119</v>
      </c>
      <c r="M57" t="s">
        <v>1113</v>
      </c>
      <c r="O57" t="s">
        <v>1114</v>
      </c>
      <c r="P57" t="s">
        <v>1115</v>
      </c>
      <c r="Q57" t="s">
        <v>357</v>
      </c>
      <c r="R57">
        <v>2069135</v>
      </c>
      <c r="S57" t="s">
        <v>355</v>
      </c>
      <c r="U57" t="s">
        <v>1137</v>
      </c>
      <c r="V57" t="s">
        <v>356</v>
      </c>
      <c r="W57">
        <v>217000</v>
      </c>
      <c r="X57">
        <v>55.48</v>
      </c>
      <c r="Y57">
        <v>479.27</v>
      </c>
      <c r="Z57">
        <v>217000</v>
      </c>
      <c r="AA57">
        <v>613</v>
      </c>
      <c r="AB57">
        <v>44433.835120636577</v>
      </c>
      <c r="AC57" t="s">
        <v>323</v>
      </c>
      <c r="AD57">
        <v>3</v>
      </c>
    </row>
    <row r="58" spans="1:30" x14ac:dyDescent="0.25">
      <c r="A58" t="s">
        <v>1051</v>
      </c>
      <c r="B58" t="s">
        <v>1106</v>
      </c>
      <c r="C58" t="s">
        <v>1134</v>
      </c>
      <c r="D58" t="s">
        <v>1142</v>
      </c>
      <c r="E58" t="s">
        <v>1060</v>
      </c>
      <c r="F58" t="s">
        <v>1061</v>
      </c>
      <c r="G58">
        <v>6101615</v>
      </c>
      <c r="H58">
        <v>202108</v>
      </c>
      <c r="I58">
        <v>44428</v>
      </c>
      <c r="J58" t="s">
        <v>1117</v>
      </c>
      <c r="K58" t="s">
        <v>1056</v>
      </c>
      <c r="L58" t="s">
        <v>1122</v>
      </c>
      <c r="M58" t="s">
        <v>1113</v>
      </c>
      <c r="O58" t="s">
        <v>1114</v>
      </c>
      <c r="P58" t="s">
        <v>1115</v>
      </c>
      <c r="Q58" t="s">
        <v>357</v>
      </c>
      <c r="R58">
        <v>2069135</v>
      </c>
      <c r="S58" t="s">
        <v>355</v>
      </c>
      <c r="U58" t="s">
        <v>1138</v>
      </c>
      <c r="V58" t="s">
        <v>356</v>
      </c>
      <c r="W58">
        <v>217000</v>
      </c>
      <c r="X58">
        <v>55.48</v>
      </c>
      <c r="Y58">
        <v>479.27</v>
      </c>
      <c r="Z58">
        <v>217000</v>
      </c>
      <c r="AA58">
        <v>613</v>
      </c>
      <c r="AB58">
        <v>44433.835120636577</v>
      </c>
      <c r="AC58" t="s">
        <v>323</v>
      </c>
      <c r="AD58">
        <v>3</v>
      </c>
    </row>
    <row r="59" spans="1:30" x14ac:dyDescent="0.25">
      <c r="A59" t="s">
        <v>1051</v>
      </c>
      <c r="B59" t="s">
        <v>1106</v>
      </c>
      <c r="C59" t="s">
        <v>1134</v>
      </c>
      <c r="D59" t="s">
        <v>1142</v>
      </c>
      <c r="E59" t="s">
        <v>1060</v>
      </c>
      <c r="F59" t="s">
        <v>1061</v>
      </c>
      <c r="G59">
        <v>6101615</v>
      </c>
      <c r="H59">
        <v>202108</v>
      </c>
      <c r="I59">
        <v>44428</v>
      </c>
      <c r="J59" t="s">
        <v>1117</v>
      </c>
      <c r="K59" t="s">
        <v>1056</v>
      </c>
      <c r="L59" t="s">
        <v>1122</v>
      </c>
      <c r="M59" t="s">
        <v>1113</v>
      </c>
      <c r="O59" t="s">
        <v>1114</v>
      </c>
      <c r="P59" t="s">
        <v>1115</v>
      </c>
      <c r="Q59" t="s">
        <v>357</v>
      </c>
      <c r="R59">
        <v>2069135</v>
      </c>
      <c r="S59" t="s">
        <v>355</v>
      </c>
      <c r="U59" t="s">
        <v>1124</v>
      </c>
      <c r="V59" t="s">
        <v>356</v>
      </c>
      <c r="W59">
        <v>4990000</v>
      </c>
      <c r="X59">
        <v>1275.79</v>
      </c>
      <c r="Y59">
        <v>11021.01</v>
      </c>
      <c r="Z59">
        <v>4990000</v>
      </c>
      <c r="AA59">
        <v>69</v>
      </c>
      <c r="AB59">
        <v>44433.83511990741</v>
      </c>
      <c r="AC59" t="s">
        <v>323</v>
      </c>
      <c r="AD59">
        <v>3</v>
      </c>
    </row>
    <row r="60" spans="1:30" x14ac:dyDescent="0.25">
      <c r="A60" t="s">
        <v>1051</v>
      </c>
      <c r="B60" t="s">
        <v>1106</v>
      </c>
      <c r="C60" t="s">
        <v>1134</v>
      </c>
      <c r="D60" t="s">
        <v>1142</v>
      </c>
      <c r="E60" t="s">
        <v>1060</v>
      </c>
      <c r="F60" t="s">
        <v>1061</v>
      </c>
      <c r="G60">
        <v>6101615</v>
      </c>
      <c r="H60">
        <v>202108</v>
      </c>
      <c r="I60">
        <v>44428</v>
      </c>
      <c r="J60" t="s">
        <v>1117</v>
      </c>
      <c r="K60" t="s">
        <v>1056</v>
      </c>
      <c r="L60" t="s">
        <v>1125</v>
      </c>
      <c r="M60" t="s">
        <v>1113</v>
      </c>
      <c r="O60" t="s">
        <v>1114</v>
      </c>
      <c r="P60" t="s">
        <v>1115</v>
      </c>
      <c r="Q60" t="s">
        <v>357</v>
      </c>
      <c r="R60">
        <v>2069135</v>
      </c>
      <c r="S60" t="s">
        <v>355</v>
      </c>
      <c r="U60" t="s">
        <v>1126</v>
      </c>
      <c r="V60" t="s">
        <v>356</v>
      </c>
      <c r="W60">
        <v>4990000</v>
      </c>
      <c r="X60">
        <v>1275.79</v>
      </c>
      <c r="Y60">
        <v>11021.01</v>
      </c>
      <c r="Z60">
        <v>4990000</v>
      </c>
      <c r="AA60">
        <v>69</v>
      </c>
      <c r="AB60">
        <v>44433.83511990741</v>
      </c>
      <c r="AC60" t="s">
        <v>323</v>
      </c>
      <c r="AD60">
        <v>3</v>
      </c>
    </row>
    <row r="61" spans="1:30" x14ac:dyDescent="0.25">
      <c r="A61" t="s">
        <v>1051</v>
      </c>
      <c r="B61" t="s">
        <v>1106</v>
      </c>
      <c r="C61" t="s">
        <v>1134</v>
      </c>
      <c r="D61" t="s">
        <v>1142</v>
      </c>
      <c r="E61" t="s">
        <v>1060</v>
      </c>
      <c r="F61" t="s">
        <v>1061</v>
      </c>
      <c r="G61">
        <v>6101615</v>
      </c>
      <c r="H61">
        <v>202108</v>
      </c>
      <c r="I61">
        <v>44428</v>
      </c>
      <c r="J61" t="s">
        <v>1117</v>
      </c>
      <c r="K61" t="s">
        <v>1056</v>
      </c>
      <c r="L61" t="s">
        <v>1125</v>
      </c>
      <c r="M61" t="s">
        <v>1113</v>
      </c>
      <c r="O61" t="s">
        <v>1114</v>
      </c>
      <c r="P61" t="s">
        <v>1115</v>
      </c>
      <c r="Q61" t="s">
        <v>357</v>
      </c>
      <c r="R61">
        <v>2069135</v>
      </c>
      <c r="S61" t="s">
        <v>355</v>
      </c>
      <c r="U61" t="s">
        <v>1139</v>
      </c>
      <c r="V61" t="s">
        <v>356</v>
      </c>
      <c r="W61">
        <v>217000</v>
      </c>
      <c r="X61">
        <v>55.48</v>
      </c>
      <c r="Y61">
        <v>479.27</v>
      </c>
      <c r="Z61">
        <v>217000</v>
      </c>
      <c r="AA61">
        <v>613</v>
      </c>
      <c r="AB61">
        <v>44433.835120636577</v>
      </c>
      <c r="AC61" t="s">
        <v>323</v>
      </c>
      <c r="AD61">
        <v>3</v>
      </c>
    </row>
    <row r="62" spans="1:30" x14ac:dyDescent="0.25">
      <c r="A62" t="s">
        <v>1051</v>
      </c>
      <c r="B62" t="s">
        <v>1106</v>
      </c>
      <c r="C62" t="s">
        <v>1134</v>
      </c>
      <c r="D62" t="s">
        <v>1142</v>
      </c>
      <c r="E62" t="s">
        <v>1060</v>
      </c>
      <c r="F62" t="s">
        <v>1061</v>
      </c>
      <c r="G62">
        <v>6101615</v>
      </c>
      <c r="H62">
        <v>202108</v>
      </c>
      <c r="I62">
        <v>44428</v>
      </c>
      <c r="J62" t="s">
        <v>1117</v>
      </c>
      <c r="K62" t="s">
        <v>1056</v>
      </c>
      <c r="L62" t="s">
        <v>1128</v>
      </c>
      <c r="M62" t="s">
        <v>1113</v>
      </c>
      <c r="O62" t="s">
        <v>1114</v>
      </c>
      <c r="P62" t="s">
        <v>1115</v>
      </c>
      <c r="Q62" t="s">
        <v>357</v>
      </c>
      <c r="R62">
        <v>2069135</v>
      </c>
      <c r="S62" t="s">
        <v>355</v>
      </c>
      <c r="U62" t="s">
        <v>1140</v>
      </c>
      <c r="V62" t="s">
        <v>356</v>
      </c>
      <c r="W62">
        <v>217000</v>
      </c>
      <c r="X62">
        <v>55.48</v>
      </c>
      <c r="Y62">
        <v>479.27</v>
      </c>
      <c r="Z62">
        <v>217000</v>
      </c>
      <c r="AA62">
        <v>613</v>
      </c>
      <c r="AB62">
        <v>44433.835120636577</v>
      </c>
      <c r="AC62" t="s">
        <v>323</v>
      </c>
      <c r="AD62">
        <v>3</v>
      </c>
    </row>
    <row r="63" spans="1:30" x14ac:dyDescent="0.25">
      <c r="A63" t="s">
        <v>1051</v>
      </c>
      <c r="B63" t="s">
        <v>1106</v>
      </c>
      <c r="C63" t="s">
        <v>1134</v>
      </c>
      <c r="D63" t="s">
        <v>1142</v>
      </c>
      <c r="E63" t="s">
        <v>1060</v>
      </c>
      <c r="F63" t="s">
        <v>1061</v>
      </c>
      <c r="G63">
        <v>6101615</v>
      </c>
      <c r="H63">
        <v>202108</v>
      </c>
      <c r="I63">
        <v>44428</v>
      </c>
      <c r="J63" t="s">
        <v>1117</v>
      </c>
      <c r="K63" t="s">
        <v>1056</v>
      </c>
      <c r="L63" t="s">
        <v>1128</v>
      </c>
      <c r="M63" t="s">
        <v>1113</v>
      </c>
      <c r="O63" t="s">
        <v>1114</v>
      </c>
      <c r="P63" t="s">
        <v>1115</v>
      </c>
      <c r="Q63" t="s">
        <v>357</v>
      </c>
      <c r="R63">
        <v>2069135</v>
      </c>
      <c r="S63" t="s">
        <v>355</v>
      </c>
      <c r="U63" t="s">
        <v>1130</v>
      </c>
      <c r="V63" t="s">
        <v>356</v>
      </c>
      <c r="W63">
        <v>4990000</v>
      </c>
      <c r="X63">
        <v>1275.79</v>
      </c>
      <c r="Y63">
        <v>11021.01</v>
      </c>
      <c r="Z63">
        <v>4990000</v>
      </c>
      <c r="AA63">
        <v>69</v>
      </c>
      <c r="AB63">
        <v>44433.83511990741</v>
      </c>
      <c r="AC63" t="s">
        <v>323</v>
      </c>
      <c r="AD63">
        <v>3</v>
      </c>
    </row>
    <row r="64" spans="1:30" x14ac:dyDescent="0.25">
      <c r="A64" t="s">
        <v>1051</v>
      </c>
      <c r="B64" t="s">
        <v>1106</v>
      </c>
      <c r="C64" t="s">
        <v>1134</v>
      </c>
      <c r="D64" t="s">
        <v>1142</v>
      </c>
      <c r="E64" t="s">
        <v>1060</v>
      </c>
      <c r="F64" t="s">
        <v>1061</v>
      </c>
      <c r="G64">
        <v>6101615</v>
      </c>
      <c r="H64">
        <v>202108</v>
      </c>
      <c r="I64">
        <v>44428</v>
      </c>
      <c r="J64" t="s">
        <v>1117</v>
      </c>
      <c r="K64" t="s">
        <v>1056</v>
      </c>
      <c r="L64" t="s">
        <v>1131</v>
      </c>
      <c r="M64" t="s">
        <v>1113</v>
      </c>
      <c r="O64" t="s">
        <v>1114</v>
      </c>
      <c r="P64" t="s">
        <v>1115</v>
      </c>
      <c r="Q64" t="s">
        <v>357</v>
      </c>
      <c r="R64">
        <v>2069135</v>
      </c>
      <c r="S64" t="s">
        <v>355</v>
      </c>
      <c r="U64" t="s">
        <v>1132</v>
      </c>
      <c r="V64" t="s">
        <v>356</v>
      </c>
      <c r="W64">
        <v>4990000</v>
      </c>
      <c r="X64">
        <v>1275.79</v>
      </c>
      <c r="Y64">
        <v>11021.01</v>
      </c>
      <c r="Z64">
        <v>4990000</v>
      </c>
      <c r="AA64">
        <v>69</v>
      </c>
      <c r="AB64">
        <v>44433.83511990741</v>
      </c>
      <c r="AC64" t="s">
        <v>323</v>
      </c>
      <c r="AD64">
        <v>3</v>
      </c>
    </row>
    <row r="65" spans="1:30" x14ac:dyDescent="0.25">
      <c r="A65" t="s">
        <v>1051</v>
      </c>
      <c r="B65" t="s">
        <v>1106</v>
      </c>
      <c r="C65" t="s">
        <v>1134</v>
      </c>
      <c r="D65" t="s">
        <v>1142</v>
      </c>
      <c r="E65" t="s">
        <v>1060</v>
      </c>
      <c r="F65" t="s">
        <v>1061</v>
      </c>
      <c r="G65">
        <v>6101615</v>
      </c>
      <c r="H65">
        <v>202108</v>
      </c>
      <c r="I65">
        <v>44428</v>
      </c>
      <c r="J65" t="s">
        <v>1117</v>
      </c>
      <c r="K65" t="s">
        <v>1056</v>
      </c>
      <c r="L65" t="s">
        <v>1131</v>
      </c>
      <c r="M65" t="s">
        <v>1113</v>
      </c>
      <c r="O65" t="s">
        <v>1114</v>
      </c>
      <c r="P65" t="s">
        <v>1115</v>
      </c>
      <c r="Q65" t="s">
        <v>357</v>
      </c>
      <c r="R65">
        <v>2069135</v>
      </c>
      <c r="S65" t="s">
        <v>355</v>
      </c>
      <c r="U65" t="s">
        <v>1141</v>
      </c>
      <c r="V65" t="s">
        <v>356</v>
      </c>
      <c r="W65">
        <v>217000</v>
      </c>
      <c r="X65">
        <v>55.48</v>
      </c>
      <c r="Y65">
        <v>479.27</v>
      </c>
      <c r="Z65">
        <v>217000</v>
      </c>
      <c r="AA65">
        <v>613</v>
      </c>
      <c r="AB65">
        <v>44433.835120636577</v>
      </c>
      <c r="AC65" t="s">
        <v>323</v>
      </c>
      <c r="AD65">
        <v>3</v>
      </c>
    </row>
    <row r="66" spans="1:30" x14ac:dyDescent="0.25">
      <c r="A66" t="s">
        <v>1051</v>
      </c>
      <c r="B66" t="s">
        <v>1106</v>
      </c>
      <c r="C66" t="s">
        <v>1143</v>
      </c>
      <c r="D66" t="s">
        <v>1144</v>
      </c>
      <c r="E66" t="s">
        <v>1060</v>
      </c>
      <c r="F66" t="s">
        <v>1061</v>
      </c>
      <c r="G66">
        <v>6101840</v>
      </c>
      <c r="H66">
        <v>202108</v>
      </c>
      <c r="I66">
        <v>44439</v>
      </c>
      <c r="J66">
        <v>122536</v>
      </c>
      <c r="K66" t="s">
        <v>1056</v>
      </c>
      <c r="M66" t="s">
        <v>355</v>
      </c>
      <c r="O66" t="s">
        <v>1145</v>
      </c>
      <c r="P66" t="s">
        <v>1146</v>
      </c>
      <c r="Q66" t="s">
        <v>357</v>
      </c>
      <c r="R66">
        <v>2069080</v>
      </c>
      <c r="S66" t="s">
        <v>355</v>
      </c>
      <c r="U66" t="s">
        <v>1147</v>
      </c>
      <c r="V66" t="s">
        <v>356</v>
      </c>
      <c r="W66">
        <v>-23598</v>
      </c>
      <c r="X66">
        <v>-6.11</v>
      </c>
      <c r="Y66">
        <v>-53.17</v>
      </c>
      <c r="Z66">
        <v>-23598</v>
      </c>
      <c r="AA66">
        <v>0</v>
      </c>
      <c r="AB66">
        <v>44446.796669791664</v>
      </c>
      <c r="AC66" t="s">
        <v>323</v>
      </c>
      <c r="AD66">
        <v>7</v>
      </c>
    </row>
    <row r="67" spans="1:30" x14ac:dyDescent="0.25">
      <c r="A67" t="s">
        <v>1051</v>
      </c>
      <c r="B67" t="s">
        <v>1106</v>
      </c>
      <c r="C67" t="s">
        <v>1143</v>
      </c>
      <c r="D67" t="s">
        <v>1144</v>
      </c>
      <c r="E67" t="s">
        <v>1060</v>
      </c>
      <c r="F67" t="s">
        <v>1061</v>
      </c>
      <c r="G67">
        <v>6101768</v>
      </c>
      <c r="H67">
        <v>202108</v>
      </c>
      <c r="I67">
        <v>44439</v>
      </c>
      <c r="J67">
        <v>122536</v>
      </c>
      <c r="K67" t="s">
        <v>1056</v>
      </c>
      <c r="M67" t="s">
        <v>355</v>
      </c>
      <c r="O67" t="s">
        <v>1145</v>
      </c>
      <c r="P67" t="s">
        <v>1146</v>
      </c>
      <c r="Q67" t="s">
        <v>357</v>
      </c>
      <c r="R67">
        <v>2069080</v>
      </c>
      <c r="S67" t="s">
        <v>355</v>
      </c>
      <c r="U67" t="s">
        <v>1148</v>
      </c>
      <c r="V67" t="s">
        <v>356</v>
      </c>
      <c r="W67">
        <v>23598</v>
      </c>
      <c r="X67">
        <v>6.11</v>
      </c>
      <c r="Y67">
        <v>53.17</v>
      </c>
      <c r="Z67">
        <v>23598</v>
      </c>
      <c r="AA67">
        <v>0</v>
      </c>
      <c r="AB67">
        <v>44445.791066666665</v>
      </c>
      <c r="AC67" t="s">
        <v>323</v>
      </c>
      <c r="AD67">
        <v>7</v>
      </c>
    </row>
    <row r="68" spans="1:30" x14ac:dyDescent="0.25">
      <c r="A68" t="s">
        <v>1051</v>
      </c>
      <c r="B68" t="s">
        <v>1106</v>
      </c>
      <c r="C68" t="s">
        <v>1143</v>
      </c>
      <c r="D68" t="s">
        <v>1144</v>
      </c>
      <c r="E68" t="s">
        <v>1060</v>
      </c>
      <c r="F68" t="s">
        <v>1061</v>
      </c>
      <c r="G68">
        <v>6101771</v>
      </c>
      <c r="H68">
        <v>202108</v>
      </c>
      <c r="I68">
        <v>44438</v>
      </c>
      <c r="J68">
        <v>122536</v>
      </c>
      <c r="K68" t="s">
        <v>1056</v>
      </c>
      <c r="M68" t="s">
        <v>355</v>
      </c>
      <c r="O68" t="s">
        <v>1145</v>
      </c>
      <c r="P68" t="s">
        <v>1146</v>
      </c>
      <c r="Q68" t="s">
        <v>357</v>
      </c>
      <c r="R68">
        <v>2069080</v>
      </c>
      <c r="S68" t="s">
        <v>355</v>
      </c>
      <c r="U68" t="s">
        <v>1149</v>
      </c>
      <c r="V68" t="s">
        <v>356</v>
      </c>
      <c r="W68">
        <v>18791</v>
      </c>
      <c r="X68">
        <v>4.8600000000000003</v>
      </c>
      <c r="Y68">
        <v>42.34</v>
      </c>
      <c r="Z68">
        <v>18791</v>
      </c>
      <c r="AA68">
        <v>0</v>
      </c>
      <c r="AB68">
        <v>44445.814218402775</v>
      </c>
      <c r="AC68" t="s">
        <v>323</v>
      </c>
      <c r="AD68">
        <v>7</v>
      </c>
    </row>
    <row r="69" spans="1:30" x14ac:dyDescent="0.25">
      <c r="A69" t="s">
        <v>1051</v>
      </c>
      <c r="B69" t="s">
        <v>1106</v>
      </c>
      <c r="C69" t="s">
        <v>1143</v>
      </c>
      <c r="D69" t="s">
        <v>1144</v>
      </c>
      <c r="E69" t="s">
        <v>1060</v>
      </c>
      <c r="F69" t="s">
        <v>1061</v>
      </c>
      <c r="G69">
        <v>6101840</v>
      </c>
      <c r="H69">
        <v>202108</v>
      </c>
      <c r="I69">
        <v>44439</v>
      </c>
      <c r="J69">
        <v>122536</v>
      </c>
      <c r="K69" t="s">
        <v>1056</v>
      </c>
      <c r="M69" t="s">
        <v>355</v>
      </c>
      <c r="O69" t="s">
        <v>1145</v>
      </c>
      <c r="P69" t="s">
        <v>1146</v>
      </c>
      <c r="Q69" t="s">
        <v>357</v>
      </c>
      <c r="R69">
        <v>2069080</v>
      </c>
      <c r="S69" t="s">
        <v>355</v>
      </c>
      <c r="U69" t="s">
        <v>1150</v>
      </c>
      <c r="V69" t="s">
        <v>356</v>
      </c>
      <c r="W69">
        <v>-18791</v>
      </c>
      <c r="X69">
        <v>-4.8600000000000003</v>
      </c>
      <c r="Y69">
        <v>-42.34</v>
      </c>
      <c r="Z69">
        <v>-18791</v>
      </c>
      <c r="AA69">
        <v>0</v>
      </c>
      <c r="AB69">
        <v>44446.796669791664</v>
      </c>
      <c r="AC69" t="s">
        <v>323</v>
      </c>
      <c r="AD69">
        <v>7</v>
      </c>
    </row>
    <row r="70" spans="1:30" x14ac:dyDescent="0.25">
      <c r="A70" t="s">
        <v>1051</v>
      </c>
      <c r="B70" t="s">
        <v>1106</v>
      </c>
      <c r="C70" t="s">
        <v>1151</v>
      </c>
      <c r="D70" t="s">
        <v>1152</v>
      </c>
      <c r="E70" t="s">
        <v>1060</v>
      </c>
      <c r="F70" t="s">
        <v>1061</v>
      </c>
      <c r="G70">
        <v>6101293</v>
      </c>
      <c r="H70">
        <v>202107</v>
      </c>
      <c r="I70">
        <v>44396</v>
      </c>
      <c r="J70" t="s">
        <v>1117</v>
      </c>
      <c r="K70" t="s">
        <v>1056</v>
      </c>
      <c r="M70" t="s">
        <v>355</v>
      </c>
      <c r="O70" t="s">
        <v>1153</v>
      </c>
      <c r="P70" t="s">
        <v>1154</v>
      </c>
      <c r="Q70" t="s">
        <v>1155</v>
      </c>
      <c r="R70">
        <v>2069125</v>
      </c>
      <c r="S70" t="s">
        <v>1156</v>
      </c>
      <c r="U70" t="s">
        <v>1157</v>
      </c>
      <c r="V70" t="s">
        <v>356</v>
      </c>
      <c r="W70">
        <v>1200000</v>
      </c>
      <c r="X70">
        <v>315.60000000000002</v>
      </c>
      <c r="Y70">
        <v>2716.8</v>
      </c>
      <c r="Z70">
        <v>1200000</v>
      </c>
      <c r="AA70">
        <v>312</v>
      </c>
      <c r="AB70">
        <v>44398.725051273148</v>
      </c>
      <c r="AC70" t="s">
        <v>25</v>
      </c>
      <c r="AD70">
        <v>2</v>
      </c>
    </row>
    <row r="71" spans="1:30" x14ac:dyDescent="0.25">
      <c r="A71" t="s">
        <v>1051</v>
      </c>
      <c r="B71" t="s">
        <v>1106</v>
      </c>
      <c r="C71" t="s">
        <v>1151</v>
      </c>
      <c r="D71" t="s">
        <v>1152</v>
      </c>
      <c r="E71" t="s">
        <v>1060</v>
      </c>
      <c r="F71" t="s">
        <v>1061</v>
      </c>
      <c r="G71">
        <v>6101937</v>
      </c>
      <c r="H71">
        <v>202109</v>
      </c>
      <c r="I71">
        <v>44456</v>
      </c>
      <c r="J71">
        <v>122536</v>
      </c>
      <c r="K71" t="s">
        <v>1056</v>
      </c>
      <c r="M71" t="s">
        <v>355</v>
      </c>
      <c r="O71" t="s">
        <v>1158</v>
      </c>
      <c r="P71" t="s">
        <v>1159</v>
      </c>
      <c r="Q71" t="s">
        <v>354</v>
      </c>
      <c r="R71">
        <v>2069126</v>
      </c>
      <c r="S71" t="s">
        <v>355</v>
      </c>
      <c r="U71" t="s">
        <v>1160</v>
      </c>
      <c r="V71" t="s">
        <v>356</v>
      </c>
      <c r="W71">
        <v>600000</v>
      </c>
      <c r="X71">
        <v>157.22</v>
      </c>
      <c r="Y71">
        <v>1369.72</v>
      </c>
      <c r="Z71">
        <v>600000</v>
      </c>
      <c r="AA71">
        <v>301</v>
      </c>
      <c r="AB71">
        <v>44458.969458946762</v>
      </c>
      <c r="AC71" t="s">
        <v>36</v>
      </c>
      <c r="AD71">
        <v>4</v>
      </c>
    </row>
    <row r="72" spans="1:30" x14ac:dyDescent="0.25">
      <c r="A72" t="s">
        <v>1051</v>
      </c>
      <c r="B72" t="s">
        <v>1106</v>
      </c>
      <c r="C72" t="s">
        <v>1151</v>
      </c>
      <c r="D72" t="s">
        <v>1152</v>
      </c>
      <c r="E72" t="s">
        <v>1060</v>
      </c>
      <c r="F72" t="s">
        <v>1061</v>
      </c>
      <c r="G72">
        <v>6101882</v>
      </c>
      <c r="H72">
        <v>202109</v>
      </c>
      <c r="I72">
        <v>44449</v>
      </c>
      <c r="J72">
        <v>122536</v>
      </c>
      <c r="K72" t="s">
        <v>1056</v>
      </c>
      <c r="M72" t="s">
        <v>355</v>
      </c>
      <c r="O72" t="s">
        <v>1161</v>
      </c>
      <c r="P72" t="s">
        <v>1162</v>
      </c>
      <c r="Q72" t="s">
        <v>354</v>
      </c>
      <c r="R72">
        <v>2069126</v>
      </c>
      <c r="S72" t="s">
        <v>355</v>
      </c>
      <c r="U72" t="s">
        <v>1163</v>
      </c>
      <c r="V72" t="s">
        <v>356</v>
      </c>
      <c r="W72">
        <v>900000</v>
      </c>
      <c r="X72">
        <v>235.84</v>
      </c>
      <c r="Y72">
        <v>2054.5700000000002</v>
      </c>
      <c r="Z72">
        <v>900000</v>
      </c>
      <c r="AA72">
        <v>301</v>
      </c>
      <c r="AB72">
        <v>44454.748639502315</v>
      </c>
      <c r="AC72" t="s">
        <v>36</v>
      </c>
      <c r="AD72">
        <v>4</v>
      </c>
    </row>
    <row r="73" spans="1:30" x14ac:dyDescent="0.25">
      <c r="A73" t="s">
        <v>1051</v>
      </c>
      <c r="B73" t="s">
        <v>1106</v>
      </c>
      <c r="C73" t="s">
        <v>1151</v>
      </c>
      <c r="D73" t="s">
        <v>1152</v>
      </c>
      <c r="E73" t="s">
        <v>1060</v>
      </c>
      <c r="F73" t="s">
        <v>1061</v>
      </c>
      <c r="G73">
        <v>6101882</v>
      </c>
      <c r="H73">
        <v>202109</v>
      </c>
      <c r="I73">
        <v>44449</v>
      </c>
      <c r="J73">
        <v>122536</v>
      </c>
      <c r="K73" t="s">
        <v>1056</v>
      </c>
      <c r="M73" t="s">
        <v>355</v>
      </c>
      <c r="O73" t="s">
        <v>1164</v>
      </c>
      <c r="P73" t="s">
        <v>1165</v>
      </c>
      <c r="Q73" t="s">
        <v>354</v>
      </c>
      <c r="R73">
        <v>2069126</v>
      </c>
      <c r="S73" t="s">
        <v>355</v>
      </c>
      <c r="U73" t="s">
        <v>1166</v>
      </c>
      <c r="V73" t="s">
        <v>356</v>
      </c>
      <c r="W73">
        <v>900000</v>
      </c>
      <c r="X73">
        <v>235.84</v>
      </c>
      <c r="Y73">
        <v>2054.5700000000002</v>
      </c>
      <c r="Z73">
        <v>900000</v>
      </c>
      <c r="AA73">
        <v>301</v>
      </c>
      <c r="AB73">
        <v>44454.748639502315</v>
      </c>
      <c r="AC73" t="s">
        <v>36</v>
      </c>
      <c r="AD73">
        <v>4</v>
      </c>
    </row>
    <row r="74" spans="1:30" x14ac:dyDescent="0.25">
      <c r="A74" t="s">
        <v>1051</v>
      </c>
      <c r="B74" t="s">
        <v>1106</v>
      </c>
      <c r="C74" t="s">
        <v>1151</v>
      </c>
      <c r="D74" t="s">
        <v>1152</v>
      </c>
      <c r="E74" t="s">
        <v>1060</v>
      </c>
      <c r="F74" t="s">
        <v>1061</v>
      </c>
      <c r="G74">
        <v>6101937</v>
      </c>
      <c r="H74">
        <v>202109</v>
      </c>
      <c r="I74">
        <v>44456</v>
      </c>
      <c r="J74">
        <v>122536</v>
      </c>
      <c r="K74" t="s">
        <v>1056</v>
      </c>
      <c r="M74" t="s">
        <v>355</v>
      </c>
      <c r="O74" t="s">
        <v>1167</v>
      </c>
      <c r="P74" t="s">
        <v>1168</v>
      </c>
      <c r="Q74" t="s">
        <v>354</v>
      </c>
      <c r="R74">
        <v>2069126</v>
      </c>
      <c r="S74" t="s">
        <v>355</v>
      </c>
      <c r="U74" t="s">
        <v>1169</v>
      </c>
      <c r="V74" t="s">
        <v>356</v>
      </c>
      <c r="W74">
        <v>2000000</v>
      </c>
      <c r="X74">
        <v>524.08000000000004</v>
      </c>
      <c r="Y74">
        <v>4565.72</v>
      </c>
      <c r="Z74">
        <v>2000000</v>
      </c>
      <c r="AA74">
        <v>301</v>
      </c>
      <c r="AB74">
        <v>44458.969458946762</v>
      </c>
      <c r="AC74" t="s">
        <v>36</v>
      </c>
      <c r="AD74">
        <v>4</v>
      </c>
    </row>
    <row r="75" spans="1:30" x14ac:dyDescent="0.25">
      <c r="A75" t="s">
        <v>1051</v>
      </c>
      <c r="B75" t="s">
        <v>1106</v>
      </c>
      <c r="C75" t="s">
        <v>1151</v>
      </c>
      <c r="D75" t="s">
        <v>1152</v>
      </c>
      <c r="E75" t="s">
        <v>1060</v>
      </c>
      <c r="F75" t="s">
        <v>1061</v>
      </c>
      <c r="G75">
        <v>6101901</v>
      </c>
      <c r="H75">
        <v>202109</v>
      </c>
      <c r="I75">
        <v>44442</v>
      </c>
      <c r="J75">
        <v>124932</v>
      </c>
      <c r="K75" t="s">
        <v>1056</v>
      </c>
      <c r="M75" t="s">
        <v>355</v>
      </c>
      <c r="O75" t="s">
        <v>1170</v>
      </c>
      <c r="P75" t="s">
        <v>1171</v>
      </c>
      <c r="Q75" t="s">
        <v>354</v>
      </c>
      <c r="R75">
        <v>2069126</v>
      </c>
      <c r="S75" t="s">
        <v>355</v>
      </c>
      <c r="U75" t="s">
        <v>1172</v>
      </c>
      <c r="V75" t="s">
        <v>356</v>
      </c>
      <c r="W75">
        <v>900000</v>
      </c>
      <c r="X75">
        <v>239.79</v>
      </c>
      <c r="Y75">
        <v>2083.9</v>
      </c>
      <c r="Z75">
        <v>900000</v>
      </c>
      <c r="AA75">
        <v>301</v>
      </c>
      <c r="AB75">
        <v>44457.782853391203</v>
      </c>
      <c r="AC75" t="s">
        <v>36</v>
      </c>
      <c r="AD75">
        <v>4</v>
      </c>
    </row>
    <row r="76" spans="1:30" x14ac:dyDescent="0.25">
      <c r="A76" t="s">
        <v>1051</v>
      </c>
      <c r="B76" t="s">
        <v>1106</v>
      </c>
      <c r="C76" t="s">
        <v>1151</v>
      </c>
      <c r="D76" t="s">
        <v>1173</v>
      </c>
      <c r="E76" t="s">
        <v>1060</v>
      </c>
      <c r="F76" t="s">
        <v>1061</v>
      </c>
      <c r="G76">
        <v>6100327</v>
      </c>
      <c r="H76">
        <v>202102</v>
      </c>
      <c r="I76">
        <v>44245</v>
      </c>
      <c r="J76">
        <v>122536</v>
      </c>
      <c r="K76" t="s">
        <v>1056</v>
      </c>
      <c r="M76" t="s">
        <v>355</v>
      </c>
      <c r="O76" t="s">
        <v>1174</v>
      </c>
      <c r="P76" t="s">
        <v>1175</v>
      </c>
      <c r="Q76" t="s">
        <v>354</v>
      </c>
      <c r="R76">
        <v>2069125</v>
      </c>
      <c r="S76" t="s">
        <v>355</v>
      </c>
      <c r="U76" t="s">
        <v>1176</v>
      </c>
      <c r="V76" t="s">
        <v>356</v>
      </c>
      <c r="W76">
        <v>8960</v>
      </c>
      <c r="X76">
        <v>2.52</v>
      </c>
      <c r="Y76">
        <v>21.5</v>
      </c>
      <c r="Z76">
        <v>8960</v>
      </c>
      <c r="AA76">
        <v>0</v>
      </c>
      <c r="AB76">
        <v>44260.044781631943</v>
      </c>
      <c r="AC76" t="s">
        <v>25</v>
      </c>
      <c r="AD76">
        <v>2</v>
      </c>
    </row>
    <row r="77" spans="1:30" x14ac:dyDescent="0.25">
      <c r="A77" t="s">
        <v>1051</v>
      </c>
      <c r="B77" t="s">
        <v>1106</v>
      </c>
      <c r="C77" t="s">
        <v>1151</v>
      </c>
      <c r="D77" t="s">
        <v>1173</v>
      </c>
      <c r="E77" t="s">
        <v>1060</v>
      </c>
      <c r="F77" t="s">
        <v>1061</v>
      </c>
      <c r="G77">
        <v>6100327</v>
      </c>
      <c r="H77">
        <v>202102</v>
      </c>
      <c r="I77">
        <v>44245</v>
      </c>
      <c r="J77">
        <v>122536</v>
      </c>
      <c r="K77" t="s">
        <v>1056</v>
      </c>
      <c r="M77" t="s">
        <v>355</v>
      </c>
      <c r="O77" t="s">
        <v>1177</v>
      </c>
      <c r="P77" t="s">
        <v>1178</v>
      </c>
      <c r="Q77" t="s">
        <v>354</v>
      </c>
      <c r="R77">
        <v>2069125</v>
      </c>
      <c r="S77" t="s">
        <v>355</v>
      </c>
      <c r="U77" t="s">
        <v>1176</v>
      </c>
      <c r="V77" t="s">
        <v>356</v>
      </c>
      <c r="W77">
        <v>2875</v>
      </c>
      <c r="X77">
        <v>0.81</v>
      </c>
      <c r="Y77">
        <v>6.9</v>
      </c>
      <c r="Z77">
        <v>2875</v>
      </c>
      <c r="AA77">
        <v>0</v>
      </c>
      <c r="AB77">
        <v>44260.044781828707</v>
      </c>
      <c r="AC77" t="s">
        <v>25</v>
      </c>
      <c r="AD77">
        <v>2</v>
      </c>
    </row>
    <row r="78" spans="1:30" x14ac:dyDescent="0.25">
      <c r="A78" t="s">
        <v>1051</v>
      </c>
      <c r="B78" t="s">
        <v>1106</v>
      </c>
      <c r="C78" t="s">
        <v>1151</v>
      </c>
      <c r="D78" t="s">
        <v>1173</v>
      </c>
      <c r="E78" t="s">
        <v>1060</v>
      </c>
      <c r="F78" t="s">
        <v>1061</v>
      </c>
      <c r="G78">
        <v>6100287</v>
      </c>
      <c r="H78">
        <v>202102</v>
      </c>
      <c r="I78">
        <v>44253</v>
      </c>
      <c r="J78" t="s">
        <v>1117</v>
      </c>
      <c r="K78" t="s">
        <v>1056</v>
      </c>
      <c r="M78" t="s">
        <v>355</v>
      </c>
      <c r="O78" t="s">
        <v>1179</v>
      </c>
      <c r="P78" t="s">
        <v>1180</v>
      </c>
      <c r="Q78" t="s">
        <v>354</v>
      </c>
      <c r="R78">
        <v>2069125</v>
      </c>
      <c r="S78" t="s">
        <v>1181</v>
      </c>
      <c r="U78" t="s">
        <v>1182</v>
      </c>
      <c r="V78" t="s">
        <v>356</v>
      </c>
      <c r="W78">
        <v>1429</v>
      </c>
      <c r="X78">
        <v>0.41</v>
      </c>
      <c r="Y78">
        <v>3.43</v>
      </c>
      <c r="Z78">
        <v>1429</v>
      </c>
      <c r="AA78">
        <v>0</v>
      </c>
      <c r="AB78">
        <v>44258.934763043981</v>
      </c>
      <c r="AC78" t="s">
        <v>25</v>
      </c>
      <c r="AD78">
        <v>2</v>
      </c>
    </row>
    <row r="79" spans="1:30" x14ac:dyDescent="0.25">
      <c r="A79" t="s">
        <v>1051</v>
      </c>
      <c r="B79" t="s">
        <v>1051</v>
      </c>
      <c r="C79" t="s">
        <v>1151</v>
      </c>
      <c r="D79" t="s">
        <v>1173</v>
      </c>
      <c r="E79" t="s">
        <v>1183</v>
      </c>
      <c r="F79" t="s">
        <v>1184</v>
      </c>
      <c r="G79">
        <v>12100576</v>
      </c>
      <c r="H79">
        <v>202103</v>
      </c>
      <c r="I79">
        <v>44259</v>
      </c>
      <c r="J79" t="s">
        <v>1185</v>
      </c>
      <c r="K79" t="s">
        <v>1056</v>
      </c>
      <c r="M79" t="s">
        <v>355</v>
      </c>
      <c r="O79" t="s">
        <v>1174</v>
      </c>
      <c r="P79" t="s">
        <v>1175</v>
      </c>
      <c r="Q79" t="s">
        <v>1155</v>
      </c>
      <c r="R79">
        <v>2069125</v>
      </c>
      <c r="S79" t="s">
        <v>1186</v>
      </c>
      <c r="U79" t="s">
        <v>1187</v>
      </c>
      <c r="V79" t="s">
        <v>356</v>
      </c>
      <c r="W79">
        <v>13650</v>
      </c>
      <c r="X79">
        <v>3.88</v>
      </c>
      <c r="Y79">
        <v>32.770000000000003</v>
      </c>
      <c r="Z79">
        <v>13650</v>
      </c>
      <c r="AA79">
        <v>0</v>
      </c>
      <c r="AB79">
        <v>44289.718629861112</v>
      </c>
      <c r="AC79" t="s">
        <v>25</v>
      </c>
      <c r="AD79">
        <v>2</v>
      </c>
    </row>
    <row r="80" spans="1:30" x14ac:dyDescent="0.25">
      <c r="A80" t="s">
        <v>1051</v>
      </c>
      <c r="B80" t="s">
        <v>1051</v>
      </c>
      <c r="C80" t="s">
        <v>1151</v>
      </c>
      <c r="D80" t="s">
        <v>1173</v>
      </c>
      <c r="E80" t="s">
        <v>1183</v>
      </c>
      <c r="F80" t="s">
        <v>1184</v>
      </c>
      <c r="G80">
        <v>12100576</v>
      </c>
      <c r="H80">
        <v>202103</v>
      </c>
      <c r="I80">
        <v>44259</v>
      </c>
      <c r="J80" t="s">
        <v>1185</v>
      </c>
      <c r="K80" t="s">
        <v>1056</v>
      </c>
      <c r="M80" t="s">
        <v>355</v>
      </c>
      <c r="O80" t="s">
        <v>1177</v>
      </c>
      <c r="P80" t="s">
        <v>1178</v>
      </c>
      <c r="Q80" t="s">
        <v>1155</v>
      </c>
      <c r="R80">
        <v>2069125</v>
      </c>
      <c r="S80" t="s">
        <v>1186</v>
      </c>
      <c r="U80" t="s">
        <v>1187</v>
      </c>
      <c r="V80" t="s">
        <v>356</v>
      </c>
      <c r="W80">
        <v>2875</v>
      </c>
      <c r="X80">
        <v>0.82</v>
      </c>
      <c r="Y80">
        <v>6.9</v>
      </c>
      <c r="Z80">
        <v>2875</v>
      </c>
      <c r="AA80">
        <v>0</v>
      </c>
      <c r="AB80">
        <v>44289.718629861112</v>
      </c>
      <c r="AC80" t="s">
        <v>25</v>
      </c>
      <c r="AD80">
        <v>2</v>
      </c>
    </row>
    <row r="81" spans="1:30" x14ac:dyDescent="0.25">
      <c r="A81" t="s">
        <v>1051</v>
      </c>
      <c r="B81" t="s">
        <v>1106</v>
      </c>
      <c r="C81" t="s">
        <v>1151</v>
      </c>
      <c r="D81" t="s">
        <v>1173</v>
      </c>
      <c r="E81" t="s">
        <v>1060</v>
      </c>
      <c r="F81" t="s">
        <v>1061</v>
      </c>
      <c r="G81">
        <v>6100552</v>
      </c>
      <c r="H81">
        <v>202103</v>
      </c>
      <c r="I81">
        <v>44259</v>
      </c>
      <c r="J81">
        <v>122536</v>
      </c>
      <c r="K81" t="s">
        <v>1056</v>
      </c>
      <c r="M81" t="s">
        <v>355</v>
      </c>
      <c r="O81" t="s">
        <v>1174</v>
      </c>
      <c r="P81" t="s">
        <v>1175</v>
      </c>
      <c r="Q81" t="s">
        <v>1155</v>
      </c>
      <c r="R81">
        <v>2069125</v>
      </c>
      <c r="S81" t="s">
        <v>355</v>
      </c>
      <c r="U81" t="s">
        <v>1188</v>
      </c>
      <c r="V81" t="s">
        <v>356</v>
      </c>
      <c r="W81">
        <v>13650</v>
      </c>
      <c r="X81">
        <v>3.88</v>
      </c>
      <c r="Y81">
        <v>32.770000000000003</v>
      </c>
      <c r="Z81">
        <v>13650</v>
      </c>
      <c r="AA81">
        <v>0</v>
      </c>
      <c r="AB81">
        <v>44292.612781944445</v>
      </c>
      <c r="AC81" t="s">
        <v>25</v>
      </c>
      <c r="AD81">
        <v>2</v>
      </c>
    </row>
    <row r="82" spans="1:30" x14ac:dyDescent="0.25">
      <c r="A82" t="s">
        <v>1051</v>
      </c>
      <c r="B82" t="s">
        <v>1106</v>
      </c>
      <c r="C82" t="s">
        <v>1151</v>
      </c>
      <c r="D82" t="s">
        <v>1173</v>
      </c>
      <c r="E82" t="s">
        <v>1060</v>
      </c>
      <c r="F82" t="s">
        <v>1061</v>
      </c>
      <c r="G82">
        <v>6100552</v>
      </c>
      <c r="H82">
        <v>202103</v>
      </c>
      <c r="I82">
        <v>44259</v>
      </c>
      <c r="J82">
        <v>122536</v>
      </c>
      <c r="K82" t="s">
        <v>1056</v>
      </c>
      <c r="M82" t="s">
        <v>355</v>
      </c>
      <c r="O82" t="s">
        <v>1177</v>
      </c>
      <c r="P82" t="s">
        <v>1178</v>
      </c>
      <c r="Q82" t="s">
        <v>1155</v>
      </c>
      <c r="R82">
        <v>2069125</v>
      </c>
      <c r="S82" t="s">
        <v>355</v>
      </c>
      <c r="U82" t="s">
        <v>1188</v>
      </c>
      <c r="V82" t="s">
        <v>356</v>
      </c>
      <c r="W82">
        <v>2875</v>
      </c>
      <c r="X82">
        <v>0.82</v>
      </c>
      <c r="Y82">
        <v>6.9</v>
      </c>
      <c r="Z82">
        <v>2875</v>
      </c>
      <c r="AA82">
        <v>0</v>
      </c>
      <c r="AB82">
        <v>44292.612781944445</v>
      </c>
      <c r="AC82" t="s">
        <v>25</v>
      </c>
      <c r="AD82">
        <v>2</v>
      </c>
    </row>
    <row r="83" spans="1:30" x14ac:dyDescent="0.25">
      <c r="A83" t="s">
        <v>1051</v>
      </c>
      <c r="B83" t="s">
        <v>1106</v>
      </c>
      <c r="C83" t="s">
        <v>1151</v>
      </c>
      <c r="D83" t="s">
        <v>1173</v>
      </c>
      <c r="E83" t="s">
        <v>1060</v>
      </c>
      <c r="F83" t="s">
        <v>1061</v>
      </c>
      <c r="G83">
        <v>6100396</v>
      </c>
      <c r="H83">
        <v>202103</v>
      </c>
      <c r="I83">
        <v>44263</v>
      </c>
      <c r="J83">
        <v>122536</v>
      </c>
      <c r="K83" t="s">
        <v>1056</v>
      </c>
      <c r="M83" t="s">
        <v>355</v>
      </c>
      <c r="O83" t="s">
        <v>1174</v>
      </c>
      <c r="P83" t="s">
        <v>1175</v>
      </c>
      <c r="Q83" t="s">
        <v>354</v>
      </c>
      <c r="R83">
        <v>2069125</v>
      </c>
      <c r="S83" t="s">
        <v>355</v>
      </c>
      <c r="U83" t="s">
        <v>1189</v>
      </c>
      <c r="V83" t="s">
        <v>356</v>
      </c>
      <c r="W83">
        <v>4840</v>
      </c>
      <c r="X83">
        <v>1.37</v>
      </c>
      <c r="Y83">
        <v>11.62</v>
      </c>
      <c r="Z83">
        <v>4840</v>
      </c>
      <c r="AA83">
        <v>0</v>
      </c>
      <c r="AB83">
        <v>44272.633000694441</v>
      </c>
      <c r="AC83" t="s">
        <v>25</v>
      </c>
      <c r="AD83">
        <v>2</v>
      </c>
    </row>
    <row r="84" spans="1:30" x14ac:dyDescent="0.25">
      <c r="A84" t="s">
        <v>1051</v>
      </c>
      <c r="B84" t="s">
        <v>1051</v>
      </c>
      <c r="C84" t="s">
        <v>1151</v>
      </c>
      <c r="D84" t="s">
        <v>1173</v>
      </c>
      <c r="E84" t="s">
        <v>1183</v>
      </c>
      <c r="F84" t="s">
        <v>1184</v>
      </c>
      <c r="G84">
        <v>12100996</v>
      </c>
      <c r="H84">
        <v>202104</v>
      </c>
      <c r="I84">
        <v>44287</v>
      </c>
      <c r="J84" t="s">
        <v>1185</v>
      </c>
      <c r="K84" t="s">
        <v>1056</v>
      </c>
      <c r="M84" t="s">
        <v>355</v>
      </c>
      <c r="O84" t="s">
        <v>1174</v>
      </c>
      <c r="P84" t="s">
        <v>1175</v>
      </c>
      <c r="Q84" t="s">
        <v>1155</v>
      </c>
      <c r="R84">
        <v>2069125</v>
      </c>
      <c r="S84" t="s">
        <v>1186</v>
      </c>
      <c r="U84" t="s">
        <v>1190</v>
      </c>
      <c r="V84" t="s">
        <v>356</v>
      </c>
      <c r="W84">
        <v>-13650</v>
      </c>
      <c r="X84">
        <v>-3.88</v>
      </c>
      <c r="Y84">
        <v>-32.770000000000003</v>
      </c>
      <c r="Z84">
        <v>-13650</v>
      </c>
      <c r="AA84">
        <v>0</v>
      </c>
      <c r="AB84">
        <v>44319.85771971065</v>
      </c>
      <c r="AC84" t="s">
        <v>25</v>
      </c>
      <c r="AD84">
        <v>2</v>
      </c>
    </row>
    <row r="85" spans="1:30" x14ac:dyDescent="0.25">
      <c r="A85" t="s">
        <v>1051</v>
      </c>
      <c r="B85" t="s">
        <v>1051</v>
      </c>
      <c r="C85" t="s">
        <v>1151</v>
      </c>
      <c r="D85" t="s">
        <v>1173</v>
      </c>
      <c r="E85" t="s">
        <v>1183</v>
      </c>
      <c r="F85" t="s">
        <v>1184</v>
      </c>
      <c r="G85">
        <v>12100996</v>
      </c>
      <c r="H85">
        <v>202104</v>
      </c>
      <c r="I85">
        <v>44287</v>
      </c>
      <c r="J85" t="s">
        <v>1185</v>
      </c>
      <c r="K85" t="s">
        <v>1056</v>
      </c>
      <c r="M85" t="s">
        <v>355</v>
      </c>
      <c r="O85" t="s">
        <v>1177</v>
      </c>
      <c r="P85" t="s">
        <v>1178</v>
      </c>
      <c r="Q85" t="s">
        <v>1155</v>
      </c>
      <c r="R85">
        <v>2069125</v>
      </c>
      <c r="S85" t="s">
        <v>1186</v>
      </c>
      <c r="U85" t="s">
        <v>1190</v>
      </c>
      <c r="V85" t="s">
        <v>356</v>
      </c>
      <c r="W85">
        <v>-2875</v>
      </c>
      <c r="X85">
        <v>-0.82</v>
      </c>
      <c r="Y85">
        <v>-6.9</v>
      </c>
      <c r="Z85">
        <v>-2875</v>
      </c>
      <c r="AA85">
        <v>0</v>
      </c>
      <c r="AB85">
        <v>44319.85771971065</v>
      </c>
      <c r="AC85" t="s">
        <v>25</v>
      </c>
      <c r="AD85">
        <v>2</v>
      </c>
    </row>
    <row r="86" spans="1:30" x14ac:dyDescent="0.25">
      <c r="A86" t="s">
        <v>1051</v>
      </c>
      <c r="B86" t="s">
        <v>1106</v>
      </c>
      <c r="C86" t="s">
        <v>1151</v>
      </c>
      <c r="D86" t="s">
        <v>1173</v>
      </c>
      <c r="E86" t="s">
        <v>1060</v>
      </c>
      <c r="F86" t="s">
        <v>1061</v>
      </c>
      <c r="G86">
        <v>6100728</v>
      </c>
      <c r="H86">
        <v>202104</v>
      </c>
      <c r="I86">
        <v>44308</v>
      </c>
      <c r="J86">
        <v>122536</v>
      </c>
      <c r="K86" t="s">
        <v>1056</v>
      </c>
      <c r="M86" t="s">
        <v>355</v>
      </c>
      <c r="O86" t="s">
        <v>1174</v>
      </c>
      <c r="P86" t="s">
        <v>1175</v>
      </c>
      <c r="Q86" t="s">
        <v>354</v>
      </c>
      <c r="R86">
        <v>2069129</v>
      </c>
      <c r="S86" t="s">
        <v>355</v>
      </c>
      <c r="U86" t="s">
        <v>1191</v>
      </c>
      <c r="V86" t="s">
        <v>356</v>
      </c>
      <c r="W86">
        <v>13090</v>
      </c>
      <c r="X86">
        <v>3.6</v>
      </c>
      <c r="Y86">
        <v>30.49</v>
      </c>
      <c r="Z86">
        <v>13090</v>
      </c>
      <c r="AA86">
        <v>0</v>
      </c>
      <c r="AB86">
        <v>44319.75282465278</v>
      </c>
      <c r="AC86" t="s">
        <v>40</v>
      </c>
      <c r="AD86">
        <v>2</v>
      </c>
    </row>
    <row r="87" spans="1:30" x14ac:dyDescent="0.25">
      <c r="A87" t="s">
        <v>1051</v>
      </c>
      <c r="B87" t="s">
        <v>1106</v>
      </c>
      <c r="C87" t="s">
        <v>1151</v>
      </c>
      <c r="D87" t="s">
        <v>1173</v>
      </c>
      <c r="E87" t="s">
        <v>1060</v>
      </c>
      <c r="F87" t="s">
        <v>1061</v>
      </c>
      <c r="G87">
        <v>6100728</v>
      </c>
      <c r="H87">
        <v>202104</v>
      </c>
      <c r="I87">
        <v>44308</v>
      </c>
      <c r="J87">
        <v>122536</v>
      </c>
      <c r="K87" t="s">
        <v>1056</v>
      </c>
      <c r="M87" t="s">
        <v>355</v>
      </c>
      <c r="O87" t="s">
        <v>1177</v>
      </c>
      <c r="P87" t="s">
        <v>1178</v>
      </c>
      <c r="Q87" t="s">
        <v>354</v>
      </c>
      <c r="R87">
        <v>2069129</v>
      </c>
      <c r="S87" t="s">
        <v>355</v>
      </c>
      <c r="U87" t="s">
        <v>1191</v>
      </c>
      <c r="V87" t="s">
        <v>356</v>
      </c>
      <c r="W87">
        <v>795</v>
      </c>
      <c r="X87">
        <v>0.22</v>
      </c>
      <c r="Y87">
        <v>1.85</v>
      </c>
      <c r="Z87">
        <v>795</v>
      </c>
      <c r="AA87">
        <v>0</v>
      </c>
      <c r="AB87">
        <v>44319.752825347219</v>
      </c>
      <c r="AC87" t="s">
        <v>40</v>
      </c>
      <c r="AD87">
        <v>2</v>
      </c>
    </row>
    <row r="88" spans="1:30" x14ac:dyDescent="0.25">
      <c r="A88" t="s">
        <v>1051</v>
      </c>
      <c r="B88" t="s">
        <v>1106</v>
      </c>
      <c r="C88" t="s">
        <v>1151</v>
      </c>
      <c r="D88" t="s">
        <v>1173</v>
      </c>
      <c r="E88" t="s">
        <v>1060</v>
      </c>
      <c r="F88" t="s">
        <v>1061</v>
      </c>
      <c r="G88">
        <v>6100699</v>
      </c>
      <c r="H88">
        <v>202104</v>
      </c>
      <c r="I88">
        <v>44309</v>
      </c>
      <c r="J88" t="s">
        <v>1117</v>
      </c>
      <c r="K88" t="s">
        <v>1056</v>
      </c>
      <c r="M88" t="s">
        <v>355</v>
      </c>
      <c r="O88" t="s">
        <v>1192</v>
      </c>
      <c r="P88" t="s">
        <v>1193</v>
      </c>
      <c r="Q88" t="s">
        <v>1155</v>
      </c>
      <c r="R88">
        <v>2069125</v>
      </c>
      <c r="S88" t="s">
        <v>1194</v>
      </c>
      <c r="U88" t="s">
        <v>1195</v>
      </c>
      <c r="V88" t="s">
        <v>356</v>
      </c>
      <c r="W88">
        <v>171000</v>
      </c>
      <c r="X88">
        <v>47.03</v>
      </c>
      <c r="Y88">
        <v>389.54</v>
      </c>
      <c r="Z88">
        <v>171000</v>
      </c>
      <c r="AA88">
        <v>0</v>
      </c>
      <c r="AB88">
        <v>44318.781357638887</v>
      </c>
      <c r="AC88" t="s">
        <v>25</v>
      </c>
      <c r="AD88">
        <v>2</v>
      </c>
    </row>
    <row r="89" spans="1:30" x14ac:dyDescent="0.25">
      <c r="A89" t="s">
        <v>1051</v>
      </c>
      <c r="B89" t="s">
        <v>1106</v>
      </c>
      <c r="C89" t="s">
        <v>1151</v>
      </c>
      <c r="D89" t="s">
        <v>1173</v>
      </c>
      <c r="E89" t="s">
        <v>1060</v>
      </c>
      <c r="F89" t="s">
        <v>1061</v>
      </c>
      <c r="G89">
        <v>6101364</v>
      </c>
      <c r="H89">
        <v>202107</v>
      </c>
      <c r="I89">
        <v>44407</v>
      </c>
      <c r="J89" t="s">
        <v>1117</v>
      </c>
      <c r="K89" t="s">
        <v>1056</v>
      </c>
      <c r="M89" t="s">
        <v>355</v>
      </c>
      <c r="O89" t="s">
        <v>1196</v>
      </c>
      <c r="P89" t="s">
        <v>1197</v>
      </c>
      <c r="Q89" t="s">
        <v>354</v>
      </c>
      <c r="R89">
        <v>2069121</v>
      </c>
      <c r="S89" t="s">
        <v>1198</v>
      </c>
      <c r="U89" t="s">
        <v>1199</v>
      </c>
      <c r="V89" t="s">
        <v>356</v>
      </c>
      <c r="W89">
        <v>958</v>
      </c>
      <c r="X89">
        <v>0.25</v>
      </c>
      <c r="Y89">
        <v>2.12</v>
      </c>
      <c r="Z89">
        <v>958</v>
      </c>
      <c r="AA89">
        <v>0</v>
      </c>
      <c r="AB89">
        <v>44410.944845486112</v>
      </c>
      <c r="AC89" t="s">
        <v>19</v>
      </c>
      <c r="AD89">
        <v>5</v>
      </c>
    </row>
    <row r="90" spans="1:30" x14ac:dyDescent="0.25">
      <c r="A90" t="s">
        <v>1051</v>
      </c>
      <c r="B90" t="s">
        <v>1106</v>
      </c>
      <c r="C90" t="s">
        <v>1151</v>
      </c>
      <c r="D90" t="s">
        <v>1173</v>
      </c>
      <c r="E90" t="s">
        <v>1060</v>
      </c>
      <c r="F90" t="s">
        <v>1061</v>
      </c>
      <c r="G90">
        <v>6101236</v>
      </c>
      <c r="H90">
        <v>202107</v>
      </c>
      <c r="I90">
        <v>44396</v>
      </c>
      <c r="J90" t="s">
        <v>1117</v>
      </c>
      <c r="K90" t="s">
        <v>1056</v>
      </c>
      <c r="M90" t="s">
        <v>355</v>
      </c>
      <c r="O90" t="s">
        <v>1200</v>
      </c>
      <c r="P90" t="s">
        <v>1201</v>
      </c>
      <c r="Q90" t="s">
        <v>1155</v>
      </c>
      <c r="R90">
        <v>2069125</v>
      </c>
      <c r="S90" t="s">
        <v>1202</v>
      </c>
      <c r="U90" t="s">
        <v>1203</v>
      </c>
      <c r="V90" t="s">
        <v>356</v>
      </c>
      <c r="W90">
        <v>205602</v>
      </c>
      <c r="X90">
        <v>54.07</v>
      </c>
      <c r="Y90">
        <v>465.48</v>
      </c>
      <c r="Z90">
        <v>205602</v>
      </c>
      <c r="AA90">
        <v>0</v>
      </c>
      <c r="AB90">
        <v>44396.819253969908</v>
      </c>
      <c r="AC90" t="s">
        <v>25</v>
      </c>
      <c r="AD90">
        <v>2</v>
      </c>
    </row>
    <row r="91" spans="1:30" x14ac:dyDescent="0.25">
      <c r="A91" t="s">
        <v>1051</v>
      </c>
      <c r="B91" t="s">
        <v>1106</v>
      </c>
      <c r="C91" t="s">
        <v>1151</v>
      </c>
      <c r="D91" t="s">
        <v>1173</v>
      </c>
      <c r="E91" t="s">
        <v>1060</v>
      </c>
      <c r="F91" t="s">
        <v>1061</v>
      </c>
      <c r="G91">
        <v>6101227</v>
      </c>
      <c r="H91">
        <v>202107</v>
      </c>
      <c r="I91">
        <v>44385</v>
      </c>
      <c r="J91" t="s">
        <v>1117</v>
      </c>
      <c r="K91" t="s">
        <v>1056</v>
      </c>
      <c r="M91" t="s">
        <v>355</v>
      </c>
      <c r="O91" t="s">
        <v>1204</v>
      </c>
      <c r="P91" t="s">
        <v>1205</v>
      </c>
      <c r="Q91" t="s">
        <v>1155</v>
      </c>
      <c r="R91">
        <v>2069125</v>
      </c>
      <c r="S91" t="s">
        <v>1206</v>
      </c>
      <c r="U91" t="s">
        <v>1207</v>
      </c>
      <c r="V91" t="s">
        <v>356</v>
      </c>
      <c r="W91">
        <v>10506</v>
      </c>
      <c r="X91">
        <v>2.75</v>
      </c>
      <c r="Y91">
        <v>23.58</v>
      </c>
      <c r="Z91">
        <v>10506</v>
      </c>
      <c r="AA91">
        <v>0</v>
      </c>
      <c r="AB91">
        <v>44392.759670601852</v>
      </c>
      <c r="AC91" t="s">
        <v>25</v>
      </c>
      <c r="AD91">
        <v>2</v>
      </c>
    </row>
    <row r="92" spans="1:30" x14ac:dyDescent="0.25">
      <c r="A92" t="s">
        <v>1051</v>
      </c>
      <c r="B92" t="s">
        <v>1106</v>
      </c>
      <c r="C92" t="s">
        <v>1151</v>
      </c>
      <c r="D92" t="s">
        <v>1173</v>
      </c>
      <c r="E92" t="s">
        <v>1060</v>
      </c>
      <c r="F92" t="s">
        <v>1061</v>
      </c>
      <c r="G92">
        <v>6101978</v>
      </c>
      <c r="H92">
        <v>202109</v>
      </c>
      <c r="I92">
        <v>44440</v>
      </c>
      <c r="J92">
        <v>125062</v>
      </c>
      <c r="K92" t="s">
        <v>1056</v>
      </c>
      <c r="M92" t="s">
        <v>355</v>
      </c>
      <c r="O92" t="s">
        <v>1174</v>
      </c>
      <c r="P92" t="s">
        <v>1175</v>
      </c>
      <c r="Q92" t="s">
        <v>354</v>
      </c>
      <c r="R92">
        <v>2069126</v>
      </c>
      <c r="S92" t="s">
        <v>355</v>
      </c>
      <c r="U92" t="s">
        <v>1208</v>
      </c>
      <c r="V92" t="s">
        <v>356</v>
      </c>
      <c r="W92">
        <v>20440</v>
      </c>
      <c r="X92">
        <v>5.29</v>
      </c>
      <c r="Y92">
        <v>46.05</v>
      </c>
      <c r="Z92">
        <v>20440</v>
      </c>
      <c r="AA92">
        <v>0</v>
      </c>
      <c r="AB92">
        <v>44460.531625347219</v>
      </c>
      <c r="AC92" t="s">
        <v>36</v>
      </c>
      <c r="AD92">
        <v>5</v>
      </c>
    </row>
    <row r="93" spans="1:30" x14ac:dyDescent="0.25">
      <c r="A93" t="s">
        <v>1051</v>
      </c>
      <c r="B93" t="s">
        <v>1106</v>
      </c>
      <c r="C93" t="s">
        <v>1151</v>
      </c>
      <c r="D93" t="s">
        <v>1173</v>
      </c>
      <c r="E93" t="s">
        <v>1060</v>
      </c>
      <c r="F93" t="s">
        <v>1061</v>
      </c>
      <c r="G93">
        <v>6101978</v>
      </c>
      <c r="H93">
        <v>202109</v>
      </c>
      <c r="I93">
        <v>44440</v>
      </c>
      <c r="J93">
        <v>125062</v>
      </c>
      <c r="K93" t="s">
        <v>1056</v>
      </c>
      <c r="M93" t="s">
        <v>355</v>
      </c>
      <c r="O93" t="s">
        <v>1177</v>
      </c>
      <c r="P93" t="s">
        <v>1178</v>
      </c>
      <c r="Q93" t="s">
        <v>354</v>
      </c>
      <c r="R93">
        <v>2069126</v>
      </c>
      <c r="S93" t="s">
        <v>355</v>
      </c>
      <c r="U93" t="s">
        <v>1208</v>
      </c>
      <c r="V93" t="s">
        <v>356</v>
      </c>
      <c r="W93">
        <v>2875</v>
      </c>
      <c r="X93">
        <v>0.74</v>
      </c>
      <c r="Y93">
        <v>6.48</v>
      </c>
      <c r="Z93">
        <v>2875</v>
      </c>
      <c r="AA93">
        <v>0</v>
      </c>
      <c r="AB93">
        <v>44460.531625347219</v>
      </c>
      <c r="AC93" t="s">
        <v>36</v>
      </c>
      <c r="AD93">
        <v>5</v>
      </c>
    </row>
    <row r="94" spans="1:30" x14ac:dyDescent="0.25">
      <c r="A94" t="s">
        <v>1051</v>
      </c>
      <c r="B94" t="s">
        <v>1106</v>
      </c>
      <c r="C94" t="s">
        <v>1151</v>
      </c>
      <c r="D94" t="s">
        <v>1173</v>
      </c>
      <c r="E94" t="s">
        <v>1060</v>
      </c>
      <c r="F94" t="s">
        <v>1061</v>
      </c>
      <c r="G94">
        <v>6102063</v>
      </c>
      <c r="H94">
        <v>202109</v>
      </c>
      <c r="I94">
        <v>44469</v>
      </c>
      <c r="J94">
        <v>122536</v>
      </c>
      <c r="K94" t="s">
        <v>1056</v>
      </c>
      <c r="M94" t="s">
        <v>355</v>
      </c>
      <c r="O94" t="s">
        <v>1209</v>
      </c>
      <c r="P94" t="s">
        <v>1210</v>
      </c>
      <c r="Q94" t="s">
        <v>354</v>
      </c>
      <c r="R94">
        <v>2069127</v>
      </c>
      <c r="S94" t="s">
        <v>355</v>
      </c>
      <c r="U94" t="s">
        <v>1211</v>
      </c>
      <c r="V94" t="s">
        <v>356</v>
      </c>
      <c r="W94">
        <v>213788</v>
      </c>
      <c r="X94">
        <v>55.75</v>
      </c>
      <c r="Y94">
        <v>484.78</v>
      </c>
      <c r="Z94">
        <v>213788</v>
      </c>
      <c r="AA94">
        <v>0</v>
      </c>
      <c r="AB94">
        <v>44470.717716932872</v>
      </c>
      <c r="AC94" t="s">
        <v>36</v>
      </c>
      <c r="AD94">
        <v>2</v>
      </c>
    </row>
    <row r="95" spans="1:30" x14ac:dyDescent="0.25">
      <c r="A95" t="s">
        <v>1051</v>
      </c>
      <c r="B95" t="s">
        <v>1106</v>
      </c>
      <c r="C95" t="s">
        <v>1151</v>
      </c>
      <c r="D95" t="s">
        <v>1212</v>
      </c>
      <c r="E95" t="s">
        <v>1060</v>
      </c>
      <c r="F95" t="s">
        <v>1061</v>
      </c>
      <c r="G95">
        <v>6100686</v>
      </c>
      <c r="H95">
        <v>202104</v>
      </c>
      <c r="I95">
        <v>44309</v>
      </c>
      <c r="J95">
        <v>122536</v>
      </c>
      <c r="K95" t="s">
        <v>1056</v>
      </c>
      <c r="M95" t="s">
        <v>355</v>
      </c>
      <c r="O95" t="s">
        <v>1213</v>
      </c>
      <c r="P95" t="s">
        <v>1214</v>
      </c>
      <c r="Q95" t="s">
        <v>1155</v>
      </c>
      <c r="R95">
        <v>2069125</v>
      </c>
      <c r="S95" t="s">
        <v>355</v>
      </c>
      <c r="U95" t="s">
        <v>1215</v>
      </c>
      <c r="V95" t="s">
        <v>356</v>
      </c>
      <c r="W95">
        <v>210000</v>
      </c>
      <c r="X95">
        <v>57.75</v>
      </c>
      <c r="Y95">
        <v>478.38</v>
      </c>
      <c r="Z95">
        <v>210000</v>
      </c>
      <c r="AA95">
        <v>0</v>
      </c>
      <c r="AB95">
        <v>44317.863930127314</v>
      </c>
      <c r="AC95" t="s">
        <v>25</v>
      </c>
      <c r="AD95">
        <v>2</v>
      </c>
    </row>
    <row r="96" spans="1:30" x14ac:dyDescent="0.25">
      <c r="A96" t="s">
        <v>1051</v>
      </c>
      <c r="B96" t="s">
        <v>1106</v>
      </c>
      <c r="C96" t="s">
        <v>1151</v>
      </c>
      <c r="D96" t="s">
        <v>1212</v>
      </c>
      <c r="E96" t="s">
        <v>1060</v>
      </c>
      <c r="F96" t="s">
        <v>1061</v>
      </c>
      <c r="G96">
        <v>6100811</v>
      </c>
      <c r="H96">
        <v>202105</v>
      </c>
      <c r="I96">
        <v>44323</v>
      </c>
      <c r="J96" t="s">
        <v>1117</v>
      </c>
      <c r="K96" t="s">
        <v>1056</v>
      </c>
      <c r="M96" t="s">
        <v>355</v>
      </c>
      <c r="O96" t="s">
        <v>1216</v>
      </c>
      <c r="P96" t="s">
        <v>1217</v>
      </c>
      <c r="Q96" t="s">
        <v>1155</v>
      </c>
      <c r="R96">
        <v>2069125</v>
      </c>
      <c r="S96" t="s">
        <v>1218</v>
      </c>
      <c r="U96" t="s">
        <v>1219</v>
      </c>
      <c r="V96" t="s">
        <v>356</v>
      </c>
      <c r="W96">
        <v>800000</v>
      </c>
      <c r="X96">
        <v>208</v>
      </c>
      <c r="Y96">
        <v>1720.8</v>
      </c>
      <c r="Z96">
        <v>800000</v>
      </c>
      <c r="AA96">
        <v>0</v>
      </c>
      <c r="AB96">
        <v>44328.767658993056</v>
      </c>
      <c r="AC96" t="s">
        <v>25</v>
      </c>
      <c r="AD96">
        <v>2</v>
      </c>
    </row>
    <row r="97" spans="1:30" x14ac:dyDescent="0.25">
      <c r="A97" t="s">
        <v>1051</v>
      </c>
      <c r="B97" t="s">
        <v>1106</v>
      </c>
      <c r="C97" t="s">
        <v>1151</v>
      </c>
      <c r="D97" t="s">
        <v>1212</v>
      </c>
      <c r="E97" t="s">
        <v>1060</v>
      </c>
      <c r="F97" t="s">
        <v>1061</v>
      </c>
      <c r="G97">
        <v>6101236</v>
      </c>
      <c r="H97">
        <v>202107</v>
      </c>
      <c r="I97">
        <v>44396</v>
      </c>
      <c r="J97" t="s">
        <v>1117</v>
      </c>
      <c r="K97" t="s">
        <v>1056</v>
      </c>
      <c r="M97" t="s">
        <v>355</v>
      </c>
      <c r="O97" t="s">
        <v>1213</v>
      </c>
      <c r="P97" t="s">
        <v>1214</v>
      </c>
      <c r="Q97" t="s">
        <v>1155</v>
      </c>
      <c r="R97">
        <v>2069125</v>
      </c>
      <c r="S97" t="s">
        <v>1220</v>
      </c>
      <c r="U97" t="s">
        <v>1221</v>
      </c>
      <c r="V97" t="s">
        <v>356</v>
      </c>
      <c r="W97">
        <v>400000</v>
      </c>
      <c r="X97">
        <v>105.2</v>
      </c>
      <c r="Y97">
        <v>905.6</v>
      </c>
      <c r="Z97">
        <v>400000</v>
      </c>
      <c r="AA97">
        <v>0</v>
      </c>
      <c r="AB97">
        <v>44396.819253090274</v>
      </c>
      <c r="AC97" t="s">
        <v>25</v>
      </c>
      <c r="AD97">
        <v>2</v>
      </c>
    </row>
    <row r="98" spans="1:30" x14ac:dyDescent="0.25">
      <c r="A98" t="s">
        <v>1051</v>
      </c>
      <c r="B98" t="s">
        <v>1106</v>
      </c>
      <c r="C98" t="s">
        <v>1151</v>
      </c>
      <c r="D98" t="s">
        <v>1212</v>
      </c>
      <c r="E98" t="s">
        <v>1060</v>
      </c>
      <c r="F98" t="s">
        <v>1061</v>
      </c>
      <c r="G98">
        <v>6101320</v>
      </c>
      <c r="H98">
        <v>202107</v>
      </c>
      <c r="I98">
        <v>44405</v>
      </c>
      <c r="J98" t="s">
        <v>1117</v>
      </c>
      <c r="K98" t="s">
        <v>1056</v>
      </c>
      <c r="M98" t="s">
        <v>355</v>
      </c>
      <c r="O98" t="s">
        <v>1222</v>
      </c>
      <c r="P98" t="s">
        <v>1223</v>
      </c>
      <c r="Q98" t="s">
        <v>1155</v>
      </c>
      <c r="R98">
        <v>2069125</v>
      </c>
      <c r="S98" t="s">
        <v>1224</v>
      </c>
      <c r="U98" t="s">
        <v>1225</v>
      </c>
      <c r="V98" t="s">
        <v>356</v>
      </c>
      <c r="W98">
        <v>800000</v>
      </c>
      <c r="X98">
        <v>210.4</v>
      </c>
      <c r="Y98">
        <v>1811.2</v>
      </c>
      <c r="Z98">
        <v>800000</v>
      </c>
      <c r="AA98">
        <v>0</v>
      </c>
      <c r="AB98">
        <v>44405.764153159726</v>
      </c>
      <c r="AC98" t="s">
        <v>25</v>
      </c>
      <c r="AD98">
        <v>2</v>
      </c>
    </row>
    <row r="99" spans="1:30" x14ac:dyDescent="0.25">
      <c r="A99" t="s">
        <v>1051</v>
      </c>
      <c r="B99" t="s">
        <v>1106</v>
      </c>
      <c r="C99" t="s">
        <v>1151</v>
      </c>
      <c r="D99" t="s">
        <v>1212</v>
      </c>
      <c r="E99" t="s">
        <v>1060</v>
      </c>
      <c r="F99" t="s">
        <v>1061</v>
      </c>
      <c r="G99">
        <v>6101320</v>
      </c>
      <c r="H99">
        <v>202107</v>
      </c>
      <c r="I99">
        <v>44405</v>
      </c>
      <c r="J99" t="s">
        <v>1117</v>
      </c>
      <c r="K99" t="s">
        <v>1056</v>
      </c>
      <c r="M99" t="s">
        <v>355</v>
      </c>
      <c r="O99" t="s">
        <v>1216</v>
      </c>
      <c r="P99" t="s">
        <v>1217</v>
      </c>
      <c r="Q99" t="s">
        <v>354</v>
      </c>
      <c r="R99">
        <v>2069121</v>
      </c>
      <c r="S99" t="s">
        <v>1226</v>
      </c>
      <c r="U99" t="s">
        <v>1227</v>
      </c>
      <c r="V99" t="s">
        <v>356</v>
      </c>
      <c r="W99">
        <v>800000</v>
      </c>
      <c r="X99">
        <v>210.4</v>
      </c>
      <c r="Y99">
        <v>1811.2</v>
      </c>
      <c r="Z99">
        <v>800000</v>
      </c>
      <c r="AA99">
        <v>0</v>
      </c>
      <c r="AB99">
        <v>44405.764153703705</v>
      </c>
      <c r="AC99" t="s">
        <v>19</v>
      </c>
      <c r="AD99">
        <v>2</v>
      </c>
    </row>
    <row r="100" spans="1:30" x14ac:dyDescent="0.25">
      <c r="A100" t="s">
        <v>1051</v>
      </c>
      <c r="B100" t="s">
        <v>1106</v>
      </c>
      <c r="C100" t="s">
        <v>1151</v>
      </c>
      <c r="D100" t="s">
        <v>1212</v>
      </c>
      <c r="E100" t="s">
        <v>1060</v>
      </c>
      <c r="F100" t="s">
        <v>1061</v>
      </c>
      <c r="G100">
        <v>6101385</v>
      </c>
      <c r="H100">
        <v>202107</v>
      </c>
      <c r="I100">
        <v>44407</v>
      </c>
      <c r="J100" t="s">
        <v>1117</v>
      </c>
      <c r="K100" t="s">
        <v>1056</v>
      </c>
      <c r="M100" t="s">
        <v>355</v>
      </c>
      <c r="O100" t="s">
        <v>1216</v>
      </c>
      <c r="P100" t="s">
        <v>1217</v>
      </c>
      <c r="Q100" t="s">
        <v>354</v>
      </c>
      <c r="R100">
        <v>2069121</v>
      </c>
      <c r="S100" t="s">
        <v>1228</v>
      </c>
      <c r="U100" t="s">
        <v>1229</v>
      </c>
      <c r="V100" t="s">
        <v>356</v>
      </c>
      <c r="W100">
        <v>580000</v>
      </c>
      <c r="X100">
        <v>148.47999999999999</v>
      </c>
      <c r="Y100">
        <v>1282.96</v>
      </c>
      <c r="Z100">
        <v>580000</v>
      </c>
      <c r="AA100">
        <v>0</v>
      </c>
      <c r="AB100">
        <v>44411.815652199075</v>
      </c>
      <c r="AC100" t="s">
        <v>19</v>
      </c>
      <c r="AD100">
        <v>2</v>
      </c>
    </row>
    <row r="101" spans="1:30" x14ac:dyDescent="0.25">
      <c r="A101" t="s">
        <v>1051</v>
      </c>
      <c r="B101" t="s">
        <v>1106</v>
      </c>
      <c r="C101" t="s">
        <v>1151</v>
      </c>
      <c r="D101" t="s">
        <v>1212</v>
      </c>
      <c r="E101" t="s">
        <v>1060</v>
      </c>
      <c r="F101" t="s">
        <v>1061</v>
      </c>
      <c r="G101">
        <v>6101605</v>
      </c>
      <c r="H101">
        <v>202108</v>
      </c>
      <c r="I101">
        <v>44428</v>
      </c>
      <c r="J101">
        <v>124932</v>
      </c>
      <c r="K101" t="s">
        <v>1056</v>
      </c>
      <c r="M101" t="s">
        <v>355</v>
      </c>
      <c r="O101" t="s">
        <v>1230</v>
      </c>
      <c r="P101" t="s">
        <v>1231</v>
      </c>
      <c r="Q101" t="s">
        <v>354</v>
      </c>
      <c r="R101">
        <v>2069123</v>
      </c>
      <c r="S101" t="s">
        <v>355</v>
      </c>
      <c r="U101" t="s">
        <v>1232</v>
      </c>
      <c r="V101" t="s">
        <v>356</v>
      </c>
      <c r="W101">
        <v>500000</v>
      </c>
      <c r="X101">
        <v>129.49</v>
      </c>
      <c r="Y101">
        <v>1123.05</v>
      </c>
      <c r="Z101">
        <v>500000</v>
      </c>
      <c r="AA101">
        <v>0</v>
      </c>
      <c r="AB101">
        <v>44431.794530439816</v>
      </c>
      <c r="AC101" t="s">
        <v>22</v>
      </c>
      <c r="AD101">
        <v>2</v>
      </c>
    </row>
    <row r="102" spans="1:30" x14ac:dyDescent="0.25">
      <c r="A102" t="s">
        <v>1051</v>
      </c>
      <c r="B102" t="s">
        <v>1106</v>
      </c>
      <c r="C102" t="s">
        <v>1151</v>
      </c>
      <c r="D102" t="s">
        <v>1212</v>
      </c>
      <c r="E102" t="s">
        <v>1060</v>
      </c>
      <c r="F102" t="s">
        <v>1061</v>
      </c>
      <c r="G102">
        <v>6101882</v>
      </c>
      <c r="H102">
        <v>202109</v>
      </c>
      <c r="I102">
        <v>44449</v>
      </c>
      <c r="J102">
        <v>122536</v>
      </c>
      <c r="K102" t="s">
        <v>1056</v>
      </c>
      <c r="M102" t="s">
        <v>355</v>
      </c>
      <c r="O102" t="s">
        <v>1222</v>
      </c>
      <c r="P102" t="s">
        <v>1223</v>
      </c>
      <c r="Q102" t="s">
        <v>354</v>
      </c>
      <c r="R102">
        <v>2069127</v>
      </c>
      <c r="S102" t="s">
        <v>355</v>
      </c>
      <c r="U102" t="s">
        <v>1233</v>
      </c>
      <c r="V102" t="s">
        <v>356</v>
      </c>
      <c r="W102">
        <v>900000</v>
      </c>
      <c r="X102">
        <v>235.84</v>
      </c>
      <c r="Y102">
        <v>2054.5700000000002</v>
      </c>
      <c r="Z102">
        <v>900000</v>
      </c>
      <c r="AA102">
        <v>0</v>
      </c>
      <c r="AB102">
        <v>44454.748639502315</v>
      </c>
      <c r="AC102" t="s">
        <v>36</v>
      </c>
      <c r="AD102">
        <v>2</v>
      </c>
    </row>
    <row r="103" spans="1:30" x14ac:dyDescent="0.25">
      <c r="A103" t="s">
        <v>1051</v>
      </c>
      <c r="B103" t="s">
        <v>1106</v>
      </c>
      <c r="C103" t="s">
        <v>1151</v>
      </c>
      <c r="D103" t="s">
        <v>1234</v>
      </c>
      <c r="E103" t="s">
        <v>1060</v>
      </c>
      <c r="F103" t="s">
        <v>1061</v>
      </c>
      <c r="G103">
        <v>6100699</v>
      </c>
      <c r="H103">
        <v>202104</v>
      </c>
      <c r="I103">
        <v>44309</v>
      </c>
      <c r="J103" t="s">
        <v>1117</v>
      </c>
      <c r="K103" t="s">
        <v>1056</v>
      </c>
      <c r="M103" t="s">
        <v>355</v>
      </c>
      <c r="O103" t="s">
        <v>1192</v>
      </c>
      <c r="P103" t="s">
        <v>1193</v>
      </c>
      <c r="Q103" t="s">
        <v>1155</v>
      </c>
      <c r="R103">
        <v>2069125</v>
      </c>
      <c r="S103" t="s">
        <v>1194</v>
      </c>
      <c r="U103" t="s">
        <v>1235</v>
      </c>
      <c r="V103" t="s">
        <v>356</v>
      </c>
      <c r="W103">
        <v>400000</v>
      </c>
      <c r="X103">
        <v>110</v>
      </c>
      <c r="Y103">
        <v>911.2</v>
      </c>
      <c r="Z103">
        <v>400000</v>
      </c>
      <c r="AA103">
        <v>307</v>
      </c>
      <c r="AB103">
        <v>44318.78135690972</v>
      </c>
      <c r="AC103" t="s">
        <v>25</v>
      </c>
      <c r="AD103">
        <v>2</v>
      </c>
    </row>
    <row r="104" spans="1:30" x14ac:dyDescent="0.25">
      <c r="A104" t="s">
        <v>1051</v>
      </c>
      <c r="B104" t="s">
        <v>1106</v>
      </c>
      <c r="C104" t="s">
        <v>1151</v>
      </c>
      <c r="D104" t="s">
        <v>1236</v>
      </c>
      <c r="E104" t="s">
        <v>1060</v>
      </c>
      <c r="F104" t="s">
        <v>1061</v>
      </c>
      <c r="G104">
        <v>6100285</v>
      </c>
      <c r="H104">
        <v>202102</v>
      </c>
      <c r="I104">
        <v>44253</v>
      </c>
      <c r="J104" t="s">
        <v>1117</v>
      </c>
      <c r="K104" t="s">
        <v>1056</v>
      </c>
      <c r="M104" t="s">
        <v>355</v>
      </c>
      <c r="O104" t="s">
        <v>1237</v>
      </c>
      <c r="P104" t="s">
        <v>1238</v>
      </c>
      <c r="Q104" t="s">
        <v>354</v>
      </c>
      <c r="R104">
        <v>2069125</v>
      </c>
      <c r="S104" t="s">
        <v>355</v>
      </c>
      <c r="U104" t="s">
        <v>1239</v>
      </c>
      <c r="V104" t="s">
        <v>356</v>
      </c>
      <c r="W104">
        <v>20000</v>
      </c>
      <c r="X104">
        <v>5.68</v>
      </c>
      <c r="Y104">
        <v>48.02</v>
      </c>
      <c r="Z104">
        <v>20000</v>
      </c>
      <c r="AA104">
        <v>0</v>
      </c>
      <c r="AB104">
        <v>44258.912566747684</v>
      </c>
      <c r="AC104" t="s">
        <v>25</v>
      </c>
      <c r="AD104">
        <v>5</v>
      </c>
    </row>
    <row r="105" spans="1:30" x14ac:dyDescent="0.25">
      <c r="A105" t="s">
        <v>1051</v>
      </c>
      <c r="B105" t="s">
        <v>1106</v>
      </c>
      <c r="C105" t="s">
        <v>1151</v>
      </c>
      <c r="D105" t="s">
        <v>1236</v>
      </c>
      <c r="E105" t="s">
        <v>1060</v>
      </c>
      <c r="F105" t="s">
        <v>1061</v>
      </c>
      <c r="G105">
        <v>6100285</v>
      </c>
      <c r="H105">
        <v>202102</v>
      </c>
      <c r="I105">
        <v>44253</v>
      </c>
      <c r="J105" t="s">
        <v>1117</v>
      </c>
      <c r="K105" t="s">
        <v>1056</v>
      </c>
      <c r="M105" t="s">
        <v>355</v>
      </c>
      <c r="O105" t="s">
        <v>1240</v>
      </c>
      <c r="P105" t="s">
        <v>1241</v>
      </c>
      <c r="Q105" t="s">
        <v>354</v>
      </c>
      <c r="R105">
        <v>2069125</v>
      </c>
      <c r="S105" t="s">
        <v>355</v>
      </c>
      <c r="U105" t="s">
        <v>1242</v>
      </c>
      <c r="V105" t="s">
        <v>356</v>
      </c>
      <c r="W105">
        <v>30000</v>
      </c>
      <c r="X105">
        <v>8.52</v>
      </c>
      <c r="Y105">
        <v>72.03</v>
      </c>
      <c r="Z105">
        <v>30000</v>
      </c>
      <c r="AA105">
        <v>0</v>
      </c>
      <c r="AB105">
        <v>44258.912566898151</v>
      </c>
      <c r="AC105" t="s">
        <v>25</v>
      </c>
      <c r="AD105">
        <v>5</v>
      </c>
    </row>
    <row r="106" spans="1:30" x14ac:dyDescent="0.25">
      <c r="A106" t="s">
        <v>1051</v>
      </c>
      <c r="B106" t="s">
        <v>1106</v>
      </c>
      <c r="C106" t="s">
        <v>1151</v>
      </c>
      <c r="D106" t="s">
        <v>1236</v>
      </c>
      <c r="E106" t="s">
        <v>1060</v>
      </c>
      <c r="F106" t="s">
        <v>1061</v>
      </c>
      <c r="G106">
        <v>6100285</v>
      </c>
      <c r="H106">
        <v>202102</v>
      </c>
      <c r="I106">
        <v>44253</v>
      </c>
      <c r="J106" t="s">
        <v>1117</v>
      </c>
      <c r="K106" t="s">
        <v>1056</v>
      </c>
      <c r="M106" t="s">
        <v>355</v>
      </c>
      <c r="O106" t="s">
        <v>1237</v>
      </c>
      <c r="P106" t="s">
        <v>1238</v>
      </c>
      <c r="Q106" t="s">
        <v>354</v>
      </c>
      <c r="R106">
        <v>2069125</v>
      </c>
      <c r="S106" t="s">
        <v>355</v>
      </c>
      <c r="U106" t="s">
        <v>1243</v>
      </c>
      <c r="V106" t="s">
        <v>356</v>
      </c>
      <c r="W106">
        <v>24000</v>
      </c>
      <c r="X106">
        <v>6.82</v>
      </c>
      <c r="Y106">
        <v>57.62</v>
      </c>
      <c r="Z106">
        <v>24000</v>
      </c>
      <c r="AA106">
        <v>0</v>
      </c>
      <c r="AB106">
        <v>44258.912566898151</v>
      </c>
      <c r="AC106" t="s">
        <v>25</v>
      </c>
      <c r="AD106">
        <v>5</v>
      </c>
    </row>
    <row r="107" spans="1:30" x14ac:dyDescent="0.25">
      <c r="A107" t="s">
        <v>1051</v>
      </c>
      <c r="B107" t="s">
        <v>1106</v>
      </c>
      <c r="C107" t="s">
        <v>1151</v>
      </c>
      <c r="D107" t="s">
        <v>1236</v>
      </c>
      <c r="E107" t="s">
        <v>1060</v>
      </c>
      <c r="F107" t="s">
        <v>1061</v>
      </c>
      <c r="G107">
        <v>6100285</v>
      </c>
      <c r="H107">
        <v>202102</v>
      </c>
      <c r="I107">
        <v>44253</v>
      </c>
      <c r="J107" t="s">
        <v>1117</v>
      </c>
      <c r="K107" t="s">
        <v>1056</v>
      </c>
      <c r="M107" t="s">
        <v>355</v>
      </c>
      <c r="O107" t="s">
        <v>1244</v>
      </c>
      <c r="P107" t="s">
        <v>1245</v>
      </c>
      <c r="Q107" t="s">
        <v>354</v>
      </c>
      <c r="R107">
        <v>2069125</v>
      </c>
      <c r="S107" t="s">
        <v>355</v>
      </c>
      <c r="U107" t="s">
        <v>1246</v>
      </c>
      <c r="V107" t="s">
        <v>356</v>
      </c>
      <c r="W107">
        <v>9000</v>
      </c>
      <c r="X107">
        <v>2.56</v>
      </c>
      <c r="Y107">
        <v>21.61</v>
      </c>
      <c r="Z107">
        <v>9000</v>
      </c>
      <c r="AA107">
        <v>0</v>
      </c>
      <c r="AB107">
        <v>44258.912566898151</v>
      </c>
      <c r="AC107" t="s">
        <v>25</v>
      </c>
      <c r="AD107">
        <v>5</v>
      </c>
    </row>
    <row r="108" spans="1:30" x14ac:dyDescent="0.25">
      <c r="A108" t="s">
        <v>1051</v>
      </c>
      <c r="B108" t="s">
        <v>1106</v>
      </c>
      <c r="C108" t="s">
        <v>1151</v>
      </c>
      <c r="D108" t="s">
        <v>1236</v>
      </c>
      <c r="E108" t="s">
        <v>1060</v>
      </c>
      <c r="F108" t="s">
        <v>1061</v>
      </c>
      <c r="G108">
        <v>6100285</v>
      </c>
      <c r="H108">
        <v>202102</v>
      </c>
      <c r="I108">
        <v>44253</v>
      </c>
      <c r="J108" t="s">
        <v>1117</v>
      </c>
      <c r="K108" t="s">
        <v>1056</v>
      </c>
      <c r="M108" t="s">
        <v>355</v>
      </c>
      <c r="O108" t="s">
        <v>1244</v>
      </c>
      <c r="P108" t="s">
        <v>1245</v>
      </c>
      <c r="Q108" t="s">
        <v>354</v>
      </c>
      <c r="R108">
        <v>2069125</v>
      </c>
      <c r="S108" t="s">
        <v>355</v>
      </c>
      <c r="U108" t="s">
        <v>1247</v>
      </c>
      <c r="V108" t="s">
        <v>356</v>
      </c>
      <c r="W108">
        <v>9000</v>
      </c>
      <c r="X108">
        <v>2.56</v>
      </c>
      <c r="Y108">
        <v>21.61</v>
      </c>
      <c r="Z108">
        <v>9000</v>
      </c>
      <c r="AA108">
        <v>0</v>
      </c>
      <c r="AB108">
        <v>44258.912566898151</v>
      </c>
      <c r="AC108" t="s">
        <v>25</v>
      </c>
      <c r="AD108">
        <v>5</v>
      </c>
    </row>
    <row r="109" spans="1:30" s="275" customFormat="1" x14ac:dyDescent="0.25">
      <c r="A109" s="275" t="s">
        <v>1051</v>
      </c>
      <c r="B109" s="275" t="s">
        <v>1106</v>
      </c>
      <c r="C109" s="275" t="s">
        <v>1151</v>
      </c>
      <c r="D109" s="275" t="s">
        <v>1236</v>
      </c>
      <c r="E109" s="275" t="s">
        <v>1060</v>
      </c>
      <c r="F109" s="275" t="s">
        <v>1061</v>
      </c>
      <c r="G109" s="275">
        <v>6100285</v>
      </c>
      <c r="H109" s="275">
        <v>202102</v>
      </c>
      <c r="I109" s="275">
        <v>44253</v>
      </c>
      <c r="J109" s="275" t="s">
        <v>1117</v>
      </c>
      <c r="K109" s="275" t="s">
        <v>1056</v>
      </c>
      <c r="M109" s="275" t="s">
        <v>355</v>
      </c>
      <c r="O109" s="275" t="s">
        <v>1244</v>
      </c>
      <c r="P109" s="275" t="s">
        <v>1245</v>
      </c>
      <c r="Q109" s="275" t="s">
        <v>354</v>
      </c>
      <c r="R109" s="275">
        <v>2069125</v>
      </c>
      <c r="S109" s="275" t="s">
        <v>355</v>
      </c>
      <c r="U109" s="275" t="s">
        <v>1248</v>
      </c>
      <c r="V109" s="275" t="s">
        <v>356</v>
      </c>
      <c r="W109" s="275">
        <v>9000</v>
      </c>
      <c r="X109" s="275">
        <v>2.56</v>
      </c>
      <c r="Y109" s="275">
        <v>21.61</v>
      </c>
      <c r="Z109" s="275">
        <v>9000</v>
      </c>
      <c r="AA109" s="275">
        <v>0</v>
      </c>
      <c r="AB109" s="275">
        <v>44258.912567094907</v>
      </c>
      <c r="AC109" s="275" t="s">
        <v>25</v>
      </c>
      <c r="AD109" s="275">
        <v>5</v>
      </c>
    </row>
    <row r="110" spans="1:30" x14ac:dyDescent="0.25">
      <c r="A110" t="s">
        <v>1051</v>
      </c>
      <c r="B110" t="s">
        <v>1106</v>
      </c>
      <c r="C110" t="s">
        <v>1151</v>
      </c>
      <c r="D110" t="s">
        <v>1236</v>
      </c>
      <c r="E110" t="s">
        <v>1060</v>
      </c>
      <c r="F110" t="s">
        <v>1061</v>
      </c>
      <c r="G110">
        <v>6100285</v>
      </c>
      <c r="H110">
        <v>202102</v>
      </c>
      <c r="I110">
        <v>44253</v>
      </c>
      <c r="J110" t="s">
        <v>1117</v>
      </c>
      <c r="K110" t="s">
        <v>1056</v>
      </c>
      <c r="M110" t="s">
        <v>355</v>
      </c>
      <c r="O110" t="s">
        <v>1244</v>
      </c>
      <c r="P110" t="s">
        <v>1245</v>
      </c>
      <c r="Q110" t="s">
        <v>354</v>
      </c>
      <c r="R110">
        <v>2069125</v>
      </c>
      <c r="S110" t="s">
        <v>355</v>
      </c>
      <c r="U110" t="s">
        <v>1249</v>
      </c>
      <c r="V110" t="s">
        <v>356</v>
      </c>
      <c r="W110">
        <v>9000</v>
      </c>
      <c r="X110">
        <v>2.56</v>
      </c>
      <c r="Y110">
        <v>21.61</v>
      </c>
      <c r="Z110">
        <v>9000</v>
      </c>
      <c r="AA110">
        <v>0</v>
      </c>
      <c r="AB110">
        <v>44258.912567094907</v>
      </c>
      <c r="AC110" t="s">
        <v>25</v>
      </c>
      <c r="AD110">
        <v>5</v>
      </c>
    </row>
    <row r="111" spans="1:30" x14ac:dyDescent="0.25">
      <c r="A111" t="s">
        <v>1051</v>
      </c>
      <c r="B111" t="s">
        <v>1106</v>
      </c>
      <c r="C111" t="s">
        <v>1151</v>
      </c>
      <c r="D111" t="s">
        <v>1236</v>
      </c>
      <c r="E111" t="s">
        <v>1060</v>
      </c>
      <c r="F111" t="s">
        <v>1061</v>
      </c>
      <c r="G111">
        <v>6100285</v>
      </c>
      <c r="H111">
        <v>202102</v>
      </c>
      <c r="I111">
        <v>44253</v>
      </c>
      <c r="J111" t="s">
        <v>1117</v>
      </c>
      <c r="K111" t="s">
        <v>1056</v>
      </c>
      <c r="M111" t="s">
        <v>355</v>
      </c>
      <c r="O111" t="s">
        <v>1244</v>
      </c>
      <c r="P111" t="s">
        <v>1245</v>
      </c>
      <c r="Q111" t="s">
        <v>354</v>
      </c>
      <c r="R111">
        <v>2069125</v>
      </c>
      <c r="S111" t="s">
        <v>355</v>
      </c>
      <c r="U111" t="s">
        <v>1250</v>
      </c>
      <c r="V111" t="s">
        <v>356</v>
      </c>
      <c r="W111">
        <v>9000</v>
      </c>
      <c r="X111">
        <v>2.56</v>
      </c>
      <c r="Y111">
        <v>21.61</v>
      </c>
      <c r="Z111">
        <v>9000</v>
      </c>
      <c r="AA111">
        <v>0</v>
      </c>
      <c r="AB111">
        <v>44258.912567094907</v>
      </c>
      <c r="AC111" t="s">
        <v>25</v>
      </c>
      <c r="AD111">
        <v>5</v>
      </c>
    </row>
    <row r="112" spans="1:30" x14ac:dyDescent="0.25">
      <c r="A112" t="s">
        <v>1051</v>
      </c>
      <c r="B112" t="s">
        <v>1106</v>
      </c>
      <c r="C112" t="s">
        <v>1151</v>
      </c>
      <c r="D112" t="s">
        <v>1236</v>
      </c>
      <c r="E112" t="s">
        <v>1060</v>
      </c>
      <c r="F112" t="s">
        <v>1061</v>
      </c>
      <c r="G112">
        <v>6100285</v>
      </c>
      <c r="H112">
        <v>202102</v>
      </c>
      <c r="I112">
        <v>44253</v>
      </c>
      <c r="J112" t="s">
        <v>1117</v>
      </c>
      <c r="K112" t="s">
        <v>1056</v>
      </c>
      <c r="M112" t="s">
        <v>355</v>
      </c>
      <c r="O112" t="s">
        <v>1244</v>
      </c>
      <c r="P112" t="s">
        <v>1245</v>
      </c>
      <c r="Q112" t="s">
        <v>354</v>
      </c>
      <c r="R112">
        <v>2069125</v>
      </c>
      <c r="S112" t="s">
        <v>355</v>
      </c>
      <c r="U112" t="s">
        <v>1251</v>
      </c>
      <c r="V112" t="s">
        <v>356</v>
      </c>
      <c r="W112">
        <v>9000</v>
      </c>
      <c r="X112">
        <v>2.56</v>
      </c>
      <c r="Y112">
        <v>21.61</v>
      </c>
      <c r="Z112">
        <v>9000</v>
      </c>
      <c r="AA112">
        <v>0</v>
      </c>
      <c r="AB112">
        <v>44258.912567094907</v>
      </c>
      <c r="AC112" t="s">
        <v>25</v>
      </c>
      <c r="AD112">
        <v>5</v>
      </c>
    </row>
    <row r="113" spans="1:30" x14ac:dyDescent="0.25">
      <c r="A113" t="s">
        <v>1051</v>
      </c>
      <c r="B113" t="s">
        <v>1106</v>
      </c>
      <c r="C113" t="s">
        <v>1151</v>
      </c>
      <c r="D113" t="s">
        <v>1236</v>
      </c>
      <c r="E113" t="s">
        <v>1060</v>
      </c>
      <c r="F113" t="s">
        <v>1061</v>
      </c>
      <c r="G113">
        <v>6100285</v>
      </c>
      <c r="H113">
        <v>202102</v>
      </c>
      <c r="I113">
        <v>44253</v>
      </c>
      <c r="J113" t="s">
        <v>1117</v>
      </c>
      <c r="K113" t="s">
        <v>1056</v>
      </c>
      <c r="M113" t="s">
        <v>355</v>
      </c>
      <c r="O113" t="s">
        <v>1252</v>
      </c>
      <c r="P113" t="s">
        <v>1253</v>
      </c>
      <c r="Q113" t="s">
        <v>354</v>
      </c>
      <c r="R113">
        <v>2069125</v>
      </c>
      <c r="S113" t="s">
        <v>355</v>
      </c>
      <c r="U113" t="s">
        <v>1254</v>
      </c>
      <c r="V113" t="s">
        <v>356</v>
      </c>
      <c r="W113">
        <v>69000</v>
      </c>
      <c r="X113">
        <v>19.600000000000001</v>
      </c>
      <c r="Y113">
        <v>165.67</v>
      </c>
      <c r="Z113">
        <v>69000</v>
      </c>
      <c r="AA113">
        <v>0</v>
      </c>
      <c r="AB113">
        <v>44258.912567094907</v>
      </c>
      <c r="AC113" t="s">
        <v>25</v>
      </c>
      <c r="AD113">
        <v>5</v>
      </c>
    </row>
    <row r="114" spans="1:30" x14ac:dyDescent="0.25">
      <c r="A114" t="s">
        <v>1051</v>
      </c>
      <c r="B114" t="s">
        <v>1106</v>
      </c>
      <c r="C114" t="s">
        <v>1151</v>
      </c>
      <c r="D114" t="s">
        <v>1236</v>
      </c>
      <c r="E114" t="s">
        <v>1060</v>
      </c>
      <c r="F114" t="s">
        <v>1061</v>
      </c>
      <c r="G114">
        <v>6100285</v>
      </c>
      <c r="H114">
        <v>202102</v>
      </c>
      <c r="I114">
        <v>44253</v>
      </c>
      <c r="J114" t="s">
        <v>1117</v>
      </c>
      <c r="K114" t="s">
        <v>1056</v>
      </c>
      <c r="M114" t="s">
        <v>355</v>
      </c>
      <c r="O114" t="s">
        <v>1255</v>
      </c>
      <c r="P114" t="s">
        <v>1256</v>
      </c>
      <c r="Q114" t="s">
        <v>354</v>
      </c>
      <c r="R114">
        <v>2069125</v>
      </c>
      <c r="S114" t="s">
        <v>355</v>
      </c>
      <c r="U114" t="s">
        <v>1257</v>
      </c>
      <c r="V114" t="s">
        <v>356</v>
      </c>
      <c r="W114">
        <v>120017</v>
      </c>
      <c r="X114">
        <v>34.08</v>
      </c>
      <c r="Y114">
        <v>288.16000000000003</v>
      </c>
      <c r="Z114">
        <v>120017</v>
      </c>
      <c r="AA114">
        <v>316</v>
      </c>
      <c r="AB114">
        <v>44258.912567280095</v>
      </c>
      <c r="AC114" t="s">
        <v>25</v>
      </c>
      <c r="AD114">
        <v>5</v>
      </c>
    </row>
    <row r="115" spans="1:30" x14ac:dyDescent="0.25">
      <c r="A115" t="s">
        <v>1051</v>
      </c>
      <c r="B115" t="s">
        <v>1106</v>
      </c>
      <c r="C115" t="s">
        <v>1151</v>
      </c>
      <c r="D115" t="s">
        <v>1236</v>
      </c>
      <c r="E115" t="s">
        <v>1060</v>
      </c>
      <c r="F115" t="s">
        <v>1061</v>
      </c>
      <c r="G115">
        <v>6100285</v>
      </c>
      <c r="H115">
        <v>202102</v>
      </c>
      <c r="I115">
        <v>44253</v>
      </c>
      <c r="J115" t="s">
        <v>1117</v>
      </c>
      <c r="K115" t="s">
        <v>1056</v>
      </c>
      <c r="M115" t="s">
        <v>355</v>
      </c>
      <c r="O115" t="s">
        <v>1255</v>
      </c>
      <c r="P115" t="s">
        <v>1256</v>
      </c>
      <c r="Q115" t="s">
        <v>354</v>
      </c>
      <c r="R115">
        <v>2069125</v>
      </c>
      <c r="S115" t="s">
        <v>355</v>
      </c>
      <c r="U115" t="s">
        <v>1257</v>
      </c>
      <c r="V115" t="s">
        <v>356</v>
      </c>
      <c r="W115">
        <v>120</v>
      </c>
      <c r="X115">
        <v>0.03</v>
      </c>
      <c r="Y115">
        <v>0.28999999999999998</v>
      </c>
      <c r="Z115">
        <v>120</v>
      </c>
      <c r="AA115">
        <v>0</v>
      </c>
      <c r="AB115">
        <v>44258.912567280095</v>
      </c>
      <c r="AC115" t="s">
        <v>25</v>
      </c>
      <c r="AD115">
        <v>5</v>
      </c>
    </row>
    <row r="116" spans="1:30" x14ac:dyDescent="0.25">
      <c r="A116" t="s">
        <v>1051</v>
      </c>
      <c r="B116" t="s">
        <v>1106</v>
      </c>
      <c r="C116" t="s">
        <v>1151</v>
      </c>
      <c r="D116" t="s">
        <v>1236</v>
      </c>
      <c r="E116" t="s">
        <v>1060</v>
      </c>
      <c r="F116" t="s">
        <v>1061</v>
      </c>
      <c r="G116">
        <v>6100285</v>
      </c>
      <c r="H116">
        <v>202102</v>
      </c>
      <c r="I116">
        <v>44253</v>
      </c>
      <c r="J116" t="s">
        <v>1117</v>
      </c>
      <c r="K116" t="s">
        <v>1056</v>
      </c>
      <c r="M116" t="s">
        <v>355</v>
      </c>
      <c r="O116" t="s">
        <v>1258</v>
      </c>
      <c r="P116" t="s">
        <v>1259</v>
      </c>
      <c r="Q116" t="s">
        <v>354</v>
      </c>
      <c r="R116">
        <v>2069125</v>
      </c>
      <c r="S116" t="s">
        <v>355</v>
      </c>
      <c r="U116" t="s">
        <v>1260</v>
      </c>
      <c r="V116" t="s">
        <v>356</v>
      </c>
      <c r="W116">
        <v>29000</v>
      </c>
      <c r="X116">
        <v>8.24</v>
      </c>
      <c r="Y116">
        <v>69.63</v>
      </c>
      <c r="Z116">
        <v>29000</v>
      </c>
      <c r="AA116">
        <v>0</v>
      </c>
      <c r="AB116">
        <v>44258.912567476851</v>
      </c>
      <c r="AC116" t="s">
        <v>25</v>
      </c>
      <c r="AD116">
        <v>5</v>
      </c>
    </row>
    <row r="117" spans="1:30" x14ac:dyDescent="0.25">
      <c r="A117" t="s">
        <v>1051</v>
      </c>
      <c r="B117" t="s">
        <v>1106</v>
      </c>
      <c r="C117" t="s">
        <v>1151</v>
      </c>
      <c r="D117" t="s">
        <v>1236</v>
      </c>
      <c r="E117" t="s">
        <v>1060</v>
      </c>
      <c r="F117" t="s">
        <v>1061</v>
      </c>
      <c r="G117">
        <v>6100285</v>
      </c>
      <c r="H117">
        <v>202102</v>
      </c>
      <c r="I117">
        <v>44253</v>
      </c>
      <c r="J117" t="s">
        <v>1117</v>
      </c>
      <c r="K117" t="s">
        <v>1056</v>
      </c>
      <c r="M117" t="s">
        <v>355</v>
      </c>
      <c r="O117" t="s">
        <v>1261</v>
      </c>
      <c r="P117" t="s">
        <v>1262</v>
      </c>
      <c r="Q117" t="s">
        <v>354</v>
      </c>
      <c r="R117">
        <v>2069125</v>
      </c>
      <c r="S117" t="s">
        <v>355</v>
      </c>
      <c r="U117" t="s">
        <v>1263</v>
      </c>
      <c r="V117" t="s">
        <v>356</v>
      </c>
      <c r="W117">
        <v>104000</v>
      </c>
      <c r="X117">
        <v>29.54</v>
      </c>
      <c r="Y117">
        <v>249.7</v>
      </c>
      <c r="Z117">
        <v>104000</v>
      </c>
      <c r="AA117">
        <v>0</v>
      </c>
      <c r="AB117">
        <v>44258.912567476851</v>
      </c>
      <c r="AC117" t="s">
        <v>25</v>
      </c>
      <c r="AD117">
        <v>5</v>
      </c>
    </row>
    <row r="118" spans="1:30" x14ac:dyDescent="0.25">
      <c r="A118" t="s">
        <v>1051</v>
      </c>
      <c r="B118" t="s">
        <v>1106</v>
      </c>
      <c r="C118" t="s">
        <v>1151</v>
      </c>
      <c r="D118" t="s">
        <v>1236</v>
      </c>
      <c r="E118" t="s">
        <v>1060</v>
      </c>
      <c r="F118" t="s">
        <v>1061</v>
      </c>
      <c r="G118">
        <v>6100285</v>
      </c>
      <c r="H118">
        <v>202102</v>
      </c>
      <c r="I118">
        <v>44253</v>
      </c>
      <c r="J118" t="s">
        <v>1117</v>
      </c>
      <c r="K118" t="s">
        <v>1056</v>
      </c>
      <c r="M118" t="s">
        <v>355</v>
      </c>
      <c r="O118" t="s">
        <v>1264</v>
      </c>
      <c r="P118" t="s">
        <v>1265</v>
      </c>
      <c r="Q118" t="s">
        <v>354</v>
      </c>
      <c r="R118">
        <v>2069125</v>
      </c>
      <c r="S118" t="s">
        <v>355</v>
      </c>
      <c r="U118" t="s">
        <v>1266</v>
      </c>
      <c r="V118" t="s">
        <v>356</v>
      </c>
      <c r="W118">
        <v>73000</v>
      </c>
      <c r="X118">
        <v>20.73</v>
      </c>
      <c r="Y118">
        <v>175.27</v>
      </c>
      <c r="Z118">
        <v>73000</v>
      </c>
      <c r="AA118">
        <v>0</v>
      </c>
      <c r="AB118">
        <v>44258.912567476851</v>
      </c>
      <c r="AC118" t="s">
        <v>25</v>
      </c>
      <c r="AD118">
        <v>5</v>
      </c>
    </row>
    <row r="119" spans="1:30" x14ac:dyDescent="0.25">
      <c r="A119" t="s">
        <v>1051</v>
      </c>
      <c r="B119" t="s">
        <v>1106</v>
      </c>
      <c r="C119" t="s">
        <v>1151</v>
      </c>
      <c r="D119" t="s">
        <v>1236</v>
      </c>
      <c r="E119" t="s">
        <v>1060</v>
      </c>
      <c r="F119" t="s">
        <v>1061</v>
      </c>
      <c r="G119">
        <v>6100285</v>
      </c>
      <c r="H119">
        <v>202102</v>
      </c>
      <c r="I119">
        <v>44253</v>
      </c>
      <c r="J119" t="s">
        <v>1117</v>
      </c>
      <c r="K119" t="s">
        <v>1056</v>
      </c>
      <c r="M119" t="s">
        <v>355</v>
      </c>
      <c r="O119" t="s">
        <v>1255</v>
      </c>
      <c r="P119" t="s">
        <v>1256</v>
      </c>
      <c r="Q119" t="s">
        <v>354</v>
      </c>
      <c r="R119">
        <v>2069125</v>
      </c>
      <c r="S119" t="s">
        <v>355</v>
      </c>
      <c r="U119" t="s">
        <v>1267</v>
      </c>
      <c r="V119" t="s">
        <v>356</v>
      </c>
      <c r="W119">
        <v>45860</v>
      </c>
      <c r="X119">
        <v>13.02</v>
      </c>
      <c r="Y119">
        <v>110.11</v>
      </c>
      <c r="Z119">
        <v>45860</v>
      </c>
      <c r="AA119">
        <v>316</v>
      </c>
      <c r="AB119">
        <v>44258.912567476851</v>
      </c>
      <c r="AC119" t="s">
        <v>25</v>
      </c>
      <c r="AD119">
        <v>5</v>
      </c>
    </row>
    <row r="120" spans="1:30" x14ac:dyDescent="0.25">
      <c r="A120" t="s">
        <v>1051</v>
      </c>
      <c r="B120" t="s">
        <v>1106</v>
      </c>
      <c r="C120" t="s">
        <v>1151</v>
      </c>
      <c r="D120" t="s">
        <v>1236</v>
      </c>
      <c r="E120" t="s">
        <v>1060</v>
      </c>
      <c r="F120" t="s">
        <v>1061</v>
      </c>
      <c r="G120">
        <v>6100285</v>
      </c>
      <c r="H120">
        <v>202102</v>
      </c>
      <c r="I120">
        <v>44253</v>
      </c>
      <c r="J120" t="s">
        <v>1117</v>
      </c>
      <c r="K120" t="s">
        <v>1056</v>
      </c>
      <c r="M120" t="s">
        <v>355</v>
      </c>
      <c r="O120" t="s">
        <v>1255</v>
      </c>
      <c r="P120" t="s">
        <v>1256</v>
      </c>
      <c r="Q120" t="s">
        <v>354</v>
      </c>
      <c r="R120">
        <v>2069125</v>
      </c>
      <c r="S120" t="s">
        <v>355</v>
      </c>
      <c r="U120" t="s">
        <v>1267</v>
      </c>
      <c r="V120" t="s">
        <v>356</v>
      </c>
      <c r="W120">
        <v>46</v>
      </c>
      <c r="X120">
        <v>0.01</v>
      </c>
      <c r="Y120">
        <v>0.11</v>
      </c>
      <c r="Z120">
        <v>46</v>
      </c>
      <c r="AA120">
        <v>0</v>
      </c>
      <c r="AB120">
        <v>44258.912567627318</v>
      </c>
      <c r="AC120" t="s">
        <v>25</v>
      </c>
      <c r="AD120">
        <v>5</v>
      </c>
    </row>
    <row r="121" spans="1:30" x14ac:dyDescent="0.25">
      <c r="A121" t="s">
        <v>1051</v>
      </c>
      <c r="B121" t="s">
        <v>1106</v>
      </c>
      <c r="C121" t="s">
        <v>1151</v>
      </c>
      <c r="D121" t="s">
        <v>1236</v>
      </c>
      <c r="E121" t="s">
        <v>1060</v>
      </c>
      <c r="F121" t="s">
        <v>1061</v>
      </c>
      <c r="G121">
        <v>6100287</v>
      </c>
      <c r="H121">
        <v>202102</v>
      </c>
      <c r="I121">
        <v>44253</v>
      </c>
      <c r="J121" t="s">
        <v>1117</v>
      </c>
      <c r="K121" t="s">
        <v>1056</v>
      </c>
      <c r="M121" t="s">
        <v>355</v>
      </c>
      <c r="O121" t="s">
        <v>1268</v>
      </c>
      <c r="P121" t="s">
        <v>1269</v>
      </c>
      <c r="Q121" t="s">
        <v>354</v>
      </c>
      <c r="R121">
        <v>2069125</v>
      </c>
      <c r="S121" t="s">
        <v>1270</v>
      </c>
      <c r="U121" t="s">
        <v>1271</v>
      </c>
      <c r="V121" t="s">
        <v>356</v>
      </c>
      <c r="W121">
        <v>2000</v>
      </c>
      <c r="X121">
        <v>0.56999999999999995</v>
      </c>
      <c r="Y121">
        <v>4.8</v>
      </c>
      <c r="Z121">
        <v>2000</v>
      </c>
      <c r="AA121">
        <v>0</v>
      </c>
      <c r="AB121">
        <v>44258.934762500001</v>
      </c>
      <c r="AC121" t="s">
        <v>25</v>
      </c>
      <c r="AD121">
        <v>5</v>
      </c>
    </row>
    <row r="122" spans="1:30" x14ac:dyDescent="0.25">
      <c r="A122" t="s">
        <v>1051</v>
      </c>
      <c r="B122" t="s">
        <v>1106</v>
      </c>
      <c r="C122" t="s">
        <v>1151</v>
      </c>
      <c r="D122" t="s">
        <v>1236</v>
      </c>
      <c r="E122" t="s">
        <v>1060</v>
      </c>
      <c r="F122" t="s">
        <v>1061</v>
      </c>
      <c r="G122">
        <v>6100287</v>
      </c>
      <c r="H122">
        <v>202102</v>
      </c>
      <c r="I122">
        <v>44253</v>
      </c>
      <c r="J122" t="s">
        <v>1117</v>
      </c>
      <c r="K122" t="s">
        <v>1056</v>
      </c>
      <c r="M122" t="s">
        <v>355</v>
      </c>
      <c r="O122" t="s">
        <v>1244</v>
      </c>
      <c r="P122" t="s">
        <v>1245</v>
      </c>
      <c r="Q122" t="s">
        <v>354</v>
      </c>
      <c r="R122">
        <v>2069125</v>
      </c>
      <c r="S122" t="s">
        <v>1272</v>
      </c>
      <c r="U122" t="s">
        <v>1273</v>
      </c>
      <c r="V122" t="s">
        <v>356</v>
      </c>
      <c r="W122">
        <v>9000</v>
      </c>
      <c r="X122">
        <v>2.56</v>
      </c>
      <c r="Y122">
        <v>21.61</v>
      </c>
      <c r="Z122">
        <v>9000</v>
      </c>
      <c r="AA122">
        <v>0</v>
      </c>
      <c r="AB122">
        <v>44258.93476265046</v>
      </c>
      <c r="AC122" t="s">
        <v>25</v>
      </c>
      <c r="AD122">
        <v>5</v>
      </c>
    </row>
    <row r="123" spans="1:30" x14ac:dyDescent="0.25">
      <c r="A123" t="s">
        <v>1051</v>
      </c>
      <c r="B123" t="s">
        <v>1106</v>
      </c>
      <c r="C123" t="s">
        <v>1151</v>
      </c>
      <c r="D123" t="s">
        <v>1236</v>
      </c>
      <c r="E123" t="s">
        <v>1060</v>
      </c>
      <c r="F123" t="s">
        <v>1061</v>
      </c>
      <c r="G123">
        <v>6100287</v>
      </c>
      <c r="H123">
        <v>202102</v>
      </c>
      <c r="I123">
        <v>44253</v>
      </c>
      <c r="J123" t="s">
        <v>1117</v>
      </c>
      <c r="K123" t="s">
        <v>1056</v>
      </c>
      <c r="M123" t="s">
        <v>355</v>
      </c>
      <c r="O123" t="s">
        <v>1244</v>
      </c>
      <c r="P123" t="s">
        <v>1245</v>
      </c>
      <c r="Q123" t="s">
        <v>354</v>
      </c>
      <c r="R123">
        <v>2069125</v>
      </c>
      <c r="S123" t="s">
        <v>1274</v>
      </c>
      <c r="U123" t="s">
        <v>1273</v>
      </c>
      <c r="V123" t="s">
        <v>356</v>
      </c>
      <c r="W123">
        <v>9000</v>
      </c>
      <c r="X123">
        <v>2.56</v>
      </c>
      <c r="Y123">
        <v>21.61</v>
      </c>
      <c r="Z123">
        <v>9000</v>
      </c>
      <c r="AA123">
        <v>0</v>
      </c>
      <c r="AB123">
        <v>44258.93476265046</v>
      </c>
      <c r="AC123" t="s">
        <v>25</v>
      </c>
      <c r="AD123">
        <v>5</v>
      </c>
    </row>
    <row r="124" spans="1:30" x14ac:dyDescent="0.25">
      <c r="A124" t="s">
        <v>1051</v>
      </c>
      <c r="B124" t="s">
        <v>1106</v>
      </c>
      <c r="C124" t="s">
        <v>1151</v>
      </c>
      <c r="D124" t="s">
        <v>1236</v>
      </c>
      <c r="E124" t="s">
        <v>1060</v>
      </c>
      <c r="F124" t="s">
        <v>1061</v>
      </c>
      <c r="G124">
        <v>6100287</v>
      </c>
      <c r="H124">
        <v>202102</v>
      </c>
      <c r="I124">
        <v>44253</v>
      </c>
      <c r="J124" t="s">
        <v>1117</v>
      </c>
      <c r="K124" t="s">
        <v>1056</v>
      </c>
      <c r="M124" t="s">
        <v>355</v>
      </c>
      <c r="O124" t="s">
        <v>1244</v>
      </c>
      <c r="P124" t="s">
        <v>1245</v>
      </c>
      <c r="Q124" t="s">
        <v>354</v>
      </c>
      <c r="R124">
        <v>2069125</v>
      </c>
      <c r="S124" t="s">
        <v>1275</v>
      </c>
      <c r="U124" t="s">
        <v>1273</v>
      </c>
      <c r="V124" t="s">
        <v>356</v>
      </c>
      <c r="W124">
        <v>9000</v>
      </c>
      <c r="X124">
        <v>2.56</v>
      </c>
      <c r="Y124">
        <v>21.61</v>
      </c>
      <c r="Z124">
        <v>9000</v>
      </c>
      <c r="AA124">
        <v>0</v>
      </c>
      <c r="AB124">
        <v>44258.93476265046</v>
      </c>
      <c r="AC124" t="s">
        <v>25</v>
      </c>
      <c r="AD124">
        <v>5</v>
      </c>
    </row>
    <row r="125" spans="1:30" x14ac:dyDescent="0.25">
      <c r="A125" t="s">
        <v>1051</v>
      </c>
      <c r="B125" t="s">
        <v>1106</v>
      </c>
      <c r="C125" t="s">
        <v>1151</v>
      </c>
      <c r="D125" t="s">
        <v>1236</v>
      </c>
      <c r="E125" t="s">
        <v>1060</v>
      </c>
      <c r="F125" t="s">
        <v>1061</v>
      </c>
      <c r="G125">
        <v>6100287</v>
      </c>
      <c r="H125">
        <v>202102</v>
      </c>
      <c r="I125">
        <v>44253</v>
      </c>
      <c r="J125" t="s">
        <v>1117</v>
      </c>
      <c r="K125" t="s">
        <v>1056</v>
      </c>
      <c r="M125" t="s">
        <v>355</v>
      </c>
      <c r="O125" t="s">
        <v>1244</v>
      </c>
      <c r="P125" t="s">
        <v>1245</v>
      </c>
      <c r="Q125" t="s">
        <v>354</v>
      </c>
      <c r="R125">
        <v>2069125</v>
      </c>
      <c r="S125" t="s">
        <v>1276</v>
      </c>
      <c r="U125" t="s">
        <v>1273</v>
      </c>
      <c r="V125" t="s">
        <v>356</v>
      </c>
      <c r="W125">
        <v>9000</v>
      </c>
      <c r="X125">
        <v>2.56</v>
      </c>
      <c r="Y125">
        <v>21.61</v>
      </c>
      <c r="Z125">
        <v>9000</v>
      </c>
      <c r="AA125">
        <v>0</v>
      </c>
      <c r="AB125">
        <v>44258.93476265046</v>
      </c>
      <c r="AC125" t="s">
        <v>25</v>
      </c>
      <c r="AD125">
        <v>5</v>
      </c>
    </row>
    <row r="126" spans="1:30" x14ac:dyDescent="0.25">
      <c r="A126" t="s">
        <v>1051</v>
      </c>
      <c r="B126" t="s">
        <v>1106</v>
      </c>
      <c r="C126" t="s">
        <v>1151</v>
      </c>
      <c r="D126" t="s">
        <v>1236</v>
      </c>
      <c r="E126" t="s">
        <v>1060</v>
      </c>
      <c r="F126" t="s">
        <v>1061</v>
      </c>
      <c r="G126">
        <v>6100287</v>
      </c>
      <c r="H126">
        <v>202102</v>
      </c>
      <c r="I126">
        <v>44253</v>
      </c>
      <c r="J126" t="s">
        <v>1117</v>
      </c>
      <c r="K126" t="s">
        <v>1056</v>
      </c>
      <c r="M126" t="s">
        <v>355</v>
      </c>
      <c r="O126" t="s">
        <v>1258</v>
      </c>
      <c r="P126" t="s">
        <v>1259</v>
      </c>
      <c r="Q126" t="s">
        <v>354</v>
      </c>
      <c r="R126">
        <v>2069125</v>
      </c>
      <c r="S126" t="s">
        <v>1277</v>
      </c>
      <c r="U126" t="s">
        <v>1182</v>
      </c>
      <c r="V126" t="s">
        <v>356</v>
      </c>
      <c r="W126">
        <v>9500</v>
      </c>
      <c r="X126">
        <v>2.7</v>
      </c>
      <c r="Y126">
        <v>22.81</v>
      </c>
      <c r="Z126">
        <v>9500</v>
      </c>
      <c r="AA126">
        <v>0</v>
      </c>
      <c r="AB126">
        <v>44258.93476265046</v>
      </c>
      <c r="AC126" t="s">
        <v>25</v>
      </c>
      <c r="AD126">
        <v>5</v>
      </c>
    </row>
    <row r="127" spans="1:30" x14ac:dyDescent="0.25">
      <c r="A127" t="s">
        <v>1051</v>
      </c>
      <c r="B127" t="s">
        <v>1106</v>
      </c>
      <c r="C127" t="s">
        <v>1151</v>
      </c>
      <c r="D127" t="s">
        <v>1236</v>
      </c>
      <c r="E127" t="s">
        <v>1060</v>
      </c>
      <c r="F127" t="s">
        <v>1061</v>
      </c>
      <c r="G127">
        <v>6100287</v>
      </c>
      <c r="H127">
        <v>202102</v>
      </c>
      <c r="I127">
        <v>44253</v>
      </c>
      <c r="J127" t="s">
        <v>1117</v>
      </c>
      <c r="K127" t="s">
        <v>1056</v>
      </c>
      <c r="M127" t="s">
        <v>355</v>
      </c>
      <c r="O127" t="s">
        <v>1179</v>
      </c>
      <c r="P127" t="s">
        <v>1180</v>
      </c>
      <c r="Q127" t="s">
        <v>354</v>
      </c>
      <c r="R127">
        <v>2069125</v>
      </c>
      <c r="S127" t="s">
        <v>1181</v>
      </c>
      <c r="U127" t="s">
        <v>1182</v>
      </c>
      <c r="V127" t="s">
        <v>356</v>
      </c>
      <c r="W127">
        <v>10121</v>
      </c>
      <c r="X127">
        <v>2.87</v>
      </c>
      <c r="Y127">
        <v>24.3</v>
      </c>
      <c r="Z127">
        <v>10121</v>
      </c>
      <c r="AA127">
        <v>166</v>
      </c>
      <c r="AB127">
        <v>44258.93476265046</v>
      </c>
      <c r="AC127" t="s">
        <v>25</v>
      </c>
      <c r="AD127">
        <v>5</v>
      </c>
    </row>
    <row r="128" spans="1:30" x14ac:dyDescent="0.25">
      <c r="A128" t="s">
        <v>1051</v>
      </c>
      <c r="B128" t="s">
        <v>1106</v>
      </c>
      <c r="C128" t="s">
        <v>1151</v>
      </c>
      <c r="D128" t="s">
        <v>1236</v>
      </c>
      <c r="E128" t="s">
        <v>1060</v>
      </c>
      <c r="F128" t="s">
        <v>1061</v>
      </c>
      <c r="G128">
        <v>6100287</v>
      </c>
      <c r="H128">
        <v>202102</v>
      </c>
      <c r="I128">
        <v>44253</v>
      </c>
      <c r="J128" t="s">
        <v>1117</v>
      </c>
      <c r="K128" t="s">
        <v>1056</v>
      </c>
      <c r="M128" t="s">
        <v>355</v>
      </c>
      <c r="O128" t="s">
        <v>1278</v>
      </c>
      <c r="P128" t="s">
        <v>1279</v>
      </c>
      <c r="Q128" t="s">
        <v>354</v>
      </c>
      <c r="R128">
        <v>2069125</v>
      </c>
      <c r="S128" t="s">
        <v>1280</v>
      </c>
      <c r="U128" t="s">
        <v>1281</v>
      </c>
      <c r="V128" t="s">
        <v>356</v>
      </c>
      <c r="W128">
        <v>62004</v>
      </c>
      <c r="X128">
        <v>17.61</v>
      </c>
      <c r="Y128">
        <v>148.87</v>
      </c>
      <c r="Z128">
        <v>62004</v>
      </c>
      <c r="AA128">
        <v>316</v>
      </c>
      <c r="AB128">
        <v>44258.93476265046</v>
      </c>
      <c r="AC128" t="s">
        <v>25</v>
      </c>
      <c r="AD128">
        <v>5</v>
      </c>
    </row>
    <row r="129" spans="1:30" x14ac:dyDescent="0.25">
      <c r="A129" t="s">
        <v>1051</v>
      </c>
      <c r="B129" t="s">
        <v>1106</v>
      </c>
      <c r="C129" t="s">
        <v>1151</v>
      </c>
      <c r="D129" t="s">
        <v>1236</v>
      </c>
      <c r="E129" t="s">
        <v>1060</v>
      </c>
      <c r="F129" t="s">
        <v>1061</v>
      </c>
      <c r="G129">
        <v>6100287</v>
      </c>
      <c r="H129">
        <v>202102</v>
      </c>
      <c r="I129">
        <v>44253</v>
      </c>
      <c r="J129" t="s">
        <v>1117</v>
      </c>
      <c r="K129" t="s">
        <v>1056</v>
      </c>
      <c r="M129" t="s">
        <v>355</v>
      </c>
      <c r="O129" t="s">
        <v>1278</v>
      </c>
      <c r="P129" t="s">
        <v>1279</v>
      </c>
      <c r="Q129" t="s">
        <v>354</v>
      </c>
      <c r="R129">
        <v>2069125</v>
      </c>
      <c r="S129" t="s">
        <v>1280</v>
      </c>
      <c r="U129" t="s">
        <v>1281</v>
      </c>
      <c r="V129" t="s">
        <v>356</v>
      </c>
      <c r="W129">
        <v>62</v>
      </c>
      <c r="X129">
        <v>0.02</v>
      </c>
      <c r="Y129">
        <v>0.15</v>
      </c>
      <c r="Z129">
        <v>62</v>
      </c>
      <c r="AA129">
        <v>0</v>
      </c>
      <c r="AB129">
        <v>44258.93476265046</v>
      </c>
      <c r="AC129" t="s">
        <v>25</v>
      </c>
      <c r="AD129">
        <v>5</v>
      </c>
    </row>
    <row r="130" spans="1:30" x14ac:dyDescent="0.25">
      <c r="A130" t="s">
        <v>1051</v>
      </c>
      <c r="B130" t="s">
        <v>1106</v>
      </c>
      <c r="C130" t="s">
        <v>1151</v>
      </c>
      <c r="D130" t="s">
        <v>1236</v>
      </c>
      <c r="E130" t="s">
        <v>1060</v>
      </c>
      <c r="F130" t="s">
        <v>1061</v>
      </c>
      <c r="G130">
        <v>6100287</v>
      </c>
      <c r="H130">
        <v>202102</v>
      </c>
      <c r="I130">
        <v>44253</v>
      </c>
      <c r="J130" t="s">
        <v>1117</v>
      </c>
      <c r="K130" t="s">
        <v>1056</v>
      </c>
      <c r="M130" t="s">
        <v>355</v>
      </c>
      <c r="O130" t="s">
        <v>1261</v>
      </c>
      <c r="P130" t="s">
        <v>1262</v>
      </c>
      <c r="Q130" t="s">
        <v>354</v>
      </c>
      <c r="R130">
        <v>2069125</v>
      </c>
      <c r="S130" t="s">
        <v>1282</v>
      </c>
      <c r="U130" t="s">
        <v>1283</v>
      </c>
      <c r="V130" t="s">
        <v>356</v>
      </c>
      <c r="W130">
        <v>25000</v>
      </c>
      <c r="X130">
        <v>7.1</v>
      </c>
      <c r="Y130">
        <v>60.03</v>
      </c>
      <c r="Z130">
        <v>25000</v>
      </c>
      <c r="AA130">
        <v>0</v>
      </c>
      <c r="AB130">
        <v>44258.934762847224</v>
      </c>
      <c r="AC130" t="s">
        <v>25</v>
      </c>
      <c r="AD130">
        <v>5</v>
      </c>
    </row>
    <row r="131" spans="1:30" x14ac:dyDescent="0.25">
      <c r="A131" t="s">
        <v>1051</v>
      </c>
      <c r="B131" t="s">
        <v>1106</v>
      </c>
      <c r="C131" t="s">
        <v>1151</v>
      </c>
      <c r="D131" t="s">
        <v>1236</v>
      </c>
      <c r="E131" t="s">
        <v>1060</v>
      </c>
      <c r="F131" t="s">
        <v>1061</v>
      </c>
      <c r="G131">
        <v>6100287</v>
      </c>
      <c r="H131">
        <v>202102</v>
      </c>
      <c r="I131">
        <v>44253</v>
      </c>
      <c r="J131" t="s">
        <v>1117</v>
      </c>
      <c r="K131" t="s">
        <v>1056</v>
      </c>
      <c r="M131" t="s">
        <v>355</v>
      </c>
      <c r="O131" t="s">
        <v>1284</v>
      </c>
      <c r="P131" t="s">
        <v>1285</v>
      </c>
      <c r="Q131" t="s">
        <v>354</v>
      </c>
      <c r="R131">
        <v>2069125</v>
      </c>
      <c r="S131" t="s">
        <v>1286</v>
      </c>
      <c r="U131" t="s">
        <v>1287</v>
      </c>
      <c r="V131" t="s">
        <v>356</v>
      </c>
      <c r="W131">
        <v>3000</v>
      </c>
      <c r="X131">
        <v>0.85</v>
      </c>
      <c r="Y131">
        <v>7.2</v>
      </c>
      <c r="Z131">
        <v>3000</v>
      </c>
      <c r="AA131">
        <v>0</v>
      </c>
      <c r="AB131">
        <v>44258.934762847224</v>
      </c>
      <c r="AC131" t="s">
        <v>25</v>
      </c>
      <c r="AD131">
        <v>5</v>
      </c>
    </row>
    <row r="132" spans="1:30" x14ac:dyDescent="0.25">
      <c r="A132" t="s">
        <v>1051</v>
      </c>
      <c r="B132" t="s">
        <v>1106</v>
      </c>
      <c r="C132" t="s">
        <v>1151</v>
      </c>
      <c r="D132" t="s">
        <v>1236</v>
      </c>
      <c r="E132" t="s">
        <v>1060</v>
      </c>
      <c r="F132" t="s">
        <v>1061</v>
      </c>
      <c r="G132">
        <v>6100287</v>
      </c>
      <c r="H132">
        <v>202102</v>
      </c>
      <c r="I132">
        <v>44253</v>
      </c>
      <c r="J132" t="s">
        <v>1117</v>
      </c>
      <c r="K132" t="s">
        <v>1056</v>
      </c>
      <c r="M132" t="s">
        <v>355</v>
      </c>
      <c r="O132" t="s">
        <v>1288</v>
      </c>
      <c r="P132" t="s">
        <v>1289</v>
      </c>
      <c r="Q132" t="s">
        <v>354</v>
      </c>
      <c r="R132">
        <v>2069125</v>
      </c>
      <c r="S132" t="s">
        <v>1290</v>
      </c>
      <c r="U132" t="s">
        <v>1287</v>
      </c>
      <c r="V132" t="s">
        <v>356</v>
      </c>
      <c r="W132">
        <v>7000</v>
      </c>
      <c r="X132">
        <v>1.99</v>
      </c>
      <c r="Y132">
        <v>16.809999999999999</v>
      </c>
      <c r="Z132">
        <v>7000</v>
      </c>
      <c r="AA132">
        <v>0</v>
      </c>
      <c r="AB132">
        <v>44258.934762847224</v>
      </c>
      <c r="AC132" t="s">
        <v>25</v>
      </c>
      <c r="AD132">
        <v>5</v>
      </c>
    </row>
    <row r="133" spans="1:30" x14ac:dyDescent="0.25">
      <c r="A133" t="s">
        <v>1051</v>
      </c>
      <c r="B133" t="s">
        <v>1106</v>
      </c>
      <c r="C133" t="s">
        <v>1151</v>
      </c>
      <c r="D133" t="s">
        <v>1236</v>
      </c>
      <c r="E133" t="s">
        <v>1060</v>
      </c>
      <c r="F133" t="s">
        <v>1061</v>
      </c>
      <c r="G133">
        <v>6100287</v>
      </c>
      <c r="H133">
        <v>202102</v>
      </c>
      <c r="I133">
        <v>44253</v>
      </c>
      <c r="J133" t="s">
        <v>1117</v>
      </c>
      <c r="K133" t="s">
        <v>1056</v>
      </c>
      <c r="M133" t="s">
        <v>355</v>
      </c>
      <c r="O133" t="s">
        <v>1252</v>
      </c>
      <c r="P133" t="s">
        <v>1253</v>
      </c>
      <c r="Q133" t="s">
        <v>354</v>
      </c>
      <c r="R133">
        <v>2069125</v>
      </c>
      <c r="S133" t="s">
        <v>1291</v>
      </c>
      <c r="U133" t="s">
        <v>1292</v>
      </c>
      <c r="V133" t="s">
        <v>356</v>
      </c>
      <c r="W133">
        <v>14000</v>
      </c>
      <c r="X133">
        <v>3.98</v>
      </c>
      <c r="Y133">
        <v>33.61</v>
      </c>
      <c r="Z133">
        <v>14000</v>
      </c>
      <c r="AA133">
        <v>0</v>
      </c>
      <c r="AB133">
        <v>44258.934762847224</v>
      </c>
      <c r="AC133" t="s">
        <v>25</v>
      </c>
      <c r="AD133">
        <v>5</v>
      </c>
    </row>
    <row r="134" spans="1:30" x14ac:dyDescent="0.25">
      <c r="A134" t="s">
        <v>1051</v>
      </c>
      <c r="B134" t="s">
        <v>1106</v>
      </c>
      <c r="C134" t="s">
        <v>1151</v>
      </c>
      <c r="D134" t="s">
        <v>1236</v>
      </c>
      <c r="E134" t="s">
        <v>1060</v>
      </c>
      <c r="F134" t="s">
        <v>1061</v>
      </c>
      <c r="G134">
        <v>6100287</v>
      </c>
      <c r="H134">
        <v>202102</v>
      </c>
      <c r="I134">
        <v>44253</v>
      </c>
      <c r="J134" t="s">
        <v>1117</v>
      </c>
      <c r="K134" t="s">
        <v>1056</v>
      </c>
      <c r="M134" t="s">
        <v>355</v>
      </c>
      <c r="O134" t="s">
        <v>1293</v>
      </c>
      <c r="P134" t="s">
        <v>1294</v>
      </c>
      <c r="Q134" t="s">
        <v>354</v>
      </c>
      <c r="R134">
        <v>2069125</v>
      </c>
      <c r="S134" t="s">
        <v>1295</v>
      </c>
      <c r="U134" t="s">
        <v>1287</v>
      </c>
      <c r="V134" t="s">
        <v>356</v>
      </c>
      <c r="W134">
        <v>32000</v>
      </c>
      <c r="X134">
        <v>9.09</v>
      </c>
      <c r="Y134">
        <v>76.83</v>
      </c>
      <c r="Z134">
        <v>32000</v>
      </c>
      <c r="AA134">
        <v>0</v>
      </c>
      <c r="AB134">
        <v>44258.934762847224</v>
      </c>
      <c r="AC134" t="s">
        <v>25</v>
      </c>
      <c r="AD134">
        <v>5</v>
      </c>
    </row>
    <row r="135" spans="1:30" x14ac:dyDescent="0.25">
      <c r="A135" t="s">
        <v>1051</v>
      </c>
      <c r="B135" t="s">
        <v>1106</v>
      </c>
      <c r="C135" t="s">
        <v>1151</v>
      </c>
      <c r="D135" t="s">
        <v>1236</v>
      </c>
      <c r="E135" t="s">
        <v>1060</v>
      </c>
      <c r="F135" t="s">
        <v>1061</v>
      </c>
      <c r="G135">
        <v>6100287</v>
      </c>
      <c r="H135">
        <v>202102</v>
      </c>
      <c r="I135">
        <v>44253</v>
      </c>
      <c r="J135" t="s">
        <v>1117</v>
      </c>
      <c r="K135" t="s">
        <v>1056</v>
      </c>
      <c r="M135" t="s">
        <v>355</v>
      </c>
      <c r="O135" t="s">
        <v>1145</v>
      </c>
      <c r="P135" t="s">
        <v>1146</v>
      </c>
      <c r="Q135" t="s">
        <v>354</v>
      </c>
      <c r="R135">
        <v>2069125</v>
      </c>
      <c r="S135" t="s">
        <v>1296</v>
      </c>
      <c r="U135" t="s">
        <v>1297</v>
      </c>
      <c r="V135" t="s">
        <v>356</v>
      </c>
      <c r="W135">
        <v>248</v>
      </c>
      <c r="X135">
        <v>7.0000000000000007E-2</v>
      </c>
      <c r="Y135">
        <v>0.6</v>
      </c>
      <c r="Z135">
        <v>248</v>
      </c>
      <c r="AA135">
        <v>0</v>
      </c>
      <c r="AB135">
        <v>44258.934762847224</v>
      </c>
      <c r="AC135" t="s">
        <v>25</v>
      </c>
      <c r="AD135">
        <v>5</v>
      </c>
    </row>
    <row r="136" spans="1:30" x14ac:dyDescent="0.25">
      <c r="A136" t="s">
        <v>1051</v>
      </c>
      <c r="B136" t="s">
        <v>1106</v>
      </c>
      <c r="C136" t="s">
        <v>1151</v>
      </c>
      <c r="D136" t="s">
        <v>1236</v>
      </c>
      <c r="E136" t="s">
        <v>1060</v>
      </c>
      <c r="F136" t="s">
        <v>1061</v>
      </c>
      <c r="G136">
        <v>6100287</v>
      </c>
      <c r="H136">
        <v>202102</v>
      </c>
      <c r="I136">
        <v>44253</v>
      </c>
      <c r="J136" t="s">
        <v>1117</v>
      </c>
      <c r="K136" t="s">
        <v>1056</v>
      </c>
      <c r="M136" t="s">
        <v>355</v>
      </c>
      <c r="O136" t="s">
        <v>1145</v>
      </c>
      <c r="P136" t="s">
        <v>1146</v>
      </c>
      <c r="Q136" t="s">
        <v>354</v>
      </c>
      <c r="R136">
        <v>2069125</v>
      </c>
      <c r="S136" t="s">
        <v>1298</v>
      </c>
      <c r="U136" t="s">
        <v>1297</v>
      </c>
      <c r="V136" t="s">
        <v>356</v>
      </c>
      <c r="W136">
        <v>1600</v>
      </c>
      <c r="X136">
        <v>0.45</v>
      </c>
      <c r="Y136">
        <v>3.84</v>
      </c>
      <c r="Z136">
        <v>1600</v>
      </c>
      <c r="AA136">
        <v>0</v>
      </c>
      <c r="AB136">
        <v>44258.934762847224</v>
      </c>
      <c r="AC136" t="s">
        <v>25</v>
      </c>
      <c r="AD136">
        <v>5</v>
      </c>
    </row>
    <row r="137" spans="1:30" x14ac:dyDescent="0.25">
      <c r="A137" t="s">
        <v>1051</v>
      </c>
      <c r="B137" t="s">
        <v>1106</v>
      </c>
      <c r="C137" t="s">
        <v>1151</v>
      </c>
      <c r="D137" t="s">
        <v>1236</v>
      </c>
      <c r="E137" t="s">
        <v>1060</v>
      </c>
      <c r="F137" t="s">
        <v>1061</v>
      </c>
      <c r="G137">
        <v>6100287</v>
      </c>
      <c r="H137">
        <v>202102</v>
      </c>
      <c r="I137">
        <v>44253</v>
      </c>
      <c r="J137" t="s">
        <v>1117</v>
      </c>
      <c r="K137" t="s">
        <v>1056</v>
      </c>
      <c r="M137" t="s">
        <v>355</v>
      </c>
      <c r="O137" t="s">
        <v>1145</v>
      </c>
      <c r="P137" t="s">
        <v>1146</v>
      </c>
      <c r="Q137" t="s">
        <v>354</v>
      </c>
      <c r="R137">
        <v>2069125</v>
      </c>
      <c r="S137" t="s">
        <v>1296</v>
      </c>
      <c r="U137" t="s">
        <v>1299</v>
      </c>
      <c r="V137" t="s">
        <v>356</v>
      </c>
      <c r="W137">
        <v>-15</v>
      </c>
      <c r="X137">
        <v>0</v>
      </c>
      <c r="Y137">
        <v>-0.04</v>
      </c>
      <c r="Z137">
        <v>-15</v>
      </c>
      <c r="AA137">
        <v>0</v>
      </c>
      <c r="AB137">
        <v>44258.934762847224</v>
      </c>
      <c r="AC137" t="s">
        <v>25</v>
      </c>
      <c r="AD137">
        <v>5</v>
      </c>
    </row>
    <row r="138" spans="1:30" x14ac:dyDescent="0.25">
      <c r="A138" t="s">
        <v>1051</v>
      </c>
      <c r="B138" t="s">
        <v>1106</v>
      </c>
      <c r="C138" t="s">
        <v>1151</v>
      </c>
      <c r="D138" t="s">
        <v>1236</v>
      </c>
      <c r="E138" t="s">
        <v>1060</v>
      </c>
      <c r="F138" t="s">
        <v>1061</v>
      </c>
      <c r="G138">
        <v>6100327</v>
      </c>
      <c r="H138">
        <v>202102</v>
      </c>
      <c r="I138">
        <v>44245</v>
      </c>
      <c r="J138">
        <v>122536</v>
      </c>
      <c r="K138" t="s">
        <v>1056</v>
      </c>
      <c r="M138" t="s">
        <v>355</v>
      </c>
      <c r="O138" t="s">
        <v>1174</v>
      </c>
      <c r="P138" t="s">
        <v>1175</v>
      </c>
      <c r="Q138" t="s">
        <v>354</v>
      </c>
      <c r="R138">
        <v>2069125</v>
      </c>
      <c r="S138" t="s">
        <v>355</v>
      </c>
      <c r="U138" t="s">
        <v>1176</v>
      </c>
      <c r="V138" t="s">
        <v>356</v>
      </c>
      <c r="W138">
        <v>179200</v>
      </c>
      <c r="X138">
        <v>50.36</v>
      </c>
      <c r="Y138">
        <v>430.08</v>
      </c>
      <c r="Z138">
        <v>179200</v>
      </c>
      <c r="AA138">
        <v>166</v>
      </c>
      <c r="AB138">
        <v>44260.044781481483</v>
      </c>
      <c r="AC138" t="s">
        <v>25</v>
      </c>
      <c r="AD138">
        <v>5</v>
      </c>
    </row>
    <row r="139" spans="1:30" x14ac:dyDescent="0.25">
      <c r="A139" t="s">
        <v>1051</v>
      </c>
      <c r="B139" t="s">
        <v>1106</v>
      </c>
      <c r="C139" t="s">
        <v>1151</v>
      </c>
      <c r="D139" t="s">
        <v>1236</v>
      </c>
      <c r="E139" t="s">
        <v>1060</v>
      </c>
      <c r="F139" t="s">
        <v>1061</v>
      </c>
      <c r="G139">
        <v>6100327</v>
      </c>
      <c r="H139">
        <v>202102</v>
      </c>
      <c r="I139">
        <v>44245</v>
      </c>
      <c r="J139">
        <v>122536</v>
      </c>
      <c r="K139" t="s">
        <v>1056</v>
      </c>
      <c r="M139" t="s">
        <v>355</v>
      </c>
      <c r="O139" t="s">
        <v>1174</v>
      </c>
      <c r="P139" t="s">
        <v>1175</v>
      </c>
      <c r="Q139" t="s">
        <v>354</v>
      </c>
      <c r="R139">
        <v>2069125</v>
      </c>
      <c r="S139" t="s">
        <v>355</v>
      </c>
      <c r="U139" t="s">
        <v>1176</v>
      </c>
      <c r="V139" t="s">
        <v>356</v>
      </c>
      <c r="W139">
        <v>33500</v>
      </c>
      <c r="X139">
        <v>9.41</v>
      </c>
      <c r="Y139">
        <v>80.400000000000006</v>
      </c>
      <c r="Z139">
        <v>33500</v>
      </c>
      <c r="AA139">
        <v>0</v>
      </c>
      <c r="AB139">
        <v>44260.044781481483</v>
      </c>
      <c r="AC139" t="s">
        <v>25</v>
      </c>
      <c r="AD139">
        <v>5</v>
      </c>
    </row>
    <row r="140" spans="1:30" x14ac:dyDescent="0.25">
      <c r="A140" t="s">
        <v>1051</v>
      </c>
      <c r="B140" t="s">
        <v>1106</v>
      </c>
      <c r="C140" t="s">
        <v>1151</v>
      </c>
      <c r="D140" t="s">
        <v>1236</v>
      </c>
      <c r="E140" t="s">
        <v>1060</v>
      </c>
      <c r="F140" t="s">
        <v>1061</v>
      </c>
      <c r="G140">
        <v>6100327</v>
      </c>
      <c r="H140">
        <v>202102</v>
      </c>
      <c r="I140">
        <v>44245</v>
      </c>
      <c r="J140">
        <v>122536</v>
      </c>
      <c r="K140" t="s">
        <v>1056</v>
      </c>
      <c r="M140" t="s">
        <v>355</v>
      </c>
      <c r="O140" t="s">
        <v>1177</v>
      </c>
      <c r="P140" t="s">
        <v>1178</v>
      </c>
      <c r="Q140" t="s">
        <v>354</v>
      </c>
      <c r="R140">
        <v>2069125</v>
      </c>
      <c r="S140" t="s">
        <v>355</v>
      </c>
      <c r="U140" t="s">
        <v>1176</v>
      </c>
      <c r="V140" t="s">
        <v>356</v>
      </c>
      <c r="W140">
        <v>57500</v>
      </c>
      <c r="X140">
        <v>16.16</v>
      </c>
      <c r="Y140">
        <v>138</v>
      </c>
      <c r="Z140">
        <v>57500</v>
      </c>
      <c r="AA140">
        <v>241</v>
      </c>
      <c r="AB140">
        <v>44260.044781631943</v>
      </c>
      <c r="AC140" t="s">
        <v>25</v>
      </c>
      <c r="AD140">
        <v>5</v>
      </c>
    </row>
    <row r="141" spans="1:30" x14ac:dyDescent="0.25">
      <c r="A141" t="s">
        <v>1051</v>
      </c>
      <c r="B141" t="s">
        <v>1106</v>
      </c>
      <c r="C141" t="s">
        <v>1151</v>
      </c>
      <c r="D141" t="s">
        <v>1236</v>
      </c>
      <c r="E141" t="s">
        <v>1060</v>
      </c>
      <c r="F141" t="s">
        <v>1061</v>
      </c>
      <c r="G141">
        <v>6100284</v>
      </c>
      <c r="H141">
        <v>202102</v>
      </c>
      <c r="I141">
        <v>44253</v>
      </c>
      <c r="J141" t="s">
        <v>1117</v>
      </c>
      <c r="K141" t="s">
        <v>1056</v>
      </c>
      <c r="M141" t="s">
        <v>355</v>
      </c>
      <c r="O141" t="s">
        <v>1258</v>
      </c>
      <c r="P141" t="s">
        <v>1259</v>
      </c>
      <c r="Q141" t="s">
        <v>354</v>
      </c>
      <c r="R141">
        <v>2069125</v>
      </c>
      <c r="S141" t="s">
        <v>355</v>
      </c>
      <c r="U141" t="s">
        <v>1300</v>
      </c>
      <c r="V141" t="s">
        <v>356</v>
      </c>
      <c r="W141">
        <v>9000</v>
      </c>
      <c r="X141">
        <v>2.56</v>
      </c>
      <c r="Y141">
        <v>21.61</v>
      </c>
      <c r="Z141">
        <v>9000</v>
      </c>
      <c r="AA141">
        <v>0</v>
      </c>
      <c r="AB141">
        <v>44258.901885648149</v>
      </c>
      <c r="AC141" t="s">
        <v>25</v>
      </c>
      <c r="AD141">
        <v>5</v>
      </c>
    </row>
    <row r="142" spans="1:30" x14ac:dyDescent="0.25">
      <c r="A142" t="s">
        <v>1051</v>
      </c>
      <c r="B142" t="s">
        <v>1106</v>
      </c>
      <c r="C142" t="s">
        <v>1151</v>
      </c>
      <c r="D142" t="s">
        <v>1236</v>
      </c>
      <c r="E142" t="s">
        <v>1060</v>
      </c>
      <c r="F142" t="s">
        <v>1061</v>
      </c>
      <c r="G142">
        <v>6100284</v>
      </c>
      <c r="H142">
        <v>202102</v>
      </c>
      <c r="I142">
        <v>44253</v>
      </c>
      <c r="J142" t="s">
        <v>1117</v>
      </c>
      <c r="K142" t="s">
        <v>1056</v>
      </c>
      <c r="M142" t="s">
        <v>355</v>
      </c>
      <c r="O142" t="s">
        <v>1261</v>
      </c>
      <c r="P142" t="s">
        <v>1262</v>
      </c>
      <c r="Q142" t="s">
        <v>354</v>
      </c>
      <c r="R142">
        <v>2069125</v>
      </c>
      <c r="S142" t="s">
        <v>355</v>
      </c>
      <c r="U142" t="s">
        <v>1301</v>
      </c>
      <c r="V142" t="s">
        <v>356</v>
      </c>
      <c r="W142">
        <v>28000</v>
      </c>
      <c r="X142">
        <v>7.95</v>
      </c>
      <c r="Y142">
        <v>67.23</v>
      </c>
      <c r="Z142">
        <v>28000</v>
      </c>
      <c r="AA142">
        <v>0</v>
      </c>
      <c r="AB142">
        <v>44258.901885844905</v>
      </c>
      <c r="AC142" t="s">
        <v>25</v>
      </c>
      <c r="AD142">
        <v>5</v>
      </c>
    </row>
    <row r="143" spans="1:30" x14ac:dyDescent="0.25">
      <c r="A143" t="s">
        <v>1051</v>
      </c>
      <c r="B143" t="s">
        <v>1106</v>
      </c>
      <c r="C143" t="s">
        <v>1151</v>
      </c>
      <c r="D143" t="s">
        <v>1236</v>
      </c>
      <c r="E143" t="s">
        <v>1060</v>
      </c>
      <c r="F143" t="s">
        <v>1061</v>
      </c>
      <c r="G143">
        <v>6100284</v>
      </c>
      <c r="H143">
        <v>202102</v>
      </c>
      <c r="I143">
        <v>44253</v>
      </c>
      <c r="J143" t="s">
        <v>1117</v>
      </c>
      <c r="K143" t="s">
        <v>1056</v>
      </c>
      <c r="M143" t="s">
        <v>355</v>
      </c>
      <c r="O143" t="s">
        <v>1252</v>
      </c>
      <c r="P143" t="s">
        <v>1253</v>
      </c>
      <c r="Q143" t="s">
        <v>354</v>
      </c>
      <c r="R143">
        <v>2069125</v>
      </c>
      <c r="S143" t="s">
        <v>355</v>
      </c>
      <c r="U143" t="s">
        <v>1302</v>
      </c>
      <c r="V143" t="s">
        <v>356</v>
      </c>
      <c r="W143">
        <v>6000</v>
      </c>
      <c r="X143">
        <v>1.7</v>
      </c>
      <c r="Y143">
        <v>14.41</v>
      </c>
      <c r="Z143">
        <v>6000</v>
      </c>
      <c r="AA143">
        <v>0</v>
      </c>
      <c r="AB143">
        <v>44258.901885844905</v>
      </c>
      <c r="AC143" t="s">
        <v>25</v>
      </c>
      <c r="AD143">
        <v>5</v>
      </c>
    </row>
    <row r="144" spans="1:30" x14ac:dyDescent="0.25">
      <c r="A144" t="s">
        <v>1051</v>
      </c>
      <c r="B144" t="s">
        <v>1106</v>
      </c>
      <c r="C144" t="s">
        <v>1151</v>
      </c>
      <c r="D144" t="s">
        <v>1236</v>
      </c>
      <c r="E144" t="s">
        <v>1060</v>
      </c>
      <c r="F144" t="s">
        <v>1061</v>
      </c>
      <c r="G144">
        <v>6100283</v>
      </c>
      <c r="H144">
        <v>202102</v>
      </c>
      <c r="I144">
        <v>44253</v>
      </c>
      <c r="J144" t="s">
        <v>1117</v>
      </c>
      <c r="K144" t="s">
        <v>1056</v>
      </c>
      <c r="M144" t="s">
        <v>355</v>
      </c>
      <c r="O144" t="s">
        <v>1303</v>
      </c>
      <c r="P144" t="s">
        <v>1304</v>
      </c>
      <c r="Q144" t="s">
        <v>354</v>
      </c>
      <c r="R144">
        <v>2069125</v>
      </c>
      <c r="S144" t="s">
        <v>1305</v>
      </c>
      <c r="U144" t="s">
        <v>1306</v>
      </c>
      <c r="V144" t="s">
        <v>356</v>
      </c>
      <c r="W144">
        <v>30500</v>
      </c>
      <c r="X144">
        <v>8.66</v>
      </c>
      <c r="Y144">
        <v>73.23</v>
      </c>
      <c r="Z144">
        <v>30500</v>
      </c>
      <c r="AA144">
        <v>0</v>
      </c>
      <c r="AB144">
        <v>44258.894131712965</v>
      </c>
      <c r="AC144" t="s">
        <v>25</v>
      </c>
      <c r="AD144">
        <v>5</v>
      </c>
    </row>
    <row r="145" spans="1:30" x14ac:dyDescent="0.25">
      <c r="A145" t="s">
        <v>1051</v>
      </c>
      <c r="B145" t="s">
        <v>1106</v>
      </c>
      <c r="C145" t="s">
        <v>1151</v>
      </c>
      <c r="D145" t="s">
        <v>1236</v>
      </c>
      <c r="E145" t="s">
        <v>1060</v>
      </c>
      <c r="F145" t="s">
        <v>1061</v>
      </c>
      <c r="G145">
        <v>6100283</v>
      </c>
      <c r="H145">
        <v>202102</v>
      </c>
      <c r="I145">
        <v>44253</v>
      </c>
      <c r="J145" t="s">
        <v>1117</v>
      </c>
      <c r="K145" t="s">
        <v>1056</v>
      </c>
      <c r="M145" t="s">
        <v>355</v>
      </c>
      <c r="O145" t="s">
        <v>1307</v>
      </c>
      <c r="P145" t="s">
        <v>1308</v>
      </c>
      <c r="Q145" t="s">
        <v>354</v>
      </c>
      <c r="R145">
        <v>2069125</v>
      </c>
      <c r="S145" t="s">
        <v>1309</v>
      </c>
      <c r="U145" t="s">
        <v>1306</v>
      </c>
      <c r="V145" t="s">
        <v>356</v>
      </c>
      <c r="W145">
        <v>32900</v>
      </c>
      <c r="X145">
        <v>9.34</v>
      </c>
      <c r="Y145">
        <v>78.989999999999995</v>
      </c>
      <c r="Z145">
        <v>32900</v>
      </c>
      <c r="AA145">
        <v>0</v>
      </c>
      <c r="AB145">
        <v>44258.894131712965</v>
      </c>
      <c r="AC145" t="s">
        <v>25</v>
      </c>
      <c r="AD145">
        <v>5</v>
      </c>
    </row>
    <row r="146" spans="1:30" x14ac:dyDescent="0.25">
      <c r="A146" t="s">
        <v>1051</v>
      </c>
      <c r="B146" t="s">
        <v>1106</v>
      </c>
      <c r="C146" t="s">
        <v>1151</v>
      </c>
      <c r="D146" t="s">
        <v>1236</v>
      </c>
      <c r="E146" t="s">
        <v>1310</v>
      </c>
      <c r="F146" t="s">
        <v>1311</v>
      </c>
      <c r="G146">
        <v>6100452</v>
      </c>
      <c r="H146">
        <v>202103</v>
      </c>
      <c r="I146">
        <v>44285</v>
      </c>
      <c r="J146" t="s">
        <v>1117</v>
      </c>
      <c r="K146" t="s">
        <v>1056</v>
      </c>
      <c r="M146" t="s">
        <v>355</v>
      </c>
      <c r="O146" t="s">
        <v>1312</v>
      </c>
      <c r="P146" t="s">
        <v>1313</v>
      </c>
      <c r="Q146" t="s">
        <v>1155</v>
      </c>
      <c r="R146">
        <v>2069125</v>
      </c>
      <c r="S146" t="s">
        <v>355</v>
      </c>
      <c r="U146" t="s">
        <v>1314</v>
      </c>
      <c r="V146" t="s">
        <v>356</v>
      </c>
      <c r="W146">
        <v>38500</v>
      </c>
      <c r="X146">
        <v>10.74</v>
      </c>
      <c r="Y146">
        <v>92.4</v>
      </c>
      <c r="Z146">
        <v>38500</v>
      </c>
      <c r="AA146">
        <v>0</v>
      </c>
      <c r="AB146">
        <v>44286.044216006943</v>
      </c>
      <c r="AC146" t="s">
        <v>25</v>
      </c>
      <c r="AD146">
        <v>5</v>
      </c>
    </row>
    <row r="147" spans="1:30" x14ac:dyDescent="0.25">
      <c r="A147" t="s">
        <v>1051</v>
      </c>
      <c r="B147" t="s">
        <v>1106</v>
      </c>
      <c r="C147" t="s">
        <v>1151</v>
      </c>
      <c r="D147" t="s">
        <v>1236</v>
      </c>
      <c r="E147" t="s">
        <v>1310</v>
      </c>
      <c r="F147" t="s">
        <v>1311</v>
      </c>
      <c r="G147">
        <v>6100452</v>
      </c>
      <c r="H147">
        <v>202103</v>
      </c>
      <c r="I147">
        <v>44285</v>
      </c>
      <c r="J147" t="s">
        <v>1117</v>
      </c>
      <c r="K147" t="s">
        <v>1056</v>
      </c>
      <c r="M147" t="s">
        <v>355</v>
      </c>
      <c r="O147" t="s">
        <v>1244</v>
      </c>
      <c r="P147" t="s">
        <v>1245</v>
      </c>
      <c r="Q147" t="s">
        <v>1155</v>
      </c>
      <c r="R147">
        <v>2069125</v>
      </c>
      <c r="S147" t="s">
        <v>355</v>
      </c>
      <c r="U147" t="s">
        <v>1315</v>
      </c>
      <c r="V147" t="s">
        <v>356</v>
      </c>
      <c r="W147">
        <v>9000</v>
      </c>
      <c r="X147">
        <v>2.5099999999999998</v>
      </c>
      <c r="Y147">
        <v>21.6</v>
      </c>
      <c r="Z147">
        <v>9000</v>
      </c>
      <c r="AA147">
        <v>0</v>
      </c>
      <c r="AB147">
        <v>44286.044216168979</v>
      </c>
      <c r="AC147" t="s">
        <v>25</v>
      </c>
      <c r="AD147">
        <v>5</v>
      </c>
    </row>
    <row r="148" spans="1:30" x14ac:dyDescent="0.25">
      <c r="A148" t="s">
        <v>1051</v>
      </c>
      <c r="B148" t="s">
        <v>1106</v>
      </c>
      <c r="C148" t="s">
        <v>1151</v>
      </c>
      <c r="D148" t="s">
        <v>1236</v>
      </c>
      <c r="E148" t="s">
        <v>1310</v>
      </c>
      <c r="F148" t="s">
        <v>1311</v>
      </c>
      <c r="G148">
        <v>6100452</v>
      </c>
      <c r="H148">
        <v>202103</v>
      </c>
      <c r="I148">
        <v>44285</v>
      </c>
      <c r="J148" t="s">
        <v>1117</v>
      </c>
      <c r="K148" t="s">
        <v>1056</v>
      </c>
      <c r="M148" t="s">
        <v>355</v>
      </c>
      <c r="O148" t="s">
        <v>1244</v>
      </c>
      <c r="P148" t="s">
        <v>1245</v>
      </c>
      <c r="Q148" t="s">
        <v>1155</v>
      </c>
      <c r="R148">
        <v>2069125</v>
      </c>
      <c r="S148" t="s">
        <v>355</v>
      </c>
      <c r="U148" t="s">
        <v>1316</v>
      </c>
      <c r="V148" t="s">
        <v>356</v>
      </c>
      <c r="W148">
        <v>9000</v>
      </c>
      <c r="X148">
        <v>2.5099999999999998</v>
      </c>
      <c r="Y148">
        <v>21.6</v>
      </c>
      <c r="Z148">
        <v>9000</v>
      </c>
      <c r="AA148">
        <v>0</v>
      </c>
      <c r="AB148">
        <v>44286.044216168979</v>
      </c>
      <c r="AC148" t="s">
        <v>25</v>
      </c>
      <c r="AD148">
        <v>5</v>
      </c>
    </row>
    <row r="149" spans="1:30" x14ac:dyDescent="0.25">
      <c r="A149" t="s">
        <v>1051</v>
      </c>
      <c r="B149" t="s">
        <v>1106</v>
      </c>
      <c r="C149" t="s">
        <v>1151</v>
      </c>
      <c r="D149" t="s">
        <v>1236</v>
      </c>
      <c r="E149" t="s">
        <v>1310</v>
      </c>
      <c r="F149" t="s">
        <v>1311</v>
      </c>
      <c r="G149">
        <v>6100452</v>
      </c>
      <c r="H149">
        <v>202103</v>
      </c>
      <c r="I149">
        <v>44285</v>
      </c>
      <c r="J149" t="s">
        <v>1117</v>
      </c>
      <c r="K149" t="s">
        <v>1056</v>
      </c>
      <c r="M149" t="s">
        <v>355</v>
      </c>
      <c r="O149" t="s">
        <v>1317</v>
      </c>
      <c r="P149" t="s">
        <v>1318</v>
      </c>
      <c r="Q149" t="s">
        <v>1155</v>
      </c>
      <c r="R149">
        <v>2069125</v>
      </c>
      <c r="S149" t="s">
        <v>355</v>
      </c>
      <c r="U149" t="s">
        <v>1319</v>
      </c>
      <c r="V149" t="s">
        <v>356</v>
      </c>
      <c r="W149">
        <v>22000</v>
      </c>
      <c r="X149">
        <v>6.14</v>
      </c>
      <c r="Y149">
        <v>52.8</v>
      </c>
      <c r="Z149">
        <v>22000</v>
      </c>
      <c r="AA149">
        <v>0</v>
      </c>
      <c r="AB149">
        <v>44286.044216168979</v>
      </c>
      <c r="AC149" t="s">
        <v>25</v>
      </c>
      <c r="AD149">
        <v>5</v>
      </c>
    </row>
    <row r="150" spans="1:30" x14ac:dyDescent="0.25">
      <c r="A150" t="s">
        <v>1051</v>
      </c>
      <c r="B150" t="s">
        <v>1106</v>
      </c>
      <c r="C150" t="s">
        <v>1151</v>
      </c>
      <c r="D150" t="s">
        <v>1236</v>
      </c>
      <c r="E150" t="s">
        <v>1310</v>
      </c>
      <c r="F150" t="s">
        <v>1311</v>
      </c>
      <c r="G150">
        <v>6100452</v>
      </c>
      <c r="H150">
        <v>202103</v>
      </c>
      <c r="I150">
        <v>44285</v>
      </c>
      <c r="J150" t="s">
        <v>1117</v>
      </c>
      <c r="K150" t="s">
        <v>1056</v>
      </c>
      <c r="M150" t="s">
        <v>355</v>
      </c>
      <c r="O150" t="s">
        <v>1252</v>
      </c>
      <c r="P150" t="s">
        <v>1253</v>
      </c>
      <c r="Q150" t="s">
        <v>1155</v>
      </c>
      <c r="R150">
        <v>2069125</v>
      </c>
      <c r="S150" t="s">
        <v>355</v>
      </c>
      <c r="U150" t="s">
        <v>1320</v>
      </c>
      <c r="V150" t="s">
        <v>356</v>
      </c>
      <c r="W150">
        <v>14000</v>
      </c>
      <c r="X150">
        <v>3.91</v>
      </c>
      <c r="Y150">
        <v>33.6</v>
      </c>
      <c r="Z150">
        <v>14000</v>
      </c>
      <c r="AA150">
        <v>0</v>
      </c>
      <c r="AB150">
        <v>44286.044216168979</v>
      </c>
      <c r="AC150" t="s">
        <v>25</v>
      </c>
      <c r="AD150">
        <v>5</v>
      </c>
    </row>
    <row r="151" spans="1:30" x14ac:dyDescent="0.25">
      <c r="A151" t="s">
        <v>1051</v>
      </c>
      <c r="B151" t="s">
        <v>1106</v>
      </c>
      <c r="C151" t="s">
        <v>1151</v>
      </c>
      <c r="D151" t="s">
        <v>1236</v>
      </c>
      <c r="E151" t="s">
        <v>1310</v>
      </c>
      <c r="F151" t="s">
        <v>1311</v>
      </c>
      <c r="G151">
        <v>6100452</v>
      </c>
      <c r="H151">
        <v>202103</v>
      </c>
      <c r="I151">
        <v>44285</v>
      </c>
      <c r="J151" t="s">
        <v>1117</v>
      </c>
      <c r="K151" t="s">
        <v>1056</v>
      </c>
      <c r="M151" t="s">
        <v>355</v>
      </c>
      <c r="O151" t="s">
        <v>1278</v>
      </c>
      <c r="P151" t="s">
        <v>1279</v>
      </c>
      <c r="Q151" t="s">
        <v>1155</v>
      </c>
      <c r="R151">
        <v>2069125</v>
      </c>
      <c r="S151" t="s">
        <v>355</v>
      </c>
      <c r="U151" t="s">
        <v>1321</v>
      </c>
      <c r="V151" t="s">
        <v>356</v>
      </c>
      <c r="W151">
        <v>44023</v>
      </c>
      <c r="X151">
        <v>12.28</v>
      </c>
      <c r="Y151">
        <v>105.66</v>
      </c>
      <c r="Z151">
        <v>44023</v>
      </c>
      <c r="AA151">
        <v>316</v>
      </c>
      <c r="AB151">
        <v>44286.044216006943</v>
      </c>
      <c r="AC151" t="s">
        <v>25</v>
      </c>
      <c r="AD151">
        <v>5</v>
      </c>
    </row>
    <row r="152" spans="1:30" x14ac:dyDescent="0.25">
      <c r="A152" t="s">
        <v>1051</v>
      </c>
      <c r="B152" t="s">
        <v>1106</v>
      </c>
      <c r="C152" t="s">
        <v>1151</v>
      </c>
      <c r="D152" t="s">
        <v>1236</v>
      </c>
      <c r="E152" t="s">
        <v>1310</v>
      </c>
      <c r="F152" t="s">
        <v>1311</v>
      </c>
      <c r="G152">
        <v>6100452</v>
      </c>
      <c r="H152">
        <v>202103</v>
      </c>
      <c r="I152">
        <v>44285</v>
      </c>
      <c r="J152" t="s">
        <v>1117</v>
      </c>
      <c r="K152" t="s">
        <v>1056</v>
      </c>
      <c r="M152" t="s">
        <v>355</v>
      </c>
      <c r="O152" t="s">
        <v>1278</v>
      </c>
      <c r="P152" t="s">
        <v>1279</v>
      </c>
      <c r="Q152" t="s">
        <v>1155</v>
      </c>
      <c r="R152">
        <v>2069125</v>
      </c>
      <c r="S152" t="s">
        <v>355</v>
      </c>
      <c r="U152" t="s">
        <v>1321</v>
      </c>
      <c r="V152" t="s">
        <v>356</v>
      </c>
      <c r="W152">
        <v>44</v>
      </c>
      <c r="X152">
        <v>0.01</v>
      </c>
      <c r="Y152">
        <v>0.11</v>
      </c>
      <c r="Z152">
        <v>44</v>
      </c>
      <c r="AA152">
        <v>0</v>
      </c>
      <c r="AB152">
        <v>44286.044216006943</v>
      </c>
      <c r="AC152" t="s">
        <v>25</v>
      </c>
      <c r="AD152">
        <v>5</v>
      </c>
    </row>
    <row r="153" spans="1:30" x14ac:dyDescent="0.25">
      <c r="A153" t="s">
        <v>1051</v>
      </c>
      <c r="B153" t="s">
        <v>1106</v>
      </c>
      <c r="C153" t="s">
        <v>1151</v>
      </c>
      <c r="D153" t="s">
        <v>1236</v>
      </c>
      <c r="E153" t="s">
        <v>1310</v>
      </c>
      <c r="F153" t="s">
        <v>1311</v>
      </c>
      <c r="G153">
        <v>6100452</v>
      </c>
      <c r="H153">
        <v>202103</v>
      </c>
      <c r="I153">
        <v>44285</v>
      </c>
      <c r="J153" t="s">
        <v>1117</v>
      </c>
      <c r="K153" t="s">
        <v>1056</v>
      </c>
      <c r="M153" t="s">
        <v>355</v>
      </c>
      <c r="O153" t="s">
        <v>1258</v>
      </c>
      <c r="P153" t="s">
        <v>1259</v>
      </c>
      <c r="Q153" t="s">
        <v>1155</v>
      </c>
      <c r="R153">
        <v>2069125</v>
      </c>
      <c r="S153" t="s">
        <v>355</v>
      </c>
      <c r="U153" t="s">
        <v>1322</v>
      </c>
      <c r="V153" t="s">
        <v>356</v>
      </c>
      <c r="W153">
        <v>11200</v>
      </c>
      <c r="X153">
        <v>3.12</v>
      </c>
      <c r="Y153">
        <v>26.88</v>
      </c>
      <c r="Z153">
        <v>11200</v>
      </c>
      <c r="AA153">
        <v>0</v>
      </c>
      <c r="AB153">
        <v>44286.044216168979</v>
      </c>
      <c r="AC153" t="s">
        <v>25</v>
      </c>
      <c r="AD153">
        <v>5</v>
      </c>
    </row>
    <row r="154" spans="1:30" x14ac:dyDescent="0.25">
      <c r="A154" t="s">
        <v>1051</v>
      </c>
      <c r="B154" t="s">
        <v>1106</v>
      </c>
      <c r="C154" t="s">
        <v>1151</v>
      </c>
      <c r="D154" t="s">
        <v>1236</v>
      </c>
      <c r="E154" t="s">
        <v>1310</v>
      </c>
      <c r="F154" t="s">
        <v>1311</v>
      </c>
      <c r="G154">
        <v>6100452</v>
      </c>
      <c r="H154">
        <v>202103</v>
      </c>
      <c r="I154">
        <v>44285</v>
      </c>
      <c r="J154" t="s">
        <v>1117</v>
      </c>
      <c r="K154" t="s">
        <v>1056</v>
      </c>
      <c r="M154" t="s">
        <v>355</v>
      </c>
      <c r="O154" t="s">
        <v>1323</v>
      </c>
      <c r="P154" t="s">
        <v>1324</v>
      </c>
      <c r="Q154" t="s">
        <v>1155</v>
      </c>
      <c r="R154">
        <v>2069125</v>
      </c>
      <c r="S154" t="s">
        <v>355</v>
      </c>
      <c r="U154" t="s">
        <v>1325</v>
      </c>
      <c r="V154" t="s">
        <v>356</v>
      </c>
      <c r="W154">
        <v>9000</v>
      </c>
      <c r="X154">
        <v>2.5099999999999998</v>
      </c>
      <c r="Y154">
        <v>21.6</v>
      </c>
      <c r="Z154">
        <v>9000</v>
      </c>
      <c r="AA154">
        <v>0</v>
      </c>
      <c r="AB154">
        <v>44286.044216168979</v>
      </c>
      <c r="AC154" t="s">
        <v>25</v>
      </c>
      <c r="AD154">
        <v>5</v>
      </c>
    </row>
    <row r="155" spans="1:30" x14ac:dyDescent="0.25">
      <c r="A155" t="s">
        <v>1051</v>
      </c>
      <c r="B155" t="s">
        <v>1106</v>
      </c>
      <c r="C155" t="s">
        <v>1151</v>
      </c>
      <c r="D155" t="s">
        <v>1236</v>
      </c>
      <c r="E155" t="s">
        <v>1310</v>
      </c>
      <c r="F155" t="s">
        <v>1311</v>
      </c>
      <c r="G155">
        <v>6100452</v>
      </c>
      <c r="H155">
        <v>202103</v>
      </c>
      <c r="I155">
        <v>44285</v>
      </c>
      <c r="J155" t="s">
        <v>1117</v>
      </c>
      <c r="K155" t="s">
        <v>1056</v>
      </c>
      <c r="M155" t="s">
        <v>355</v>
      </c>
      <c r="O155" t="s">
        <v>1293</v>
      </c>
      <c r="P155" t="s">
        <v>1294</v>
      </c>
      <c r="Q155" t="s">
        <v>1155</v>
      </c>
      <c r="R155">
        <v>2069125</v>
      </c>
      <c r="S155" t="s">
        <v>355</v>
      </c>
      <c r="U155" t="s">
        <v>1326</v>
      </c>
      <c r="V155" t="s">
        <v>356</v>
      </c>
      <c r="W155">
        <v>25500</v>
      </c>
      <c r="X155">
        <v>7.11</v>
      </c>
      <c r="Y155">
        <v>61.2</v>
      </c>
      <c r="Z155">
        <v>25500</v>
      </c>
      <c r="AA155">
        <v>0</v>
      </c>
      <c r="AB155">
        <v>44286.044216168979</v>
      </c>
      <c r="AC155" t="s">
        <v>25</v>
      </c>
      <c r="AD155">
        <v>5</v>
      </c>
    </row>
    <row r="156" spans="1:30" x14ac:dyDescent="0.25">
      <c r="A156" t="s">
        <v>1051</v>
      </c>
      <c r="B156" t="s">
        <v>1051</v>
      </c>
      <c r="C156" t="s">
        <v>1151</v>
      </c>
      <c r="D156" t="s">
        <v>1236</v>
      </c>
      <c r="E156" t="s">
        <v>1060</v>
      </c>
      <c r="F156" t="s">
        <v>1061</v>
      </c>
      <c r="G156">
        <v>6100405</v>
      </c>
      <c r="H156">
        <v>202103</v>
      </c>
      <c r="I156">
        <v>44272</v>
      </c>
      <c r="J156" t="s">
        <v>1327</v>
      </c>
      <c r="K156" t="s">
        <v>1056</v>
      </c>
      <c r="M156" t="s">
        <v>355</v>
      </c>
      <c r="O156" t="s">
        <v>1307</v>
      </c>
      <c r="P156" t="s">
        <v>1308</v>
      </c>
      <c r="Q156" t="s">
        <v>1155</v>
      </c>
      <c r="R156">
        <v>2069125</v>
      </c>
      <c r="S156" t="s">
        <v>355</v>
      </c>
      <c r="U156" t="s">
        <v>1328</v>
      </c>
      <c r="V156" t="s">
        <v>356</v>
      </c>
      <c r="W156">
        <v>302000</v>
      </c>
      <c r="X156">
        <v>85.77</v>
      </c>
      <c r="Y156">
        <v>725.1</v>
      </c>
      <c r="Z156">
        <v>302000</v>
      </c>
      <c r="AA156">
        <v>0</v>
      </c>
      <c r="AB156">
        <v>44272.741227395833</v>
      </c>
      <c r="AC156" t="s">
        <v>25</v>
      </c>
      <c r="AD156">
        <v>5</v>
      </c>
    </row>
    <row r="157" spans="1:30" x14ac:dyDescent="0.25">
      <c r="A157" t="s">
        <v>1051</v>
      </c>
      <c r="B157" t="s">
        <v>1106</v>
      </c>
      <c r="C157" t="s">
        <v>1151</v>
      </c>
      <c r="D157" t="s">
        <v>1236</v>
      </c>
      <c r="E157" t="s">
        <v>1060</v>
      </c>
      <c r="F157" t="s">
        <v>1061</v>
      </c>
      <c r="G157">
        <v>6100396</v>
      </c>
      <c r="H157">
        <v>202103</v>
      </c>
      <c r="I157">
        <v>44263</v>
      </c>
      <c r="J157">
        <v>122536</v>
      </c>
      <c r="K157" t="s">
        <v>1056</v>
      </c>
      <c r="M157" t="s">
        <v>355</v>
      </c>
      <c r="O157" t="s">
        <v>1174</v>
      </c>
      <c r="P157" t="s">
        <v>1175</v>
      </c>
      <c r="Q157" t="s">
        <v>354</v>
      </c>
      <c r="R157">
        <v>2069125</v>
      </c>
      <c r="S157" t="s">
        <v>355</v>
      </c>
      <c r="U157" t="s">
        <v>1189</v>
      </c>
      <c r="V157" t="s">
        <v>356</v>
      </c>
      <c r="W157">
        <v>85000</v>
      </c>
      <c r="X157">
        <v>24.14</v>
      </c>
      <c r="Y157">
        <v>204.09</v>
      </c>
      <c r="Z157">
        <v>85000</v>
      </c>
      <c r="AA157">
        <v>166</v>
      </c>
      <c r="AB157">
        <v>44272.633000497684</v>
      </c>
      <c r="AC157" t="s">
        <v>25</v>
      </c>
      <c r="AD157">
        <v>5</v>
      </c>
    </row>
    <row r="158" spans="1:30" x14ac:dyDescent="0.25">
      <c r="A158" t="s">
        <v>1051</v>
      </c>
      <c r="B158" t="s">
        <v>1106</v>
      </c>
      <c r="C158" t="s">
        <v>1151</v>
      </c>
      <c r="D158" t="s">
        <v>1236</v>
      </c>
      <c r="E158" t="s">
        <v>1060</v>
      </c>
      <c r="F158" t="s">
        <v>1061</v>
      </c>
      <c r="G158">
        <v>6100396</v>
      </c>
      <c r="H158">
        <v>202103</v>
      </c>
      <c r="I158">
        <v>44263</v>
      </c>
      <c r="J158">
        <v>122536</v>
      </c>
      <c r="K158" t="s">
        <v>1056</v>
      </c>
      <c r="M158" t="s">
        <v>355</v>
      </c>
      <c r="O158" t="s">
        <v>1174</v>
      </c>
      <c r="P158" t="s">
        <v>1175</v>
      </c>
      <c r="Q158" t="s">
        <v>354</v>
      </c>
      <c r="R158">
        <v>2069125</v>
      </c>
      <c r="S158" t="s">
        <v>355</v>
      </c>
      <c r="U158" t="s">
        <v>1189</v>
      </c>
      <c r="V158" t="s">
        <v>356</v>
      </c>
      <c r="W158">
        <v>96700</v>
      </c>
      <c r="X158">
        <v>27.46</v>
      </c>
      <c r="Y158">
        <v>232.18</v>
      </c>
      <c r="Z158">
        <v>96700</v>
      </c>
      <c r="AA158">
        <v>0</v>
      </c>
      <c r="AB158">
        <v>44272.633000497684</v>
      </c>
      <c r="AC158" t="s">
        <v>25</v>
      </c>
      <c r="AD158">
        <v>5</v>
      </c>
    </row>
    <row r="159" spans="1:30" x14ac:dyDescent="0.25">
      <c r="A159" t="s">
        <v>1051</v>
      </c>
      <c r="B159" t="s">
        <v>1106</v>
      </c>
      <c r="C159" t="s">
        <v>1151</v>
      </c>
      <c r="D159" t="s">
        <v>1236</v>
      </c>
      <c r="E159" t="s">
        <v>1060</v>
      </c>
      <c r="F159" t="s">
        <v>1061</v>
      </c>
      <c r="G159">
        <v>6100411</v>
      </c>
      <c r="H159">
        <v>202103</v>
      </c>
      <c r="I159">
        <v>44270</v>
      </c>
      <c r="J159" t="s">
        <v>1117</v>
      </c>
      <c r="K159" t="s">
        <v>1056</v>
      </c>
      <c r="M159" t="s">
        <v>355</v>
      </c>
      <c r="O159" t="s">
        <v>1307</v>
      </c>
      <c r="P159" t="s">
        <v>1308</v>
      </c>
      <c r="Q159" t="s">
        <v>1155</v>
      </c>
      <c r="R159">
        <v>2069125</v>
      </c>
      <c r="S159" t="s">
        <v>1329</v>
      </c>
      <c r="U159" t="s">
        <v>1330</v>
      </c>
      <c r="V159" t="s">
        <v>356</v>
      </c>
      <c r="W159">
        <v>302000</v>
      </c>
      <c r="X159">
        <v>85.77</v>
      </c>
      <c r="Y159">
        <v>727.82</v>
      </c>
      <c r="Z159">
        <v>302000</v>
      </c>
      <c r="AA159">
        <v>318</v>
      </c>
      <c r="AB159">
        <v>44272.95520621528</v>
      </c>
      <c r="AC159" t="s">
        <v>25</v>
      </c>
      <c r="AD159">
        <v>5</v>
      </c>
    </row>
    <row r="160" spans="1:30" x14ac:dyDescent="0.25">
      <c r="A160" t="s">
        <v>1051</v>
      </c>
      <c r="B160" t="s">
        <v>1106</v>
      </c>
      <c r="C160" t="s">
        <v>1151</v>
      </c>
      <c r="D160" t="s">
        <v>1236</v>
      </c>
      <c r="E160" t="s">
        <v>1060</v>
      </c>
      <c r="F160" t="s">
        <v>1061</v>
      </c>
      <c r="G160">
        <v>6100456</v>
      </c>
      <c r="H160">
        <v>202103</v>
      </c>
      <c r="I160">
        <v>44285</v>
      </c>
      <c r="J160">
        <v>122536</v>
      </c>
      <c r="K160" t="s">
        <v>1056</v>
      </c>
      <c r="M160" t="s">
        <v>355</v>
      </c>
      <c r="O160" t="s">
        <v>1307</v>
      </c>
      <c r="P160" t="s">
        <v>1308</v>
      </c>
      <c r="Q160" t="s">
        <v>1155</v>
      </c>
      <c r="R160">
        <v>2069125</v>
      </c>
      <c r="S160" t="s">
        <v>355</v>
      </c>
      <c r="U160" t="s">
        <v>1331</v>
      </c>
      <c r="V160" t="s">
        <v>356</v>
      </c>
      <c r="W160">
        <v>151000</v>
      </c>
      <c r="X160">
        <v>42.13</v>
      </c>
      <c r="Y160">
        <v>362.4</v>
      </c>
      <c r="Z160">
        <v>151000</v>
      </c>
      <c r="AA160">
        <v>318</v>
      </c>
      <c r="AB160">
        <v>44289.640161574076</v>
      </c>
      <c r="AC160" t="s">
        <v>25</v>
      </c>
      <c r="AD160">
        <v>5</v>
      </c>
    </row>
    <row r="161" spans="1:30" x14ac:dyDescent="0.25">
      <c r="A161" t="s">
        <v>1051</v>
      </c>
      <c r="B161" t="s">
        <v>1106</v>
      </c>
      <c r="C161" t="s">
        <v>1151</v>
      </c>
      <c r="D161" t="s">
        <v>1236</v>
      </c>
      <c r="E161" t="s">
        <v>1060</v>
      </c>
      <c r="F161" t="s">
        <v>1061</v>
      </c>
      <c r="G161">
        <v>6100456</v>
      </c>
      <c r="H161">
        <v>202103</v>
      </c>
      <c r="I161">
        <v>44285</v>
      </c>
      <c r="J161">
        <v>122536</v>
      </c>
      <c r="K161" t="s">
        <v>1056</v>
      </c>
      <c r="M161" t="s">
        <v>355</v>
      </c>
      <c r="O161" t="s">
        <v>1307</v>
      </c>
      <c r="P161" t="s">
        <v>1308</v>
      </c>
      <c r="Q161" t="s">
        <v>1155</v>
      </c>
      <c r="R161">
        <v>2069125</v>
      </c>
      <c r="S161" t="s">
        <v>355</v>
      </c>
      <c r="U161" t="s">
        <v>1332</v>
      </c>
      <c r="V161" t="s">
        <v>356</v>
      </c>
      <c r="W161">
        <v>151000</v>
      </c>
      <c r="X161">
        <v>42.13</v>
      </c>
      <c r="Y161">
        <v>362.4</v>
      </c>
      <c r="Z161">
        <v>151000</v>
      </c>
      <c r="AA161">
        <v>318</v>
      </c>
      <c r="AB161">
        <v>44289.640161574076</v>
      </c>
      <c r="AC161" t="s">
        <v>25</v>
      </c>
      <c r="AD161">
        <v>5</v>
      </c>
    </row>
    <row r="162" spans="1:30" x14ac:dyDescent="0.25">
      <c r="A162" t="s">
        <v>1051</v>
      </c>
      <c r="B162" t="s">
        <v>1106</v>
      </c>
      <c r="C162" t="s">
        <v>1151</v>
      </c>
      <c r="D162" t="s">
        <v>1236</v>
      </c>
      <c r="E162" t="s">
        <v>1060</v>
      </c>
      <c r="F162" t="s">
        <v>1061</v>
      </c>
      <c r="G162">
        <v>6100552</v>
      </c>
      <c r="H162">
        <v>202103</v>
      </c>
      <c r="I162">
        <v>44259</v>
      </c>
      <c r="J162">
        <v>122536</v>
      </c>
      <c r="K162" t="s">
        <v>1056</v>
      </c>
      <c r="M162" t="s">
        <v>355</v>
      </c>
      <c r="O162" t="s">
        <v>1174</v>
      </c>
      <c r="P162" t="s">
        <v>1175</v>
      </c>
      <c r="Q162" t="s">
        <v>1155</v>
      </c>
      <c r="R162">
        <v>2069125</v>
      </c>
      <c r="S162" t="s">
        <v>355</v>
      </c>
      <c r="U162" t="s">
        <v>1188</v>
      </c>
      <c r="V162" t="s">
        <v>356</v>
      </c>
      <c r="W162">
        <v>273000</v>
      </c>
      <c r="X162">
        <v>77.53</v>
      </c>
      <c r="Y162">
        <v>655.47</v>
      </c>
      <c r="Z162">
        <v>273000</v>
      </c>
      <c r="AA162">
        <v>241</v>
      </c>
      <c r="AB162">
        <v>44292.612781400465</v>
      </c>
      <c r="AC162" t="s">
        <v>25</v>
      </c>
      <c r="AD162">
        <v>5</v>
      </c>
    </row>
    <row r="163" spans="1:30" x14ac:dyDescent="0.25">
      <c r="A163" t="s">
        <v>1051</v>
      </c>
      <c r="B163" t="s">
        <v>1106</v>
      </c>
      <c r="C163" t="s">
        <v>1151</v>
      </c>
      <c r="D163" t="s">
        <v>1236</v>
      </c>
      <c r="E163" t="s">
        <v>1060</v>
      </c>
      <c r="F163" t="s">
        <v>1061</v>
      </c>
      <c r="G163">
        <v>6100552</v>
      </c>
      <c r="H163">
        <v>202103</v>
      </c>
      <c r="I163">
        <v>44259</v>
      </c>
      <c r="J163">
        <v>122536</v>
      </c>
      <c r="K163" t="s">
        <v>1056</v>
      </c>
      <c r="M163" t="s">
        <v>355</v>
      </c>
      <c r="O163" t="s">
        <v>1174</v>
      </c>
      <c r="P163" t="s">
        <v>1175</v>
      </c>
      <c r="Q163" t="s">
        <v>1155</v>
      </c>
      <c r="R163">
        <v>2069125</v>
      </c>
      <c r="S163" t="s">
        <v>355</v>
      </c>
      <c r="U163" t="s">
        <v>1188</v>
      </c>
      <c r="V163" t="s">
        <v>356</v>
      </c>
      <c r="W163">
        <v>33500</v>
      </c>
      <c r="X163">
        <v>9.51</v>
      </c>
      <c r="Y163">
        <v>80.430000000000007</v>
      </c>
      <c r="Z163">
        <v>33500</v>
      </c>
      <c r="AA163">
        <v>0</v>
      </c>
      <c r="AB163">
        <v>44292.6127815625</v>
      </c>
      <c r="AC163" t="s">
        <v>25</v>
      </c>
      <c r="AD163">
        <v>5</v>
      </c>
    </row>
    <row r="164" spans="1:30" x14ac:dyDescent="0.25">
      <c r="A164" t="s">
        <v>1051</v>
      </c>
      <c r="B164" t="s">
        <v>1106</v>
      </c>
      <c r="C164" t="s">
        <v>1151</v>
      </c>
      <c r="D164" t="s">
        <v>1236</v>
      </c>
      <c r="E164" t="s">
        <v>1060</v>
      </c>
      <c r="F164" t="s">
        <v>1061</v>
      </c>
      <c r="G164">
        <v>6100552</v>
      </c>
      <c r="H164">
        <v>202103</v>
      </c>
      <c r="I164">
        <v>44259</v>
      </c>
      <c r="J164">
        <v>122536</v>
      </c>
      <c r="K164" t="s">
        <v>1056</v>
      </c>
      <c r="M164" t="s">
        <v>355</v>
      </c>
      <c r="O164" t="s">
        <v>1177</v>
      </c>
      <c r="P164" t="s">
        <v>1178</v>
      </c>
      <c r="Q164" t="s">
        <v>1155</v>
      </c>
      <c r="R164">
        <v>2069125</v>
      </c>
      <c r="S164" t="s">
        <v>355</v>
      </c>
      <c r="U164" t="s">
        <v>1188</v>
      </c>
      <c r="V164" t="s">
        <v>356</v>
      </c>
      <c r="W164">
        <v>57500</v>
      </c>
      <c r="X164">
        <v>16.329999999999998</v>
      </c>
      <c r="Y164">
        <v>138.06</v>
      </c>
      <c r="Z164">
        <v>57500</v>
      </c>
      <c r="AA164">
        <v>241</v>
      </c>
      <c r="AB164">
        <v>44292.6127815625</v>
      </c>
      <c r="AC164" t="s">
        <v>25</v>
      </c>
      <c r="AD164">
        <v>5</v>
      </c>
    </row>
    <row r="165" spans="1:30" x14ac:dyDescent="0.25">
      <c r="A165" t="s">
        <v>1051</v>
      </c>
      <c r="B165" t="s">
        <v>1106</v>
      </c>
      <c r="C165" t="s">
        <v>1151</v>
      </c>
      <c r="D165" t="s">
        <v>1236</v>
      </c>
      <c r="E165" t="s">
        <v>1060</v>
      </c>
      <c r="F165" t="s">
        <v>1061</v>
      </c>
      <c r="G165">
        <v>6100497</v>
      </c>
      <c r="H165">
        <v>202103</v>
      </c>
      <c r="I165">
        <v>44284</v>
      </c>
      <c r="J165" t="s">
        <v>1117</v>
      </c>
      <c r="K165" t="s">
        <v>1056</v>
      </c>
      <c r="M165" t="s">
        <v>355</v>
      </c>
      <c r="O165" t="s">
        <v>1307</v>
      </c>
      <c r="P165" t="s">
        <v>1308</v>
      </c>
      <c r="Q165" t="s">
        <v>1155</v>
      </c>
      <c r="R165">
        <v>2069125</v>
      </c>
      <c r="S165" t="s">
        <v>1333</v>
      </c>
      <c r="U165" t="s">
        <v>1334</v>
      </c>
      <c r="V165" t="s">
        <v>356</v>
      </c>
      <c r="W165">
        <v>22400</v>
      </c>
      <c r="X165">
        <v>6.25</v>
      </c>
      <c r="Y165">
        <v>53.76</v>
      </c>
      <c r="Z165">
        <v>22400</v>
      </c>
      <c r="AA165">
        <v>0</v>
      </c>
      <c r="AB165">
        <v>44290.049745138887</v>
      </c>
      <c r="AC165" t="s">
        <v>25</v>
      </c>
      <c r="AD165">
        <v>5</v>
      </c>
    </row>
    <row r="166" spans="1:30" x14ac:dyDescent="0.25">
      <c r="A166" t="s">
        <v>1051</v>
      </c>
      <c r="B166" t="s">
        <v>1106</v>
      </c>
      <c r="C166" t="s">
        <v>1151</v>
      </c>
      <c r="D166" t="s">
        <v>1236</v>
      </c>
      <c r="E166" t="s">
        <v>1060</v>
      </c>
      <c r="F166" t="s">
        <v>1061</v>
      </c>
      <c r="G166">
        <v>6100497</v>
      </c>
      <c r="H166">
        <v>202103</v>
      </c>
      <c r="I166">
        <v>44284</v>
      </c>
      <c r="J166" t="s">
        <v>1117</v>
      </c>
      <c r="K166" t="s">
        <v>1056</v>
      </c>
      <c r="M166" t="s">
        <v>355</v>
      </c>
      <c r="O166" t="s">
        <v>1307</v>
      </c>
      <c r="P166" t="s">
        <v>1308</v>
      </c>
      <c r="Q166" t="s">
        <v>1155</v>
      </c>
      <c r="R166">
        <v>2069125</v>
      </c>
      <c r="S166" t="s">
        <v>1335</v>
      </c>
      <c r="U166" t="s">
        <v>1334</v>
      </c>
      <c r="V166" t="s">
        <v>356</v>
      </c>
      <c r="W166">
        <v>25900</v>
      </c>
      <c r="X166">
        <v>7.23</v>
      </c>
      <c r="Y166">
        <v>62.16</v>
      </c>
      <c r="Z166">
        <v>25900</v>
      </c>
      <c r="AA166">
        <v>0</v>
      </c>
      <c r="AB166">
        <v>44290.049745138887</v>
      </c>
      <c r="AC166" t="s">
        <v>25</v>
      </c>
      <c r="AD166">
        <v>5</v>
      </c>
    </row>
    <row r="167" spans="1:30" x14ac:dyDescent="0.25">
      <c r="A167" t="s">
        <v>1051</v>
      </c>
      <c r="B167" t="s">
        <v>1106</v>
      </c>
      <c r="C167" t="s">
        <v>1151</v>
      </c>
      <c r="D167" t="s">
        <v>1236</v>
      </c>
      <c r="E167" t="s">
        <v>1060</v>
      </c>
      <c r="F167" t="s">
        <v>1061</v>
      </c>
      <c r="G167">
        <v>6100497</v>
      </c>
      <c r="H167">
        <v>202103</v>
      </c>
      <c r="I167">
        <v>44284</v>
      </c>
      <c r="J167" t="s">
        <v>1117</v>
      </c>
      <c r="K167" t="s">
        <v>1056</v>
      </c>
      <c r="M167" t="s">
        <v>355</v>
      </c>
      <c r="O167" t="s">
        <v>1252</v>
      </c>
      <c r="P167" t="s">
        <v>1253</v>
      </c>
      <c r="Q167" t="s">
        <v>1155</v>
      </c>
      <c r="R167">
        <v>2069125</v>
      </c>
      <c r="S167" t="s">
        <v>1336</v>
      </c>
      <c r="U167" t="s">
        <v>1337</v>
      </c>
      <c r="V167" t="s">
        <v>356</v>
      </c>
      <c r="W167">
        <v>116000</v>
      </c>
      <c r="X167">
        <v>32.36</v>
      </c>
      <c r="Y167">
        <v>278.39999999999998</v>
      </c>
      <c r="Z167">
        <v>116000</v>
      </c>
      <c r="AA167">
        <v>0</v>
      </c>
      <c r="AB167">
        <v>44290.049745335651</v>
      </c>
      <c r="AC167" t="s">
        <v>25</v>
      </c>
      <c r="AD167">
        <v>5</v>
      </c>
    </row>
    <row r="168" spans="1:30" x14ac:dyDescent="0.25">
      <c r="A168" t="s">
        <v>1051</v>
      </c>
      <c r="B168" t="s">
        <v>1106</v>
      </c>
      <c r="C168" t="s">
        <v>1151</v>
      </c>
      <c r="D168" t="s">
        <v>1236</v>
      </c>
      <c r="E168" t="s">
        <v>1060</v>
      </c>
      <c r="F168" t="s">
        <v>1061</v>
      </c>
      <c r="G168">
        <v>6100497</v>
      </c>
      <c r="H168">
        <v>202103</v>
      </c>
      <c r="I168">
        <v>44284</v>
      </c>
      <c r="J168" t="s">
        <v>1117</v>
      </c>
      <c r="K168" t="s">
        <v>1056</v>
      </c>
      <c r="M168" t="s">
        <v>355</v>
      </c>
      <c r="O168" t="s">
        <v>1338</v>
      </c>
      <c r="P168" t="s">
        <v>1339</v>
      </c>
      <c r="Q168" t="s">
        <v>1155</v>
      </c>
      <c r="R168">
        <v>2069125</v>
      </c>
      <c r="S168" t="s">
        <v>1340</v>
      </c>
      <c r="U168" t="s">
        <v>1334</v>
      </c>
      <c r="V168" t="s">
        <v>356</v>
      </c>
      <c r="W168">
        <v>56000</v>
      </c>
      <c r="X168">
        <v>15.62</v>
      </c>
      <c r="Y168">
        <v>134.4</v>
      </c>
      <c r="Z168">
        <v>56000</v>
      </c>
      <c r="AA168">
        <v>0</v>
      </c>
      <c r="AB168">
        <v>44290.049745335651</v>
      </c>
      <c r="AC168" t="s">
        <v>25</v>
      </c>
      <c r="AD168">
        <v>5</v>
      </c>
    </row>
    <row r="169" spans="1:30" x14ac:dyDescent="0.25">
      <c r="A169" t="s">
        <v>1051</v>
      </c>
      <c r="B169" t="s">
        <v>1106</v>
      </c>
      <c r="C169" t="s">
        <v>1151</v>
      </c>
      <c r="D169" t="s">
        <v>1236</v>
      </c>
      <c r="E169" t="s">
        <v>1060</v>
      </c>
      <c r="F169" t="s">
        <v>1061</v>
      </c>
      <c r="G169">
        <v>6100497</v>
      </c>
      <c r="H169">
        <v>202103</v>
      </c>
      <c r="I169">
        <v>44284</v>
      </c>
      <c r="J169" t="s">
        <v>1117</v>
      </c>
      <c r="K169" t="s">
        <v>1056</v>
      </c>
      <c r="M169" t="s">
        <v>355</v>
      </c>
      <c r="O169" t="s">
        <v>1341</v>
      </c>
      <c r="P169" t="s">
        <v>1342</v>
      </c>
      <c r="Q169" t="s">
        <v>1155</v>
      </c>
      <c r="R169">
        <v>2069125</v>
      </c>
      <c r="S169" t="s">
        <v>1343</v>
      </c>
      <c r="U169" t="s">
        <v>1344</v>
      </c>
      <c r="V169" t="s">
        <v>356</v>
      </c>
      <c r="W169">
        <v>95590</v>
      </c>
      <c r="X169">
        <v>26.67</v>
      </c>
      <c r="Y169">
        <v>229.42</v>
      </c>
      <c r="Z169">
        <v>95590</v>
      </c>
      <c r="AA169">
        <v>316</v>
      </c>
      <c r="AB169">
        <v>44290.049745335651</v>
      </c>
      <c r="AC169" t="s">
        <v>25</v>
      </c>
      <c r="AD169">
        <v>5</v>
      </c>
    </row>
    <row r="170" spans="1:30" x14ac:dyDescent="0.25">
      <c r="A170" t="s">
        <v>1051</v>
      </c>
      <c r="B170" t="s">
        <v>1106</v>
      </c>
      <c r="C170" t="s">
        <v>1151</v>
      </c>
      <c r="D170" t="s">
        <v>1236</v>
      </c>
      <c r="E170" t="s">
        <v>1060</v>
      </c>
      <c r="F170" t="s">
        <v>1061</v>
      </c>
      <c r="G170">
        <v>6100497</v>
      </c>
      <c r="H170">
        <v>202103</v>
      </c>
      <c r="I170">
        <v>44284</v>
      </c>
      <c r="J170" t="s">
        <v>1117</v>
      </c>
      <c r="K170" t="s">
        <v>1056</v>
      </c>
      <c r="M170" t="s">
        <v>355</v>
      </c>
      <c r="O170" t="s">
        <v>1341</v>
      </c>
      <c r="P170" t="s">
        <v>1342</v>
      </c>
      <c r="Q170" t="s">
        <v>1155</v>
      </c>
      <c r="R170">
        <v>2069125</v>
      </c>
      <c r="S170" t="s">
        <v>1343</v>
      </c>
      <c r="U170" t="s">
        <v>1344</v>
      </c>
      <c r="V170" t="s">
        <v>356</v>
      </c>
      <c r="W170">
        <v>96</v>
      </c>
      <c r="X170">
        <v>0.03</v>
      </c>
      <c r="Y170">
        <v>0.23</v>
      </c>
      <c r="Z170">
        <v>96</v>
      </c>
      <c r="AA170">
        <v>0</v>
      </c>
      <c r="AB170">
        <v>44290.049745335651</v>
      </c>
      <c r="AC170" t="s">
        <v>25</v>
      </c>
      <c r="AD170">
        <v>5</v>
      </c>
    </row>
    <row r="171" spans="1:30" x14ac:dyDescent="0.25">
      <c r="A171" t="s">
        <v>1051</v>
      </c>
      <c r="B171" t="s">
        <v>1106</v>
      </c>
      <c r="C171" t="s">
        <v>1151</v>
      </c>
      <c r="D171" t="s">
        <v>1236</v>
      </c>
      <c r="E171" t="s">
        <v>1060</v>
      </c>
      <c r="F171" t="s">
        <v>1061</v>
      </c>
      <c r="G171">
        <v>6100430</v>
      </c>
      <c r="H171">
        <v>202103</v>
      </c>
      <c r="I171">
        <v>44272</v>
      </c>
      <c r="J171" t="s">
        <v>1117</v>
      </c>
      <c r="K171" t="s">
        <v>1056</v>
      </c>
      <c r="M171" t="s">
        <v>355</v>
      </c>
      <c r="O171" t="s">
        <v>1345</v>
      </c>
      <c r="P171" t="s">
        <v>1346</v>
      </c>
      <c r="Q171" t="s">
        <v>1155</v>
      </c>
      <c r="R171">
        <v>2069125</v>
      </c>
      <c r="S171" t="s">
        <v>1347</v>
      </c>
      <c r="U171" t="s">
        <v>1348</v>
      </c>
      <c r="V171" t="s">
        <v>356</v>
      </c>
      <c r="W171">
        <v>69125</v>
      </c>
      <c r="X171">
        <v>19.63</v>
      </c>
      <c r="Y171">
        <v>166.59</v>
      </c>
      <c r="Z171">
        <v>69125</v>
      </c>
      <c r="AA171">
        <v>316</v>
      </c>
      <c r="AB171">
        <v>44278.972091006945</v>
      </c>
      <c r="AC171" t="s">
        <v>25</v>
      </c>
      <c r="AD171">
        <v>5</v>
      </c>
    </row>
    <row r="172" spans="1:30" x14ac:dyDescent="0.25">
      <c r="A172" t="s">
        <v>1051</v>
      </c>
      <c r="B172" t="s">
        <v>1106</v>
      </c>
      <c r="C172" t="s">
        <v>1151</v>
      </c>
      <c r="D172" t="s">
        <v>1236</v>
      </c>
      <c r="E172" t="s">
        <v>1060</v>
      </c>
      <c r="F172" t="s">
        <v>1061</v>
      </c>
      <c r="G172">
        <v>6100430</v>
      </c>
      <c r="H172">
        <v>202103</v>
      </c>
      <c r="I172">
        <v>44272</v>
      </c>
      <c r="J172" t="s">
        <v>1117</v>
      </c>
      <c r="K172" t="s">
        <v>1056</v>
      </c>
      <c r="M172" t="s">
        <v>355</v>
      </c>
      <c r="O172" t="s">
        <v>1345</v>
      </c>
      <c r="P172" t="s">
        <v>1346</v>
      </c>
      <c r="Q172" t="s">
        <v>1155</v>
      </c>
      <c r="R172">
        <v>2069125</v>
      </c>
      <c r="S172" t="s">
        <v>1347</v>
      </c>
      <c r="U172" t="s">
        <v>1348</v>
      </c>
      <c r="V172" t="s">
        <v>356</v>
      </c>
      <c r="W172">
        <v>69</v>
      </c>
      <c r="X172">
        <v>0.02</v>
      </c>
      <c r="Y172">
        <v>0.17</v>
      </c>
      <c r="Z172">
        <v>69</v>
      </c>
      <c r="AA172">
        <v>0</v>
      </c>
      <c r="AB172">
        <v>44278.972091006945</v>
      </c>
      <c r="AC172" t="s">
        <v>25</v>
      </c>
      <c r="AD172">
        <v>5</v>
      </c>
    </row>
    <row r="173" spans="1:30" x14ac:dyDescent="0.25">
      <c r="A173" t="s">
        <v>1051</v>
      </c>
      <c r="B173" t="s">
        <v>1106</v>
      </c>
      <c r="C173" t="s">
        <v>1151</v>
      </c>
      <c r="D173" t="s">
        <v>1236</v>
      </c>
      <c r="E173" t="s">
        <v>1060</v>
      </c>
      <c r="F173" t="s">
        <v>1061</v>
      </c>
      <c r="G173">
        <v>6100430</v>
      </c>
      <c r="H173">
        <v>202103</v>
      </c>
      <c r="I173">
        <v>44272</v>
      </c>
      <c r="J173" t="s">
        <v>1117</v>
      </c>
      <c r="K173" t="s">
        <v>1056</v>
      </c>
      <c r="M173" t="s">
        <v>355</v>
      </c>
      <c r="O173" t="s">
        <v>1244</v>
      </c>
      <c r="P173" t="s">
        <v>1245</v>
      </c>
      <c r="Q173" t="s">
        <v>1155</v>
      </c>
      <c r="R173">
        <v>2069125</v>
      </c>
      <c r="S173" t="s">
        <v>1349</v>
      </c>
      <c r="U173" t="s">
        <v>1350</v>
      </c>
      <c r="V173" t="s">
        <v>356</v>
      </c>
      <c r="W173">
        <v>9000</v>
      </c>
      <c r="X173">
        <v>2.56</v>
      </c>
      <c r="Y173">
        <v>21.69</v>
      </c>
      <c r="Z173">
        <v>9000</v>
      </c>
      <c r="AA173">
        <v>0</v>
      </c>
      <c r="AB173">
        <v>44278.972091006945</v>
      </c>
      <c r="AC173" t="s">
        <v>25</v>
      </c>
      <c r="AD173">
        <v>5</v>
      </c>
    </row>
    <row r="174" spans="1:30" x14ac:dyDescent="0.25">
      <c r="A174" t="s">
        <v>1051</v>
      </c>
      <c r="B174" t="s">
        <v>1106</v>
      </c>
      <c r="C174" t="s">
        <v>1151</v>
      </c>
      <c r="D174" t="s">
        <v>1236</v>
      </c>
      <c r="E174" t="s">
        <v>1060</v>
      </c>
      <c r="F174" t="s">
        <v>1061</v>
      </c>
      <c r="G174">
        <v>6100430</v>
      </c>
      <c r="H174">
        <v>202103</v>
      </c>
      <c r="I174">
        <v>44272</v>
      </c>
      <c r="J174" t="s">
        <v>1117</v>
      </c>
      <c r="K174" t="s">
        <v>1056</v>
      </c>
      <c r="M174" t="s">
        <v>355</v>
      </c>
      <c r="O174" t="s">
        <v>1244</v>
      </c>
      <c r="P174" t="s">
        <v>1245</v>
      </c>
      <c r="Q174" t="s">
        <v>1155</v>
      </c>
      <c r="R174">
        <v>2069125</v>
      </c>
      <c r="S174" t="s">
        <v>1351</v>
      </c>
      <c r="U174" t="s">
        <v>1350</v>
      </c>
      <c r="V174" t="s">
        <v>356</v>
      </c>
      <c r="W174">
        <v>9000</v>
      </c>
      <c r="X174">
        <v>2.56</v>
      </c>
      <c r="Y174">
        <v>21.69</v>
      </c>
      <c r="Z174">
        <v>9000</v>
      </c>
      <c r="AA174">
        <v>0</v>
      </c>
      <c r="AB174">
        <v>44278.972091203701</v>
      </c>
      <c r="AC174" t="s">
        <v>25</v>
      </c>
      <c r="AD174">
        <v>5</v>
      </c>
    </row>
    <row r="175" spans="1:30" x14ac:dyDescent="0.25">
      <c r="A175" t="s">
        <v>1051</v>
      </c>
      <c r="B175" t="s">
        <v>1106</v>
      </c>
      <c r="C175" t="s">
        <v>1151</v>
      </c>
      <c r="D175" t="s">
        <v>1236</v>
      </c>
      <c r="E175" t="s">
        <v>1060</v>
      </c>
      <c r="F175" t="s">
        <v>1061</v>
      </c>
      <c r="G175">
        <v>6100430</v>
      </c>
      <c r="H175">
        <v>202103</v>
      </c>
      <c r="I175">
        <v>44272</v>
      </c>
      <c r="J175" t="s">
        <v>1117</v>
      </c>
      <c r="K175" t="s">
        <v>1056</v>
      </c>
      <c r="M175" t="s">
        <v>355</v>
      </c>
      <c r="O175" t="s">
        <v>1244</v>
      </c>
      <c r="P175" t="s">
        <v>1245</v>
      </c>
      <c r="Q175" t="s">
        <v>1155</v>
      </c>
      <c r="R175">
        <v>2069125</v>
      </c>
      <c r="S175" t="s">
        <v>1352</v>
      </c>
      <c r="U175" t="s">
        <v>1350</v>
      </c>
      <c r="V175" t="s">
        <v>356</v>
      </c>
      <c r="W175">
        <v>9000</v>
      </c>
      <c r="X175">
        <v>2.56</v>
      </c>
      <c r="Y175">
        <v>21.69</v>
      </c>
      <c r="Z175">
        <v>9000</v>
      </c>
      <c r="AA175">
        <v>0</v>
      </c>
      <c r="AB175">
        <v>44278.972091400465</v>
      </c>
      <c r="AC175" t="s">
        <v>25</v>
      </c>
      <c r="AD175">
        <v>5</v>
      </c>
    </row>
    <row r="176" spans="1:30" x14ac:dyDescent="0.25">
      <c r="A176" t="s">
        <v>1051</v>
      </c>
      <c r="B176" t="s">
        <v>1106</v>
      </c>
      <c r="C176" t="s">
        <v>1151</v>
      </c>
      <c r="D176" t="s">
        <v>1236</v>
      </c>
      <c r="E176" t="s">
        <v>1060</v>
      </c>
      <c r="F176" t="s">
        <v>1061</v>
      </c>
      <c r="G176">
        <v>6100430</v>
      </c>
      <c r="H176">
        <v>202103</v>
      </c>
      <c r="I176">
        <v>44272</v>
      </c>
      <c r="J176" t="s">
        <v>1117</v>
      </c>
      <c r="K176" t="s">
        <v>1056</v>
      </c>
      <c r="M176" t="s">
        <v>355</v>
      </c>
      <c r="O176" t="s">
        <v>1244</v>
      </c>
      <c r="P176" t="s">
        <v>1245</v>
      </c>
      <c r="Q176" t="s">
        <v>1155</v>
      </c>
      <c r="R176">
        <v>2069125</v>
      </c>
      <c r="S176" t="s">
        <v>1353</v>
      </c>
      <c r="U176" t="s">
        <v>1350</v>
      </c>
      <c r="V176" t="s">
        <v>356</v>
      </c>
      <c r="W176">
        <v>9000</v>
      </c>
      <c r="X176">
        <v>2.56</v>
      </c>
      <c r="Y176">
        <v>21.69</v>
      </c>
      <c r="Z176">
        <v>9000</v>
      </c>
      <c r="AA176">
        <v>0</v>
      </c>
      <c r="AB176">
        <v>44278.972091550924</v>
      </c>
      <c r="AC176" t="s">
        <v>25</v>
      </c>
      <c r="AD176">
        <v>5</v>
      </c>
    </row>
    <row r="177" spans="1:30" x14ac:dyDescent="0.25">
      <c r="A177" t="s">
        <v>1051</v>
      </c>
      <c r="B177" t="s">
        <v>1106</v>
      </c>
      <c r="C177" t="s">
        <v>1151</v>
      </c>
      <c r="D177" t="s">
        <v>1236</v>
      </c>
      <c r="E177" t="s">
        <v>1060</v>
      </c>
      <c r="F177" t="s">
        <v>1061</v>
      </c>
      <c r="G177">
        <v>6100430</v>
      </c>
      <c r="H177">
        <v>202103</v>
      </c>
      <c r="I177">
        <v>44272</v>
      </c>
      <c r="J177" t="s">
        <v>1117</v>
      </c>
      <c r="K177" t="s">
        <v>1056</v>
      </c>
      <c r="M177" t="s">
        <v>355</v>
      </c>
      <c r="O177" t="s">
        <v>1268</v>
      </c>
      <c r="P177" t="s">
        <v>1269</v>
      </c>
      <c r="Q177" t="s">
        <v>1155</v>
      </c>
      <c r="R177">
        <v>2069125</v>
      </c>
      <c r="S177" t="s">
        <v>1354</v>
      </c>
      <c r="U177" t="s">
        <v>1355</v>
      </c>
      <c r="V177" t="s">
        <v>356</v>
      </c>
      <c r="W177">
        <v>11600</v>
      </c>
      <c r="X177">
        <v>3.29</v>
      </c>
      <c r="Y177">
        <v>27.96</v>
      </c>
      <c r="Z177">
        <v>11600</v>
      </c>
      <c r="AA177">
        <v>0</v>
      </c>
      <c r="AB177">
        <v>44278.972091550924</v>
      </c>
      <c r="AC177" t="s">
        <v>25</v>
      </c>
      <c r="AD177">
        <v>5</v>
      </c>
    </row>
    <row r="178" spans="1:30" x14ac:dyDescent="0.25">
      <c r="A178" t="s">
        <v>1051</v>
      </c>
      <c r="B178" t="s">
        <v>1106</v>
      </c>
      <c r="C178" t="s">
        <v>1151</v>
      </c>
      <c r="D178" t="s">
        <v>1236</v>
      </c>
      <c r="E178" t="s">
        <v>1060</v>
      </c>
      <c r="F178" t="s">
        <v>1061</v>
      </c>
      <c r="G178">
        <v>6100430</v>
      </c>
      <c r="H178">
        <v>202103</v>
      </c>
      <c r="I178">
        <v>44272</v>
      </c>
      <c r="J178" t="s">
        <v>1117</v>
      </c>
      <c r="K178" t="s">
        <v>1056</v>
      </c>
      <c r="M178" t="s">
        <v>355</v>
      </c>
      <c r="O178" t="s">
        <v>1356</v>
      </c>
      <c r="P178" t="s">
        <v>1357</v>
      </c>
      <c r="Q178" t="s">
        <v>1155</v>
      </c>
      <c r="R178">
        <v>2069125</v>
      </c>
      <c r="S178" t="s">
        <v>1358</v>
      </c>
      <c r="U178" t="s">
        <v>1359</v>
      </c>
      <c r="V178" t="s">
        <v>356</v>
      </c>
      <c r="W178">
        <v>9000</v>
      </c>
      <c r="X178">
        <v>2.56</v>
      </c>
      <c r="Y178">
        <v>21.69</v>
      </c>
      <c r="Z178">
        <v>9000</v>
      </c>
      <c r="AA178">
        <v>0</v>
      </c>
      <c r="AB178">
        <v>44278.972091550924</v>
      </c>
      <c r="AC178" t="s">
        <v>25</v>
      </c>
      <c r="AD178">
        <v>5</v>
      </c>
    </row>
    <row r="179" spans="1:30" x14ac:dyDescent="0.25">
      <c r="A179" t="s">
        <v>1051</v>
      </c>
      <c r="B179" t="s">
        <v>1106</v>
      </c>
      <c r="C179" t="s">
        <v>1151</v>
      </c>
      <c r="D179" t="s">
        <v>1236</v>
      </c>
      <c r="E179" t="s">
        <v>1060</v>
      </c>
      <c r="F179" t="s">
        <v>1061</v>
      </c>
      <c r="G179">
        <v>6100430</v>
      </c>
      <c r="H179">
        <v>202103</v>
      </c>
      <c r="I179">
        <v>44272</v>
      </c>
      <c r="J179" t="s">
        <v>1117</v>
      </c>
      <c r="K179" t="s">
        <v>1056</v>
      </c>
      <c r="M179" t="s">
        <v>355</v>
      </c>
      <c r="O179" t="s">
        <v>1240</v>
      </c>
      <c r="P179" t="s">
        <v>1241</v>
      </c>
      <c r="Q179" t="s">
        <v>1155</v>
      </c>
      <c r="R179">
        <v>2069125</v>
      </c>
      <c r="S179" t="s">
        <v>1360</v>
      </c>
      <c r="U179" t="s">
        <v>1355</v>
      </c>
      <c r="V179" t="s">
        <v>356</v>
      </c>
      <c r="W179">
        <v>29000</v>
      </c>
      <c r="X179">
        <v>8.24</v>
      </c>
      <c r="Y179">
        <v>69.89</v>
      </c>
      <c r="Z179">
        <v>29000</v>
      </c>
      <c r="AA179">
        <v>0</v>
      </c>
      <c r="AB179">
        <v>44278.972091550924</v>
      </c>
      <c r="AC179" t="s">
        <v>25</v>
      </c>
      <c r="AD179">
        <v>5</v>
      </c>
    </row>
    <row r="180" spans="1:30" x14ac:dyDescent="0.25">
      <c r="A180" t="s">
        <v>1051</v>
      </c>
      <c r="B180" t="s">
        <v>1106</v>
      </c>
      <c r="C180" t="s">
        <v>1151</v>
      </c>
      <c r="D180" t="s">
        <v>1236</v>
      </c>
      <c r="E180" t="s">
        <v>1060</v>
      </c>
      <c r="F180" t="s">
        <v>1061</v>
      </c>
      <c r="G180">
        <v>6100430</v>
      </c>
      <c r="H180">
        <v>202103</v>
      </c>
      <c r="I180">
        <v>44272</v>
      </c>
      <c r="J180" t="s">
        <v>1117</v>
      </c>
      <c r="K180" t="s">
        <v>1056</v>
      </c>
      <c r="M180" t="s">
        <v>355</v>
      </c>
      <c r="O180" t="s">
        <v>1361</v>
      </c>
      <c r="P180" t="s">
        <v>1362</v>
      </c>
      <c r="Q180" t="s">
        <v>1155</v>
      </c>
      <c r="R180">
        <v>2069125</v>
      </c>
      <c r="S180" t="s">
        <v>1363</v>
      </c>
      <c r="U180" t="s">
        <v>1355</v>
      </c>
      <c r="V180" t="s">
        <v>356</v>
      </c>
      <c r="W180">
        <v>22000</v>
      </c>
      <c r="X180">
        <v>6.25</v>
      </c>
      <c r="Y180">
        <v>53.02</v>
      </c>
      <c r="Z180">
        <v>22000</v>
      </c>
      <c r="AA180">
        <v>0</v>
      </c>
      <c r="AB180">
        <v>44278.972091550924</v>
      </c>
      <c r="AC180" t="s">
        <v>25</v>
      </c>
      <c r="AD180">
        <v>5</v>
      </c>
    </row>
    <row r="181" spans="1:30" x14ac:dyDescent="0.25">
      <c r="A181" t="s">
        <v>1051</v>
      </c>
      <c r="B181" t="s">
        <v>1106</v>
      </c>
      <c r="C181" t="s">
        <v>1151</v>
      </c>
      <c r="D181" t="s">
        <v>1236</v>
      </c>
      <c r="E181" t="s">
        <v>1060</v>
      </c>
      <c r="F181" t="s">
        <v>1061</v>
      </c>
      <c r="G181">
        <v>6100430</v>
      </c>
      <c r="H181">
        <v>202103</v>
      </c>
      <c r="I181">
        <v>44272</v>
      </c>
      <c r="J181" t="s">
        <v>1117</v>
      </c>
      <c r="K181" t="s">
        <v>1056</v>
      </c>
      <c r="M181" t="s">
        <v>355</v>
      </c>
      <c r="O181" t="s">
        <v>1252</v>
      </c>
      <c r="P181" t="s">
        <v>1253</v>
      </c>
      <c r="Q181" t="s">
        <v>1155</v>
      </c>
      <c r="R181">
        <v>2069125</v>
      </c>
      <c r="S181" t="s">
        <v>1291</v>
      </c>
      <c r="U181" t="s">
        <v>1364</v>
      </c>
      <c r="V181" t="s">
        <v>356</v>
      </c>
      <c r="W181">
        <v>28000</v>
      </c>
      <c r="X181">
        <v>7.95</v>
      </c>
      <c r="Y181">
        <v>67.48</v>
      </c>
      <c r="Z181">
        <v>28000</v>
      </c>
      <c r="AA181">
        <v>0</v>
      </c>
      <c r="AB181">
        <v>44278.972091550924</v>
      </c>
      <c r="AC181" t="s">
        <v>25</v>
      </c>
      <c r="AD181">
        <v>5</v>
      </c>
    </row>
    <row r="182" spans="1:30" x14ac:dyDescent="0.25">
      <c r="A182" t="s">
        <v>1051</v>
      </c>
      <c r="B182" t="s">
        <v>1106</v>
      </c>
      <c r="C182" t="s">
        <v>1151</v>
      </c>
      <c r="D182" t="s">
        <v>1236</v>
      </c>
      <c r="E182" t="s">
        <v>1060</v>
      </c>
      <c r="F182" t="s">
        <v>1061</v>
      </c>
      <c r="G182">
        <v>6100430</v>
      </c>
      <c r="H182">
        <v>202103</v>
      </c>
      <c r="I182">
        <v>44272</v>
      </c>
      <c r="J182" t="s">
        <v>1117</v>
      </c>
      <c r="K182" t="s">
        <v>1056</v>
      </c>
      <c r="M182" t="s">
        <v>355</v>
      </c>
      <c r="O182" t="s">
        <v>1293</v>
      </c>
      <c r="P182" t="s">
        <v>1294</v>
      </c>
      <c r="Q182" t="s">
        <v>1155</v>
      </c>
      <c r="R182">
        <v>2069125</v>
      </c>
      <c r="S182" t="s">
        <v>1365</v>
      </c>
      <c r="U182" t="s">
        <v>1355</v>
      </c>
      <c r="V182" t="s">
        <v>356</v>
      </c>
      <c r="W182">
        <v>22000</v>
      </c>
      <c r="X182">
        <v>6.25</v>
      </c>
      <c r="Y182">
        <v>53.02</v>
      </c>
      <c r="Z182">
        <v>22000</v>
      </c>
      <c r="AA182">
        <v>0</v>
      </c>
      <c r="AB182">
        <v>44278.972091550924</v>
      </c>
      <c r="AC182" t="s">
        <v>25</v>
      </c>
      <c r="AD182">
        <v>5</v>
      </c>
    </row>
    <row r="183" spans="1:30" x14ac:dyDescent="0.25">
      <c r="A183" t="s">
        <v>1051</v>
      </c>
      <c r="B183" t="s">
        <v>1106</v>
      </c>
      <c r="C183" t="s">
        <v>1151</v>
      </c>
      <c r="D183" t="s">
        <v>1236</v>
      </c>
      <c r="E183" t="s">
        <v>1060</v>
      </c>
      <c r="F183" t="s">
        <v>1061</v>
      </c>
      <c r="G183">
        <v>6100430</v>
      </c>
      <c r="H183">
        <v>202103</v>
      </c>
      <c r="I183">
        <v>44272</v>
      </c>
      <c r="J183" t="s">
        <v>1117</v>
      </c>
      <c r="K183" t="s">
        <v>1056</v>
      </c>
      <c r="M183" t="s">
        <v>355</v>
      </c>
      <c r="O183" t="s">
        <v>1268</v>
      </c>
      <c r="P183" t="s">
        <v>1269</v>
      </c>
      <c r="Q183" t="s">
        <v>1155</v>
      </c>
      <c r="R183">
        <v>2069125</v>
      </c>
      <c r="S183" t="s">
        <v>1366</v>
      </c>
      <c r="U183" t="s">
        <v>1355</v>
      </c>
      <c r="V183" t="s">
        <v>356</v>
      </c>
      <c r="W183">
        <v>11000</v>
      </c>
      <c r="X183">
        <v>3.12</v>
      </c>
      <c r="Y183">
        <v>26.51</v>
      </c>
      <c r="Z183">
        <v>11000</v>
      </c>
      <c r="AA183">
        <v>0</v>
      </c>
      <c r="AB183">
        <v>44278.972091550924</v>
      </c>
      <c r="AC183" t="s">
        <v>25</v>
      </c>
      <c r="AD183">
        <v>5</v>
      </c>
    </row>
    <row r="184" spans="1:30" x14ac:dyDescent="0.25">
      <c r="A184" t="s">
        <v>1051</v>
      </c>
      <c r="B184" t="s">
        <v>1106</v>
      </c>
      <c r="C184" t="s">
        <v>1151</v>
      </c>
      <c r="D184" t="s">
        <v>1236</v>
      </c>
      <c r="E184" t="s">
        <v>1060</v>
      </c>
      <c r="F184" t="s">
        <v>1061</v>
      </c>
      <c r="G184">
        <v>6100725</v>
      </c>
      <c r="H184">
        <v>202104</v>
      </c>
      <c r="I184">
        <v>44316</v>
      </c>
      <c r="J184" t="s">
        <v>1117</v>
      </c>
      <c r="K184" t="s">
        <v>1056</v>
      </c>
      <c r="M184" t="s">
        <v>355</v>
      </c>
      <c r="O184" t="s">
        <v>1367</v>
      </c>
      <c r="P184" t="s">
        <v>1368</v>
      </c>
      <c r="Q184" t="s">
        <v>1155</v>
      </c>
      <c r="R184">
        <v>2069125</v>
      </c>
      <c r="S184" t="s">
        <v>355</v>
      </c>
      <c r="U184" t="s">
        <v>1369</v>
      </c>
      <c r="V184" t="s">
        <v>356</v>
      </c>
      <c r="W184">
        <v>850000</v>
      </c>
      <c r="X184">
        <v>229.5</v>
      </c>
      <c r="Y184">
        <v>1901.45</v>
      </c>
      <c r="Z184">
        <v>850000</v>
      </c>
      <c r="AA184">
        <v>0</v>
      </c>
      <c r="AB184">
        <v>44319.747340543981</v>
      </c>
      <c r="AC184" t="s">
        <v>25</v>
      </c>
      <c r="AD184">
        <v>5</v>
      </c>
    </row>
    <row r="185" spans="1:30" x14ac:dyDescent="0.25">
      <c r="A185" t="s">
        <v>1051</v>
      </c>
      <c r="B185" t="s">
        <v>1106</v>
      </c>
      <c r="C185" t="s">
        <v>1151</v>
      </c>
      <c r="D185" t="s">
        <v>1236</v>
      </c>
      <c r="E185" t="s">
        <v>1060</v>
      </c>
      <c r="F185" t="s">
        <v>1061</v>
      </c>
      <c r="G185">
        <v>6100728</v>
      </c>
      <c r="H185">
        <v>202104</v>
      </c>
      <c r="I185">
        <v>44308</v>
      </c>
      <c r="J185">
        <v>122536</v>
      </c>
      <c r="K185" t="s">
        <v>1056</v>
      </c>
      <c r="M185" t="s">
        <v>355</v>
      </c>
      <c r="O185" t="s">
        <v>1174</v>
      </c>
      <c r="P185" t="s">
        <v>1175</v>
      </c>
      <c r="Q185" t="s">
        <v>354</v>
      </c>
      <c r="R185">
        <v>2069129</v>
      </c>
      <c r="S185" t="s">
        <v>355</v>
      </c>
      <c r="U185" t="s">
        <v>1191</v>
      </c>
      <c r="V185" t="s">
        <v>356</v>
      </c>
      <c r="W185">
        <v>261700</v>
      </c>
      <c r="X185">
        <v>71.97</v>
      </c>
      <c r="Y185">
        <v>609.5</v>
      </c>
      <c r="Z185">
        <v>261700</v>
      </c>
      <c r="AA185">
        <v>241</v>
      </c>
      <c r="AB185">
        <v>44319.752824074072</v>
      </c>
      <c r="AC185" t="s">
        <v>40</v>
      </c>
      <c r="AD185">
        <v>5</v>
      </c>
    </row>
    <row r="186" spans="1:30" x14ac:dyDescent="0.25">
      <c r="A186" t="s">
        <v>1051</v>
      </c>
      <c r="B186" t="s">
        <v>1106</v>
      </c>
      <c r="C186" t="s">
        <v>1151</v>
      </c>
      <c r="D186" t="s">
        <v>1236</v>
      </c>
      <c r="E186" t="s">
        <v>1060</v>
      </c>
      <c r="F186" t="s">
        <v>1061</v>
      </c>
      <c r="G186">
        <v>6100728</v>
      </c>
      <c r="H186">
        <v>202104</v>
      </c>
      <c r="I186">
        <v>44308</v>
      </c>
      <c r="J186">
        <v>122536</v>
      </c>
      <c r="K186" t="s">
        <v>1056</v>
      </c>
      <c r="M186" t="s">
        <v>355</v>
      </c>
      <c r="O186" t="s">
        <v>1174</v>
      </c>
      <c r="P186" t="s">
        <v>1175</v>
      </c>
      <c r="Q186" t="s">
        <v>354</v>
      </c>
      <c r="R186">
        <v>2069129</v>
      </c>
      <c r="S186" t="s">
        <v>355</v>
      </c>
      <c r="U186" t="s">
        <v>1191</v>
      </c>
      <c r="V186" t="s">
        <v>356</v>
      </c>
      <c r="W186">
        <v>16800</v>
      </c>
      <c r="X186">
        <v>4.62</v>
      </c>
      <c r="Y186">
        <v>39.130000000000003</v>
      </c>
      <c r="Z186">
        <v>16800</v>
      </c>
      <c r="AA186">
        <v>0</v>
      </c>
      <c r="AB186">
        <v>44319.752824074072</v>
      </c>
      <c r="AC186" t="s">
        <v>40</v>
      </c>
      <c r="AD186">
        <v>5</v>
      </c>
    </row>
    <row r="187" spans="1:30" x14ac:dyDescent="0.25">
      <c r="A187" t="s">
        <v>1051</v>
      </c>
      <c r="B187" t="s">
        <v>1106</v>
      </c>
      <c r="C187" t="s">
        <v>1151</v>
      </c>
      <c r="D187" t="s">
        <v>1236</v>
      </c>
      <c r="E187" t="s">
        <v>1060</v>
      </c>
      <c r="F187" t="s">
        <v>1061</v>
      </c>
      <c r="G187">
        <v>6100728</v>
      </c>
      <c r="H187">
        <v>202104</v>
      </c>
      <c r="I187">
        <v>44308</v>
      </c>
      <c r="J187">
        <v>122536</v>
      </c>
      <c r="K187" t="s">
        <v>1056</v>
      </c>
      <c r="M187" t="s">
        <v>355</v>
      </c>
      <c r="O187" t="s">
        <v>1177</v>
      </c>
      <c r="P187" t="s">
        <v>1178</v>
      </c>
      <c r="Q187" t="s">
        <v>354</v>
      </c>
      <c r="R187">
        <v>2069129</v>
      </c>
      <c r="S187" t="s">
        <v>355</v>
      </c>
      <c r="U187" t="s">
        <v>1191</v>
      </c>
      <c r="V187" t="s">
        <v>356</v>
      </c>
      <c r="W187">
        <v>15895</v>
      </c>
      <c r="X187">
        <v>4.37</v>
      </c>
      <c r="Y187">
        <v>37.020000000000003</v>
      </c>
      <c r="Z187">
        <v>15895</v>
      </c>
      <c r="AA187">
        <v>241</v>
      </c>
      <c r="AB187">
        <v>44319.752824270836</v>
      </c>
      <c r="AC187" t="s">
        <v>40</v>
      </c>
      <c r="AD187">
        <v>5</v>
      </c>
    </row>
    <row r="188" spans="1:30" x14ac:dyDescent="0.25">
      <c r="A188" t="s">
        <v>1051</v>
      </c>
      <c r="B188" t="s">
        <v>1106</v>
      </c>
      <c r="C188" t="s">
        <v>1151</v>
      </c>
      <c r="D188" t="s">
        <v>1236</v>
      </c>
      <c r="E188" t="s">
        <v>1060</v>
      </c>
      <c r="F188" t="s">
        <v>1061</v>
      </c>
      <c r="G188">
        <v>6100639</v>
      </c>
      <c r="H188">
        <v>202104</v>
      </c>
      <c r="I188">
        <v>44302</v>
      </c>
      <c r="J188">
        <v>122536</v>
      </c>
      <c r="K188" t="s">
        <v>1056</v>
      </c>
      <c r="M188" t="s">
        <v>355</v>
      </c>
      <c r="O188" t="s">
        <v>1370</v>
      </c>
      <c r="P188" t="s">
        <v>1371</v>
      </c>
      <c r="Q188" t="s">
        <v>1155</v>
      </c>
      <c r="R188">
        <v>2069125</v>
      </c>
      <c r="S188" t="s">
        <v>355</v>
      </c>
      <c r="U188" t="s">
        <v>1372</v>
      </c>
      <c r="V188" t="s">
        <v>356</v>
      </c>
      <c r="W188">
        <v>160000</v>
      </c>
      <c r="X188">
        <v>44</v>
      </c>
      <c r="Y188">
        <v>372.64</v>
      </c>
      <c r="Z188">
        <v>160000</v>
      </c>
      <c r="AA188">
        <v>318</v>
      </c>
      <c r="AB188">
        <v>44310.072019016203</v>
      </c>
      <c r="AC188" t="s">
        <v>25</v>
      </c>
      <c r="AD188">
        <v>5</v>
      </c>
    </row>
    <row r="189" spans="1:30" x14ac:dyDescent="0.25">
      <c r="A189" t="s">
        <v>1051</v>
      </c>
      <c r="B189" t="s">
        <v>1106</v>
      </c>
      <c r="C189" t="s">
        <v>1151</v>
      </c>
      <c r="D189" t="s">
        <v>1236</v>
      </c>
      <c r="E189" t="s">
        <v>1060</v>
      </c>
      <c r="F189" t="s">
        <v>1061</v>
      </c>
      <c r="G189">
        <v>6100600</v>
      </c>
      <c r="H189">
        <v>202104</v>
      </c>
      <c r="I189">
        <v>44298</v>
      </c>
      <c r="J189" t="s">
        <v>1117</v>
      </c>
      <c r="K189" t="s">
        <v>1056</v>
      </c>
      <c r="M189" t="s">
        <v>355</v>
      </c>
      <c r="O189" t="s">
        <v>1373</v>
      </c>
      <c r="P189" t="s">
        <v>1374</v>
      </c>
      <c r="Q189" t="s">
        <v>1155</v>
      </c>
      <c r="R189">
        <v>2069125</v>
      </c>
      <c r="S189" t="s">
        <v>355</v>
      </c>
      <c r="U189" t="s">
        <v>1375</v>
      </c>
      <c r="V189" t="s">
        <v>356</v>
      </c>
      <c r="W189">
        <v>30800</v>
      </c>
      <c r="X189">
        <v>8.4700000000000006</v>
      </c>
      <c r="Y189">
        <v>72.47</v>
      </c>
      <c r="Z189">
        <v>30800</v>
      </c>
      <c r="AA189">
        <v>0</v>
      </c>
      <c r="AB189">
        <v>44304.906547256942</v>
      </c>
      <c r="AC189" t="s">
        <v>25</v>
      </c>
      <c r="AD189">
        <v>5</v>
      </c>
    </row>
    <row r="190" spans="1:30" x14ac:dyDescent="0.25">
      <c r="A190" t="s">
        <v>1051</v>
      </c>
      <c r="B190" t="s">
        <v>1106</v>
      </c>
      <c r="C190" t="s">
        <v>1151</v>
      </c>
      <c r="D190" t="s">
        <v>1236</v>
      </c>
      <c r="E190" t="s">
        <v>1060</v>
      </c>
      <c r="F190" t="s">
        <v>1061</v>
      </c>
      <c r="G190">
        <v>6100600</v>
      </c>
      <c r="H190">
        <v>202104</v>
      </c>
      <c r="I190">
        <v>44298</v>
      </c>
      <c r="J190" t="s">
        <v>1117</v>
      </c>
      <c r="K190" t="s">
        <v>1056</v>
      </c>
      <c r="M190" t="s">
        <v>355</v>
      </c>
      <c r="O190" t="s">
        <v>1237</v>
      </c>
      <c r="P190" t="s">
        <v>1238</v>
      </c>
      <c r="Q190" t="s">
        <v>1155</v>
      </c>
      <c r="R190">
        <v>2069125</v>
      </c>
      <c r="S190" t="s">
        <v>355</v>
      </c>
      <c r="U190" t="s">
        <v>1376</v>
      </c>
      <c r="V190" t="s">
        <v>356</v>
      </c>
      <c r="W190">
        <v>30000</v>
      </c>
      <c r="X190">
        <v>8.25</v>
      </c>
      <c r="Y190">
        <v>70.59</v>
      </c>
      <c r="Z190">
        <v>30000</v>
      </c>
      <c r="AA190">
        <v>0</v>
      </c>
      <c r="AB190">
        <v>44304.906546724538</v>
      </c>
      <c r="AC190" t="s">
        <v>25</v>
      </c>
      <c r="AD190">
        <v>5</v>
      </c>
    </row>
    <row r="191" spans="1:30" x14ac:dyDescent="0.25">
      <c r="A191" t="s">
        <v>1051</v>
      </c>
      <c r="B191" t="s">
        <v>1106</v>
      </c>
      <c r="C191" t="s">
        <v>1151</v>
      </c>
      <c r="D191" t="s">
        <v>1236</v>
      </c>
      <c r="E191" t="s">
        <v>1060</v>
      </c>
      <c r="F191" t="s">
        <v>1061</v>
      </c>
      <c r="G191">
        <v>6100600</v>
      </c>
      <c r="H191">
        <v>202104</v>
      </c>
      <c r="I191">
        <v>44298</v>
      </c>
      <c r="J191" t="s">
        <v>1117</v>
      </c>
      <c r="K191" t="s">
        <v>1056</v>
      </c>
      <c r="M191" t="s">
        <v>355</v>
      </c>
      <c r="O191" t="s">
        <v>1252</v>
      </c>
      <c r="P191" t="s">
        <v>1253</v>
      </c>
      <c r="Q191" t="s">
        <v>1155</v>
      </c>
      <c r="R191">
        <v>2069125</v>
      </c>
      <c r="S191" t="s">
        <v>355</v>
      </c>
      <c r="U191" t="s">
        <v>1377</v>
      </c>
      <c r="V191" t="s">
        <v>356</v>
      </c>
      <c r="W191">
        <v>20000</v>
      </c>
      <c r="X191">
        <v>5.5</v>
      </c>
      <c r="Y191">
        <v>47.06</v>
      </c>
      <c r="Z191">
        <v>20000</v>
      </c>
      <c r="AA191">
        <v>0</v>
      </c>
      <c r="AB191">
        <v>44304.906546909719</v>
      </c>
      <c r="AC191" t="s">
        <v>25</v>
      </c>
      <c r="AD191">
        <v>5</v>
      </c>
    </row>
    <row r="192" spans="1:30" x14ac:dyDescent="0.25">
      <c r="A192" t="s">
        <v>1051</v>
      </c>
      <c r="B192" t="s">
        <v>1106</v>
      </c>
      <c r="C192" t="s">
        <v>1151</v>
      </c>
      <c r="D192" t="s">
        <v>1236</v>
      </c>
      <c r="E192" t="s">
        <v>1060</v>
      </c>
      <c r="F192" t="s">
        <v>1061</v>
      </c>
      <c r="G192">
        <v>6100600</v>
      </c>
      <c r="H192">
        <v>202104</v>
      </c>
      <c r="I192">
        <v>44298</v>
      </c>
      <c r="J192" t="s">
        <v>1117</v>
      </c>
      <c r="K192" t="s">
        <v>1056</v>
      </c>
      <c r="M192" t="s">
        <v>355</v>
      </c>
      <c r="O192" t="s">
        <v>1312</v>
      </c>
      <c r="P192" t="s">
        <v>1313</v>
      </c>
      <c r="Q192" t="s">
        <v>1155</v>
      </c>
      <c r="R192">
        <v>2069125</v>
      </c>
      <c r="S192" t="s">
        <v>355</v>
      </c>
      <c r="U192" t="s">
        <v>1378</v>
      </c>
      <c r="V192" t="s">
        <v>356</v>
      </c>
      <c r="W192">
        <v>33900</v>
      </c>
      <c r="X192">
        <v>9.32</v>
      </c>
      <c r="Y192">
        <v>79.77</v>
      </c>
      <c r="Z192">
        <v>33900</v>
      </c>
      <c r="AA192">
        <v>0</v>
      </c>
      <c r="AB192">
        <v>44304.906547106482</v>
      </c>
      <c r="AC192" t="s">
        <v>25</v>
      </c>
      <c r="AD192">
        <v>5</v>
      </c>
    </row>
    <row r="193" spans="1:30" x14ac:dyDescent="0.25">
      <c r="A193" t="s">
        <v>1051</v>
      </c>
      <c r="B193" t="s">
        <v>1106</v>
      </c>
      <c r="C193" t="s">
        <v>1151</v>
      </c>
      <c r="D193" t="s">
        <v>1236</v>
      </c>
      <c r="E193" t="s">
        <v>1060</v>
      </c>
      <c r="F193" t="s">
        <v>1061</v>
      </c>
      <c r="G193">
        <v>6100600</v>
      </c>
      <c r="H193">
        <v>202104</v>
      </c>
      <c r="I193">
        <v>44298</v>
      </c>
      <c r="J193" t="s">
        <v>1117</v>
      </c>
      <c r="K193" t="s">
        <v>1056</v>
      </c>
      <c r="M193" t="s">
        <v>355</v>
      </c>
      <c r="O193" t="s">
        <v>1317</v>
      </c>
      <c r="P193" t="s">
        <v>1318</v>
      </c>
      <c r="Q193" t="s">
        <v>1155</v>
      </c>
      <c r="R193">
        <v>2069125</v>
      </c>
      <c r="S193" t="s">
        <v>355</v>
      </c>
      <c r="U193" t="s">
        <v>1379</v>
      </c>
      <c r="V193" t="s">
        <v>356</v>
      </c>
      <c r="W193">
        <v>27500</v>
      </c>
      <c r="X193">
        <v>7.56</v>
      </c>
      <c r="Y193">
        <v>64.709999999999994</v>
      </c>
      <c r="Z193">
        <v>27500</v>
      </c>
      <c r="AA193">
        <v>0</v>
      </c>
      <c r="AB193">
        <v>44304.906547256942</v>
      </c>
      <c r="AC193" t="s">
        <v>25</v>
      </c>
      <c r="AD193">
        <v>5</v>
      </c>
    </row>
    <row r="194" spans="1:30" x14ac:dyDescent="0.25">
      <c r="A194" t="s">
        <v>1051</v>
      </c>
      <c r="B194" t="s">
        <v>1106</v>
      </c>
      <c r="C194" t="s">
        <v>1151</v>
      </c>
      <c r="D194" t="s">
        <v>1236</v>
      </c>
      <c r="E194" t="s">
        <v>1060</v>
      </c>
      <c r="F194" t="s">
        <v>1061</v>
      </c>
      <c r="G194">
        <v>6100600</v>
      </c>
      <c r="H194">
        <v>202104</v>
      </c>
      <c r="I194">
        <v>44298</v>
      </c>
      <c r="J194" t="s">
        <v>1117</v>
      </c>
      <c r="K194" t="s">
        <v>1056</v>
      </c>
      <c r="M194" t="s">
        <v>355</v>
      </c>
      <c r="O194" t="s">
        <v>1258</v>
      </c>
      <c r="P194" t="s">
        <v>1259</v>
      </c>
      <c r="Q194" t="s">
        <v>1155</v>
      </c>
      <c r="R194">
        <v>2069125</v>
      </c>
      <c r="S194" t="s">
        <v>355</v>
      </c>
      <c r="U194" t="s">
        <v>1380</v>
      </c>
      <c r="V194" t="s">
        <v>356</v>
      </c>
      <c r="W194">
        <v>11000</v>
      </c>
      <c r="X194">
        <v>3.03</v>
      </c>
      <c r="Y194">
        <v>25.88</v>
      </c>
      <c r="Z194">
        <v>11000</v>
      </c>
      <c r="AA194">
        <v>0</v>
      </c>
      <c r="AB194">
        <v>44304.906547256942</v>
      </c>
      <c r="AC194" t="s">
        <v>25</v>
      </c>
      <c r="AD194">
        <v>5</v>
      </c>
    </row>
    <row r="195" spans="1:30" x14ac:dyDescent="0.25">
      <c r="A195" t="s">
        <v>1051</v>
      </c>
      <c r="B195" t="s">
        <v>1106</v>
      </c>
      <c r="C195" t="s">
        <v>1151</v>
      </c>
      <c r="D195" t="s">
        <v>1236</v>
      </c>
      <c r="E195" t="s">
        <v>1060</v>
      </c>
      <c r="F195" t="s">
        <v>1061</v>
      </c>
      <c r="G195">
        <v>6100695</v>
      </c>
      <c r="H195">
        <v>202104</v>
      </c>
      <c r="I195">
        <v>44316</v>
      </c>
      <c r="J195">
        <v>122536</v>
      </c>
      <c r="K195" t="s">
        <v>1056</v>
      </c>
      <c r="M195" t="s">
        <v>355</v>
      </c>
      <c r="O195" t="s">
        <v>1370</v>
      </c>
      <c r="P195" t="s">
        <v>1371</v>
      </c>
      <c r="Q195" t="s">
        <v>1155</v>
      </c>
      <c r="R195">
        <v>2069125</v>
      </c>
      <c r="S195" t="s">
        <v>355</v>
      </c>
      <c r="U195" t="s">
        <v>1381</v>
      </c>
      <c r="V195" t="s">
        <v>356</v>
      </c>
      <c r="W195">
        <v>95000</v>
      </c>
      <c r="X195">
        <v>25.65</v>
      </c>
      <c r="Y195">
        <v>212.52</v>
      </c>
      <c r="Z195">
        <v>95000</v>
      </c>
      <c r="AA195">
        <v>0</v>
      </c>
      <c r="AB195">
        <v>44318.084575266206</v>
      </c>
      <c r="AC195" t="s">
        <v>25</v>
      </c>
      <c r="AD195">
        <v>5</v>
      </c>
    </row>
    <row r="196" spans="1:30" x14ac:dyDescent="0.25">
      <c r="A196" t="s">
        <v>1051</v>
      </c>
      <c r="B196" t="s">
        <v>1106</v>
      </c>
      <c r="C196" t="s">
        <v>1151</v>
      </c>
      <c r="D196" t="s">
        <v>1236</v>
      </c>
      <c r="E196" t="s">
        <v>1060</v>
      </c>
      <c r="F196" t="s">
        <v>1061</v>
      </c>
      <c r="G196">
        <v>6100695</v>
      </c>
      <c r="H196">
        <v>202104</v>
      </c>
      <c r="I196">
        <v>44316</v>
      </c>
      <c r="J196">
        <v>122536</v>
      </c>
      <c r="K196" t="s">
        <v>1056</v>
      </c>
      <c r="M196" t="s">
        <v>355</v>
      </c>
      <c r="O196" t="s">
        <v>1370</v>
      </c>
      <c r="P196" t="s">
        <v>1371</v>
      </c>
      <c r="Q196" t="s">
        <v>1155</v>
      </c>
      <c r="R196">
        <v>2069125</v>
      </c>
      <c r="S196" t="s">
        <v>355</v>
      </c>
      <c r="U196" t="s">
        <v>1382</v>
      </c>
      <c r="V196" t="s">
        <v>356</v>
      </c>
      <c r="W196">
        <v>95000</v>
      </c>
      <c r="X196">
        <v>25.65</v>
      </c>
      <c r="Y196">
        <v>212.52</v>
      </c>
      <c r="Z196">
        <v>95000</v>
      </c>
      <c r="AA196">
        <v>0</v>
      </c>
      <c r="AB196">
        <v>44318.084575266206</v>
      </c>
      <c r="AC196" t="s">
        <v>25</v>
      </c>
      <c r="AD196">
        <v>5</v>
      </c>
    </row>
    <row r="197" spans="1:30" x14ac:dyDescent="0.25">
      <c r="A197" t="s">
        <v>1051</v>
      </c>
      <c r="B197" t="s">
        <v>1106</v>
      </c>
      <c r="C197" t="s">
        <v>1151</v>
      </c>
      <c r="D197" t="s">
        <v>1236</v>
      </c>
      <c r="E197" t="s">
        <v>1060</v>
      </c>
      <c r="F197" t="s">
        <v>1061</v>
      </c>
      <c r="G197">
        <v>6100815</v>
      </c>
      <c r="H197">
        <v>202105</v>
      </c>
      <c r="I197">
        <v>44328</v>
      </c>
      <c r="J197" t="s">
        <v>1117</v>
      </c>
      <c r="K197" t="s">
        <v>1056</v>
      </c>
      <c r="M197" t="s">
        <v>355</v>
      </c>
      <c r="O197" t="s">
        <v>1383</v>
      </c>
      <c r="P197" t="s">
        <v>1384</v>
      </c>
      <c r="Q197" t="s">
        <v>1155</v>
      </c>
      <c r="R197">
        <v>2069125</v>
      </c>
      <c r="S197" t="s">
        <v>355</v>
      </c>
      <c r="U197" t="s">
        <v>1385</v>
      </c>
      <c r="V197" t="s">
        <v>356</v>
      </c>
      <c r="W197">
        <v>21400</v>
      </c>
      <c r="X197">
        <v>5.56</v>
      </c>
      <c r="Y197">
        <v>46.03</v>
      </c>
      <c r="Z197">
        <v>21400</v>
      </c>
      <c r="AA197">
        <v>0</v>
      </c>
      <c r="AB197">
        <v>44329.738574803239</v>
      </c>
      <c r="AC197" t="s">
        <v>25</v>
      </c>
      <c r="AD197">
        <v>5</v>
      </c>
    </row>
    <row r="198" spans="1:30" x14ac:dyDescent="0.25">
      <c r="A198" t="s">
        <v>1051</v>
      </c>
      <c r="B198" t="s">
        <v>1106</v>
      </c>
      <c r="C198" t="s">
        <v>1151</v>
      </c>
      <c r="D198" t="s">
        <v>1236</v>
      </c>
      <c r="E198" t="s">
        <v>1060</v>
      </c>
      <c r="F198" t="s">
        <v>1061</v>
      </c>
      <c r="G198">
        <v>6100815</v>
      </c>
      <c r="H198">
        <v>202105</v>
      </c>
      <c r="I198">
        <v>44328</v>
      </c>
      <c r="J198" t="s">
        <v>1117</v>
      </c>
      <c r="K198" t="s">
        <v>1056</v>
      </c>
      <c r="M198" t="s">
        <v>355</v>
      </c>
      <c r="O198" t="s">
        <v>1252</v>
      </c>
      <c r="P198" t="s">
        <v>1253</v>
      </c>
      <c r="Q198" t="s">
        <v>1155</v>
      </c>
      <c r="R198">
        <v>2069125</v>
      </c>
      <c r="S198" t="s">
        <v>355</v>
      </c>
      <c r="U198" t="s">
        <v>1386</v>
      </c>
      <c r="V198" t="s">
        <v>356</v>
      </c>
      <c r="W198">
        <v>50000</v>
      </c>
      <c r="X198">
        <v>13</v>
      </c>
      <c r="Y198">
        <v>107.55</v>
      </c>
      <c r="Z198">
        <v>50000</v>
      </c>
      <c r="AA198">
        <v>0</v>
      </c>
      <c r="AB198">
        <v>44329.738575196759</v>
      </c>
      <c r="AC198" t="s">
        <v>25</v>
      </c>
      <c r="AD198">
        <v>5</v>
      </c>
    </row>
    <row r="199" spans="1:30" x14ac:dyDescent="0.25">
      <c r="A199" t="s">
        <v>1051</v>
      </c>
      <c r="B199" t="s">
        <v>1106</v>
      </c>
      <c r="C199" t="s">
        <v>1151</v>
      </c>
      <c r="D199" t="s">
        <v>1236</v>
      </c>
      <c r="E199" t="s">
        <v>1060</v>
      </c>
      <c r="F199" t="s">
        <v>1061</v>
      </c>
      <c r="G199">
        <v>6100815</v>
      </c>
      <c r="H199">
        <v>202105</v>
      </c>
      <c r="I199">
        <v>44328</v>
      </c>
      <c r="J199" t="s">
        <v>1117</v>
      </c>
      <c r="K199" t="s">
        <v>1056</v>
      </c>
      <c r="M199" t="s">
        <v>355</v>
      </c>
      <c r="O199" t="s">
        <v>1387</v>
      </c>
      <c r="P199" t="s">
        <v>1388</v>
      </c>
      <c r="Q199" t="s">
        <v>1155</v>
      </c>
      <c r="R199">
        <v>2069125</v>
      </c>
      <c r="S199" t="s">
        <v>355</v>
      </c>
      <c r="U199" t="s">
        <v>1389</v>
      </c>
      <c r="V199" t="s">
        <v>356</v>
      </c>
      <c r="W199">
        <v>13000</v>
      </c>
      <c r="X199">
        <v>3.38</v>
      </c>
      <c r="Y199">
        <v>27.96</v>
      </c>
      <c r="Z199">
        <v>13000</v>
      </c>
      <c r="AA199">
        <v>0</v>
      </c>
      <c r="AB199">
        <v>44329.738574803239</v>
      </c>
      <c r="AC199" t="s">
        <v>25</v>
      </c>
      <c r="AD199">
        <v>5</v>
      </c>
    </row>
    <row r="200" spans="1:30" x14ac:dyDescent="0.25">
      <c r="A200" t="s">
        <v>1051</v>
      </c>
      <c r="B200" t="s">
        <v>1106</v>
      </c>
      <c r="C200" t="s">
        <v>1151</v>
      </c>
      <c r="D200" t="s">
        <v>1236</v>
      </c>
      <c r="E200" t="s">
        <v>1060</v>
      </c>
      <c r="F200" t="s">
        <v>1061</v>
      </c>
      <c r="G200">
        <v>6100815</v>
      </c>
      <c r="H200">
        <v>202105</v>
      </c>
      <c r="I200">
        <v>44328</v>
      </c>
      <c r="J200" t="s">
        <v>1117</v>
      </c>
      <c r="K200" t="s">
        <v>1056</v>
      </c>
      <c r="M200" t="s">
        <v>355</v>
      </c>
      <c r="O200" t="s">
        <v>1390</v>
      </c>
      <c r="P200" t="s">
        <v>1391</v>
      </c>
      <c r="Q200" t="s">
        <v>1155</v>
      </c>
      <c r="R200">
        <v>2069125</v>
      </c>
      <c r="S200" t="s">
        <v>355</v>
      </c>
      <c r="U200" t="s">
        <v>1392</v>
      </c>
      <c r="V200" t="s">
        <v>356</v>
      </c>
      <c r="W200">
        <v>22500</v>
      </c>
      <c r="X200">
        <v>5.85</v>
      </c>
      <c r="Y200">
        <v>48.4</v>
      </c>
      <c r="Z200">
        <v>22500</v>
      </c>
      <c r="AA200">
        <v>0</v>
      </c>
      <c r="AB200">
        <v>44329.738574803239</v>
      </c>
      <c r="AC200" t="s">
        <v>25</v>
      </c>
      <c r="AD200">
        <v>5</v>
      </c>
    </row>
    <row r="201" spans="1:30" x14ac:dyDescent="0.25">
      <c r="A201" t="s">
        <v>1051</v>
      </c>
      <c r="B201" t="s">
        <v>1106</v>
      </c>
      <c r="C201" t="s">
        <v>1151</v>
      </c>
      <c r="D201" t="s">
        <v>1236</v>
      </c>
      <c r="E201" t="s">
        <v>1060</v>
      </c>
      <c r="F201" t="s">
        <v>1061</v>
      </c>
      <c r="G201">
        <v>6100850</v>
      </c>
      <c r="H201">
        <v>202105</v>
      </c>
      <c r="I201">
        <v>44335</v>
      </c>
      <c r="J201" t="s">
        <v>1117</v>
      </c>
      <c r="K201" t="s">
        <v>1056</v>
      </c>
      <c r="M201" t="s">
        <v>355</v>
      </c>
      <c r="O201" t="s">
        <v>1258</v>
      </c>
      <c r="P201" t="s">
        <v>1259</v>
      </c>
      <c r="Q201" t="s">
        <v>1155</v>
      </c>
      <c r="R201">
        <v>2069125</v>
      </c>
      <c r="S201" t="s">
        <v>1393</v>
      </c>
      <c r="U201" t="s">
        <v>1394</v>
      </c>
      <c r="V201" t="s">
        <v>356</v>
      </c>
      <c r="W201">
        <v>12000</v>
      </c>
      <c r="X201">
        <v>3.12</v>
      </c>
      <c r="Y201">
        <v>25.6</v>
      </c>
      <c r="Z201">
        <v>12000</v>
      </c>
      <c r="AA201">
        <v>0</v>
      </c>
      <c r="AB201">
        <v>44337.602855092591</v>
      </c>
      <c r="AC201" t="s">
        <v>25</v>
      </c>
      <c r="AD201">
        <v>5</v>
      </c>
    </row>
    <row r="202" spans="1:30" x14ac:dyDescent="0.25">
      <c r="A202" t="s">
        <v>1051</v>
      </c>
      <c r="B202" t="s">
        <v>1106</v>
      </c>
      <c r="C202" t="s">
        <v>1151</v>
      </c>
      <c r="D202" t="s">
        <v>1236</v>
      </c>
      <c r="E202" t="s">
        <v>1060</v>
      </c>
      <c r="F202" t="s">
        <v>1061</v>
      </c>
      <c r="G202">
        <v>6100850</v>
      </c>
      <c r="H202">
        <v>202105</v>
      </c>
      <c r="I202">
        <v>44335</v>
      </c>
      <c r="J202" t="s">
        <v>1117</v>
      </c>
      <c r="K202" t="s">
        <v>1056</v>
      </c>
      <c r="M202" t="s">
        <v>355</v>
      </c>
      <c r="O202" t="s">
        <v>1395</v>
      </c>
      <c r="P202" t="s">
        <v>1396</v>
      </c>
      <c r="Q202" t="s">
        <v>1155</v>
      </c>
      <c r="R202">
        <v>2069125</v>
      </c>
      <c r="S202" t="s">
        <v>1397</v>
      </c>
      <c r="U202" t="s">
        <v>1394</v>
      </c>
      <c r="V202" t="s">
        <v>356</v>
      </c>
      <c r="W202">
        <v>42000</v>
      </c>
      <c r="X202">
        <v>10.92</v>
      </c>
      <c r="Y202">
        <v>89.59</v>
      </c>
      <c r="Z202">
        <v>42000</v>
      </c>
      <c r="AA202">
        <v>0</v>
      </c>
      <c r="AB202">
        <v>44337.602855092591</v>
      </c>
      <c r="AC202" t="s">
        <v>25</v>
      </c>
      <c r="AD202">
        <v>5</v>
      </c>
    </row>
    <row r="203" spans="1:30" x14ac:dyDescent="0.25">
      <c r="A203" t="s">
        <v>1051</v>
      </c>
      <c r="B203" t="s">
        <v>1051</v>
      </c>
      <c r="C203" t="s">
        <v>1151</v>
      </c>
      <c r="D203" t="s">
        <v>1236</v>
      </c>
      <c r="E203" t="s">
        <v>1060</v>
      </c>
      <c r="F203" t="s">
        <v>1061</v>
      </c>
      <c r="G203">
        <v>6101120</v>
      </c>
      <c r="H203">
        <v>202106</v>
      </c>
      <c r="I203">
        <v>44377</v>
      </c>
      <c r="J203">
        <v>124932</v>
      </c>
      <c r="K203" t="s">
        <v>1056</v>
      </c>
      <c r="M203" t="s">
        <v>355</v>
      </c>
      <c r="O203" t="s">
        <v>1258</v>
      </c>
      <c r="P203" t="s">
        <v>1259</v>
      </c>
      <c r="Q203" t="s">
        <v>354</v>
      </c>
      <c r="R203">
        <v>2265787</v>
      </c>
      <c r="S203" t="s">
        <v>355</v>
      </c>
      <c r="U203" t="s">
        <v>1398</v>
      </c>
      <c r="V203" t="s">
        <v>356</v>
      </c>
      <c r="W203">
        <v>5500</v>
      </c>
      <c r="X203">
        <v>1.46</v>
      </c>
      <c r="Y203">
        <v>12.38</v>
      </c>
      <c r="Z203">
        <v>5500</v>
      </c>
      <c r="AA203">
        <v>0</v>
      </c>
      <c r="AB203">
        <v>44380.805484062497</v>
      </c>
      <c r="AC203" t="s">
        <v>325</v>
      </c>
      <c r="AD203">
        <v>5</v>
      </c>
    </row>
    <row r="204" spans="1:30" x14ac:dyDescent="0.25">
      <c r="A204" t="s">
        <v>1051</v>
      </c>
      <c r="B204" t="s">
        <v>1051</v>
      </c>
      <c r="C204" t="s">
        <v>1151</v>
      </c>
      <c r="D204" t="s">
        <v>1236</v>
      </c>
      <c r="E204" t="s">
        <v>1060</v>
      </c>
      <c r="F204" t="s">
        <v>1061</v>
      </c>
      <c r="G204">
        <v>6101120</v>
      </c>
      <c r="H204">
        <v>202106</v>
      </c>
      <c r="I204">
        <v>44377</v>
      </c>
      <c r="J204">
        <v>124932</v>
      </c>
      <c r="K204" t="s">
        <v>1056</v>
      </c>
      <c r="M204" t="s">
        <v>355</v>
      </c>
      <c r="O204" t="s">
        <v>1258</v>
      </c>
      <c r="P204" t="s">
        <v>1259</v>
      </c>
      <c r="Q204" t="s">
        <v>354</v>
      </c>
      <c r="R204">
        <v>2265787</v>
      </c>
      <c r="S204" t="s">
        <v>355</v>
      </c>
      <c r="U204" t="s">
        <v>1399</v>
      </c>
      <c r="V204" t="s">
        <v>356</v>
      </c>
      <c r="W204">
        <v>5000</v>
      </c>
      <c r="X204">
        <v>1.33</v>
      </c>
      <c r="Y204">
        <v>11.26</v>
      </c>
      <c r="Z204">
        <v>5000</v>
      </c>
      <c r="AA204">
        <v>0</v>
      </c>
      <c r="AB204">
        <v>44380.805484062497</v>
      </c>
      <c r="AC204" t="s">
        <v>325</v>
      </c>
      <c r="AD204">
        <v>5</v>
      </c>
    </row>
    <row r="205" spans="1:30" x14ac:dyDescent="0.25">
      <c r="A205" t="s">
        <v>1051</v>
      </c>
      <c r="B205" t="s">
        <v>1051</v>
      </c>
      <c r="C205" t="s">
        <v>1151</v>
      </c>
      <c r="D205" t="s">
        <v>1236</v>
      </c>
      <c r="E205" t="s">
        <v>1060</v>
      </c>
      <c r="F205" t="s">
        <v>1061</v>
      </c>
      <c r="G205">
        <v>6101099</v>
      </c>
      <c r="H205">
        <v>202106</v>
      </c>
      <c r="I205">
        <v>44377</v>
      </c>
      <c r="J205">
        <v>125062</v>
      </c>
      <c r="K205" t="s">
        <v>1056</v>
      </c>
      <c r="M205" t="s">
        <v>355</v>
      </c>
      <c r="O205" t="s">
        <v>1370</v>
      </c>
      <c r="P205" t="s">
        <v>1371</v>
      </c>
      <c r="Q205" t="s">
        <v>1155</v>
      </c>
      <c r="R205">
        <v>2069125</v>
      </c>
      <c r="S205" t="s">
        <v>355</v>
      </c>
      <c r="U205" t="s">
        <v>1400</v>
      </c>
      <c r="V205" t="s">
        <v>356</v>
      </c>
      <c r="W205">
        <v>65000</v>
      </c>
      <c r="X205">
        <v>17.23</v>
      </c>
      <c r="Y205">
        <v>146.32</v>
      </c>
      <c r="Z205">
        <v>65000</v>
      </c>
      <c r="AA205">
        <v>0</v>
      </c>
      <c r="AB205">
        <v>44380.664141238427</v>
      </c>
      <c r="AC205" t="s">
        <v>25</v>
      </c>
      <c r="AD205">
        <v>5</v>
      </c>
    </row>
    <row r="206" spans="1:30" x14ac:dyDescent="0.25">
      <c r="A206" t="s">
        <v>1051</v>
      </c>
      <c r="B206" t="s">
        <v>1051</v>
      </c>
      <c r="C206" t="s">
        <v>1151</v>
      </c>
      <c r="D206" t="s">
        <v>1236</v>
      </c>
      <c r="E206" t="s">
        <v>1060</v>
      </c>
      <c r="F206" t="s">
        <v>1061</v>
      </c>
      <c r="G206">
        <v>6101099</v>
      </c>
      <c r="H206">
        <v>202106</v>
      </c>
      <c r="I206">
        <v>44377</v>
      </c>
      <c r="J206">
        <v>125062</v>
      </c>
      <c r="K206" t="s">
        <v>1056</v>
      </c>
      <c r="M206" t="s">
        <v>355</v>
      </c>
      <c r="O206" t="s">
        <v>1370</v>
      </c>
      <c r="P206" t="s">
        <v>1371</v>
      </c>
      <c r="Q206" t="s">
        <v>354</v>
      </c>
      <c r="R206">
        <v>2265787</v>
      </c>
      <c r="S206" t="s">
        <v>355</v>
      </c>
      <c r="U206" t="s">
        <v>1401</v>
      </c>
      <c r="V206" t="s">
        <v>356</v>
      </c>
      <c r="W206">
        <v>325000</v>
      </c>
      <c r="X206">
        <v>86.13</v>
      </c>
      <c r="Y206">
        <v>731.58</v>
      </c>
      <c r="Z206">
        <v>325000</v>
      </c>
      <c r="AA206">
        <v>318</v>
      </c>
      <c r="AB206">
        <v>44380.664141238427</v>
      </c>
      <c r="AC206" t="s">
        <v>325</v>
      </c>
      <c r="AD206">
        <v>5</v>
      </c>
    </row>
    <row r="207" spans="1:30" x14ac:dyDescent="0.25">
      <c r="A207" t="s">
        <v>1051</v>
      </c>
      <c r="B207" t="s">
        <v>1051</v>
      </c>
      <c r="C207" t="s">
        <v>1151</v>
      </c>
      <c r="D207" t="s">
        <v>1236</v>
      </c>
      <c r="E207" t="s">
        <v>1060</v>
      </c>
      <c r="F207" t="s">
        <v>1061</v>
      </c>
      <c r="G207">
        <v>6101099</v>
      </c>
      <c r="H207">
        <v>202106</v>
      </c>
      <c r="I207">
        <v>44377</v>
      </c>
      <c r="J207">
        <v>125062</v>
      </c>
      <c r="K207" t="s">
        <v>1056</v>
      </c>
      <c r="M207" t="s">
        <v>355</v>
      </c>
      <c r="O207" t="s">
        <v>1370</v>
      </c>
      <c r="P207" t="s">
        <v>1371</v>
      </c>
      <c r="Q207" t="s">
        <v>1155</v>
      </c>
      <c r="R207">
        <v>2069125</v>
      </c>
      <c r="S207" t="s">
        <v>355</v>
      </c>
      <c r="U207" t="s">
        <v>1402</v>
      </c>
      <c r="V207" t="s">
        <v>356</v>
      </c>
      <c r="W207">
        <v>325000</v>
      </c>
      <c r="X207">
        <v>86.13</v>
      </c>
      <c r="Y207">
        <v>731.58</v>
      </c>
      <c r="Z207">
        <v>325000</v>
      </c>
      <c r="AA207">
        <v>318</v>
      </c>
      <c r="AB207">
        <v>44380.664141238427</v>
      </c>
      <c r="AC207" t="s">
        <v>25</v>
      </c>
      <c r="AD207">
        <v>5</v>
      </c>
    </row>
    <row r="208" spans="1:30" x14ac:dyDescent="0.25">
      <c r="A208" t="s">
        <v>1051</v>
      </c>
      <c r="B208" t="s">
        <v>1051</v>
      </c>
      <c r="C208" t="s">
        <v>1151</v>
      </c>
      <c r="D208" t="s">
        <v>1236</v>
      </c>
      <c r="E208" t="s">
        <v>1060</v>
      </c>
      <c r="F208" t="s">
        <v>1061</v>
      </c>
      <c r="G208">
        <v>6101099</v>
      </c>
      <c r="H208">
        <v>202106</v>
      </c>
      <c r="I208">
        <v>44377</v>
      </c>
      <c r="J208">
        <v>125062</v>
      </c>
      <c r="K208" t="s">
        <v>1056</v>
      </c>
      <c r="M208" t="s">
        <v>355</v>
      </c>
      <c r="O208" t="s">
        <v>1370</v>
      </c>
      <c r="P208" t="s">
        <v>1371</v>
      </c>
      <c r="Q208" t="s">
        <v>354</v>
      </c>
      <c r="R208">
        <v>2265787</v>
      </c>
      <c r="S208" t="s">
        <v>355</v>
      </c>
      <c r="U208" t="s">
        <v>1403</v>
      </c>
      <c r="V208" t="s">
        <v>356</v>
      </c>
      <c r="W208">
        <v>65000</v>
      </c>
      <c r="X208">
        <v>17.23</v>
      </c>
      <c r="Y208">
        <v>146.32</v>
      </c>
      <c r="Z208">
        <v>65000</v>
      </c>
      <c r="AA208">
        <v>0</v>
      </c>
      <c r="AB208">
        <v>44380.664141435183</v>
      </c>
      <c r="AC208" t="s">
        <v>325</v>
      </c>
      <c r="AD208">
        <v>5</v>
      </c>
    </row>
    <row r="209" spans="1:30" x14ac:dyDescent="0.25">
      <c r="A209" t="s">
        <v>1051</v>
      </c>
      <c r="B209" t="s">
        <v>1106</v>
      </c>
      <c r="C209" t="s">
        <v>1151</v>
      </c>
      <c r="D209" t="s">
        <v>1236</v>
      </c>
      <c r="E209" t="s">
        <v>1060</v>
      </c>
      <c r="F209" t="s">
        <v>1061</v>
      </c>
      <c r="G209">
        <v>6101083</v>
      </c>
      <c r="H209">
        <v>202106</v>
      </c>
      <c r="I209">
        <v>44377</v>
      </c>
      <c r="J209" t="s">
        <v>1117</v>
      </c>
      <c r="K209" t="s">
        <v>1056</v>
      </c>
      <c r="M209" t="s">
        <v>355</v>
      </c>
      <c r="O209" t="s">
        <v>1404</v>
      </c>
      <c r="P209" t="s">
        <v>1405</v>
      </c>
      <c r="Q209" t="s">
        <v>1155</v>
      </c>
      <c r="R209">
        <v>2069125</v>
      </c>
      <c r="S209" t="s">
        <v>1406</v>
      </c>
      <c r="U209" t="s">
        <v>1407</v>
      </c>
      <c r="V209" t="s">
        <v>356</v>
      </c>
      <c r="W209">
        <v>26500</v>
      </c>
      <c r="X209">
        <v>7.02</v>
      </c>
      <c r="Y209">
        <v>59.65</v>
      </c>
      <c r="Z209">
        <v>26500</v>
      </c>
      <c r="AA209">
        <v>0</v>
      </c>
      <c r="AB209">
        <v>44379.967036921298</v>
      </c>
      <c r="AC209" t="s">
        <v>25</v>
      </c>
      <c r="AD209">
        <v>5</v>
      </c>
    </row>
    <row r="210" spans="1:30" x14ac:dyDescent="0.25">
      <c r="A210" t="s">
        <v>1051</v>
      </c>
      <c r="B210" t="s">
        <v>1106</v>
      </c>
      <c r="C210" t="s">
        <v>1151</v>
      </c>
      <c r="D210" t="s">
        <v>1236</v>
      </c>
      <c r="E210" t="s">
        <v>1060</v>
      </c>
      <c r="F210" t="s">
        <v>1061</v>
      </c>
      <c r="G210">
        <v>6101083</v>
      </c>
      <c r="H210">
        <v>202106</v>
      </c>
      <c r="I210">
        <v>44377</v>
      </c>
      <c r="J210" t="s">
        <v>1117</v>
      </c>
      <c r="K210" t="s">
        <v>1056</v>
      </c>
      <c r="M210" t="s">
        <v>355</v>
      </c>
      <c r="O210" t="s">
        <v>1252</v>
      </c>
      <c r="P210" t="s">
        <v>1253</v>
      </c>
      <c r="Q210" t="s">
        <v>1155</v>
      </c>
      <c r="R210">
        <v>2069125</v>
      </c>
      <c r="S210" t="s">
        <v>1408</v>
      </c>
      <c r="U210" t="s">
        <v>1409</v>
      </c>
      <c r="V210" t="s">
        <v>356</v>
      </c>
      <c r="W210">
        <v>38000</v>
      </c>
      <c r="X210">
        <v>10.07</v>
      </c>
      <c r="Y210">
        <v>85.54</v>
      </c>
      <c r="Z210">
        <v>38000</v>
      </c>
      <c r="AA210">
        <v>0</v>
      </c>
      <c r="AB210">
        <v>44379.967036921298</v>
      </c>
      <c r="AC210" t="s">
        <v>25</v>
      </c>
      <c r="AD210">
        <v>5</v>
      </c>
    </row>
    <row r="211" spans="1:30" x14ac:dyDescent="0.25">
      <c r="A211" t="s">
        <v>1051</v>
      </c>
      <c r="B211" t="s">
        <v>1106</v>
      </c>
      <c r="C211" t="s">
        <v>1151</v>
      </c>
      <c r="D211" t="s">
        <v>1236</v>
      </c>
      <c r="E211" t="s">
        <v>1060</v>
      </c>
      <c r="F211" t="s">
        <v>1061</v>
      </c>
      <c r="G211">
        <v>6101084</v>
      </c>
      <c r="H211">
        <v>202106</v>
      </c>
      <c r="I211">
        <v>44377</v>
      </c>
      <c r="J211" t="s">
        <v>1117</v>
      </c>
      <c r="K211" t="s">
        <v>1056</v>
      </c>
      <c r="M211" t="s">
        <v>355</v>
      </c>
      <c r="O211" t="s">
        <v>1410</v>
      </c>
      <c r="P211" t="s">
        <v>1411</v>
      </c>
      <c r="Q211" t="s">
        <v>1155</v>
      </c>
      <c r="R211">
        <v>2069125</v>
      </c>
      <c r="S211" t="s">
        <v>1412</v>
      </c>
      <c r="U211" t="s">
        <v>1413</v>
      </c>
      <c r="V211" t="s">
        <v>356</v>
      </c>
      <c r="W211">
        <v>6000</v>
      </c>
      <c r="X211">
        <v>1.59</v>
      </c>
      <c r="Y211">
        <v>13.51</v>
      </c>
      <c r="Z211">
        <v>6000</v>
      </c>
      <c r="AA211">
        <v>0</v>
      </c>
      <c r="AB211">
        <v>44379.988307094907</v>
      </c>
      <c r="AC211" t="s">
        <v>25</v>
      </c>
      <c r="AD211">
        <v>5</v>
      </c>
    </row>
    <row r="212" spans="1:30" x14ac:dyDescent="0.25">
      <c r="A212" t="s">
        <v>1051</v>
      </c>
      <c r="B212" t="s">
        <v>1106</v>
      </c>
      <c r="C212" t="s">
        <v>1151</v>
      </c>
      <c r="D212" t="s">
        <v>1236</v>
      </c>
      <c r="E212" t="s">
        <v>1060</v>
      </c>
      <c r="F212" t="s">
        <v>1061</v>
      </c>
      <c r="G212">
        <v>6101084</v>
      </c>
      <c r="H212">
        <v>202106</v>
      </c>
      <c r="I212">
        <v>44377</v>
      </c>
      <c r="J212" t="s">
        <v>1117</v>
      </c>
      <c r="K212" t="s">
        <v>1056</v>
      </c>
      <c r="M212" t="s">
        <v>355</v>
      </c>
      <c r="O212" t="s">
        <v>1414</v>
      </c>
      <c r="P212" t="s">
        <v>1415</v>
      </c>
      <c r="Q212" t="s">
        <v>1155</v>
      </c>
      <c r="R212">
        <v>2069125</v>
      </c>
      <c r="S212" t="s">
        <v>1416</v>
      </c>
      <c r="U212" t="s">
        <v>1417</v>
      </c>
      <c r="V212" t="s">
        <v>356</v>
      </c>
      <c r="W212">
        <v>26000</v>
      </c>
      <c r="X212">
        <v>6.89</v>
      </c>
      <c r="Y212">
        <v>58.53</v>
      </c>
      <c r="Z212">
        <v>26000</v>
      </c>
      <c r="AA212">
        <v>0</v>
      </c>
      <c r="AB212">
        <v>44379.988307094907</v>
      </c>
      <c r="AC212" t="s">
        <v>25</v>
      </c>
      <c r="AD212">
        <v>5</v>
      </c>
    </row>
    <row r="213" spans="1:30" x14ac:dyDescent="0.25">
      <c r="A213" t="s">
        <v>1051</v>
      </c>
      <c r="B213" t="s">
        <v>1106</v>
      </c>
      <c r="C213" t="s">
        <v>1151</v>
      </c>
      <c r="D213" t="s">
        <v>1236</v>
      </c>
      <c r="E213" t="s">
        <v>1060</v>
      </c>
      <c r="F213" t="s">
        <v>1061</v>
      </c>
      <c r="G213">
        <v>6101084</v>
      </c>
      <c r="H213">
        <v>202106</v>
      </c>
      <c r="I213">
        <v>44377</v>
      </c>
      <c r="J213" t="s">
        <v>1117</v>
      </c>
      <c r="K213" t="s">
        <v>1056</v>
      </c>
      <c r="M213" t="s">
        <v>355</v>
      </c>
      <c r="O213" t="s">
        <v>1418</v>
      </c>
      <c r="P213" t="s">
        <v>1419</v>
      </c>
      <c r="Q213" t="s">
        <v>1155</v>
      </c>
      <c r="R213">
        <v>2069125</v>
      </c>
      <c r="S213" t="s">
        <v>1420</v>
      </c>
      <c r="U213" t="s">
        <v>1421</v>
      </c>
      <c r="V213" t="s">
        <v>356</v>
      </c>
      <c r="W213">
        <v>12000</v>
      </c>
      <c r="X213">
        <v>3.18</v>
      </c>
      <c r="Y213">
        <v>27.01</v>
      </c>
      <c r="Z213">
        <v>12000</v>
      </c>
      <c r="AA213">
        <v>0</v>
      </c>
      <c r="AB213">
        <v>44379.988307094907</v>
      </c>
      <c r="AC213" t="s">
        <v>25</v>
      </c>
      <c r="AD213">
        <v>5</v>
      </c>
    </row>
    <row r="214" spans="1:30" x14ac:dyDescent="0.25">
      <c r="A214" t="s">
        <v>1051</v>
      </c>
      <c r="B214" t="s">
        <v>1106</v>
      </c>
      <c r="C214" t="s">
        <v>1151</v>
      </c>
      <c r="D214" t="s">
        <v>1236</v>
      </c>
      <c r="E214" t="s">
        <v>1060</v>
      </c>
      <c r="F214" t="s">
        <v>1061</v>
      </c>
      <c r="G214">
        <v>6101084</v>
      </c>
      <c r="H214">
        <v>202106</v>
      </c>
      <c r="I214">
        <v>44377</v>
      </c>
      <c r="J214" t="s">
        <v>1117</v>
      </c>
      <c r="K214" t="s">
        <v>1056</v>
      </c>
      <c r="M214" t="s">
        <v>355</v>
      </c>
      <c r="O214" t="s">
        <v>1422</v>
      </c>
      <c r="P214" t="s">
        <v>1423</v>
      </c>
      <c r="Q214" t="s">
        <v>1155</v>
      </c>
      <c r="R214">
        <v>2069125</v>
      </c>
      <c r="S214" t="s">
        <v>1424</v>
      </c>
      <c r="U214" t="s">
        <v>1425</v>
      </c>
      <c r="V214" t="s">
        <v>356</v>
      </c>
      <c r="W214">
        <v>29800</v>
      </c>
      <c r="X214">
        <v>7.9</v>
      </c>
      <c r="Y214">
        <v>67.08</v>
      </c>
      <c r="Z214">
        <v>29800</v>
      </c>
      <c r="AA214">
        <v>0</v>
      </c>
      <c r="AB214">
        <v>44379.988307094907</v>
      </c>
      <c r="AC214" t="s">
        <v>25</v>
      </c>
      <c r="AD214">
        <v>5</v>
      </c>
    </row>
    <row r="215" spans="1:30" x14ac:dyDescent="0.25">
      <c r="A215" t="s">
        <v>1051</v>
      </c>
      <c r="B215" t="s">
        <v>1106</v>
      </c>
      <c r="C215" t="s">
        <v>1151</v>
      </c>
      <c r="D215" t="s">
        <v>1236</v>
      </c>
      <c r="E215" t="s">
        <v>1060</v>
      </c>
      <c r="F215" t="s">
        <v>1061</v>
      </c>
      <c r="G215">
        <v>6101084</v>
      </c>
      <c r="H215">
        <v>202106</v>
      </c>
      <c r="I215">
        <v>44377</v>
      </c>
      <c r="J215" t="s">
        <v>1117</v>
      </c>
      <c r="K215" t="s">
        <v>1056</v>
      </c>
      <c r="M215" t="s">
        <v>355</v>
      </c>
      <c r="O215" t="s">
        <v>1252</v>
      </c>
      <c r="P215" t="s">
        <v>1253</v>
      </c>
      <c r="Q215" t="s">
        <v>1155</v>
      </c>
      <c r="R215">
        <v>2069125</v>
      </c>
      <c r="S215" t="s">
        <v>1291</v>
      </c>
      <c r="U215" t="s">
        <v>1426</v>
      </c>
      <c r="V215" t="s">
        <v>356</v>
      </c>
      <c r="W215">
        <v>14000</v>
      </c>
      <c r="X215">
        <v>3.71</v>
      </c>
      <c r="Y215">
        <v>31.51</v>
      </c>
      <c r="Z215">
        <v>14000</v>
      </c>
      <c r="AA215">
        <v>0</v>
      </c>
      <c r="AB215">
        <v>44379.988307094907</v>
      </c>
      <c r="AC215" t="s">
        <v>25</v>
      </c>
      <c r="AD215">
        <v>5</v>
      </c>
    </row>
    <row r="216" spans="1:30" x14ac:dyDescent="0.25">
      <c r="A216" t="s">
        <v>1051</v>
      </c>
      <c r="B216" t="s">
        <v>1106</v>
      </c>
      <c r="C216" t="s">
        <v>1151</v>
      </c>
      <c r="D216" t="s">
        <v>1236</v>
      </c>
      <c r="E216" t="s">
        <v>1060</v>
      </c>
      <c r="F216" t="s">
        <v>1061</v>
      </c>
      <c r="G216">
        <v>6101084</v>
      </c>
      <c r="H216">
        <v>202106</v>
      </c>
      <c r="I216">
        <v>44377</v>
      </c>
      <c r="J216" t="s">
        <v>1117</v>
      </c>
      <c r="K216" t="s">
        <v>1056</v>
      </c>
      <c r="M216" t="s">
        <v>355</v>
      </c>
      <c r="O216" t="s">
        <v>1427</v>
      </c>
      <c r="P216" t="s">
        <v>1428</v>
      </c>
      <c r="Q216" t="s">
        <v>1155</v>
      </c>
      <c r="R216">
        <v>2069125</v>
      </c>
      <c r="S216" t="s">
        <v>1429</v>
      </c>
      <c r="U216" t="s">
        <v>1430</v>
      </c>
      <c r="V216" t="s">
        <v>356</v>
      </c>
      <c r="W216">
        <v>32000</v>
      </c>
      <c r="X216">
        <v>8.48</v>
      </c>
      <c r="Y216">
        <v>72.03</v>
      </c>
      <c r="Z216">
        <v>32000</v>
      </c>
      <c r="AA216">
        <v>0</v>
      </c>
      <c r="AB216">
        <v>44379.98830690972</v>
      </c>
      <c r="AC216" t="s">
        <v>25</v>
      </c>
      <c r="AD216">
        <v>5</v>
      </c>
    </row>
    <row r="217" spans="1:30" x14ac:dyDescent="0.25">
      <c r="A217" t="s">
        <v>1051</v>
      </c>
      <c r="B217" t="s">
        <v>1106</v>
      </c>
      <c r="C217" t="s">
        <v>1151</v>
      </c>
      <c r="D217" t="s">
        <v>1236</v>
      </c>
      <c r="E217" t="s">
        <v>1060</v>
      </c>
      <c r="F217" t="s">
        <v>1061</v>
      </c>
      <c r="G217">
        <v>6101084</v>
      </c>
      <c r="H217">
        <v>202106</v>
      </c>
      <c r="I217">
        <v>44377</v>
      </c>
      <c r="J217" t="s">
        <v>1117</v>
      </c>
      <c r="K217" t="s">
        <v>1056</v>
      </c>
      <c r="M217" t="s">
        <v>355</v>
      </c>
      <c r="O217" t="s">
        <v>1431</v>
      </c>
      <c r="P217" t="s">
        <v>1432</v>
      </c>
      <c r="Q217" t="s">
        <v>1155</v>
      </c>
      <c r="R217">
        <v>2069125</v>
      </c>
      <c r="S217" t="s">
        <v>1433</v>
      </c>
      <c r="U217" t="s">
        <v>1434</v>
      </c>
      <c r="V217" t="s">
        <v>356</v>
      </c>
      <c r="W217">
        <v>9000</v>
      </c>
      <c r="X217">
        <v>2.39</v>
      </c>
      <c r="Y217">
        <v>20.260000000000002</v>
      </c>
      <c r="Z217">
        <v>9000</v>
      </c>
      <c r="AA217">
        <v>0</v>
      </c>
      <c r="AB217">
        <v>44379.98830690972</v>
      </c>
      <c r="AC217" t="s">
        <v>25</v>
      </c>
      <c r="AD217">
        <v>5</v>
      </c>
    </row>
    <row r="218" spans="1:30" x14ac:dyDescent="0.25">
      <c r="A218" t="s">
        <v>1051</v>
      </c>
      <c r="B218" t="s">
        <v>1106</v>
      </c>
      <c r="C218" t="s">
        <v>1151</v>
      </c>
      <c r="D218" t="s">
        <v>1236</v>
      </c>
      <c r="E218" t="s">
        <v>1060</v>
      </c>
      <c r="F218" t="s">
        <v>1061</v>
      </c>
      <c r="G218">
        <v>6101084</v>
      </c>
      <c r="H218">
        <v>202106</v>
      </c>
      <c r="I218">
        <v>44377</v>
      </c>
      <c r="J218" t="s">
        <v>1117</v>
      </c>
      <c r="K218" t="s">
        <v>1056</v>
      </c>
      <c r="M218" t="s">
        <v>355</v>
      </c>
      <c r="O218" t="s">
        <v>1431</v>
      </c>
      <c r="P218" t="s">
        <v>1432</v>
      </c>
      <c r="Q218" t="s">
        <v>1155</v>
      </c>
      <c r="R218">
        <v>2069125</v>
      </c>
      <c r="S218" t="s">
        <v>1435</v>
      </c>
      <c r="U218" t="s">
        <v>1436</v>
      </c>
      <c r="V218" t="s">
        <v>356</v>
      </c>
      <c r="W218">
        <v>9000</v>
      </c>
      <c r="X218">
        <v>2.39</v>
      </c>
      <c r="Y218">
        <v>20.260000000000002</v>
      </c>
      <c r="Z218">
        <v>9000</v>
      </c>
      <c r="AA218">
        <v>0</v>
      </c>
      <c r="AB218">
        <v>44379.98830690972</v>
      </c>
      <c r="AC218" t="s">
        <v>25</v>
      </c>
      <c r="AD218">
        <v>5</v>
      </c>
    </row>
    <row r="219" spans="1:30" x14ac:dyDescent="0.25">
      <c r="A219" t="s">
        <v>1051</v>
      </c>
      <c r="B219" t="s">
        <v>1106</v>
      </c>
      <c r="C219" t="s">
        <v>1151</v>
      </c>
      <c r="D219" t="s">
        <v>1236</v>
      </c>
      <c r="E219" t="s">
        <v>1060</v>
      </c>
      <c r="F219" t="s">
        <v>1061</v>
      </c>
      <c r="G219">
        <v>6101084</v>
      </c>
      <c r="H219">
        <v>202106</v>
      </c>
      <c r="I219">
        <v>44377</v>
      </c>
      <c r="J219" t="s">
        <v>1117</v>
      </c>
      <c r="K219" t="s">
        <v>1056</v>
      </c>
      <c r="M219" t="s">
        <v>355</v>
      </c>
      <c r="O219" t="s">
        <v>1437</v>
      </c>
      <c r="P219" t="s">
        <v>1438</v>
      </c>
      <c r="Q219" t="s">
        <v>1155</v>
      </c>
      <c r="R219">
        <v>2069125</v>
      </c>
      <c r="S219" t="s">
        <v>1439</v>
      </c>
      <c r="U219" t="s">
        <v>1440</v>
      </c>
      <c r="V219" t="s">
        <v>356</v>
      </c>
      <c r="W219">
        <v>83067</v>
      </c>
      <c r="X219">
        <v>22.01</v>
      </c>
      <c r="Y219">
        <v>186.98</v>
      </c>
      <c r="Z219">
        <v>83067</v>
      </c>
      <c r="AA219">
        <v>316</v>
      </c>
      <c r="AB219">
        <v>44379.988307094907</v>
      </c>
      <c r="AC219" t="s">
        <v>25</v>
      </c>
      <c r="AD219">
        <v>5</v>
      </c>
    </row>
    <row r="220" spans="1:30" x14ac:dyDescent="0.25">
      <c r="A220" t="s">
        <v>1051</v>
      </c>
      <c r="B220" t="s">
        <v>1106</v>
      </c>
      <c r="C220" t="s">
        <v>1151</v>
      </c>
      <c r="D220" t="s">
        <v>1236</v>
      </c>
      <c r="E220" t="s">
        <v>1060</v>
      </c>
      <c r="F220" t="s">
        <v>1061</v>
      </c>
      <c r="G220">
        <v>6101084</v>
      </c>
      <c r="H220">
        <v>202106</v>
      </c>
      <c r="I220">
        <v>44377</v>
      </c>
      <c r="J220" t="s">
        <v>1117</v>
      </c>
      <c r="K220" t="s">
        <v>1056</v>
      </c>
      <c r="M220" t="s">
        <v>355</v>
      </c>
      <c r="O220" t="s">
        <v>1437</v>
      </c>
      <c r="P220" t="s">
        <v>1438</v>
      </c>
      <c r="Q220" t="s">
        <v>1155</v>
      </c>
      <c r="R220">
        <v>2069125</v>
      </c>
      <c r="S220" t="s">
        <v>1439</v>
      </c>
      <c r="U220" t="s">
        <v>1440</v>
      </c>
      <c r="V220" t="s">
        <v>356</v>
      </c>
      <c r="W220">
        <v>83</v>
      </c>
      <c r="X220">
        <v>0.02</v>
      </c>
      <c r="Y220">
        <v>0.19</v>
      </c>
      <c r="Z220">
        <v>83</v>
      </c>
      <c r="AA220">
        <v>0</v>
      </c>
      <c r="AB220">
        <v>44379.988307094907</v>
      </c>
      <c r="AC220" t="s">
        <v>25</v>
      </c>
      <c r="AD220">
        <v>5</v>
      </c>
    </row>
    <row r="221" spans="1:30" x14ac:dyDescent="0.25">
      <c r="A221" t="s">
        <v>1051</v>
      </c>
      <c r="B221" t="s">
        <v>1106</v>
      </c>
      <c r="C221" t="s">
        <v>1151</v>
      </c>
      <c r="D221" t="s">
        <v>1236</v>
      </c>
      <c r="E221" t="s">
        <v>1060</v>
      </c>
      <c r="F221" t="s">
        <v>1061</v>
      </c>
      <c r="G221">
        <v>6101084</v>
      </c>
      <c r="H221">
        <v>202106</v>
      </c>
      <c r="I221">
        <v>44377</v>
      </c>
      <c r="J221" t="s">
        <v>1117</v>
      </c>
      <c r="K221" t="s">
        <v>1056</v>
      </c>
      <c r="M221" t="s">
        <v>355</v>
      </c>
      <c r="O221" t="s">
        <v>1264</v>
      </c>
      <c r="P221" t="s">
        <v>1265</v>
      </c>
      <c r="Q221" t="s">
        <v>1155</v>
      </c>
      <c r="R221">
        <v>2069125</v>
      </c>
      <c r="S221" t="s">
        <v>1441</v>
      </c>
      <c r="U221" t="s">
        <v>1442</v>
      </c>
      <c r="V221" t="s">
        <v>356</v>
      </c>
      <c r="W221">
        <v>92000</v>
      </c>
      <c r="X221">
        <v>24.38</v>
      </c>
      <c r="Y221">
        <v>207.09</v>
      </c>
      <c r="Z221">
        <v>92000</v>
      </c>
      <c r="AA221">
        <v>0</v>
      </c>
      <c r="AB221">
        <v>44379.988307094907</v>
      </c>
      <c r="AC221" t="s">
        <v>25</v>
      </c>
      <c r="AD221">
        <v>5</v>
      </c>
    </row>
    <row r="222" spans="1:30" x14ac:dyDescent="0.25">
      <c r="A222" t="s">
        <v>1051</v>
      </c>
      <c r="B222" t="s">
        <v>1106</v>
      </c>
      <c r="C222" t="s">
        <v>1151</v>
      </c>
      <c r="D222" t="s">
        <v>1236</v>
      </c>
      <c r="E222" t="s">
        <v>1060</v>
      </c>
      <c r="F222" t="s">
        <v>1061</v>
      </c>
      <c r="G222">
        <v>6101084</v>
      </c>
      <c r="H222">
        <v>202106</v>
      </c>
      <c r="I222">
        <v>44377</v>
      </c>
      <c r="J222" t="s">
        <v>1117</v>
      </c>
      <c r="K222" t="s">
        <v>1056</v>
      </c>
      <c r="M222" t="s">
        <v>355</v>
      </c>
      <c r="O222" t="s">
        <v>1258</v>
      </c>
      <c r="P222" t="s">
        <v>1259</v>
      </c>
      <c r="Q222" t="s">
        <v>1155</v>
      </c>
      <c r="R222">
        <v>2069125</v>
      </c>
      <c r="S222" t="s">
        <v>1443</v>
      </c>
      <c r="U222" t="s">
        <v>1444</v>
      </c>
      <c r="V222" t="s">
        <v>356</v>
      </c>
      <c r="W222">
        <v>12000</v>
      </c>
      <c r="X222">
        <v>3.18</v>
      </c>
      <c r="Y222">
        <v>27.01</v>
      </c>
      <c r="Z222">
        <v>12000</v>
      </c>
      <c r="AA222">
        <v>0</v>
      </c>
      <c r="AB222">
        <v>44379.988307094907</v>
      </c>
      <c r="AC222" t="s">
        <v>25</v>
      </c>
      <c r="AD222">
        <v>5</v>
      </c>
    </row>
    <row r="223" spans="1:30" x14ac:dyDescent="0.25">
      <c r="A223" t="s">
        <v>1051</v>
      </c>
      <c r="B223" t="s">
        <v>1106</v>
      </c>
      <c r="C223" t="s">
        <v>1151</v>
      </c>
      <c r="D223" t="s">
        <v>1236</v>
      </c>
      <c r="E223" t="s">
        <v>1060</v>
      </c>
      <c r="F223" t="s">
        <v>1061</v>
      </c>
      <c r="G223">
        <v>6101364</v>
      </c>
      <c r="H223">
        <v>202107</v>
      </c>
      <c r="I223">
        <v>44407</v>
      </c>
      <c r="J223" t="s">
        <v>1117</v>
      </c>
      <c r="K223" t="s">
        <v>1056</v>
      </c>
      <c r="M223" t="s">
        <v>355</v>
      </c>
      <c r="O223" t="s">
        <v>1445</v>
      </c>
      <c r="P223" t="s">
        <v>1446</v>
      </c>
      <c r="Q223" t="s">
        <v>354</v>
      </c>
      <c r="R223">
        <v>2069121</v>
      </c>
      <c r="S223" t="s">
        <v>1447</v>
      </c>
      <c r="U223" t="s">
        <v>1448</v>
      </c>
      <c r="V223" t="s">
        <v>356</v>
      </c>
      <c r="W223">
        <v>28000</v>
      </c>
      <c r="X223">
        <v>7.17</v>
      </c>
      <c r="Y223">
        <v>61.94</v>
      </c>
      <c r="Z223">
        <v>28000</v>
      </c>
      <c r="AA223">
        <v>0</v>
      </c>
      <c r="AB223">
        <v>44410.944844409722</v>
      </c>
      <c r="AC223" t="s">
        <v>19</v>
      </c>
      <c r="AD223">
        <v>5</v>
      </c>
    </row>
    <row r="224" spans="1:30" x14ac:dyDescent="0.25">
      <c r="A224" t="s">
        <v>1051</v>
      </c>
      <c r="B224" t="s">
        <v>1106</v>
      </c>
      <c r="C224" t="s">
        <v>1151</v>
      </c>
      <c r="D224" t="s">
        <v>1236</v>
      </c>
      <c r="E224" t="s">
        <v>1060</v>
      </c>
      <c r="F224" t="s">
        <v>1061</v>
      </c>
      <c r="G224">
        <v>6101364</v>
      </c>
      <c r="H224">
        <v>202107</v>
      </c>
      <c r="I224">
        <v>44407</v>
      </c>
      <c r="J224" t="s">
        <v>1117</v>
      </c>
      <c r="K224" t="s">
        <v>1056</v>
      </c>
      <c r="M224" t="s">
        <v>355</v>
      </c>
      <c r="O224" t="s">
        <v>1449</v>
      </c>
      <c r="P224" t="s">
        <v>1450</v>
      </c>
      <c r="Q224" t="s">
        <v>354</v>
      </c>
      <c r="R224">
        <v>2069121</v>
      </c>
      <c r="S224" t="s">
        <v>1451</v>
      </c>
      <c r="U224" t="s">
        <v>1452</v>
      </c>
      <c r="V224" t="s">
        <v>356</v>
      </c>
      <c r="W224">
        <v>89</v>
      </c>
      <c r="X224">
        <v>0.02</v>
      </c>
      <c r="Y224">
        <v>0.2</v>
      </c>
      <c r="Z224">
        <v>89</v>
      </c>
      <c r="AA224">
        <v>0</v>
      </c>
      <c r="AB224">
        <v>44410.944844560188</v>
      </c>
      <c r="AC224" t="s">
        <v>19</v>
      </c>
      <c r="AD224">
        <v>5</v>
      </c>
    </row>
    <row r="225" spans="1:30" x14ac:dyDescent="0.25">
      <c r="A225" t="s">
        <v>1051</v>
      </c>
      <c r="B225" t="s">
        <v>1106</v>
      </c>
      <c r="C225" t="s">
        <v>1151</v>
      </c>
      <c r="D225" t="s">
        <v>1236</v>
      </c>
      <c r="E225" t="s">
        <v>1060</v>
      </c>
      <c r="F225" t="s">
        <v>1061</v>
      </c>
      <c r="G225">
        <v>6101364</v>
      </c>
      <c r="H225">
        <v>202107</v>
      </c>
      <c r="I225">
        <v>44407</v>
      </c>
      <c r="J225" t="s">
        <v>1117</v>
      </c>
      <c r="K225" t="s">
        <v>1056</v>
      </c>
      <c r="M225" t="s">
        <v>355</v>
      </c>
      <c r="O225" t="s">
        <v>1453</v>
      </c>
      <c r="P225" t="s">
        <v>1454</v>
      </c>
      <c r="Q225" t="s">
        <v>354</v>
      </c>
      <c r="R225">
        <v>2069121</v>
      </c>
      <c r="S225" t="s">
        <v>1455</v>
      </c>
      <c r="U225" t="s">
        <v>1456</v>
      </c>
      <c r="V225" t="s">
        <v>356</v>
      </c>
      <c r="W225">
        <v>26200</v>
      </c>
      <c r="X225">
        <v>6.71</v>
      </c>
      <c r="Y225">
        <v>57.95</v>
      </c>
      <c r="Z225">
        <v>26200</v>
      </c>
      <c r="AA225">
        <v>0</v>
      </c>
      <c r="AB225">
        <v>44410.944844560188</v>
      </c>
      <c r="AC225" t="s">
        <v>19</v>
      </c>
      <c r="AD225">
        <v>5</v>
      </c>
    </row>
    <row r="226" spans="1:30" x14ac:dyDescent="0.25">
      <c r="A226" t="s">
        <v>1051</v>
      </c>
      <c r="B226" t="s">
        <v>1106</v>
      </c>
      <c r="C226" t="s">
        <v>1151</v>
      </c>
      <c r="D226" t="s">
        <v>1236</v>
      </c>
      <c r="E226" t="s">
        <v>1060</v>
      </c>
      <c r="F226" t="s">
        <v>1061</v>
      </c>
      <c r="G226">
        <v>6101364</v>
      </c>
      <c r="H226">
        <v>202107</v>
      </c>
      <c r="I226">
        <v>44407</v>
      </c>
      <c r="J226" t="s">
        <v>1117</v>
      </c>
      <c r="K226" t="s">
        <v>1056</v>
      </c>
      <c r="M226" t="s">
        <v>355</v>
      </c>
      <c r="O226" t="s">
        <v>1323</v>
      </c>
      <c r="P226" t="s">
        <v>1324</v>
      </c>
      <c r="Q226" t="s">
        <v>354</v>
      </c>
      <c r="R226">
        <v>2069121</v>
      </c>
      <c r="S226" t="s">
        <v>1457</v>
      </c>
      <c r="U226" t="s">
        <v>1458</v>
      </c>
      <c r="V226" t="s">
        <v>356</v>
      </c>
      <c r="W226">
        <v>6500</v>
      </c>
      <c r="X226">
        <v>1.66</v>
      </c>
      <c r="Y226">
        <v>14.38</v>
      </c>
      <c r="Z226">
        <v>6500</v>
      </c>
      <c r="AA226">
        <v>0</v>
      </c>
      <c r="AB226">
        <v>44410.944844560188</v>
      </c>
      <c r="AC226" t="s">
        <v>19</v>
      </c>
      <c r="AD226">
        <v>5</v>
      </c>
    </row>
    <row r="227" spans="1:30" x14ac:dyDescent="0.25">
      <c r="A227" t="s">
        <v>1051</v>
      </c>
      <c r="B227" t="s">
        <v>1106</v>
      </c>
      <c r="C227" t="s">
        <v>1151</v>
      </c>
      <c r="D227" t="s">
        <v>1236</v>
      </c>
      <c r="E227" t="s">
        <v>1060</v>
      </c>
      <c r="F227" t="s">
        <v>1061</v>
      </c>
      <c r="G227">
        <v>6101364</v>
      </c>
      <c r="H227">
        <v>202107</v>
      </c>
      <c r="I227">
        <v>44407</v>
      </c>
      <c r="J227" t="s">
        <v>1117</v>
      </c>
      <c r="K227" t="s">
        <v>1056</v>
      </c>
      <c r="M227" t="s">
        <v>355</v>
      </c>
      <c r="O227" t="s">
        <v>1459</v>
      </c>
      <c r="P227" t="s">
        <v>1460</v>
      </c>
      <c r="Q227" t="s">
        <v>354</v>
      </c>
      <c r="R227">
        <v>2069121</v>
      </c>
      <c r="S227" t="s">
        <v>1461</v>
      </c>
      <c r="U227" t="s">
        <v>1462</v>
      </c>
      <c r="V227" t="s">
        <v>356</v>
      </c>
      <c r="W227">
        <v>10000</v>
      </c>
      <c r="X227">
        <v>2.56</v>
      </c>
      <c r="Y227">
        <v>22.12</v>
      </c>
      <c r="Z227">
        <v>10000</v>
      </c>
      <c r="AA227">
        <v>0</v>
      </c>
      <c r="AB227">
        <v>44410.944844560188</v>
      </c>
      <c r="AC227" t="s">
        <v>19</v>
      </c>
      <c r="AD227">
        <v>5</v>
      </c>
    </row>
    <row r="228" spans="1:30" x14ac:dyDescent="0.25">
      <c r="A228" t="s">
        <v>1051</v>
      </c>
      <c r="B228" t="s">
        <v>1106</v>
      </c>
      <c r="C228" t="s">
        <v>1151</v>
      </c>
      <c r="D228" t="s">
        <v>1236</v>
      </c>
      <c r="E228" t="s">
        <v>1060</v>
      </c>
      <c r="F228" t="s">
        <v>1061</v>
      </c>
      <c r="G228">
        <v>6101364</v>
      </c>
      <c r="H228">
        <v>202107</v>
      </c>
      <c r="I228">
        <v>44407</v>
      </c>
      <c r="J228" t="s">
        <v>1117</v>
      </c>
      <c r="K228" t="s">
        <v>1056</v>
      </c>
      <c r="M228" t="s">
        <v>355</v>
      </c>
      <c r="O228" t="s">
        <v>1459</v>
      </c>
      <c r="P228" t="s">
        <v>1460</v>
      </c>
      <c r="Q228" t="s">
        <v>354</v>
      </c>
      <c r="R228">
        <v>2069121</v>
      </c>
      <c r="S228" t="s">
        <v>1463</v>
      </c>
      <c r="U228" t="s">
        <v>1464</v>
      </c>
      <c r="V228" t="s">
        <v>356</v>
      </c>
      <c r="W228">
        <v>12500</v>
      </c>
      <c r="X228">
        <v>3.2</v>
      </c>
      <c r="Y228">
        <v>27.65</v>
      </c>
      <c r="Z228">
        <v>12500</v>
      </c>
      <c r="AA228">
        <v>0</v>
      </c>
      <c r="AB228">
        <v>44410.944844560188</v>
      </c>
      <c r="AC228" t="s">
        <v>19</v>
      </c>
      <c r="AD228">
        <v>5</v>
      </c>
    </row>
    <row r="229" spans="1:30" x14ac:dyDescent="0.25">
      <c r="A229" t="s">
        <v>1051</v>
      </c>
      <c r="B229" t="s">
        <v>1106</v>
      </c>
      <c r="C229" t="s">
        <v>1151</v>
      </c>
      <c r="D229" t="s">
        <v>1236</v>
      </c>
      <c r="E229" t="s">
        <v>1060</v>
      </c>
      <c r="F229" t="s">
        <v>1061</v>
      </c>
      <c r="G229">
        <v>6101328</v>
      </c>
      <c r="H229">
        <v>202107</v>
      </c>
      <c r="I229">
        <v>44408</v>
      </c>
      <c r="J229" t="s">
        <v>1117</v>
      </c>
      <c r="K229" t="s">
        <v>1056</v>
      </c>
      <c r="M229" t="s">
        <v>355</v>
      </c>
      <c r="O229" t="s">
        <v>1258</v>
      </c>
      <c r="P229" t="s">
        <v>1259</v>
      </c>
      <c r="Q229" t="s">
        <v>1155</v>
      </c>
      <c r="R229">
        <v>2069125</v>
      </c>
      <c r="S229" t="s">
        <v>355</v>
      </c>
      <c r="U229" t="s">
        <v>1465</v>
      </c>
      <c r="V229" t="s">
        <v>356</v>
      </c>
      <c r="W229">
        <v>6500</v>
      </c>
      <c r="X229">
        <v>1.71</v>
      </c>
      <c r="Y229">
        <v>14.72</v>
      </c>
      <c r="Z229">
        <v>6500</v>
      </c>
      <c r="AA229">
        <v>0</v>
      </c>
      <c r="AB229">
        <v>44409.046512384259</v>
      </c>
      <c r="AC229" t="s">
        <v>25</v>
      </c>
      <c r="AD229">
        <v>5</v>
      </c>
    </row>
    <row r="230" spans="1:30" x14ac:dyDescent="0.25">
      <c r="A230" t="s">
        <v>1051</v>
      </c>
      <c r="B230" t="s">
        <v>1106</v>
      </c>
      <c r="C230" t="s">
        <v>1151</v>
      </c>
      <c r="D230" t="s">
        <v>1236</v>
      </c>
      <c r="E230" t="s">
        <v>1060</v>
      </c>
      <c r="F230" t="s">
        <v>1061</v>
      </c>
      <c r="G230">
        <v>6101328</v>
      </c>
      <c r="H230">
        <v>202107</v>
      </c>
      <c r="I230">
        <v>44408</v>
      </c>
      <c r="J230" t="s">
        <v>1117</v>
      </c>
      <c r="K230" t="s">
        <v>1056</v>
      </c>
      <c r="M230" t="s">
        <v>355</v>
      </c>
      <c r="O230" t="s">
        <v>1390</v>
      </c>
      <c r="P230" t="s">
        <v>1391</v>
      </c>
      <c r="Q230" t="s">
        <v>1155</v>
      </c>
      <c r="R230">
        <v>2069125</v>
      </c>
      <c r="S230" t="s">
        <v>355</v>
      </c>
      <c r="U230" t="s">
        <v>1466</v>
      </c>
      <c r="V230" t="s">
        <v>356</v>
      </c>
      <c r="W230">
        <v>5000</v>
      </c>
      <c r="X230">
        <v>1.32</v>
      </c>
      <c r="Y230">
        <v>11.32</v>
      </c>
      <c r="Z230">
        <v>5000</v>
      </c>
      <c r="AA230">
        <v>0</v>
      </c>
      <c r="AB230">
        <v>44409.046512384259</v>
      </c>
      <c r="AC230" t="s">
        <v>25</v>
      </c>
      <c r="AD230">
        <v>5</v>
      </c>
    </row>
    <row r="231" spans="1:30" x14ac:dyDescent="0.25">
      <c r="A231" t="s">
        <v>1051</v>
      </c>
      <c r="B231" t="s">
        <v>1106</v>
      </c>
      <c r="C231" t="s">
        <v>1151</v>
      </c>
      <c r="D231" t="s">
        <v>1236</v>
      </c>
      <c r="E231" t="s">
        <v>1060</v>
      </c>
      <c r="F231" t="s">
        <v>1061</v>
      </c>
      <c r="G231">
        <v>6101328</v>
      </c>
      <c r="H231">
        <v>202107</v>
      </c>
      <c r="I231">
        <v>44408</v>
      </c>
      <c r="J231" t="s">
        <v>1117</v>
      </c>
      <c r="K231" t="s">
        <v>1056</v>
      </c>
      <c r="M231" t="s">
        <v>355</v>
      </c>
      <c r="O231" t="s">
        <v>1237</v>
      </c>
      <c r="P231" t="s">
        <v>1238</v>
      </c>
      <c r="Q231" t="s">
        <v>1155</v>
      </c>
      <c r="R231">
        <v>2069125</v>
      </c>
      <c r="S231" t="s">
        <v>355</v>
      </c>
      <c r="U231" t="s">
        <v>1467</v>
      </c>
      <c r="V231" t="s">
        <v>356</v>
      </c>
      <c r="W231">
        <v>68000</v>
      </c>
      <c r="X231">
        <v>17.88</v>
      </c>
      <c r="Y231">
        <v>153.94999999999999</v>
      </c>
      <c r="Z231">
        <v>68000</v>
      </c>
      <c r="AA231">
        <v>0</v>
      </c>
      <c r="AB231">
        <v>44409.046512384259</v>
      </c>
      <c r="AC231" t="s">
        <v>25</v>
      </c>
      <c r="AD231">
        <v>5</v>
      </c>
    </row>
    <row r="232" spans="1:30" x14ac:dyDescent="0.25">
      <c r="A232" t="s">
        <v>1051</v>
      </c>
      <c r="B232" t="s">
        <v>1106</v>
      </c>
      <c r="C232" t="s">
        <v>1151</v>
      </c>
      <c r="D232" t="s">
        <v>1236</v>
      </c>
      <c r="E232" t="s">
        <v>1060</v>
      </c>
      <c r="F232" t="s">
        <v>1061</v>
      </c>
      <c r="G232">
        <v>6101328</v>
      </c>
      <c r="H232">
        <v>202107</v>
      </c>
      <c r="I232">
        <v>44408</v>
      </c>
      <c r="J232" t="s">
        <v>1117</v>
      </c>
      <c r="K232" t="s">
        <v>1056</v>
      </c>
      <c r="M232" t="s">
        <v>355</v>
      </c>
      <c r="O232" t="s">
        <v>1252</v>
      </c>
      <c r="P232" t="s">
        <v>1253</v>
      </c>
      <c r="Q232" t="s">
        <v>1155</v>
      </c>
      <c r="R232">
        <v>2069125</v>
      </c>
      <c r="S232" t="s">
        <v>355</v>
      </c>
      <c r="U232" t="s">
        <v>1468</v>
      </c>
      <c r="V232" t="s">
        <v>356</v>
      </c>
      <c r="W232">
        <v>56000</v>
      </c>
      <c r="X232">
        <v>14.73</v>
      </c>
      <c r="Y232">
        <v>126.78</v>
      </c>
      <c r="Z232">
        <v>56000</v>
      </c>
      <c r="AA232">
        <v>0</v>
      </c>
      <c r="AB232">
        <v>44409.046512384259</v>
      </c>
      <c r="AC232" t="s">
        <v>25</v>
      </c>
      <c r="AD232">
        <v>5</v>
      </c>
    </row>
    <row r="233" spans="1:30" x14ac:dyDescent="0.25">
      <c r="A233" t="s">
        <v>1051</v>
      </c>
      <c r="B233" t="s">
        <v>1106</v>
      </c>
      <c r="C233" t="s">
        <v>1151</v>
      </c>
      <c r="D233" t="s">
        <v>1236</v>
      </c>
      <c r="E233" t="s">
        <v>1060</v>
      </c>
      <c r="F233" t="s">
        <v>1061</v>
      </c>
      <c r="G233">
        <v>6101328</v>
      </c>
      <c r="H233">
        <v>202107</v>
      </c>
      <c r="I233">
        <v>44408</v>
      </c>
      <c r="J233" t="s">
        <v>1117</v>
      </c>
      <c r="K233" t="s">
        <v>1056</v>
      </c>
      <c r="M233" t="s">
        <v>355</v>
      </c>
      <c r="O233" t="s">
        <v>1258</v>
      </c>
      <c r="P233" t="s">
        <v>1259</v>
      </c>
      <c r="Q233" t="s">
        <v>1155</v>
      </c>
      <c r="R233">
        <v>2069125</v>
      </c>
      <c r="S233" t="s">
        <v>355</v>
      </c>
      <c r="U233" t="s">
        <v>1469</v>
      </c>
      <c r="V233" t="s">
        <v>356</v>
      </c>
      <c r="W233">
        <v>8500</v>
      </c>
      <c r="X233">
        <v>2.2400000000000002</v>
      </c>
      <c r="Y233">
        <v>19.239999999999998</v>
      </c>
      <c r="Z233">
        <v>8500</v>
      </c>
      <c r="AA233">
        <v>0</v>
      </c>
      <c r="AB233">
        <v>44409.046512384259</v>
      </c>
      <c r="AC233" t="s">
        <v>25</v>
      </c>
      <c r="AD233">
        <v>5</v>
      </c>
    </row>
    <row r="234" spans="1:30" x14ac:dyDescent="0.25">
      <c r="A234" t="s">
        <v>1051</v>
      </c>
      <c r="B234" t="s">
        <v>1106</v>
      </c>
      <c r="C234" t="s">
        <v>1151</v>
      </c>
      <c r="D234" t="s">
        <v>1236</v>
      </c>
      <c r="E234" t="s">
        <v>1060</v>
      </c>
      <c r="F234" t="s">
        <v>1061</v>
      </c>
      <c r="G234">
        <v>6101360</v>
      </c>
      <c r="H234">
        <v>202107</v>
      </c>
      <c r="I234">
        <v>44391</v>
      </c>
      <c r="J234">
        <v>125062</v>
      </c>
      <c r="K234" t="s">
        <v>1056</v>
      </c>
      <c r="M234" t="s">
        <v>355</v>
      </c>
      <c r="O234" t="s">
        <v>1370</v>
      </c>
      <c r="P234" t="s">
        <v>1371</v>
      </c>
      <c r="Q234" t="s">
        <v>354</v>
      </c>
      <c r="R234">
        <v>2265787</v>
      </c>
      <c r="S234" t="s">
        <v>355</v>
      </c>
      <c r="U234" t="s">
        <v>1470</v>
      </c>
      <c r="V234" t="s">
        <v>356</v>
      </c>
      <c r="W234">
        <v>95000</v>
      </c>
      <c r="X234">
        <v>24.89</v>
      </c>
      <c r="Y234">
        <v>213.18</v>
      </c>
      <c r="Z234">
        <v>95000</v>
      </c>
      <c r="AA234">
        <v>0</v>
      </c>
      <c r="AB234">
        <v>44410.895398460649</v>
      </c>
      <c r="AC234" t="s">
        <v>325</v>
      </c>
      <c r="AD234">
        <v>5</v>
      </c>
    </row>
    <row r="235" spans="1:30" x14ac:dyDescent="0.25">
      <c r="A235" t="s">
        <v>1051</v>
      </c>
      <c r="B235" t="s">
        <v>1106</v>
      </c>
      <c r="C235" t="s">
        <v>1151</v>
      </c>
      <c r="D235" t="s">
        <v>1236</v>
      </c>
      <c r="E235" t="s">
        <v>1060</v>
      </c>
      <c r="F235" t="s">
        <v>1061</v>
      </c>
      <c r="G235">
        <v>6101360</v>
      </c>
      <c r="H235">
        <v>202107</v>
      </c>
      <c r="I235">
        <v>44391</v>
      </c>
      <c r="J235">
        <v>125062</v>
      </c>
      <c r="K235" t="s">
        <v>1056</v>
      </c>
      <c r="M235" t="s">
        <v>355</v>
      </c>
      <c r="O235" t="s">
        <v>1370</v>
      </c>
      <c r="P235" t="s">
        <v>1371</v>
      </c>
      <c r="Q235" t="s">
        <v>354</v>
      </c>
      <c r="R235">
        <v>2265787</v>
      </c>
      <c r="S235" t="s">
        <v>355</v>
      </c>
      <c r="U235" t="s">
        <v>1471</v>
      </c>
      <c r="V235" t="s">
        <v>356</v>
      </c>
      <c r="W235">
        <v>-95000</v>
      </c>
      <c r="X235">
        <v>-24.89</v>
      </c>
      <c r="Y235">
        <v>-213.18</v>
      </c>
      <c r="Z235">
        <v>-95000</v>
      </c>
      <c r="AA235">
        <v>0</v>
      </c>
      <c r="AB235">
        <v>44410.895398611108</v>
      </c>
      <c r="AC235" t="s">
        <v>325</v>
      </c>
      <c r="AD235">
        <v>5</v>
      </c>
    </row>
    <row r="236" spans="1:30" x14ac:dyDescent="0.25">
      <c r="A236" t="s">
        <v>1051</v>
      </c>
      <c r="B236" t="s">
        <v>1106</v>
      </c>
      <c r="C236" t="s">
        <v>1151</v>
      </c>
      <c r="D236" t="s">
        <v>1236</v>
      </c>
      <c r="E236" t="s">
        <v>1060</v>
      </c>
      <c r="F236" t="s">
        <v>1061</v>
      </c>
      <c r="G236">
        <v>6101364</v>
      </c>
      <c r="H236">
        <v>202107</v>
      </c>
      <c r="I236">
        <v>44407</v>
      </c>
      <c r="J236" t="s">
        <v>1117</v>
      </c>
      <c r="K236" t="s">
        <v>1056</v>
      </c>
      <c r="M236" t="s">
        <v>355</v>
      </c>
      <c r="O236" t="s">
        <v>1145</v>
      </c>
      <c r="P236" t="s">
        <v>1146</v>
      </c>
      <c r="Q236" t="s">
        <v>354</v>
      </c>
      <c r="R236">
        <v>2069121</v>
      </c>
      <c r="S236" t="s">
        <v>1472</v>
      </c>
      <c r="U236" t="s">
        <v>1473</v>
      </c>
      <c r="V236" t="s">
        <v>356</v>
      </c>
      <c r="W236">
        <v>355</v>
      </c>
      <c r="X236">
        <v>0.09</v>
      </c>
      <c r="Y236">
        <v>0.79</v>
      </c>
      <c r="Z236">
        <v>355</v>
      </c>
      <c r="AA236">
        <v>0</v>
      </c>
      <c r="AB236">
        <v>44410.944844212965</v>
      </c>
      <c r="AC236" t="s">
        <v>19</v>
      </c>
      <c r="AD236">
        <v>5</v>
      </c>
    </row>
    <row r="237" spans="1:30" x14ac:dyDescent="0.25">
      <c r="A237" t="s">
        <v>1051</v>
      </c>
      <c r="B237" t="s">
        <v>1106</v>
      </c>
      <c r="C237" t="s">
        <v>1151</v>
      </c>
      <c r="D237" t="s">
        <v>1236</v>
      </c>
      <c r="E237" t="s">
        <v>1060</v>
      </c>
      <c r="F237" t="s">
        <v>1061</v>
      </c>
      <c r="G237">
        <v>6101364</v>
      </c>
      <c r="H237">
        <v>202107</v>
      </c>
      <c r="I237">
        <v>44407</v>
      </c>
      <c r="J237" t="s">
        <v>1117</v>
      </c>
      <c r="K237" t="s">
        <v>1056</v>
      </c>
      <c r="M237" t="s">
        <v>355</v>
      </c>
      <c r="O237" t="s">
        <v>1145</v>
      </c>
      <c r="P237" t="s">
        <v>1146</v>
      </c>
      <c r="Q237" t="s">
        <v>354</v>
      </c>
      <c r="R237">
        <v>2069121</v>
      </c>
      <c r="S237" t="s">
        <v>1474</v>
      </c>
      <c r="U237" t="s">
        <v>1475</v>
      </c>
      <c r="V237" t="s">
        <v>356</v>
      </c>
      <c r="W237">
        <v>1600</v>
      </c>
      <c r="X237">
        <v>0.41</v>
      </c>
      <c r="Y237">
        <v>3.54</v>
      </c>
      <c r="Z237">
        <v>1600</v>
      </c>
      <c r="AA237">
        <v>0</v>
      </c>
      <c r="AB237">
        <v>44410.944844212965</v>
      </c>
      <c r="AC237" t="s">
        <v>19</v>
      </c>
      <c r="AD237">
        <v>5</v>
      </c>
    </row>
    <row r="238" spans="1:30" x14ac:dyDescent="0.25">
      <c r="A238" t="s">
        <v>1051</v>
      </c>
      <c r="B238" t="s">
        <v>1106</v>
      </c>
      <c r="C238" t="s">
        <v>1151</v>
      </c>
      <c r="D238" t="s">
        <v>1236</v>
      </c>
      <c r="E238" t="s">
        <v>1060</v>
      </c>
      <c r="F238" t="s">
        <v>1061</v>
      </c>
      <c r="G238">
        <v>6101364</v>
      </c>
      <c r="H238">
        <v>202107</v>
      </c>
      <c r="I238">
        <v>44407</v>
      </c>
      <c r="J238" t="s">
        <v>1117</v>
      </c>
      <c r="K238" t="s">
        <v>1056</v>
      </c>
      <c r="M238" t="s">
        <v>355</v>
      </c>
      <c r="O238" t="s">
        <v>1252</v>
      </c>
      <c r="P238" t="s">
        <v>1253</v>
      </c>
      <c r="Q238" t="s">
        <v>354</v>
      </c>
      <c r="R238">
        <v>2069121</v>
      </c>
      <c r="S238" t="s">
        <v>1291</v>
      </c>
      <c r="U238" t="s">
        <v>1476</v>
      </c>
      <c r="V238" t="s">
        <v>356</v>
      </c>
      <c r="W238">
        <v>14000</v>
      </c>
      <c r="X238">
        <v>3.58</v>
      </c>
      <c r="Y238">
        <v>30.97</v>
      </c>
      <c r="Z238">
        <v>14000</v>
      </c>
      <c r="AA238">
        <v>0</v>
      </c>
      <c r="AB238">
        <v>44410.944844212965</v>
      </c>
      <c r="AC238" t="s">
        <v>19</v>
      </c>
      <c r="AD238">
        <v>5</v>
      </c>
    </row>
    <row r="239" spans="1:30" x14ac:dyDescent="0.25">
      <c r="A239" t="s">
        <v>1051</v>
      </c>
      <c r="B239" t="s">
        <v>1106</v>
      </c>
      <c r="C239" t="s">
        <v>1151</v>
      </c>
      <c r="D239" t="s">
        <v>1236</v>
      </c>
      <c r="E239" t="s">
        <v>1060</v>
      </c>
      <c r="F239" t="s">
        <v>1061</v>
      </c>
      <c r="G239">
        <v>6101364</v>
      </c>
      <c r="H239">
        <v>202107</v>
      </c>
      <c r="I239">
        <v>44407</v>
      </c>
      <c r="J239" t="s">
        <v>1117</v>
      </c>
      <c r="K239" t="s">
        <v>1056</v>
      </c>
      <c r="M239" t="s">
        <v>355</v>
      </c>
      <c r="O239" t="s">
        <v>1244</v>
      </c>
      <c r="P239" t="s">
        <v>1245</v>
      </c>
      <c r="Q239" t="s">
        <v>354</v>
      </c>
      <c r="R239">
        <v>2069121</v>
      </c>
      <c r="S239" t="s">
        <v>1477</v>
      </c>
      <c r="U239" t="s">
        <v>1478</v>
      </c>
      <c r="V239" t="s">
        <v>356</v>
      </c>
      <c r="W239">
        <v>9000</v>
      </c>
      <c r="X239">
        <v>2.2999999999999998</v>
      </c>
      <c r="Y239">
        <v>19.91</v>
      </c>
      <c r="Z239">
        <v>9000</v>
      </c>
      <c r="AA239">
        <v>0</v>
      </c>
      <c r="AB239">
        <v>44410.944844409722</v>
      </c>
      <c r="AC239" t="s">
        <v>19</v>
      </c>
      <c r="AD239">
        <v>5</v>
      </c>
    </row>
    <row r="240" spans="1:30" x14ac:dyDescent="0.25">
      <c r="A240" t="s">
        <v>1051</v>
      </c>
      <c r="B240" t="s">
        <v>1106</v>
      </c>
      <c r="C240" t="s">
        <v>1151</v>
      </c>
      <c r="D240" t="s">
        <v>1236</v>
      </c>
      <c r="E240" t="s">
        <v>1060</v>
      </c>
      <c r="F240" t="s">
        <v>1061</v>
      </c>
      <c r="G240">
        <v>6101364</v>
      </c>
      <c r="H240">
        <v>202107</v>
      </c>
      <c r="I240">
        <v>44407</v>
      </c>
      <c r="J240" t="s">
        <v>1117</v>
      </c>
      <c r="K240" t="s">
        <v>1056</v>
      </c>
      <c r="M240" t="s">
        <v>355</v>
      </c>
      <c r="O240" t="s">
        <v>1244</v>
      </c>
      <c r="P240" t="s">
        <v>1245</v>
      </c>
      <c r="Q240" t="s">
        <v>354</v>
      </c>
      <c r="R240">
        <v>2069121</v>
      </c>
      <c r="S240" t="s">
        <v>1479</v>
      </c>
      <c r="U240" t="s">
        <v>1480</v>
      </c>
      <c r="V240" t="s">
        <v>356</v>
      </c>
      <c r="W240">
        <v>9000</v>
      </c>
      <c r="X240">
        <v>2.2999999999999998</v>
      </c>
      <c r="Y240">
        <v>19.91</v>
      </c>
      <c r="Z240">
        <v>9000</v>
      </c>
      <c r="AA240">
        <v>0</v>
      </c>
      <c r="AB240">
        <v>44410.944844409722</v>
      </c>
      <c r="AC240" t="s">
        <v>19</v>
      </c>
      <c r="AD240">
        <v>5</v>
      </c>
    </row>
    <row r="241" spans="1:30" x14ac:dyDescent="0.25">
      <c r="A241" t="s">
        <v>1051</v>
      </c>
      <c r="B241" t="s">
        <v>1106</v>
      </c>
      <c r="C241" t="s">
        <v>1151</v>
      </c>
      <c r="D241" t="s">
        <v>1236</v>
      </c>
      <c r="E241" t="s">
        <v>1060</v>
      </c>
      <c r="F241" t="s">
        <v>1061</v>
      </c>
      <c r="G241">
        <v>6101364</v>
      </c>
      <c r="H241">
        <v>202107</v>
      </c>
      <c r="I241">
        <v>44407</v>
      </c>
      <c r="J241" t="s">
        <v>1117</v>
      </c>
      <c r="K241" t="s">
        <v>1056</v>
      </c>
      <c r="M241" t="s">
        <v>355</v>
      </c>
      <c r="O241" t="s">
        <v>1449</v>
      </c>
      <c r="P241" t="s">
        <v>1450</v>
      </c>
      <c r="Q241" t="s">
        <v>354</v>
      </c>
      <c r="R241">
        <v>2069121</v>
      </c>
      <c r="S241" t="s">
        <v>1451</v>
      </c>
      <c r="U241" t="s">
        <v>1481</v>
      </c>
      <c r="V241" t="s">
        <v>356</v>
      </c>
      <c r="W241">
        <v>88786</v>
      </c>
      <c r="X241">
        <v>22.73</v>
      </c>
      <c r="Y241">
        <v>196.39</v>
      </c>
      <c r="Z241">
        <v>88786</v>
      </c>
      <c r="AA241">
        <v>316</v>
      </c>
      <c r="AB241">
        <v>44410.944844409722</v>
      </c>
      <c r="AC241" t="s">
        <v>19</v>
      </c>
      <c r="AD241">
        <v>5</v>
      </c>
    </row>
    <row r="242" spans="1:30" x14ac:dyDescent="0.25">
      <c r="A242" t="s">
        <v>1051</v>
      </c>
      <c r="B242" t="s">
        <v>1106</v>
      </c>
      <c r="C242" t="s">
        <v>1151</v>
      </c>
      <c r="D242" t="s">
        <v>1236</v>
      </c>
      <c r="E242" t="s">
        <v>1060</v>
      </c>
      <c r="F242" t="s">
        <v>1061</v>
      </c>
      <c r="G242">
        <v>6101364</v>
      </c>
      <c r="H242">
        <v>202107</v>
      </c>
      <c r="I242">
        <v>44407</v>
      </c>
      <c r="J242" t="s">
        <v>1117</v>
      </c>
      <c r="K242" t="s">
        <v>1056</v>
      </c>
      <c r="M242" t="s">
        <v>355</v>
      </c>
      <c r="O242" t="s">
        <v>1459</v>
      </c>
      <c r="P242" t="s">
        <v>1460</v>
      </c>
      <c r="Q242" t="s">
        <v>354</v>
      </c>
      <c r="R242">
        <v>2069121</v>
      </c>
      <c r="S242" t="s">
        <v>1482</v>
      </c>
      <c r="U242" t="s">
        <v>1483</v>
      </c>
      <c r="V242" t="s">
        <v>356</v>
      </c>
      <c r="W242">
        <v>5700</v>
      </c>
      <c r="X242">
        <v>1.46</v>
      </c>
      <c r="Y242">
        <v>12.61</v>
      </c>
      <c r="Z242">
        <v>5700</v>
      </c>
      <c r="AA242">
        <v>0</v>
      </c>
      <c r="AB242">
        <v>44410.944844756945</v>
      </c>
      <c r="AC242" t="s">
        <v>19</v>
      </c>
      <c r="AD242">
        <v>5</v>
      </c>
    </row>
    <row r="243" spans="1:30" x14ac:dyDescent="0.25">
      <c r="A243" t="s">
        <v>1051</v>
      </c>
      <c r="B243" t="s">
        <v>1106</v>
      </c>
      <c r="C243" t="s">
        <v>1151</v>
      </c>
      <c r="D243" t="s">
        <v>1236</v>
      </c>
      <c r="E243" t="s">
        <v>1060</v>
      </c>
      <c r="F243" t="s">
        <v>1061</v>
      </c>
      <c r="G243">
        <v>6101364</v>
      </c>
      <c r="H243">
        <v>202107</v>
      </c>
      <c r="I243">
        <v>44407</v>
      </c>
      <c r="J243" t="s">
        <v>1117</v>
      </c>
      <c r="K243" t="s">
        <v>1056</v>
      </c>
      <c r="M243" t="s">
        <v>355</v>
      </c>
      <c r="O243" t="s">
        <v>1459</v>
      </c>
      <c r="P243" t="s">
        <v>1460</v>
      </c>
      <c r="Q243" t="s">
        <v>354</v>
      </c>
      <c r="R243">
        <v>2069121</v>
      </c>
      <c r="S243" t="s">
        <v>1484</v>
      </c>
      <c r="U243" t="s">
        <v>1485</v>
      </c>
      <c r="V243" t="s">
        <v>356</v>
      </c>
      <c r="W243">
        <v>9000</v>
      </c>
      <c r="X243">
        <v>2.2999999999999998</v>
      </c>
      <c r="Y243">
        <v>19.91</v>
      </c>
      <c r="Z243">
        <v>9000</v>
      </c>
      <c r="AA243">
        <v>0</v>
      </c>
      <c r="AB243">
        <v>44410.944844756945</v>
      </c>
      <c r="AC243" t="s">
        <v>19</v>
      </c>
      <c r="AD243">
        <v>5</v>
      </c>
    </row>
    <row r="244" spans="1:30" x14ac:dyDescent="0.25">
      <c r="A244" t="s">
        <v>1051</v>
      </c>
      <c r="B244" t="s">
        <v>1106</v>
      </c>
      <c r="C244" t="s">
        <v>1151</v>
      </c>
      <c r="D244" t="s">
        <v>1236</v>
      </c>
      <c r="E244" t="s">
        <v>1060</v>
      </c>
      <c r="F244" t="s">
        <v>1061</v>
      </c>
      <c r="G244">
        <v>6101364</v>
      </c>
      <c r="H244">
        <v>202107</v>
      </c>
      <c r="I244">
        <v>44407</v>
      </c>
      <c r="J244" t="s">
        <v>1117</v>
      </c>
      <c r="K244" t="s">
        <v>1056</v>
      </c>
      <c r="M244" t="s">
        <v>355</v>
      </c>
      <c r="O244" t="s">
        <v>1459</v>
      </c>
      <c r="P244" t="s">
        <v>1460</v>
      </c>
      <c r="Q244" t="s">
        <v>354</v>
      </c>
      <c r="R244">
        <v>2069121</v>
      </c>
      <c r="S244" t="s">
        <v>1486</v>
      </c>
      <c r="U244" t="s">
        <v>1487</v>
      </c>
      <c r="V244" t="s">
        <v>356</v>
      </c>
      <c r="W244">
        <v>12000</v>
      </c>
      <c r="X244">
        <v>3.07</v>
      </c>
      <c r="Y244">
        <v>26.54</v>
      </c>
      <c r="Z244">
        <v>12000</v>
      </c>
      <c r="AA244">
        <v>0</v>
      </c>
      <c r="AB244">
        <v>44410.944844942132</v>
      </c>
      <c r="AC244" t="s">
        <v>19</v>
      </c>
      <c r="AD244">
        <v>5</v>
      </c>
    </row>
    <row r="245" spans="1:30" x14ac:dyDescent="0.25">
      <c r="A245" t="s">
        <v>1051</v>
      </c>
      <c r="B245" t="s">
        <v>1106</v>
      </c>
      <c r="C245" t="s">
        <v>1151</v>
      </c>
      <c r="D245" t="s">
        <v>1236</v>
      </c>
      <c r="E245" t="s">
        <v>1060</v>
      </c>
      <c r="F245" t="s">
        <v>1061</v>
      </c>
      <c r="G245">
        <v>6101364</v>
      </c>
      <c r="H245">
        <v>202107</v>
      </c>
      <c r="I245">
        <v>44407</v>
      </c>
      <c r="J245" t="s">
        <v>1117</v>
      </c>
      <c r="K245" t="s">
        <v>1056</v>
      </c>
      <c r="M245" t="s">
        <v>355</v>
      </c>
      <c r="O245" t="s">
        <v>1488</v>
      </c>
      <c r="P245" t="s">
        <v>1489</v>
      </c>
      <c r="Q245" t="s">
        <v>354</v>
      </c>
      <c r="R245">
        <v>2069121</v>
      </c>
      <c r="S245" t="s">
        <v>1490</v>
      </c>
      <c r="U245" t="s">
        <v>1491</v>
      </c>
      <c r="V245" t="s">
        <v>356</v>
      </c>
      <c r="W245">
        <v>104864</v>
      </c>
      <c r="X245">
        <v>26.85</v>
      </c>
      <c r="Y245">
        <v>231.96</v>
      </c>
      <c r="Z245">
        <v>104864</v>
      </c>
      <c r="AA245">
        <v>316</v>
      </c>
      <c r="AB245">
        <v>44410.944844942132</v>
      </c>
      <c r="AC245" t="s">
        <v>19</v>
      </c>
      <c r="AD245">
        <v>5</v>
      </c>
    </row>
    <row r="246" spans="1:30" x14ac:dyDescent="0.25">
      <c r="A246" t="s">
        <v>1051</v>
      </c>
      <c r="B246" t="s">
        <v>1106</v>
      </c>
      <c r="C246" t="s">
        <v>1151</v>
      </c>
      <c r="D246" t="s">
        <v>1236</v>
      </c>
      <c r="E246" t="s">
        <v>1060</v>
      </c>
      <c r="F246" t="s">
        <v>1061</v>
      </c>
      <c r="G246">
        <v>6101364</v>
      </c>
      <c r="H246">
        <v>202107</v>
      </c>
      <c r="I246">
        <v>44407</v>
      </c>
      <c r="J246" t="s">
        <v>1117</v>
      </c>
      <c r="K246" t="s">
        <v>1056</v>
      </c>
      <c r="M246" t="s">
        <v>355</v>
      </c>
      <c r="O246" t="s">
        <v>1492</v>
      </c>
      <c r="P246" t="s">
        <v>1493</v>
      </c>
      <c r="Q246" t="s">
        <v>354</v>
      </c>
      <c r="R246">
        <v>2069121</v>
      </c>
      <c r="S246" t="s">
        <v>1494</v>
      </c>
      <c r="U246" t="s">
        <v>1495</v>
      </c>
      <c r="V246" t="s">
        <v>356</v>
      </c>
      <c r="W246">
        <v>90000</v>
      </c>
      <c r="X246">
        <v>23.04</v>
      </c>
      <c r="Y246">
        <v>199.08</v>
      </c>
      <c r="Z246">
        <v>90000</v>
      </c>
      <c r="AA246">
        <v>0</v>
      </c>
      <c r="AB246">
        <v>44410.944844942132</v>
      </c>
      <c r="AC246" t="s">
        <v>19</v>
      </c>
      <c r="AD246">
        <v>5</v>
      </c>
    </row>
    <row r="247" spans="1:30" x14ac:dyDescent="0.25">
      <c r="A247" t="s">
        <v>1051</v>
      </c>
      <c r="B247" t="s">
        <v>1106</v>
      </c>
      <c r="C247" t="s">
        <v>1151</v>
      </c>
      <c r="D247" t="s">
        <v>1236</v>
      </c>
      <c r="E247" t="s">
        <v>1060</v>
      </c>
      <c r="F247" t="s">
        <v>1061</v>
      </c>
      <c r="G247">
        <v>6101364</v>
      </c>
      <c r="H247">
        <v>202107</v>
      </c>
      <c r="I247">
        <v>44407</v>
      </c>
      <c r="J247" t="s">
        <v>1117</v>
      </c>
      <c r="K247" t="s">
        <v>1056</v>
      </c>
      <c r="M247" t="s">
        <v>355</v>
      </c>
      <c r="O247" t="s">
        <v>1252</v>
      </c>
      <c r="P247" t="s">
        <v>1253</v>
      </c>
      <c r="Q247" t="s">
        <v>354</v>
      </c>
      <c r="R247">
        <v>2069121</v>
      </c>
      <c r="S247" t="s">
        <v>1291</v>
      </c>
      <c r="U247" t="s">
        <v>1496</v>
      </c>
      <c r="V247" t="s">
        <v>356</v>
      </c>
      <c r="W247">
        <v>14000</v>
      </c>
      <c r="X247">
        <v>3.58</v>
      </c>
      <c r="Y247">
        <v>30.97</v>
      </c>
      <c r="Z247">
        <v>14000</v>
      </c>
      <c r="AA247">
        <v>0</v>
      </c>
      <c r="AB247">
        <v>44410.944844942132</v>
      </c>
      <c r="AC247" t="s">
        <v>19</v>
      </c>
      <c r="AD247">
        <v>5</v>
      </c>
    </row>
    <row r="248" spans="1:30" x14ac:dyDescent="0.25">
      <c r="A248" t="s">
        <v>1051</v>
      </c>
      <c r="B248" t="s">
        <v>1106</v>
      </c>
      <c r="C248" t="s">
        <v>1151</v>
      </c>
      <c r="D248" t="s">
        <v>1236</v>
      </c>
      <c r="E248" t="s">
        <v>1060</v>
      </c>
      <c r="F248" t="s">
        <v>1061</v>
      </c>
      <c r="G248">
        <v>6101364</v>
      </c>
      <c r="H248">
        <v>202107</v>
      </c>
      <c r="I248">
        <v>44407</v>
      </c>
      <c r="J248" t="s">
        <v>1117</v>
      </c>
      <c r="K248" t="s">
        <v>1056</v>
      </c>
      <c r="M248" t="s">
        <v>355</v>
      </c>
      <c r="O248" t="s">
        <v>1145</v>
      </c>
      <c r="P248" t="s">
        <v>1146</v>
      </c>
      <c r="Q248" t="s">
        <v>354</v>
      </c>
      <c r="R248">
        <v>2069121</v>
      </c>
      <c r="S248" t="s">
        <v>1497</v>
      </c>
      <c r="U248" t="s">
        <v>1498</v>
      </c>
      <c r="V248" t="s">
        <v>356</v>
      </c>
      <c r="W248">
        <v>1850</v>
      </c>
      <c r="X248">
        <v>0.47</v>
      </c>
      <c r="Y248">
        <v>4.09</v>
      </c>
      <c r="Z248">
        <v>1850</v>
      </c>
      <c r="AA248">
        <v>0</v>
      </c>
      <c r="AB248">
        <v>44410.944844942132</v>
      </c>
      <c r="AC248" t="s">
        <v>19</v>
      </c>
      <c r="AD248">
        <v>5</v>
      </c>
    </row>
    <row r="249" spans="1:30" x14ac:dyDescent="0.25">
      <c r="A249" t="s">
        <v>1051</v>
      </c>
      <c r="B249" t="s">
        <v>1106</v>
      </c>
      <c r="C249" t="s">
        <v>1151</v>
      </c>
      <c r="D249" t="s">
        <v>1236</v>
      </c>
      <c r="E249" t="s">
        <v>1060</v>
      </c>
      <c r="F249" t="s">
        <v>1061</v>
      </c>
      <c r="G249">
        <v>6101364</v>
      </c>
      <c r="H249">
        <v>202107</v>
      </c>
      <c r="I249">
        <v>44407</v>
      </c>
      <c r="J249" t="s">
        <v>1117</v>
      </c>
      <c r="K249" t="s">
        <v>1056</v>
      </c>
      <c r="M249" t="s">
        <v>355</v>
      </c>
      <c r="O249" t="s">
        <v>1145</v>
      </c>
      <c r="P249" t="s">
        <v>1146</v>
      </c>
      <c r="Q249" t="s">
        <v>354</v>
      </c>
      <c r="R249">
        <v>2069121</v>
      </c>
      <c r="S249" t="s">
        <v>1497</v>
      </c>
      <c r="U249" t="s">
        <v>1498</v>
      </c>
      <c r="V249" t="s">
        <v>356</v>
      </c>
      <c r="W249">
        <v>1607</v>
      </c>
      <c r="X249">
        <v>0.41</v>
      </c>
      <c r="Y249">
        <v>3.55</v>
      </c>
      <c r="Z249">
        <v>1607</v>
      </c>
      <c r="AA249">
        <v>0</v>
      </c>
      <c r="AB249">
        <v>44410.944844942132</v>
      </c>
      <c r="AC249" t="s">
        <v>19</v>
      </c>
      <c r="AD249">
        <v>5</v>
      </c>
    </row>
    <row r="250" spans="1:30" x14ac:dyDescent="0.25">
      <c r="A250" t="s">
        <v>1051</v>
      </c>
      <c r="B250" t="s">
        <v>1106</v>
      </c>
      <c r="C250" t="s">
        <v>1151</v>
      </c>
      <c r="D250" t="s">
        <v>1236</v>
      </c>
      <c r="E250" t="s">
        <v>1060</v>
      </c>
      <c r="F250" t="s">
        <v>1061</v>
      </c>
      <c r="G250">
        <v>6101364</v>
      </c>
      <c r="H250">
        <v>202107</v>
      </c>
      <c r="I250">
        <v>44407</v>
      </c>
      <c r="J250" t="s">
        <v>1117</v>
      </c>
      <c r="K250" t="s">
        <v>1056</v>
      </c>
      <c r="M250" t="s">
        <v>355</v>
      </c>
      <c r="O250" t="s">
        <v>1488</v>
      </c>
      <c r="P250" t="s">
        <v>1489</v>
      </c>
      <c r="Q250" t="s">
        <v>354</v>
      </c>
      <c r="R250">
        <v>2069121</v>
      </c>
      <c r="S250" t="s">
        <v>1490</v>
      </c>
      <c r="U250" t="s">
        <v>1499</v>
      </c>
      <c r="V250" t="s">
        <v>356</v>
      </c>
      <c r="W250">
        <v>105</v>
      </c>
      <c r="X250">
        <v>0.03</v>
      </c>
      <c r="Y250">
        <v>0.23</v>
      </c>
      <c r="Z250">
        <v>105</v>
      </c>
      <c r="AA250">
        <v>0</v>
      </c>
      <c r="AB250">
        <v>44410.944845138889</v>
      </c>
      <c r="AC250" t="s">
        <v>19</v>
      </c>
      <c r="AD250">
        <v>5</v>
      </c>
    </row>
    <row r="251" spans="1:30" x14ac:dyDescent="0.25">
      <c r="A251" t="s">
        <v>1051</v>
      </c>
      <c r="B251" t="s">
        <v>1106</v>
      </c>
      <c r="C251" t="s">
        <v>1151</v>
      </c>
      <c r="D251" t="s">
        <v>1236</v>
      </c>
      <c r="E251" t="s">
        <v>1060</v>
      </c>
      <c r="F251" t="s">
        <v>1061</v>
      </c>
      <c r="G251">
        <v>6101364</v>
      </c>
      <c r="H251">
        <v>202107</v>
      </c>
      <c r="I251">
        <v>44407</v>
      </c>
      <c r="J251" t="s">
        <v>1117</v>
      </c>
      <c r="K251" t="s">
        <v>1056</v>
      </c>
      <c r="M251" t="s">
        <v>355</v>
      </c>
      <c r="O251" t="s">
        <v>1244</v>
      </c>
      <c r="P251" t="s">
        <v>1245</v>
      </c>
      <c r="Q251" t="s">
        <v>354</v>
      </c>
      <c r="R251">
        <v>2069121</v>
      </c>
      <c r="S251" t="s">
        <v>1500</v>
      </c>
      <c r="U251" t="s">
        <v>1501</v>
      </c>
      <c r="V251" t="s">
        <v>356</v>
      </c>
      <c r="W251">
        <v>9000</v>
      </c>
      <c r="X251">
        <v>2.2999999999999998</v>
      </c>
      <c r="Y251">
        <v>19.91</v>
      </c>
      <c r="Z251">
        <v>9000</v>
      </c>
      <c r="AA251">
        <v>0</v>
      </c>
      <c r="AB251">
        <v>44410.944845138889</v>
      </c>
      <c r="AC251" t="s">
        <v>19</v>
      </c>
      <c r="AD251">
        <v>5</v>
      </c>
    </row>
    <row r="252" spans="1:30" x14ac:dyDescent="0.25">
      <c r="A252" t="s">
        <v>1051</v>
      </c>
      <c r="B252" t="s">
        <v>1106</v>
      </c>
      <c r="C252" t="s">
        <v>1151</v>
      </c>
      <c r="D252" t="s">
        <v>1236</v>
      </c>
      <c r="E252" t="s">
        <v>1060</v>
      </c>
      <c r="F252" t="s">
        <v>1061</v>
      </c>
      <c r="G252">
        <v>6101364</v>
      </c>
      <c r="H252">
        <v>202107</v>
      </c>
      <c r="I252">
        <v>44407</v>
      </c>
      <c r="J252" t="s">
        <v>1117</v>
      </c>
      <c r="K252" t="s">
        <v>1056</v>
      </c>
      <c r="M252" t="s">
        <v>355</v>
      </c>
      <c r="O252" t="s">
        <v>1244</v>
      </c>
      <c r="P252" t="s">
        <v>1245</v>
      </c>
      <c r="Q252" t="s">
        <v>354</v>
      </c>
      <c r="R252">
        <v>2069121</v>
      </c>
      <c r="S252" t="s">
        <v>1502</v>
      </c>
      <c r="U252" t="s">
        <v>1503</v>
      </c>
      <c r="V252" t="s">
        <v>356</v>
      </c>
      <c r="W252">
        <v>9000</v>
      </c>
      <c r="X252">
        <v>2.2999999999999998</v>
      </c>
      <c r="Y252">
        <v>19.91</v>
      </c>
      <c r="Z252">
        <v>9000</v>
      </c>
      <c r="AA252">
        <v>0</v>
      </c>
      <c r="AB252">
        <v>44410.944845289348</v>
      </c>
      <c r="AC252" t="s">
        <v>19</v>
      </c>
      <c r="AD252">
        <v>5</v>
      </c>
    </row>
    <row r="253" spans="1:30" x14ac:dyDescent="0.25">
      <c r="A253" t="s">
        <v>1051</v>
      </c>
      <c r="B253" t="s">
        <v>1106</v>
      </c>
      <c r="C253" t="s">
        <v>1151</v>
      </c>
      <c r="D253" t="s">
        <v>1236</v>
      </c>
      <c r="E253" t="s">
        <v>1060</v>
      </c>
      <c r="F253" t="s">
        <v>1061</v>
      </c>
      <c r="G253">
        <v>6101364</v>
      </c>
      <c r="H253">
        <v>202107</v>
      </c>
      <c r="I253">
        <v>44407</v>
      </c>
      <c r="J253" t="s">
        <v>1117</v>
      </c>
      <c r="K253" t="s">
        <v>1056</v>
      </c>
      <c r="M253" t="s">
        <v>355</v>
      </c>
      <c r="O253" t="s">
        <v>1244</v>
      </c>
      <c r="P253" t="s">
        <v>1245</v>
      </c>
      <c r="Q253" t="s">
        <v>354</v>
      </c>
      <c r="R253">
        <v>2069121</v>
      </c>
      <c r="S253" t="s">
        <v>1504</v>
      </c>
      <c r="U253" t="s">
        <v>1505</v>
      </c>
      <c r="V253" t="s">
        <v>356</v>
      </c>
      <c r="W253">
        <v>9000</v>
      </c>
      <c r="X253">
        <v>2.2999999999999998</v>
      </c>
      <c r="Y253">
        <v>19.91</v>
      </c>
      <c r="Z253">
        <v>9000</v>
      </c>
      <c r="AA253">
        <v>0</v>
      </c>
      <c r="AB253">
        <v>44410.944845289348</v>
      </c>
      <c r="AC253" t="s">
        <v>19</v>
      </c>
      <c r="AD253">
        <v>5</v>
      </c>
    </row>
    <row r="254" spans="1:30" x14ac:dyDescent="0.25">
      <c r="A254" t="s">
        <v>1051</v>
      </c>
      <c r="B254" t="s">
        <v>1106</v>
      </c>
      <c r="C254" t="s">
        <v>1151</v>
      </c>
      <c r="D254" t="s">
        <v>1236</v>
      </c>
      <c r="E254" t="s">
        <v>1060</v>
      </c>
      <c r="F254" t="s">
        <v>1061</v>
      </c>
      <c r="G254">
        <v>6101364</v>
      </c>
      <c r="H254">
        <v>202107</v>
      </c>
      <c r="I254">
        <v>44407</v>
      </c>
      <c r="J254" t="s">
        <v>1117</v>
      </c>
      <c r="K254" t="s">
        <v>1056</v>
      </c>
      <c r="M254" t="s">
        <v>355</v>
      </c>
      <c r="O254" t="s">
        <v>1244</v>
      </c>
      <c r="P254" t="s">
        <v>1245</v>
      </c>
      <c r="Q254" t="s">
        <v>354</v>
      </c>
      <c r="R254">
        <v>2069121</v>
      </c>
      <c r="S254" t="s">
        <v>1506</v>
      </c>
      <c r="U254" t="s">
        <v>1507</v>
      </c>
      <c r="V254" t="s">
        <v>356</v>
      </c>
      <c r="W254">
        <v>9000</v>
      </c>
      <c r="X254">
        <v>2.2999999999999998</v>
      </c>
      <c r="Y254">
        <v>19.91</v>
      </c>
      <c r="Z254">
        <v>9000</v>
      </c>
      <c r="AA254">
        <v>0</v>
      </c>
      <c r="AB254">
        <v>44410.944845289348</v>
      </c>
      <c r="AC254" t="s">
        <v>19</v>
      </c>
      <c r="AD254">
        <v>5</v>
      </c>
    </row>
    <row r="255" spans="1:30" x14ac:dyDescent="0.25">
      <c r="A255" t="s">
        <v>1051</v>
      </c>
      <c r="B255" t="s">
        <v>1106</v>
      </c>
      <c r="C255" t="s">
        <v>1151</v>
      </c>
      <c r="D255" t="s">
        <v>1236</v>
      </c>
      <c r="E255" t="s">
        <v>1060</v>
      </c>
      <c r="F255" t="s">
        <v>1061</v>
      </c>
      <c r="G255">
        <v>6101364</v>
      </c>
      <c r="H255">
        <v>202107</v>
      </c>
      <c r="I255">
        <v>44407</v>
      </c>
      <c r="J255" t="s">
        <v>1117</v>
      </c>
      <c r="K255" t="s">
        <v>1056</v>
      </c>
      <c r="M255" t="s">
        <v>355</v>
      </c>
      <c r="O255" t="s">
        <v>1508</v>
      </c>
      <c r="P255" t="s">
        <v>1509</v>
      </c>
      <c r="Q255" t="s">
        <v>354</v>
      </c>
      <c r="R255">
        <v>2069121</v>
      </c>
      <c r="S255" t="s">
        <v>1510</v>
      </c>
      <c r="U255" t="s">
        <v>1511</v>
      </c>
      <c r="V255" t="s">
        <v>356</v>
      </c>
      <c r="W255">
        <v>33400</v>
      </c>
      <c r="X255">
        <v>8.5500000000000007</v>
      </c>
      <c r="Y255">
        <v>73.88</v>
      </c>
      <c r="Z255">
        <v>33400</v>
      </c>
      <c r="AA255">
        <v>0</v>
      </c>
      <c r="AB255">
        <v>44410.944844756945</v>
      </c>
      <c r="AC255" t="s">
        <v>19</v>
      </c>
      <c r="AD255">
        <v>5</v>
      </c>
    </row>
    <row r="256" spans="1:30" x14ac:dyDescent="0.25">
      <c r="A256" t="s">
        <v>1051</v>
      </c>
      <c r="B256" t="s">
        <v>1106</v>
      </c>
      <c r="C256" t="s">
        <v>1151</v>
      </c>
      <c r="D256" t="s">
        <v>1236</v>
      </c>
      <c r="E256" t="s">
        <v>1060</v>
      </c>
      <c r="F256" t="s">
        <v>1061</v>
      </c>
      <c r="G256">
        <v>6101364</v>
      </c>
      <c r="H256">
        <v>202107</v>
      </c>
      <c r="I256">
        <v>44407</v>
      </c>
      <c r="J256" t="s">
        <v>1117</v>
      </c>
      <c r="K256" t="s">
        <v>1056</v>
      </c>
      <c r="M256" t="s">
        <v>355</v>
      </c>
      <c r="O256" t="s">
        <v>1196</v>
      </c>
      <c r="P256" t="s">
        <v>1197</v>
      </c>
      <c r="Q256" t="s">
        <v>354</v>
      </c>
      <c r="R256">
        <v>2069121</v>
      </c>
      <c r="S256" t="s">
        <v>1198</v>
      </c>
      <c r="U256" t="s">
        <v>1199</v>
      </c>
      <c r="V256" t="s">
        <v>356</v>
      </c>
      <c r="W256">
        <v>5042</v>
      </c>
      <c r="X256">
        <v>1.29</v>
      </c>
      <c r="Y256">
        <v>11.15</v>
      </c>
      <c r="Z256">
        <v>5042</v>
      </c>
      <c r="AA256">
        <v>166</v>
      </c>
      <c r="AB256">
        <v>44410.944844756945</v>
      </c>
      <c r="AC256" t="s">
        <v>19</v>
      </c>
      <c r="AD256">
        <v>5</v>
      </c>
    </row>
    <row r="257" spans="1:30" x14ac:dyDescent="0.25">
      <c r="A257" t="s">
        <v>1051</v>
      </c>
      <c r="B257" t="s">
        <v>1106</v>
      </c>
      <c r="C257" t="s">
        <v>1151</v>
      </c>
      <c r="D257" t="s">
        <v>1236</v>
      </c>
      <c r="E257" t="s">
        <v>1060</v>
      </c>
      <c r="F257" t="s">
        <v>1061</v>
      </c>
      <c r="G257">
        <v>6101364</v>
      </c>
      <c r="H257">
        <v>202107</v>
      </c>
      <c r="I257">
        <v>44407</v>
      </c>
      <c r="J257" t="s">
        <v>1117</v>
      </c>
      <c r="K257" t="s">
        <v>1056</v>
      </c>
      <c r="M257" t="s">
        <v>355</v>
      </c>
      <c r="O257" t="s">
        <v>1445</v>
      </c>
      <c r="P257" t="s">
        <v>1446</v>
      </c>
      <c r="Q257" t="s">
        <v>354</v>
      </c>
      <c r="R257">
        <v>2069121</v>
      </c>
      <c r="S257" t="s">
        <v>1512</v>
      </c>
      <c r="U257" t="s">
        <v>1513</v>
      </c>
      <c r="V257" t="s">
        <v>356</v>
      </c>
      <c r="W257">
        <v>28000</v>
      </c>
      <c r="X257">
        <v>7.17</v>
      </c>
      <c r="Y257">
        <v>61.94</v>
      </c>
      <c r="Z257">
        <v>28000</v>
      </c>
      <c r="AA257">
        <v>0</v>
      </c>
      <c r="AB257">
        <v>44410.944844756945</v>
      </c>
      <c r="AC257" t="s">
        <v>19</v>
      </c>
      <c r="AD257">
        <v>5</v>
      </c>
    </row>
    <row r="258" spans="1:30" x14ac:dyDescent="0.25">
      <c r="A258" t="s">
        <v>1051</v>
      </c>
      <c r="B258" t="s">
        <v>1051</v>
      </c>
      <c r="C258" t="s">
        <v>1151</v>
      </c>
      <c r="D258" t="s">
        <v>1236</v>
      </c>
      <c r="E258" t="s">
        <v>1060</v>
      </c>
      <c r="F258" t="s">
        <v>1061</v>
      </c>
      <c r="G258">
        <v>6101288</v>
      </c>
      <c r="H258">
        <v>202107</v>
      </c>
      <c r="I258">
        <v>44393</v>
      </c>
      <c r="J258">
        <v>125062</v>
      </c>
      <c r="K258" t="s">
        <v>1056</v>
      </c>
      <c r="M258" t="s">
        <v>355</v>
      </c>
      <c r="O258" t="s">
        <v>1514</v>
      </c>
      <c r="P258" t="s">
        <v>1515</v>
      </c>
      <c r="Q258" t="s">
        <v>354</v>
      </c>
      <c r="R258">
        <v>2069121</v>
      </c>
      <c r="S258" t="s">
        <v>355</v>
      </c>
      <c r="U258" t="s">
        <v>1516</v>
      </c>
      <c r="V258" t="s">
        <v>356</v>
      </c>
      <c r="W258">
        <v>95000</v>
      </c>
      <c r="X258">
        <v>24.99</v>
      </c>
      <c r="Y258">
        <v>215.08</v>
      </c>
      <c r="Z258">
        <v>95000</v>
      </c>
      <c r="AA258">
        <v>0</v>
      </c>
      <c r="AB258">
        <v>44398.063869212965</v>
      </c>
      <c r="AC258" t="s">
        <v>19</v>
      </c>
      <c r="AD258">
        <v>5</v>
      </c>
    </row>
    <row r="259" spans="1:30" x14ac:dyDescent="0.25">
      <c r="A259" t="s">
        <v>1051</v>
      </c>
      <c r="B259" t="s">
        <v>1051</v>
      </c>
      <c r="C259" t="s">
        <v>1151</v>
      </c>
      <c r="D259" t="s">
        <v>1236</v>
      </c>
      <c r="E259" t="s">
        <v>1060</v>
      </c>
      <c r="F259" t="s">
        <v>1061</v>
      </c>
      <c r="G259">
        <v>6101288</v>
      </c>
      <c r="H259">
        <v>202107</v>
      </c>
      <c r="I259">
        <v>44393</v>
      </c>
      <c r="J259">
        <v>125062</v>
      </c>
      <c r="K259" t="s">
        <v>1056</v>
      </c>
      <c r="M259" t="s">
        <v>355</v>
      </c>
      <c r="O259" t="s">
        <v>1514</v>
      </c>
      <c r="P259" t="s">
        <v>1515</v>
      </c>
      <c r="Q259" t="s">
        <v>354</v>
      </c>
      <c r="R259">
        <v>2265787</v>
      </c>
      <c r="S259" t="s">
        <v>355</v>
      </c>
      <c r="U259" t="s">
        <v>1517</v>
      </c>
      <c r="V259" t="s">
        <v>356</v>
      </c>
      <c r="W259">
        <v>95000</v>
      </c>
      <c r="X259">
        <v>24.99</v>
      </c>
      <c r="Y259">
        <v>215.08</v>
      </c>
      <c r="Z259">
        <v>95000</v>
      </c>
      <c r="AA259">
        <v>0</v>
      </c>
      <c r="AB259">
        <v>44398.063869212965</v>
      </c>
      <c r="AC259" t="s">
        <v>325</v>
      </c>
      <c r="AD259">
        <v>5</v>
      </c>
    </row>
    <row r="260" spans="1:30" x14ac:dyDescent="0.25">
      <c r="A260" t="s">
        <v>1051</v>
      </c>
      <c r="B260" t="s">
        <v>1051</v>
      </c>
      <c r="C260" t="s">
        <v>1151</v>
      </c>
      <c r="D260" t="s">
        <v>1236</v>
      </c>
      <c r="E260" t="s">
        <v>1060</v>
      </c>
      <c r="F260" t="s">
        <v>1061</v>
      </c>
      <c r="G260">
        <v>6101288</v>
      </c>
      <c r="H260">
        <v>202107</v>
      </c>
      <c r="I260">
        <v>44393</v>
      </c>
      <c r="J260">
        <v>125062</v>
      </c>
      <c r="K260" t="s">
        <v>1056</v>
      </c>
      <c r="M260" t="s">
        <v>355</v>
      </c>
      <c r="O260" t="s">
        <v>1514</v>
      </c>
      <c r="P260" t="s">
        <v>1515</v>
      </c>
      <c r="Q260" t="s">
        <v>354</v>
      </c>
      <c r="R260">
        <v>2069121</v>
      </c>
      <c r="S260" t="s">
        <v>355</v>
      </c>
      <c r="U260" t="s">
        <v>1518</v>
      </c>
      <c r="V260" t="s">
        <v>356</v>
      </c>
      <c r="W260">
        <v>95000</v>
      </c>
      <c r="X260">
        <v>24.99</v>
      </c>
      <c r="Y260">
        <v>215.08</v>
      </c>
      <c r="Z260">
        <v>95000</v>
      </c>
      <c r="AA260">
        <v>0</v>
      </c>
      <c r="AB260">
        <v>44398.063869212965</v>
      </c>
      <c r="AC260" t="s">
        <v>19</v>
      </c>
      <c r="AD260">
        <v>5</v>
      </c>
    </row>
    <row r="261" spans="1:30" x14ac:dyDescent="0.25">
      <c r="A261" t="s">
        <v>1051</v>
      </c>
      <c r="B261" t="s">
        <v>1051</v>
      </c>
      <c r="C261" t="s">
        <v>1151</v>
      </c>
      <c r="D261" t="s">
        <v>1236</v>
      </c>
      <c r="E261" t="s">
        <v>1060</v>
      </c>
      <c r="F261" t="s">
        <v>1061</v>
      </c>
      <c r="G261">
        <v>6101288</v>
      </c>
      <c r="H261">
        <v>202107</v>
      </c>
      <c r="I261">
        <v>44393</v>
      </c>
      <c r="J261">
        <v>125062</v>
      </c>
      <c r="K261" t="s">
        <v>1056</v>
      </c>
      <c r="M261" t="s">
        <v>355</v>
      </c>
      <c r="O261" t="s">
        <v>1514</v>
      </c>
      <c r="P261" t="s">
        <v>1515</v>
      </c>
      <c r="Q261" t="s">
        <v>354</v>
      </c>
      <c r="R261">
        <v>2069121</v>
      </c>
      <c r="S261" t="s">
        <v>355</v>
      </c>
      <c r="U261" t="s">
        <v>1519</v>
      </c>
      <c r="V261" t="s">
        <v>356</v>
      </c>
      <c r="W261">
        <v>65000</v>
      </c>
      <c r="X261">
        <v>17.100000000000001</v>
      </c>
      <c r="Y261">
        <v>147.16</v>
      </c>
      <c r="Z261">
        <v>65000</v>
      </c>
      <c r="AA261">
        <v>0</v>
      </c>
      <c r="AB261">
        <v>44398.063869212965</v>
      </c>
      <c r="AC261" t="s">
        <v>19</v>
      </c>
      <c r="AD261">
        <v>5</v>
      </c>
    </row>
    <row r="262" spans="1:30" x14ac:dyDescent="0.25">
      <c r="A262" t="s">
        <v>1051</v>
      </c>
      <c r="B262" t="s">
        <v>1106</v>
      </c>
      <c r="C262" t="s">
        <v>1151</v>
      </c>
      <c r="D262" t="s">
        <v>1236</v>
      </c>
      <c r="E262" t="s">
        <v>1060</v>
      </c>
      <c r="F262" t="s">
        <v>1061</v>
      </c>
      <c r="G262">
        <v>6101227</v>
      </c>
      <c r="H262">
        <v>202107</v>
      </c>
      <c r="I262">
        <v>44385</v>
      </c>
      <c r="J262" t="s">
        <v>1117</v>
      </c>
      <c r="K262" t="s">
        <v>1056</v>
      </c>
      <c r="M262" t="s">
        <v>355</v>
      </c>
      <c r="O262" t="s">
        <v>1258</v>
      </c>
      <c r="P262" t="s">
        <v>1259</v>
      </c>
      <c r="Q262" t="s">
        <v>1155</v>
      </c>
      <c r="R262">
        <v>2069125</v>
      </c>
      <c r="S262" t="s">
        <v>1520</v>
      </c>
      <c r="U262" t="s">
        <v>1521</v>
      </c>
      <c r="V262" t="s">
        <v>356</v>
      </c>
      <c r="W262">
        <v>15300</v>
      </c>
      <c r="X262">
        <v>4.01</v>
      </c>
      <c r="Y262">
        <v>34.33</v>
      </c>
      <c r="Z262">
        <v>15300</v>
      </c>
      <c r="AA262">
        <v>0</v>
      </c>
      <c r="AB262">
        <v>44392.759670057872</v>
      </c>
      <c r="AC262" t="s">
        <v>25</v>
      </c>
      <c r="AD262">
        <v>5</v>
      </c>
    </row>
    <row r="263" spans="1:30" x14ac:dyDescent="0.25">
      <c r="A263" t="s">
        <v>1051</v>
      </c>
      <c r="B263" t="s">
        <v>1106</v>
      </c>
      <c r="C263" t="s">
        <v>1151</v>
      </c>
      <c r="D263" t="s">
        <v>1236</v>
      </c>
      <c r="E263" t="s">
        <v>1060</v>
      </c>
      <c r="F263" t="s">
        <v>1061</v>
      </c>
      <c r="G263">
        <v>6101227</v>
      </c>
      <c r="H263">
        <v>202107</v>
      </c>
      <c r="I263">
        <v>44385</v>
      </c>
      <c r="J263" t="s">
        <v>1117</v>
      </c>
      <c r="K263" t="s">
        <v>1056</v>
      </c>
      <c r="M263" t="s">
        <v>355</v>
      </c>
      <c r="O263" t="s">
        <v>1522</v>
      </c>
      <c r="P263" t="s">
        <v>1523</v>
      </c>
      <c r="Q263" t="s">
        <v>1155</v>
      </c>
      <c r="R263">
        <v>2069125</v>
      </c>
      <c r="S263" t="s">
        <v>1524</v>
      </c>
      <c r="U263" t="s">
        <v>1525</v>
      </c>
      <c r="V263" t="s">
        <v>356</v>
      </c>
      <c r="W263">
        <v>32600</v>
      </c>
      <c r="X263">
        <v>8.5399999999999991</v>
      </c>
      <c r="Y263">
        <v>73.150000000000006</v>
      </c>
      <c r="Z263">
        <v>32600</v>
      </c>
      <c r="AA263">
        <v>0</v>
      </c>
      <c r="AB263">
        <v>44392.759670057872</v>
      </c>
      <c r="AC263" t="s">
        <v>25</v>
      </c>
      <c r="AD263">
        <v>5</v>
      </c>
    </row>
    <row r="264" spans="1:30" x14ac:dyDescent="0.25">
      <c r="A264" t="s">
        <v>1051</v>
      </c>
      <c r="B264" t="s">
        <v>1106</v>
      </c>
      <c r="C264" t="s">
        <v>1151</v>
      </c>
      <c r="D264" t="s">
        <v>1236</v>
      </c>
      <c r="E264" t="s">
        <v>1060</v>
      </c>
      <c r="F264" t="s">
        <v>1061</v>
      </c>
      <c r="G264">
        <v>6101227</v>
      </c>
      <c r="H264">
        <v>202107</v>
      </c>
      <c r="I264">
        <v>44385</v>
      </c>
      <c r="J264" t="s">
        <v>1117</v>
      </c>
      <c r="K264" t="s">
        <v>1056</v>
      </c>
      <c r="M264" t="s">
        <v>355</v>
      </c>
      <c r="O264" t="s">
        <v>1522</v>
      </c>
      <c r="P264" t="s">
        <v>1523</v>
      </c>
      <c r="Q264" t="s">
        <v>1155</v>
      </c>
      <c r="R264">
        <v>2069125</v>
      </c>
      <c r="S264" t="s">
        <v>1526</v>
      </c>
      <c r="U264" t="s">
        <v>1527</v>
      </c>
      <c r="V264" t="s">
        <v>356</v>
      </c>
      <c r="W264">
        <v>20000</v>
      </c>
      <c r="X264">
        <v>5.24</v>
      </c>
      <c r="Y264">
        <v>44.88</v>
      </c>
      <c r="Z264">
        <v>20000</v>
      </c>
      <c r="AA264">
        <v>0</v>
      </c>
      <c r="AB264">
        <v>44392.759670219908</v>
      </c>
      <c r="AC264" t="s">
        <v>25</v>
      </c>
      <c r="AD264">
        <v>5</v>
      </c>
    </row>
    <row r="265" spans="1:30" x14ac:dyDescent="0.25">
      <c r="A265" t="s">
        <v>1051</v>
      </c>
      <c r="B265" t="s">
        <v>1106</v>
      </c>
      <c r="C265" t="s">
        <v>1151</v>
      </c>
      <c r="D265" t="s">
        <v>1236</v>
      </c>
      <c r="E265" t="s">
        <v>1060</v>
      </c>
      <c r="F265" t="s">
        <v>1061</v>
      </c>
      <c r="G265">
        <v>6101227</v>
      </c>
      <c r="H265">
        <v>202107</v>
      </c>
      <c r="I265">
        <v>44385</v>
      </c>
      <c r="J265" t="s">
        <v>1117</v>
      </c>
      <c r="K265" t="s">
        <v>1056</v>
      </c>
      <c r="M265" t="s">
        <v>355</v>
      </c>
      <c r="O265" t="s">
        <v>1258</v>
      </c>
      <c r="P265" t="s">
        <v>1259</v>
      </c>
      <c r="Q265" t="s">
        <v>1155</v>
      </c>
      <c r="R265">
        <v>2069125</v>
      </c>
      <c r="S265" t="s">
        <v>1528</v>
      </c>
      <c r="U265" t="s">
        <v>1529</v>
      </c>
      <c r="V265" t="s">
        <v>356</v>
      </c>
      <c r="W265">
        <v>6300</v>
      </c>
      <c r="X265">
        <v>1.65</v>
      </c>
      <c r="Y265">
        <v>14.14</v>
      </c>
      <c r="Z265">
        <v>6300</v>
      </c>
      <c r="AA265">
        <v>0</v>
      </c>
      <c r="AB265">
        <v>44392.759670219908</v>
      </c>
      <c r="AC265" t="s">
        <v>25</v>
      </c>
      <c r="AD265">
        <v>5</v>
      </c>
    </row>
    <row r="266" spans="1:30" x14ac:dyDescent="0.25">
      <c r="A266" t="s">
        <v>1051</v>
      </c>
      <c r="B266" t="s">
        <v>1106</v>
      </c>
      <c r="C266" t="s">
        <v>1151</v>
      </c>
      <c r="D266" t="s">
        <v>1236</v>
      </c>
      <c r="E266" t="s">
        <v>1060</v>
      </c>
      <c r="F266" t="s">
        <v>1061</v>
      </c>
      <c r="G266">
        <v>6101227</v>
      </c>
      <c r="H266">
        <v>202107</v>
      </c>
      <c r="I266">
        <v>44385</v>
      </c>
      <c r="J266" t="s">
        <v>1117</v>
      </c>
      <c r="K266" t="s">
        <v>1056</v>
      </c>
      <c r="M266" t="s">
        <v>355</v>
      </c>
      <c r="O266" t="s">
        <v>1258</v>
      </c>
      <c r="P266" t="s">
        <v>1259</v>
      </c>
      <c r="Q266" t="s">
        <v>1155</v>
      </c>
      <c r="R266">
        <v>2069125</v>
      </c>
      <c r="S266" t="s">
        <v>1530</v>
      </c>
      <c r="U266" t="s">
        <v>1531</v>
      </c>
      <c r="V266" t="s">
        <v>356</v>
      </c>
      <c r="W266">
        <v>10500</v>
      </c>
      <c r="X266">
        <v>2.75</v>
      </c>
      <c r="Y266">
        <v>23.56</v>
      </c>
      <c r="Z266">
        <v>10500</v>
      </c>
      <c r="AA266">
        <v>0</v>
      </c>
      <c r="AB266">
        <v>44392.759670219908</v>
      </c>
      <c r="AC266" t="s">
        <v>25</v>
      </c>
      <c r="AD266">
        <v>5</v>
      </c>
    </row>
    <row r="267" spans="1:30" x14ac:dyDescent="0.25">
      <c r="A267" t="s">
        <v>1051</v>
      </c>
      <c r="B267" t="s">
        <v>1106</v>
      </c>
      <c r="C267" t="s">
        <v>1151</v>
      </c>
      <c r="D267" t="s">
        <v>1236</v>
      </c>
      <c r="E267" t="s">
        <v>1060</v>
      </c>
      <c r="F267" t="s">
        <v>1061</v>
      </c>
      <c r="G267">
        <v>6101227</v>
      </c>
      <c r="H267">
        <v>202107</v>
      </c>
      <c r="I267">
        <v>44385</v>
      </c>
      <c r="J267" t="s">
        <v>1117</v>
      </c>
      <c r="K267" t="s">
        <v>1056</v>
      </c>
      <c r="M267" t="s">
        <v>355</v>
      </c>
      <c r="O267" t="s">
        <v>1522</v>
      </c>
      <c r="P267" t="s">
        <v>1523</v>
      </c>
      <c r="Q267" t="s">
        <v>1155</v>
      </c>
      <c r="R267">
        <v>2069125</v>
      </c>
      <c r="S267" t="s">
        <v>1532</v>
      </c>
      <c r="U267" t="s">
        <v>1533</v>
      </c>
      <c r="V267" t="s">
        <v>356</v>
      </c>
      <c r="W267">
        <v>30500</v>
      </c>
      <c r="X267">
        <v>7.99</v>
      </c>
      <c r="Y267">
        <v>68.44</v>
      </c>
      <c r="Z267">
        <v>30500</v>
      </c>
      <c r="AA267">
        <v>0</v>
      </c>
      <c r="AB267">
        <v>44392.759670219908</v>
      </c>
      <c r="AC267" t="s">
        <v>25</v>
      </c>
      <c r="AD267">
        <v>5</v>
      </c>
    </row>
    <row r="268" spans="1:30" x14ac:dyDescent="0.25">
      <c r="A268" t="s">
        <v>1051</v>
      </c>
      <c r="B268" t="s">
        <v>1106</v>
      </c>
      <c r="C268" t="s">
        <v>1151</v>
      </c>
      <c r="D268" t="s">
        <v>1236</v>
      </c>
      <c r="E268" t="s">
        <v>1060</v>
      </c>
      <c r="F268" t="s">
        <v>1061</v>
      </c>
      <c r="G268">
        <v>6101227</v>
      </c>
      <c r="H268">
        <v>202107</v>
      </c>
      <c r="I268">
        <v>44385</v>
      </c>
      <c r="J268" t="s">
        <v>1117</v>
      </c>
      <c r="K268" t="s">
        <v>1056</v>
      </c>
      <c r="M268" t="s">
        <v>355</v>
      </c>
      <c r="O268" t="s">
        <v>1258</v>
      </c>
      <c r="P268" t="s">
        <v>1259</v>
      </c>
      <c r="Q268" t="s">
        <v>1155</v>
      </c>
      <c r="R268">
        <v>2069125</v>
      </c>
      <c r="S268" t="s">
        <v>1534</v>
      </c>
      <c r="U268" t="s">
        <v>1535</v>
      </c>
      <c r="V268" t="s">
        <v>356</v>
      </c>
      <c r="W268">
        <v>4500</v>
      </c>
      <c r="X268">
        <v>1.18</v>
      </c>
      <c r="Y268">
        <v>10.1</v>
      </c>
      <c r="Z268">
        <v>4500</v>
      </c>
      <c r="AA268">
        <v>0</v>
      </c>
      <c r="AB268">
        <v>44392.759670219908</v>
      </c>
      <c r="AC268" t="s">
        <v>25</v>
      </c>
      <c r="AD268">
        <v>5</v>
      </c>
    </row>
    <row r="269" spans="1:30" x14ac:dyDescent="0.25">
      <c r="A269" t="s">
        <v>1051</v>
      </c>
      <c r="B269" t="s">
        <v>1106</v>
      </c>
      <c r="C269" t="s">
        <v>1151</v>
      </c>
      <c r="D269" t="s">
        <v>1236</v>
      </c>
      <c r="E269" t="s">
        <v>1060</v>
      </c>
      <c r="F269" t="s">
        <v>1061</v>
      </c>
      <c r="G269">
        <v>6101227</v>
      </c>
      <c r="H269">
        <v>202107</v>
      </c>
      <c r="I269">
        <v>44385</v>
      </c>
      <c r="J269" t="s">
        <v>1117</v>
      </c>
      <c r="K269" t="s">
        <v>1056</v>
      </c>
      <c r="M269" t="s">
        <v>355</v>
      </c>
      <c r="O269" t="s">
        <v>1258</v>
      </c>
      <c r="P269" t="s">
        <v>1259</v>
      </c>
      <c r="Q269" t="s">
        <v>1155</v>
      </c>
      <c r="R269">
        <v>2069125</v>
      </c>
      <c r="S269" t="s">
        <v>1536</v>
      </c>
      <c r="U269" t="s">
        <v>1537</v>
      </c>
      <c r="V269" t="s">
        <v>356</v>
      </c>
      <c r="W269">
        <v>4500</v>
      </c>
      <c r="X269">
        <v>1.18</v>
      </c>
      <c r="Y269">
        <v>10.1</v>
      </c>
      <c r="Z269">
        <v>4500</v>
      </c>
      <c r="AA269">
        <v>0</v>
      </c>
      <c r="AB269">
        <v>44392.759670219908</v>
      </c>
      <c r="AC269" t="s">
        <v>25</v>
      </c>
      <c r="AD269">
        <v>5</v>
      </c>
    </row>
    <row r="270" spans="1:30" x14ac:dyDescent="0.25">
      <c r="A270" t="s">
        <v>1051</v>
      </c>
      <c r="B270" t="s">
        <v>1106</v>
      </c>
      <c r="C270" t="s">
        <v>1151</v>
      </c>
      <c r="D270" t="s">
        <v>1236</v>
      </c>
      <c r="E270" t="s">
        <v>1060</v>
      </c>
      <c r="F270" t="s">
        <v>1061</v>
      </c>
      <c r="G270">
        <v>6101227</v>
      </c>
      <c r="H270">
        <v>202107</v>
      </c>
      <c r="I270">
        <v>44385</v>
      </c>
      <c r="J270" t="s">
        <v>1117</v>
      </c>
      <c r="K270" t="s">
        <v>1056</v>
      </c>
      <c r="M270" t="s">
        <v>355</v>
      </c>
      <c r="O270" t="s">
        <v>1410</v>
      </c>
      <c r="P270" t="s">
        <v>1411</v>
      </c>
      <c r="Q270" t="s">
        <v>1155</v>
      </c>
      <c r="R270">
        <v>2069125</v>
      </c>
      <c r="S270" t="s">
        <v>1538</v>
      </c>
      <c r="U270" t="s">
        <v>1539</v>
      </c>
      <c r="V270" t="s">
        <v>356</v>
      </c>
      <c r="W270">
        <v>2500</v>
      </c>
      <c r="X270">
        <v>0.66</v>
      </c>
      <c r="Y270">
        <v>5.61</v>
      </c>
      <c r="Z270">
        <v>2500</v>
      </c>
      <c r="AA270">
        <v>0</v>
      </c>
      <c r="AB270">
        <v>44392.759670405096</v>
      </c>
      <c r="AC270" t="s">
        <v>25</v>
      </c>
      <c r="AD270">
        <v>5</v>
      </c>
    </row>
    <row r="271" spans="1:30" x14ac:dyDescent="0.25">
      <c r="A271" t="s">
        <v>1051</v>
      </c>
      <c r="B271" t="s">
        <v>1106</v>
      </c>
      <c r="C271" t="s">
        <v>1151</v>
      </c>
      <c r="D271" t="s">
        <v>1236</v>
      </c>
      <c r="E271" t="s">
        <v>1060</v>
      </c>
      <c r="F271" t="s">
        <v>1061</v>
      </c>
      <c r="G271">
        <v>6101227</v>
      </c>
      <c r="H271">
        <v>202107</v>
      </c>
      <c r="I271">
        <v>44385</v>
      </c>
      <c r="J271" t="s">
        <v>1117</v>
      </c>
      <c r="K271" t="s">
        <v>1056</v>
      </c>
      <c r="M271" t="s">
        <v>355</v>
      </c>
      <c r="O271" t="s">
        <v>1540</v>
      </c>
      <c r="P271" t="s">
        <v>1541</v>
      </c>
      <c r="Q271" t="s">
        <v>1155</v>
      </c>
      <c r="R271">
        <v>2069125</v>
      </c>
      <c r="S271" t="s">
        <v>1542</v>
      </c>
      <c r="U271" t="s">
        <v>1543</v>
      </c>
      <c r="V271" t="s">
        <v>356</v>
      </c>
      <c r="W271">
        <v>32200</v>
      </c>
      <c r="X271">
        <v>8.44</v>
      </c>
      <c r="Y271">
        <v>72.260000000000005</v>
      </c>
      <c r="Z271">
        <v>32200</v>
      </c>
      <c r="AA271">
        <v>0</v>
      </c>
      <c r="AB271">
        <v>44392.759670405096</v>
      </c>
      <c r="AC271" t="s">
        <v>25</v>
      </c>
      <c r="AD271">
        <v>5</v>
      </c>
    </row>
    <row r="272" spans="1:30" x14ac:dyDescent="0.25">
      <c r="A272" t="s">
        <v>1051</v>
      </c>
      <c r="B272" t="s">
        <v>1106</v>
      </c>
      <c r="C272" t="s">
        <v>1151</v>
      </c>
      <c r="D272" t="s">
        <v>1236</v>
      </c>
      <c r="E272" t="s">
        <v>1060</v>
      </c>
      <c r="F272" t="s">
        <v>1061</v>
      </c>
      <c r="G272">
        <v>6101227</v>
      </c>
      <c r="H272">
        <v>202107</v>
      </c>
      <c r="I272">
        <v>44385</v>
      </c>
      <c r="J272" t="s">
        <v>1117</v>
      </c>
      <c r="K272" t="s">
        <v>1056</v>
      </c>
      <c r="M272" t="s">
        <v>355</v>
      </c>
      <c r="O272" t="s">
        <v>1252</v>
      </c>
      <c r="P272" t="s">
        <v>1253</v>
      </c>
      <c r="Q272" t="s">
        <v>1155</v>
      </c>
      <c r="R272">
        <v>2069125</v>
      </c>
      <c r="S272" t="s">
        <v>1336</v>
      </c>
      <c r="U272" t="s">
        <v>1544</v>
      </c>
      <c r="V272" t="s">
        <v>356</v>
      </c>
      <c r="W272">
        <v>45000</v>
      </c>
      <c r="X272">
        <v>11.79</v>
      </c>
      <c r="Y272">
        <v>100.98</v>
      </c>
      <c r="Z272">
        <v>45000</v>
      </c>
      <c r="AA272">
        <v>0</v>
      </c>
      <c r="AB272">
        <v>44392.759670405096</v>
      </c>
      <c r="AC272" t="s">
        <v>25</v>
      </c>
      <c r="AD272">
        <v>5</v>
      </c>
    </row>
    <row r="273" spans="1:30" x14ac:dyDescent="0.25">
      <c r="A273" t="s">
        <v>1051</v>
      </c>
      <c r="B273" t="s">
        <v>1106</v>
      </c>
      <c r="C273" t="s">
        <v>1151</v>
      </c>
      <c r="D273" t="s">
        <v>1236</v>
      </c>
      <c r="E273" t="s">
        <v>1060</v>
      </c>
      <c r="F273" t="s">
        <v>1061</v>
      </c>
      <c r="G273">
        <v>6101227</v>
      </c>
      <c r="H273">
        <v>202107</v>
      </c>
      <c r="I273">
        <v>44385</v>
      </c>
      <c r="J273" t="s">
        <v>1117</v>
      </c>
      <c r="K273" t="s">
        <v>1056</v>
      </c>
      <c r="M273" t="s">
        <v>355</v>
      </c>
      <c r="O273" t="s">
        <v>1258</v>
      </c>
      <c r="P273" t="s">
        <v>1259</v>
      </c>
      <c r="Q273" t="s">
        <v>1155</v>
      </c>
      <c r="R273">
        <v>2069125</v>
      </c>
      <c r="S273" t="s">
        <v>1545</v>
      </c>
      <c r="U273" t="s">
        <v>1546</v>
      </c>
      <c r="V273" t="s">
        <v>356</v>
      </c>
      <c r="W273">
        <v>6200</v>
      </c>
      <c r="X273">
        <v>1.62</v>
      </c>
      <c r="Y273">
        <v>13.91</v>
      </c>
      <c r="Z273">
        <v>6200</v>
      </c>
      <c r="AA273">
        <v>0</v>
      </c>
      <c r="AB273">
        <v>44392.759670405096</v>
      </c>
      <c r="AC273" t="s">
        <v>25</v>
      </c>
      <c r="AD273">
        <v>5</v>
      </c>
    </row>
    <row r="274" spans="1:30" x14ac:dyDescent="0.25">
      <c r="A274" t="s">
        <v>1051</v>
      </c>
      <c r="B274" t="s">
        <v>1106</v>
      </c>
      <c r="C274" t="s">
        <v>1151</v>
      </c>
      <c r="D274" t="s">
        <v>1236</v>
      </c>
      <c r="E274" t="s">
        <v>1060</v>
      </c>
      <c r="F274" t="s">
        <v>1061</v>
      </c>
      <c r="G274">
        <v>6101227</v>
      </c>
      <c r="H274">
        <v>202107</v>
      </c>
      <c r="I274">
        <v>44385</v>
      </c>
      <c r="J274" t="s">
        <v>1117</v>
      </c>
      <c r="K274" t="s">
        <v>1056</v>
      </c>
      <c r="M274" t="s">
        <v>355</v>
      </c>
      <c r="O274" t="s">
        <v>1258</v>
      </c>
      <c r="P274" t="s">
        <v>1259</v>
      </c>
      <c r="Q274" t="s">
        <v>1155</v>
      </c>
      <c r="R274">
        <v>2069125</v>
      </c>
      <c r="S274" t="s">
        <v>1547</v>
      </c>
      <c r="U274" t="s">
        <v>1548</v>
      </c>
      <c r="V274" t="s">
        <v>356</v>
      </c>
      <c r="W274">
        <v>8000</v>
      </c>
      <c r="X274">
        <v>2.1</v>
      </c>
      <c r="Y274">
        <v>17.95</v>
      </c>
      <c r="Z274">
        <v>8000</v>
      </c>
      <c r="AA274">
        <v>0</v>
      </c>
      <c r="AB274">
        <v>44392.759669872685</v>
      </c>
      <c r="AC274" t="s">
        <v>25</v>
      </c>
      <c r="AD274">
        <v>5</v>
      </c>
    </row>
    <row r="275" spans="1:30" x14ac:dyDescent="0.25">
      <c r="A275" t="s">
        <v>1051</v>
      </c>
      <c r="B275" t="s">
        <v>1106</v>
      </c>
      <c r="C275" t="s">
        <v>1151</v>
      </c>
      <c r="D275" t="s">
        <v>1236</v>
      </c>
      <c r="E275" t="s">
        <v>1060</v>
      </c>
      <c r="F275" t="s">
        <v>1061</v>
      </c>
      <c r="G275">
        <v>6101227</v>
      </c>
      <c r="H275">
        <v>202107</v>
      </c>
      <c r="I275">
        <v>44385</v>
      </c>
      <c r="J275" t="s">
        <v>1117</v>
      </c>
      <c r="K275" t="s">
        <v>1056</v>
      </c>
      <c r="M275" t="s">
        <v>355</v>
      </c>
      <c r="O275" t="s">
        <v>1390</v>
      </c>
      <c r="P275" t="s">
        <v>1391</v>
      </c>
      <c r="Q275" t="s">
        <v>1155</v>
      </c>
      <c r="R275">
        <v>2069125</v>
      </c>
      <c r="S275" t="s">
        <v>1549</v>
      </c>
      <c r="U275" t="s">
        <v>1550</v>
      </c>
      <c r="V275" t="s">
        <v>356</v>
      </c>
      <c r="W275">
        <v>10000</v>
      </c>
      <c r="X275">
        <v>2.62</v>
      </c>
      <c r="Y275">
        <v>22.44</v>
      </c>
      <c r="Z275">
        <v>10000</v>
      </c>
      <c r="AA275">
        <v>0</v>
      </c>
      <c r="AB275">
        <v>44392.759670057872</v>
      </c>
      <c r="AC275" t="s">
        <v>25</v>
      </c>
      <c r="AD275">
        <v>5</v>
      </c>
    </row>
    <row r="276" spans="1:30" x14ac:dyDescent="0.25">
      <c r="A276" t="s">
        <v>1051</v>
      </c>
      <c r="B276" t="s">
        <v>1106</v>
      </c>
      <c r="C276" t="s">
        <v>1151</v>
      </c>
      <c r="D276" t="s">
        <v>1236</v>
      </c>
      <c r="E276" t="s">
        <v>1060</v>
      </c>
      <c r="F276" t="s">
        <v>1061</v>
      </c>
      <c r="G276">
        <v>6101227</v>
      </c>
      <c r="H276">
        <v>202107</v>
      </c>
      <c r="I276">
        <v>44385</v>
      </c>
      <c r="J276" t="s">
        <v>1117</v>
      </c>
      <c r="K276" t="s">
        <v>1056</v>
      </c>
      <c r="M276" t="s">
        <v>355</v>
      </c>
      <c r="O276" t="s">
        <v>1551</v>
      </c>
      <c r="P276" t="s">
        <v>1552</v>
      </c>
      <c r="Q276" t="s">
        <v>1155</v>
      </c>
      <c r="R276">
        <v>2069125</v>
      </c>
      <c r="S276" t="s">
        <v>1553</v>
      </c>
      <c r="U276" t="s">
        <v>1550</v>
      </c>
      <c r="V276" t="s">
        <v>356</v>
      </c>
      <c r="W276">
        <v>26000</v>
      </c>
      <c r="X276">
        <v>6.81</v>
      </c>
      <c r="Y276">
        <v>58.34</v>
      </c>
      <c r="Z276">
        <v>26000</v>
      </c>
      <c r="AA276">
        <v>0</v>
      </c>
      <c r="AB276">
        <v>44392.759670057872</v>
      </c>
      <c r="AC276" t="s">
        <v>25</v>
      </c>
      <c r="AD276">
        <v>5</v>
      </c>
    </row>
    <row r="277" spans="1:30" x14ac:dyDescent="0.25">
      <c r="A277" t="s">
        <v>1051</v>
      </c>
      <c r="B277" t="s">
        <v>1106</v>
      </c>
      <c r="C277" t="s">
        <v>1151</v>
      </c>
      <c r="D277" t="s">
        <v>1236</v>
      </c>
      <c r="E277" t="s">
        <v>1060</v>
      </c>
      <c r="F277" t="s">
        <v>1061</v>
      </c>
      <c r="G277">
        <v>6101253</v>
      </c>
      <c r="H277">
        <v>202107</v>
      </c>
      <c r="I277">
        <v>44386</v>
      </c>
      <c r="J277">
        <v>125062</v>
      </c>
      <c r="K277" t="s">
        <v>1056</v>
      </c>
      <c r="M277" t="s">
        <v>355</v>
      </c>
      <c r="O277" t="s">
        <v>1370</v>
      </c>
      <c r="P277" t="s">
        <v>1371</v>
      </c>
      <c r="Q277" t="s">
        <v>1155</v>
      </c>
      <c r="R277">
        <v>2069125</v>
      </c>
      <c r="S277" t="s">
        <v>355</v>
      </c>
      <c r="U277" t="s">
        <v>1554</v>
      </c>
      <c r="V277" t="s">
        <v>356</v>
      </c>
      <c r="W277">
        <v>65000</v>
      </c>
      <c r="X277">
        <v>17.03</v>
      </c>
      <c r="Y277">
        <v>145.86000000000001</v>
      </c>
      <c r="Z277">
        <v>65000</v>
      </c>
      <c r="AA277">
        <v>0</v>
      </c>
      <c r="AB277">
        <v>44397.86282800926</v>
      </c>
      <c r="AC277" t="s">
        <v>25</v>
      </c>
      <c r="AD277">
        <v>5</v>
      </c>
    </row>
    <row r="278" spans="1:30" x14ac:dyDescent="0.25">
      <c r="A278" t="s">
        <v>1051</v>
      </c>
      <c r="B278" t="s">
        <v>1106</v>
      </c>
      <c r="C278" t="s">
        <v>1151</v>
      </c>
      <c r="D278" t="s">
        <v>1236</v>
      </c>
      <c r="E278" t="s">
        <v>1060</v>
      </c>
      <c r="F278" t="s">
        <v>1061</v>
      </c>
      <c r="G278">
        <v>6101253</v>
      </c>
      <c r="H278">
        <v>202107</v>
      </c>
      <c r="I278">
        <v>44386</v>
      </c>
      <c r="J278">
        <v>125062</v>
      </c>
      <c r="K278" t="s">
        <v>1056</v>
      </c>
      <c r="M278" t="s">
        <v>355</v>
      </c>
      <c r="O278" t="s">
        <v>1370</v>
      </c>
      <c r="P278" t="s">
        <v>1371</v>
      </c>
      <c r="Q278" t="s">
        <v>354</v>
      </c>
      <c r="R278">
        <v>2265787</v>
      </c>
      <c r="S278" t="s">
        <v>355</v>
      </c>
      <c r="U278" t="s">
        <v>1555</v>
      </c>
      <c r="V278" t="s">
        <v>356</v>
      </c>
      <c r="W278">
        <v>95000</v>
      </c>
      <c r="X278">
        <v>24.89</v>
      </c>
      <c r="Y278">
        <v>213.18</v>
      </c>
      <c r="Z278">
        <v>95000</v>
      </c>
      <c r="AA278">
        <v>0</v>
      </c>
      <c r="AB278">
        <v>44397.86282800926</v>
      </c>
      <c r="AC278" t="s">
        <v>325</v>
      </c>
      <c r="AD278">
        <v>5</v>
      </c>
    </row>
    <row r="279" spans="1:30" x14ac:dyDescent="0.25">
      <c r="A279" t="s">
        <v>1051</v>
      </c>
      <c r="B279" t="s">
        <v>1106</v>
      </c>
      <c r="C279" t="s">
        <v>1151</v>
      </c>
      <c r="D279" t="s">
        <v>1236</v>
      </c>
      <c r="E279" t="s">
        <v>1060</v>
      </c>
      <c r="F279" t="s">
        <v>1061</v>
      </c>
      <c r="G279">
        <v>6101253</v>
      </c>
      <c r="H279">
        <v>202107</v>
      </c>
      <c r="I279">
        <v>44386</v>
      </c>
      <c r="J279">
        <v>125062</v>
      </c>
      <c r="K279" t="s">
        <v>1056</v>
      </c>
      <c r="M279" t="s">
        <v>355</v>
      </c>
      <c r="O279" t="s">
        <v>1370</v>
      </c>
      <c r="P279" t="s">
        <v>1371</v>
      </c>
      <c r="Q279" t="s">
        <v>354</v>
      </c>
      <c r="R279">
        <v>2265787</v>
      </c>
      <c r="S279" t="s">
        <v>355</v>
      </c>
      <c r="U279" t="s">
        <v>1556</v>
      </c>
      <c r="V279" t="s">
        <v>356</v>
      </c>
      <c r="W279">
        <v>95000</v>
      </c>
      <c r="X279">
        <v>24.89</v>
      </c>
      <c r="Y279">
        <v>213.18</v>
      </c>
      <c r="Z279">
        <v>95000</v>
      </c>
      <c r="AA279">
        <v>0</v>
      </c>
      <c r="AB279">
        <v>44397.862827812503</v>
      </c>
      <c r="AC279" t="s">
        <v>325</v>
      </c>
      <c r="AD279">
        <v>5</v>
      </c>
    </row>
    <row r="280" spans="1:30" x14ac:dyDescent="0.25">
      <c r="A280" t="s">
        <v>1051</v>
      </c>
      <c r="B280" t="s">
        <v>1106</v>
      </c>
      <c r="C280" t="s">
        <v>1151</v>
      </c>
      <c r="D280" t="s">
        <v>1236</v>
      </c>
      <c r="E280" t="s">
        <v>1060</v>
      </c>
      <c r="F280" t="s">
        <v>1061</v>
      </c>
      <c r="G280">
        <v>6101253</v>
      </c>
      <c r="H280">
        <v>202107</v>
      </c>
      <c r="I280">
        <v>44386</v>
      </c>
      <c r="J280">
        <v>125062</v>
      </c>
      <c r="K280" t="s">
        <v>1056</v>
      </c>
      <c r="M280" t="s">
        <v>355</v>
      </c>
      <c r="O280" t="s">
        <v>1370</v>
      </c>
      <c r="P280" t="s">
        <v>1371</v>
      </c>
      <c r="Q280" t="s">
        <v>1155</v>
      </c>
      <c r="R280">
        <v>2069125</v>
      </c>
      <c r="S280" t="s">
        <v>355</v>
      </c>
      <c r="U280" t="s">
        <v>1557</v>
      </c>
      <c r="V280" t="s">
        <v>356</v>
      </c>
      <c r="W280">
        <v>65000</v>
      </c>
      <c r="X280">
        <v>17.03</v>
      </c>
      <c r="Y280">
        <v>145.86000000000001</v>
      </c>
      <c r="Z280">
        <v>65000</v>
      </c>
      <c r="AA280">
        <v>0</v>
      </c>
      <c r="AB280">
        <v>44397.862827812503</v>
      </c>
      <c r="AC280" t="s">
        <v>25</v>
      </c>
      <c r="AD280">
        <v>5</v>
      </c>
    </row>
    <row r="281" spans="1:30" x14ac:dyDescent="0.25">
      <c r="A281" t="s">
        <v>1051</v>
      </c>
      <c r="B281" t="s">
        <v>1106</v>
      </c>
      <c r="C281" t="s">
        <v>1151</v>
      </c>
      <c r="D281" t="s">
        <v>1236</v>
      </c>
      <c r="E281" t="s">
        <v>1060</v>
      </c>
      <c r="F281" t="s">
        <v>1061</v>
      </c>
      <c r="G281">
        <v>6101253</v>
      </c>
      <c r="H281">
        <v>202107</v>
      </c>
      <c r="I281">
        <v>44386</v>
      </c>
      <c r="J281">
        <v>125062</v>
      </c>
      <c r="K281" t="s">
        <v>1056</v>
      </c>
      <c r="M281" t="s">
        <v>355</v>
      </c>
      <c r="O281" t="s">
        <v>1370</v>
      </c>
      <c r="P281" t="s">
        <v>1371</v>
      </c>
      <c r="Q281" t="s">
        <v>1155</v>
      </c>
      <c r="R281">
        <v>2069125</v>
      </c>
      <c r="S281" t="s">
        <v>355</v>
      </c>
      <c r="U281" t="s">
        <v>1558</v>
      </c>
      <c r="V281" t="s">
        <v>356</v>
      </c>
      <c r="W281">
        <v>65000</v>
      </c>
      <c r="X281">
        <v>17.03</v>
      </c>
      <c r="Y281">
        <v>145.86000000000001</v>
      </c>
      <c r="Z281">
        <v>65000</v>
      </c>
      <c r="AA281">
        <v>0</v>
      </c>
      <c r="AB281">
        <v>44397.862827812503</v>
      </c>
      <c r="AC281" t="s">
        <v>25</v>
      </c>
      <c r="AD281">
        <v>5</v>
      </c>
    </row>
    <row r="282" spans="1:30" x14ac:dyDescent="0.25">
      <c r="A282" t="s">
        <v>1051</v>
      </c>
      <c r="B282" t="s">
        <v>1106</v>
      </c>
      <c r="C282" t="s">
        <v>1151</v>
      </c>
      <c r="D282" t="s">
        <v>1236</v>
      </c>
      <c r="E282" t="s">
        <v>1060</v>
      </c>
      <c r="F282" t="s">
        <v>1061</v>
      </c>
      <c r="G282">
        <v>6101253</v>
      </c>
      <c r="H282">
        <v>202107</v>
      </c>
      <c r="I282">
        <v>44386</v>
      </c>
      <c r="J282">
        <v>125062</v>
      </c>
      <c r="K282" t="s">
        <v>1056</v>
      </c>
      <c r="M282" t="s">
        <v>355</v>
      </c>
      <c r="O282" t="s">
        <v>1370</v>
      </c>
      <c r="P282" t="s">
        <v>1371</v>
      </c>
      <c r="Q282" t="s">
        <v>354</v>
      </c>
      <c r="R282">
        <v>2265787</v>
      </c>
      <c r="S282" t="s">
        <v>355</v>
      </c>
      <c r="U282" t="s">
        <v>1559</v>
      </c>
      <c r="V282" t="s">
        <v>356</v>
      </c>
      <c r="W282">
        <v>95000</v>
      </c>
      <c r="X282">
        <v>24.89</v>
      </c>
      <c r="Y282">
        <v>213.18</v>
      </c>
      <c r="Z282">
        <v>95000</v>
      </c>
      <c r="AA282">
        <v>0</v>
      </c>
      <c r="AB282">
        <v>44397.862827812503</v>
      </c>
      <c r="AC282" t="s">
        <v>325</v>
      </c>
      <c r="AD282">
        <v>5</v>
      </c>
    </row>
    <row r="283" spans="1:30" x14ac:dyDescent="0.25">
      <c r="A283" t="s">
        <v>1051</v>
      </c>
      <c r="B283" t="s">
        <v>1106</v>
      </c>
      <c r="C283" t="s">
        <v>1151</v>
      </c>
      <c r="D283" t="s">
        <v>1236</v>
      </c>
      <c r="E283" t="s">
        <v>1060</v>
      </c>
      <c r="F283" t="s">
        <v>1061</v>
      </c>
      <c r="G283">
        <v>6101628</v>
      </c>
      <c r="H283">
        <v>202108</v>
      </c>
      <c r="I283">
        <v>44438</v>
      </c>
      <c r="J283">
        <v>125062</v>
      </c>
      <c r="K283" t="s">
        <v>1056</v>
      </c>
      <c r="M283" t="s">
        <v>355</v>
      </c>
      <c r="O283" t="s">
        <v>1514</v>
      </c>
      <c r="P283" t="s">
        <v>1515</v>
      </c>
      <c r="Q283" t="s">
        <v>1155</v>
      </c>
      <c r="R283">
        <v>2069125</v>
      </c>
      <c r="S283" t="s">
        <v>355</v>
      </c>
      <c r="U283" t="s">
        <v>1560</v>
      </c>
      <c r="V283" t="s">
        <v>356</v>
      </c>
      <c r="W283">
        <v>65000</v>
      </c>
      <c r="X283">
        <v>16.82</v>
      </c>
      <c r="Y283">
        <v>146.44999999999999</v>
      </c>
      <c r="Z283">
        <v>65000</v>
      </c>
      <c r="AA283">
        <v>0</v>
      </c>
      <c r="AB283">
        <v>44441.005605092592</v>
      </c>
      <c r="AC283" t="s">
        <v>25</v>
      </c>
      <c r="AD283">
        <v>5</v>
      </c>
    </row>
    <row r="284" spans="1:30" x14ac:dyDescent="0.25">
      <c r="A284" t="s">
        <v>1051</v>
      </c>
      <c r="B284" t="s">
        <v>1106</v>
      </c>
      <c r="C284" t="s">
        <v>1151</v>
      </c>
      <c r="D284" t="s">
        <v>1236</v>
      </c>
      <c r="E284" t="s">
        <v>1060</v>
      </c>
      <c r="F284" t="s">
        <v>1061</v>
      </c>
      <c r="G284">
        <v>6101643</v>
      </c>
      <c r="H284">
        <v>202108</v>
      </c>
      <c r="I284">
        <v>44438</v>
      </c>
      <c r="J284">
        <v>124932</v>
      </c>
      <c r="K284" t="s">
        <v>1056</v>
      </c>
      <c r="M284" t="s">
        <v>355</v>
      </c>
      <c r="O284" t="s">
        <v>1561</v>
      </c>
      <c r="P284" t="s">
        <v>1562</v>
      </c>
      <c r="Q284" t="s">
        <v>354</v>
      </c>
      <c r="R284">
        <v>2069123</v>
      </c>
      <c r="S284" t="s">
        <v>355</v>
      </c>
      <c r="U284" t="s">
        <v>1563</v>
      </c>
      <c r="V284" t="s">
        <v>356</v>
      </c>
      <c r="W284">
        <v>46000</v>
      </c>
      <c r="X284">
        <v>11.9</v>
      </c>
      <c r="Y284">
        <v>103.64</v>
      </c>
      <c r="Z284">
        <v>46000</v>
      </c>
      <c r="AA284">
        <v>0</v>
      </c>
      <c r="AB284">
        <v>44441.821755555553</v>
      </c>
      <c r="AC284" t="s">
        <v>22</v>
      </c>
      <c r="AD284">
        <v>5</v>
      </c>
    </row>
    <row r="285" spans="1:30" x14ac:dyDescent="0.25">
      <c r="A285" t="s">
        <v>1051</v>
      </c>
      <c r="B285" t="s">
        <v>1106</v>
      </c>
      <c r="C285" t="s">
        <v>1151</v>
      </c>
      <c r="D285" t="s">
        <v>1236</v>
      </c>
      <c r="E285" t="s">
        <v>1060</v>
      </c>
      <c r="F285" t="s">
        <v>1061</v>
      </c>
      <c r="G285">
        <v>6101643</v>
      </c>
      <c r="H285">
        <v>202108</v>
      </c>
      <c r="I285">
        <v>44438</v>
      </c>
      <c r="J285">
        <v>124932</v>
      </c>
      <c r="K285" t="s">
        <v>1056</v>
      </c>
      <c r="M285" t="s">
        <v>355</v>
      </c>
      <c r="O285" t="s">
        <v>1459</v>
      </c>
      <c r="P285" t="s">
        <v>1460</v>
      </c>
      <c r="Q285" t="s">
        <v>354</v>
      </c>
      <c r="R285">
        <v>2069123</v>
      </c>
      <c r="S285" t="s">
        <v>355</v>
      </c>
      <c r="U285" t="s">
        <v>1564</v>
      </c>
      <c r="V285" t="s">
        <v>356</v>
      </c>
      <c r="W285">
        <v>9000</v>
      </c>
      <c r="X285">
        <v>2.33</v>
      </c>
      <c r="Y285">
        <v>20.28</v>
      </c>
      <c r="Z285">
        <v>9000</v>
      </c>
      <c r="AA285">
        <v>0</v>
      </c>
      <c r="AB285">
        <v>44441.821755555553</v>
      </c>
      <c r="AC285" t="s">
        <v>22</v>
      </c>
      <c r="AD285">
        <v>5</v>
      </c>
    </row>
    <row r="286" spans="1:30" x14ac:dyDescent="0.25">
      <c r="A286" t="s">
        <v>1051</v>
      </c>
      <c r="B286" t="s">
        <v>1106</v>
      </c>
      <c r="C286" t="s">
        <v>1151</v>
      </c>
      <c r="D286" t="s">
        <v>1236</v>
      </c>
      <c r="E286" t="s">
        <v>1060</v>
      </c>
      <c r="F286" t="s">
        <v>1061</v>
      </c>
      <c r="G286">
        <v>6101643</v>
      </c>
      <c r="H286">
        <v>202108</v>
      </c>
      <c r="I286">
        <v>44438</v>
      </c>
      <c r="J286">
        <v>124932</v>
      </c>
      <c r="K286" t="s">
        <v>1056</v>
      </c>
      <c r="M286" t="s">
        <v>355</v>
      </c>
      <c r="O286" t="s">
        <v>1252</v>
      </c>
      <c r="P286" t="s">
        <v>1253</v>
      </c>
      <c r="Q286" t="s">
        <v>354</v>
      </c>
      <c r="R286">
        <v>2069123</v>
      </c>
      <c r="S286" t="s">
        <v>355</v>
      </c>
      <c r="U286" t="s">
        <v>1565</v>
      </c>
      <c r="V286" t="s">
        <v>356</v>
      </c>
      <c r="W286">
        <v>30000</v>
      </c>
      <c r="X286">
        <v>7.76</v>
      </c>
      <c r="Y286">
        <v>67.59</v>
      </c>
      <c r="Z286">
        <v>30000</v>
      </c>
      <c r="AA286">
        <v>0</v>
      </c>
      <c r="AB286">
        <v>44441.821755555553</v>
      </c>
      <c r="AC286" t="s">
        <v>22</v>
      </c>
      <c r="AD286">
        <v>5</v>
      </c>
    </row>
    <row r="287" spans="1:30" x14ac:dyDescent="0.25">
      <c r="A287" t="s">
        <v>1051</v>
      </c>
      <c r="B287" t="s">
        <v>1106</v>
      </c>
      <c r="C287" t="s">
        <v>1151</v>
      </c>
      <c r="D287" t="s">
        <v>1236</v>
      </c>
      <c r="E287" t="s">
        <v>1060</v>
      </c>
      <c r="F287" t="s">
        <v>1061</v>
      </c>
      <c r="G287">
        <v>6101643</v>
      </c>
      <c r="H287">
        <v>202108</v>
      </c>
      <c r="I287">
        <v>44438</v>
      </c>
      <c r="J287">
        <v>124932</v>
      </c>
      <c r="K287" t="s">
        <v>1056</v>
      </c>
      <c r="M287" t="s">
        <v>355</v>
      </c>
      <c r="O287" t="s">
        <v>1540</v>
      </c>
      <c r="P287" t="s">
        <v>1541</v>
      </c>
      <c r="Q287" t="s">
        <v>354</v>
      </c>
      <c r="R287">
        <v>2069121</v>
      </c>
      <c r="S287" t="s">
        <v>355</v>
      </c>
      <c r="U287" t="s">
        <v>1566</v>
      </c>
      <c r="V287" t="s">
        <v>356</v>
      </c>
      <c r="W287">
        <v>35400</v>
      </c>
      <c r="X287">
        <v>9.16</v>
      </c>
      <c r="Y287">
        <v>79.760000000000005</v>
      </c>
      <c r="Z287">
        <v>35400</v>
      </c>
      <c r="AA287">
        <v>0</v>
      </c>
      <c r="AB287">
        <v>44441.821755752317</v>
      </c>
      <c r="AC287" t="s">
        <v>19</v>
      </c>
      <c r="AD287">
        <v>5</v>
      </c>
    </row>
    <row r="288" spans="1:30" x14ac:dyDescent="0.25">
      <c r="A288" t="s">
        <v>1051</v>
      </c>
      <c r="B288" t="s">
        <v>1106</v>
      </c>
      <c r="C288" t="s">
        <v>1151</v>
      </c>
      <c r="D288" t="s">
        <v>1236</v>
      </c>
      <c r="E288" t="s">
        <v>1060</v>
      </c>
      <c r="F288" t="s">
        <v>1061</v>
      </c>
      <c r="G288">
        <v>6101643</v>
      </c>
      <c r="H288">
        <v>202108</v>
      </c>
      <c r="I288">
        <v>44438</v>
      </c>
      <c r="J288">
        <v>124932</v>
      </c>
      <c r="K288" t="s">
        <v>1056</v>
      </c>
      <c r="M288" t="s">
        <v>355</v>
      </c>
      <c r="O288" t="s">
        <v>1258</v>
      </c>
      <c r="P288" t="s">
        <v>1259</v>
      </c>
      <c r="Q288" t="s">
        <v>354</v>
      </c>
      <c r="R288">
        <v>2069121</v>
      </c>
      <c r="S288" t="s">
        <v>355</v>
      </c>
      <c r="U288" t="s">
        <v>1567</v>
      </c>
      <c r="V288" t="s">
        <v>356</v>
      </c>
      <c r="W288">
        <v>20500</v>
      </c>
      <c r="X288">
        <v>5.3</v>
      </c>
      <c r="Y288">
        <v>46.19</v>
      </c>
      <c r="Z288">
        <v>20500</v>
      </c>
      <c r="AA288">
        <v>0</v>
      </c>
      <c r="AB288">
        <v>44441.821755752317</v>
      </c>
      <c r="AC288" t="s">
        <v>19</v>
      </c>
      <c r="AD288">
        <v>5</v>
      </c>
    </row>
    <row r="289" spans="1:30" x14ac:dyDescent="0.25">
      <c r="A289" t="s">
        <v>1051</v>
      </c>
      <c r="B289" t="s">
        <v>1106</v>
      </c>
      <c r="C289" t="s">
        <v>1151</v>
      </c>
      <c r="D289" t="s">
        <v>1236</v>
      </c>
      <c r="E289" t="s">
        <v>1060</v>
      </c>
      <c r="F289" t="s">
        <v>1061</v>
      </c>
      <c r="G289">
        <v>6101643</v>
      </c>
      <c r="H289">
        <v>202108</v>
      </c>
      <c r="I289">
        <v>44438</v>
      </c>
      <c r="J289">
        <v>124932</v>
      </c>
      <c r="K289" t="s">
        <v>1056</v>
      </c>
      <c r="M289" t="s">
        <v>355</v>
      </c>
      <c r="O289" t="s">
        <v>1568</v>
      </c>
      <c r="P289" t="s">
        <v>1569</v>
      </c>
      <c r="Q289" t="s">
        <v>354</v>
      </c>
      <c r="R289">
        <v>2069123</v>
      </c>
      <c r="S289" t="s">
        <v>355</v>
      </c>
      <c r="U289" t="s">
        <v>1570</v>
      </c>
      <c r="V289" t="s">
        <v>356</v>
      </c>
      <c r="W289">
        <v>12000</v>
      </c>
      <c r="X289">
        <v>3.1</v>
      </c>
      <c r="Y289">
        <v>27.04</v>
      </c>
      <c r="Z289">
        <v>12000</v>
      </c>
      <c r="AA289">
        <v>0</v>
      </c>
      <c r="AB289">
        <v>44441.821755358797</v>
      </c>
      <c r="AC289" t="s">
        <v>22</v>
      </c>
      <c r="AD289">
        <v>5</v>
      </c>
    </row>
    <row r="290" spans="1:30" x14ac:dyDescent="0.25">
      <c r="A290" t="s">
        <v>1051</v>
      </c>
      <c r="B290" t="s">
        <v>1106</v>
      </c>
      <c r="C290" t="s">
        <v>1151</v>
      </c>
      <c r="D290" t="s">
        <v>1236</v>
      </c>
      <c r="E290" t="s">
        <v>1060</v>
      </c>
      <c r="F290" t="s">
        <v>1061</v>
      </c>
      <c r="G290">
        <v>6101643</v>
      </c>
      <c r="H290">
        <v>202108</v>
      </c>
      <c r="I290">
        <v>44438</v>
      </c>
      <c r="J290">
        <v>124932</v>
      </c>
      <c r="K290" t="s">
        <v>1056</v>
      </c>
      <c r="M290" t="s">
        <v>355</v>
      </c>
      <c r="O290" t="s">
        <v>1571</v>
      </c>
      <c r="P290" t="s">
        <v>1572</v>
      </c>
      <c r="Q290" t="s">
        <v>354</v>
      </c>
      <c r="R290">
        <v>2069123</v>
      </c>
      <c r="S290" t="s">
        <v>355</v>
      </c>
      <c r="U290" t="s">
        <v>1573</v>
      </c>
      <c r="V290" t="s">
        <v>356</v>
      </c>
      <c r="W290">
        <v>30000</v>
      </c>
      <c r="X290">
        <v>7.76</v>
      </c>
      <c r="Y290">
        <v>67.59</v>
      </c>
      <c r="Z290">
        <v>30000</v>
      </c>
      <c r="AA290">
        <v>0</v>
      </c>
      <c r="AB290">
        <v>44441.821755358797</v>
      </c>
      <c r="AC290" t="s">
        <v>22</v>
      </c>
      <c r="AD290">
        <v>5</v>
      </c>
    </row>
    <row r="291" spans="1:30" x14ac:dyDescent="0.25">
      <c r="A291" t="s">
        <v>1051</v>
      </c>
      <c r="B291" t="s">
        <v>1106</v>
      </c>
      <c r="C291" t="s">
        <v>1151</v>
      </c>
      <c r="D291" t="s">
        <v>1236</v>
      </c>
      <c r="E291" t="s">
        <v>1060</v>
      </c>
      <c r="F291" t="s">
        <v>1061</v>
      </c>
      <c r="G291">
        <v>6101594</v>
      </c>
      <c r="H291">
        <v>202108</v>
      </c>
      <c r="I291">
        <v>44428</v>
      </c>
      <c r="J291" t="s">
        <v>1117</v>
      </c>
      <c r="K291" t="s">
        <v>1056</v>
      </c>
      <c r="M291" t="s">
        <v>355</v>
      </c>
      <c r="O291" t="s">
        <v>1574</v>
      </c>
      <c r="P291" t="s">
        <v>1575</v>
      </c>
      <c r="Q291" t="s">
        <v>1155</v>
      </c>
      <c r="R291">
        <v>2069125</v>
      </c>
      <c r="S291" t="s">
        <v>1576</v>
      </c>
      <c r="T291" t="s">
        <v>1576</v>
      </c>
      <c r="U291" t="s">
        <v>1577</v>
      </c>
      <c r="V291" t="s">
        <v>356</v>
      </c>
      <c r="W291">
        <v>52000</v>
      </c>
      <c r="X291">
        <v>13.47</v>
      </c>
      <c r="Y291">
        <v>116.8</v>
      </c>
      <c r="Z291">
        <v>52000</v>
      </c>
      <c r="AA291">
        <v>0</v>
      </c>
      <c r="AB291">
        <v>44430.864861493057</v>
      </c>
      <c r="AC291" t="s">
        <v>25</v>
      </c>
      <c r="AD291">
        <v>5</v>
      </c>
    </row>
    <row r="292" spans="1:30" x14ac:dyDescent="0.25">
      <c r="A292" t="s">
        <v>1051</v>
      </c>
      <c r="B292" t="s">
        <v>1106</v>
      </c>
      <c r="C292" t="s">
        <v>1151</v>
      </c>
      <c r="D292" t="s">
        <v>1236</v>
      </c>
      <c r="E292" t="s">
        <v>1060</v>
      </c>
      <c r="F292" t="s">
        <v>1061</v>
      </c>
      <c r="G292">
        <v>6101594</v>
      </c>
      <c r="H292">
        <v>202108</v>
      </c>
      <c r="I292">
        <v>44428</v>
      </c>
      <c r="J292" t="s">
        <v>1117</v>
      </c>
      <c r="K292" t="s">
        <v>1056</v>
      </c>
      <c r="M292" t="s">
        <v>355</v>
      </c>
      <c r="O292" t="s">
        <v>1578</v>
      </c>
      <c r="P292" t="s">
        <v>1579</v>
      </c>
      <c r="Q292" t="s">
        <v>1155</v>
      </c>
      <c r="R292">
        <v>2069125</v>
      </c>
      <c r="S292" t="s">
        <v>1580</v>
      </c>
      <c r="T292" t="s">
        <v>1580</v>
      </c>
      <c r="U292" t="s">
        <v>1581</v>
      </c>
      <c r="V292" t="s">
        <v>356</v>
      </c>
      <c r="W292">
        <v>31500</v>
      </c>
      <c r="X292">
        <v>8.16</v>
      </c>
      <c r="Y292">
        <v>70.75</v>
      </c>
      <c r="Z292">
        <v>31500</v>
      </c>
      <c r="AA292">
        <v>0</v>
      </c>
      <c r="AB292">
        <v>44430.864861493057</v>
      </c>
      <c r="AC292" t="s">
        <v>25</v>
      </c>
      <c r="AD292">
        <v>5</v>
      </c>
    </row>
    <row r="293" spans="1:30" x14ac:dyDescent="0.25">
      <c r="A293" t="s">
        <v>1051</v>
      </c>
      <c r="B293" t="s">
        <v>1106</v>
      </c>
      <c r="C293" t="s">
        <v>1151</v>
      </c>
      <c r="D293" t="s">
        <v>1236</v>
      </c>
      <c r="E293" t="s">
        <v>1060</v>
      </c>
      <c r="F293" t="s">
        <v>1061</v>
      </c>
      <c r="G293">
        <v>6101594</v>
      </c>
      <c r="H293">
        <v>202108</v>
      </c>
      <c r="I293">
        <v>44428</v>
      </c>
      <c r="J293" t="s">
        <v>1117</v>
      </c>
      <c r="K293" t="s">
        <v>1056</v>
      </c>
      <c r="M293" t="s">
        <v>355</v>
      </c>
      <c r="O293" t="s">
        <v>1582</v>
      </c>
      <c r="P293" t="s">
        <v>1583</v>
      </c>
      <c r="Q293" t="s">
        <v>1155</v>
      </c>
      <c r="R293">
        <v>2069125</v>
      </c>
      <c r="S293" t="s">
        <v>1584</v>
      </c>
      <c r="T293" t="s">
        <v>1584</v>
      </c>
      <c r="U293" t="s">
        <v>1585</v>
      </c>
      <c r="V293" t="s">
        <v>356</v>
      </c>
      <c r="W293">
        <v>12000</v>
      </c>
      <c r="X293">
        <v>3.11</v>
      </c>
      <c r="Y293">
        <v>26.95</v>
      </c>
      <c r="Z293">
        <v>12000</v>
      </c>
      <c r="AA293">
        <v>0</v>
      </c>
      <c r="AB293">
        <v>44430.864861493057</v>
      </c>
      <c r="AC293" t="s">
        <v>25</v>
      </c>
      <c r="AD293">
        <v>5</v>
      </c>
    </row>
    <row r="294" spans="1:30" x14ac:dyDescent="0.25">
      <c r="A294" t="s">
        <v>1051</v>
      </c>
      <c r="B294" t="s">
        <v>1106</v>
      </c>
      <c r="C294" t="s">
        <v>1151</v>
      </c>
      <c r="D294" t="s">
        <v>1236</v>
      </c>
      <c r="E294" t="s">
        <v>1060</v>
      </c>
      <c r="F294" t="s">
        <v>1061</v>
      </c>
      <c r="G294">
        <v>6101594</v>
      </c>
      <c r="H294">
        <v>202108</v>
      </c>
      <c r="I294">
        <v>44428</v>
      </c>
      <c r="J294" t="s">
        <v>1117</v>
      </c>
      <c r="K294" t="s">
        <v>1056</v>
      </c>
      <c r="M294" t="s">
        <v>355</v>
      </c>
      <c r="O294" t="s">
        <v>1459</v>
      </c>
      <c r="P294" t="s">
        <v>1460</v>
      </c>
      <c r="Q294" t="s">
        <v>1155</v>
      </c>
      <c r="R294">
        <v>2069125</v>
      </c>
      <c r="S294" t="s">
        <v>1586</v>
      </c>
      <c r="T294" t="s">
        <v>1586</v>
      </c>
      <c r="U294" t="s">
        <v>1587</v>
      </c>
      <c r="V294" t="s">
        <v>356</v>
      </c>
      <c r="W294">
        <v>5000</v>
      </c>
      <c r="X294">
        <v>1.29</v>
      </c>
      <c r="Y294">
        <v>11.23</v>
      </c>
      <c r="Z294">
        <v>5000</v>
      </c>
      <c r="AA294">
        <v>0</v>
      </c>
      <c r="AB294">
        <v>44430.864861493057</v>
      </c>
      <c r="AC294" t="s">
        <v>25</v>
      </c>
      <c r="AD294">
        <v>5</v>
      </c>
    </row>
    <row r="295" spans="1:30" x14ac:dyDescent="0.25">
      <c r="A295" t="s">
        <v>1051</v>
      </c>
      <c r="B295" t="s">
        <v>1106</v>
      </c>
      <c r="C295" t="s">
        <v>1151</v>
      </c>
      <c r="D295" t="s">
        <v>1236</v>
      </c>
      <c r="E295" t="s">
        <v>1060</v>
      </c>
      <c r="F295" t="s">
        <v>1061</v>
      </c>
      <c r="G295">
        <v>6101594</v>
      </c>
      <c r="H295">
        <v>202108</v>
      </c>
      <c r="I295">
        <v>44428</v>
      </c>
      <c r="J295" t="s">
        <v>1117</v>
      </c>
      <c r="K295" t="s">
        <v>1056</v>
      </c>
      <c r="M295" t="s">
        <v>355</v>
      </c>
      <c r="O295" t="s">
        <v>1459</v>
      </c>
      <c r="P295" t="s">
        <v>1460</v>
      </c>
      <c r="Q295" t="s">
        <v>1155</v>
      </c>
      <c r="R295">
        <v>2069125</v>
      </c>
      <c r="S295" t="s">
        <v>1588</v>
      </c>
      <c r="T295" t="s">
        <v>1588</v>
      </c>
      <c r="U295" t="s">
        <v>1589</v>
      </c>
      <c r="V295" t="s">
        <v>356</v>
      </c>
      <c r="W295">
        <v>9000</v>
      </c>
      <c r="X295">
        <v>2.33</v>
      </c>
      <c r="Y295">
        <v>20.21</v>
      </c>
      <c r="Z295">
        <v>9000</v>
      </c>
      <c r="AA295">
        <v>0</v>
      </c>
      <c r="AB295">
        <v>44430.864861493057</v>
      </c>
      <c r="AC295" t="s">
        <v>25</v>
      </c>
      <c r="AD295">
        <v>5</v>
      </c>
    </row>
    <row r="296" spans="1:30" x14ac:dyDescent="0.25">
      <c r="A296" t="s">
        <v>1051</v>
      </c>
      <c r="B296" t="s">
        <v>1106</v>
      </c>
      <c r="C296" t="s">
        <v>1151</v>
      </c>
      <c r="D296" t="s">
        <v>1236</v>
      </c>
      <c r="E296" t="s">
        <v>1060</v>
      </c>
      <c r="F296" t="s">
        <v>1061</v>
      </c>
      <c r="G296">
        <v>6101594</v>
      </c>
      <c r="H296">
        <v>202108</v>
      </c>
      <c r="I296">
        <v>44428</v>
      </c>
      <c r="J296" t="s">
        <v>1117</v>
      </c>
      <c r="K296" t="s">
        <v>1056</v>
      </c>
      <c r="M296" t="s">
        <v>355</v>
      </c>
      <c r="O296" t="s">
        <v>1571</v>
      </c>
      <c r="P296" t="s">
        <v>1572</v>
      </c>
      <c r="Q296" t="s">
        <v>1155</v>
      </c>
      <c r="R296">
        <v>2069125</v>
      </c>
      <c r="S296" t="s">
        <v>1590</v>
      </c>
      <c r="T296" t="s">
        <v>1590</v>
      </c>
      <c r="U296" t="s">
        <v>1591</v>
      </c>
      <c r="V296" t="s">
        <v>356</v>
      </c>
      <c r="W296">
        <v>21000</v>
      </c>
      <c r="X296">
        <v>5.44</v>
      </c>
      <c r="Y296">
        <v>47.17</v>
      </c>
      <c r="Z296">
        <v>21000</v>
      </c>
      <c r="AA296">
        <v>0</v>
      </c>
      <c r="AB296">
        <v>44430.864861493057</v>
      </c>
      <c r="AC296" t="s">
        <v>25</v>
      </c>
      <c r="AD296">
        <v>5</v>
      </c>
    </row>
    <row r="297" spans="1:30" x14ac:dyDescent="0.25">
      <c r="A297" t="s">
        <v>1051</v>
      </c>
      <c r="B297" t="s">
        <v>1106</v>
      </c>
      <c r="C297" t="s">
        <v>1151</v>
      </c>
      <c r="D297" t="s">
        <v>1236</v>
      </c>
      <c r="E297" t="s">
        <v>1060</v>
      </c>
      <c r="F297" t="s">
        <v>1061</v>
      </c>
      <c r="G297">
        <v>6101594</v>
      </c>
      <c r="H297">
        <v>202108</v>
      </c>
      <c r="I297">
        <v>44428</v>
      </c>
      <c r="J297" t="s">
        <v>1117</v>
      </c>
      <c r="K297" t="s">
        <v>1056</v>
      </c>
      <c r="M297" t="s">
        <v>355</v>
      </c>
      <c r="O297" t="s">
        <v>1258</v>
      </c>
      <c r="P297" t="s">
        <v>1259</v>
      </c>
      <c r="Q297" t="s">
        <v>1155</v>
      </c>
      <c r="R297">
        <v>2069125</v>
      </c>
      <c r="S297" t="s">
        <v>1592</v>
      </c>
      <c r="T297" t="s">
        <v>1592</v>
      </c>
      <c r="U297" t="s">
        <v>1593</v>
      </c>
      <c r="V297" t="s">
        <v>356</v>
      </c>
      <c r="W297">
        <v>8500</v>
      </c>
      <c r="X297">
        <v>2.2000000000000002</v>
      </c>
      <c r="Y297">
        <v>19.09</v>
      </c>
      <c r="Z297">
        <v>8500</v>
      </c>
      <c r="AA297">
        <v>0</v>
      </c>
      <c r="AB297">
        <v>44430.864861493057</v>
      </c>
      <c r="AC297" t="s">
        <v>25</v>
      </c>
      <c r="AD297">
        <v>5</v>
      </c>
    </row>
    <row r="298" spans="1:30" x14ac:dyDescent="0.25">
      <c r="A298" t="s">
        <v>1051</v>
      </c>
      <c r="B298" t="s">
        <v>1106</v>
      </c>
      <c r="C298" t="s">
        <v>1151</v>
      </c>
      <c r="D298" t="s">
        <v>1236</v>
      </c>
      <c r="E298" t="s">
        <v>1060</v>
      </c>
      <c r="F298" t="s">
        <v>1061</v>
      </c>
      <c r="G298">
        <v>6101559</v>
      </c>
      <c r="H298">
        <v>202108</v>
      </c>
      <c r="I298">
        <v>44427</v>
      </c>
      <c r="J298" t="s">
        <v>1117</v>
      </c>
      <c r="K298" t="s">
        <v>1056</v>
      </c>
      <c r="M298" t="s">
        <v>355</v>
      </c>
      <c r="O298" t="s">
        <v>1594</v>
      </c>
      <c r="P298" t="s">
        <v>1595</v>
      </c>
      <c r="Q298" t="s">
        <v>354</v>
      </c>
      <c r="R298">
        <v>2069123</v>
      </c>
      <c r="S298" t="s">
        <v>1596</v>
      </c>
      <c r="U298" t="s">
        <v>1597</v>
      </c>
      <c r="V298" t="s">
        <v>356</v>
      </c>
      <c r="W298">
        <v>8500</v>
      </c>
      <c r="X298">
        <v>2.2000000000000002</v>
      </c>
      <c r="Y298">
        <v>19.09</v>
      </c>
      <c r="Z298">
        <v>8500</v>
      </c>
      <c r="AA298">
        <v>0</v>
      </c>
      <c r="AB298">
        <v>44428.765954780094</v>
      </c>
      <c r="AC298" t="s">
        <v>22</v>
      </c>
      <c r="AD298">
        <v>5</v>
      </c>
    </row>
    <row r="299" spans="1:30" x14ac:dyDescent="0.25">
      <c r="A299" t="s">
        <v>1051</v>
      </c>
      <c r="B299" t="s">
        <v>1106</v>
      </c>
      <c r="C299" t="s">
        <v>1151</v>
      </c>
      <c r="D299" t="s">
        <v>1236</v>
      </c>
      <c r="E299" t="s">
        <v>1060</v>
      </c>
      <c r="F299" t="s">
        <v>1061</v>
      </c>
      <c r="G299">
        <v>6101559</v>
      </c>
      <c r="H299">
        <v>202108</v>
      </c>
      <c r="I299">
        <v>44427</v>
      </c>
      <c r="J299" t="s">
        <v>1117</v>
      </c>
      <c r="K299" t="s">
        <v>1056</v>
      </c>
      <c r="M299" t="s">
        <v>355</v>
      </c>
      <c r="O299" t="s">
        <v>1244</v>
      </c>
      <c r="P299" t="s">
        <v>1245</v>
      </c>
      <c r="Q299" t="s">
        <v>354</v>
      </c>
      <c r="R299">
        <v>2069123</v>
      </c>
      <c r="S299" t="s">
        <v>1598</v>
      </c>
      <c r="U299" t="s">
        <v>1599</v>
      </c>
      <c r="V299" t="s">
        <v>356</v>
      </c>
      <c r="W299">
        <v>9000</v>
      </c>
      <c r="X299">
        <v>2.33</v>
      </c>
      <c r="Y299">
        <v>20.21</v>
      </c>
      <c r="Z299">
        <v>9000</v>
      </c>
      <c r="AA299">
        <v>0</v>
      </c>
      <c r="AB299">
        <v>44428.765954780094</v>
      </c>
      <c r="AC299" t="s">
        <v>22</v>
      </c>
      <c r="AD299">
        <v>5</v>
      </c>
    </row>
    <row r="300" spans="1:30" x14ac:dyDescent="0.25">
      <c r="A300" t="s">
        <v>1051</v>
      </c>
      <c r="B300" t="s">
        <v>1106</v>
      </c>
      <c r="C300" t="s">
        <v>1151</v>
      </c>
      <c r="D300" t="s">
        <v>1236</v>
      </c>
      <c r="E300" t="s">
        <v>1060</v>
      </c>
      <c r="F300" t="s">
        <v>1061</v>
      </c>
      <c r="G300">
        <v>6101559</v>
      </c>
      <c r="H300">
        <v>202108</v>
      </c>
      <c r="I300">
        <v>44427</v>
      </c>
      <c r="J300" t="s">
        <v>1117</v>
      </c>
      <c r="K300" t="s">
        <v>1056</v>
      </c>
      <c r="M300" t="s">
        <v>355</v>
      </c>
      <c r="O300" t="s">
        <v>1244</v>
      </c>
      <c r="P300" t="s">
        <v>1245</v>
      </c>
      <c r="Q300" t="s">
        <v>354</v>
      </c>
      <c r="R300">
        <v>2069123</v>
      </c>
      <c r="S300" t="s">
        <v>1600</v>
      </c>
      <c r="U300" t="s">
        <v>1601</v>
      </c>
      <c r="V300" t="s">
        <v>356</v>
      </c>
      <c r="W300">
        <v>9000</v>
      </c>
      <c r="X300">
        <v>2.33</v>
      </c>
      <c r="Y300">
        <v>20.21</v>
      </c>
      <c r="Z300">
        <v>9000</v>
      </c>
      <c r="AA300">
        <v>0</v>
      </c>
      <c r="AB300">
        <v>44428.765954780094</v>
      </c>
      <c r="AC300" t="s">
        <v>22</v>
      </c>
      <c r="AD300">
        <v>5</v>
      </c>
    </row>
    <row r="301" spans="1:30" x14ac:dyDescent="0.25">
      <c r="A301" t="s">
        <v>1051</v>
      </c>
      <c r="B301" t="s">
        <v>1106</v>
      </c>
      <c r="C301" t="s">
        <v>1151</v>
      </c>
      <c r="D301" t="s">
        <v>1236</v>
      </c>
      <c r="E301" t="s">
        <v>1060</v>
      </c>
      <c r="F301" t="s">
        <v>1061</v>
      </c>
      <c r="G301">
        <v>6101559</v>
      </c>
      <c r="H301">
        <v>202108</v>
      </c>
      <c r="I301">
        <v>44427</v>
      </c>
      <c r="J301" t="s">
        <v>1117</v>
      </c>
      <c r="K301" t="s">
        <v>1056</v>
      </c>
      <c r="M301" t="s">
        <v>355</v>
      </c>
      <c r="O301" t="s">
        <v>1264</v>
      </c>
      <c r="P301" t="s">
        <v>1265</v>
      </c>
      <c r="Q301" t="s">
        <v>354</v>
      </c>
      <c r="R301">
        <v>2069123</v>
      </c>
      <c r="S301" t="s">
        <v>1602</v>
      </c>
      <c r="U301" t="s">
        <v>1603</v>
      </c>
      <c r="V301" t="s">
        <v>356</v>
      </c>
      <c r="W301">
        <v>60000</v>
      </c>
      <c r="X301">
        <v>15.54</v>
      </c>
      <c r="Y301">
        <v>134.77000000000001</v>
      </c>
      <c r="Z301">
        <v>60000</v>
      </c>
      <c r="AA301">
        <v>0</v>
      </c>
      <c r="AB301">
        <v>44428.765954780094</v>
      </c>
      <c r="AC301" t="s">
        <v>22</v>
      </c>
      <c r="AD301">
        <v>5</v>
      </c>
    </row>
    <row r="302" spans="1:30" x14ac:dyDescent="0.25">
      <c r="A302" t="s">
        <v>1051</v>
      </c>
      <c r="B302" t="s">
        <v>1106</v>
      </c>
      <c r="C302" t="s">
        <v>1151</v>
      </c>
      <c r="D302" t="s">
        <v>1236</v>
      </c>
      <c r="E302" t="s">
        <v>1060</v>
      </c>
      <c r="F302" t="s">
        <v>1061</v>
      </c>
      <c r="G302">
        <v>6101559</v>
      </c>
      <c r="H302">
        <v>202108</v>
      </c>
      <c r="I302">
        <v>44427</v>
      </c>
      <c r="J302" t="s">
        <v>1117</v>
      </c>
      <c r="K302" t="s">
        <v>1056</v>
      </c>
      <c r="M302" t="s">
        <v>355</v>
      </c>
      <c r="O302" t="s">
        <v>1252</v>
      </c>
      <c r="P302" t="s">
        <v>1253</v>
      </c>
      <c r="Q302" t="s">
        <v>354</v>
      </c>
      <c r="R302">
        <v>2069123</v>
      </c>
      <c r="S302" t="s">
        <v>1604</v>
      </c>
      <c r="U302" t="s">
        <v>1605</v>
      </c>
      <c r="V302" t="s">
        <v>356</v>
      </c>
      <c r="W302">
        <v>12000</v>
      </c>
      <c r="X302">
        <v>3.11</v>
      </c>
      <c r="Y302">
        <v>26.95</v>
      </c>
      <c r="Z302">
        <v>12000</v>
      </c>
      <c r="AA302">
        <v>0</v>
      </c>
      <c r="AB302">
        <v>44428.76595497685</v>
      </c>
      <c r="AC302" t="s">
        <v>22</v>
      </c>
      <c r="AD302">
        <v>5</v>
      </c>
    </row>
    <row r="303" spans="1:30" x14ac:dyDescent="0.25">
      <c r="A303" t="s">
        <v>1051</v>
      </c>
      <c r="B303" t="s">
        <v>1106</v>
      </c>
      <c r="C303" t="s">
        <v>1151</v>
      </c>
      <c r="D303" t="s">
        <v>1236</v>
      </c>
      <c r="E303" t="s">
        <v>1060</v>
      </c>
      <c r="F303" t="s">
        <v>1061</v>
      </c>
      <c r="G303">
        <v>6101594</v>
      </c>
      <c r="H303">
        <v>202108</v>
      </c>
      <c r="I303">
        <v>44428</v>
      </c>
      <c r="J303" t="s">
        <v>1117</v>
      </c>
      <c r="K303" t="s">
        <v>1056</v>
      </c>
      <c r="M303" t="s">
        <v>355</v>
      </c>
      <c r="O303" t="s">
        <v>1459</v>
      </c>
      <c r="P303" t="s">
        <v>1460</v>
      </c>
      <c r="Q303" t="s">
        <v>354</v>
      </c>
      <c r="R303">
        <v>2069121</v>
      </c>
      <c r="S303" t="s">
        <v>1606</v>
      </c>
      <c r="T303" t="s">
        <v>1606</v>
      </c>
      <c r="U303" t="s">
        <v>1607</v>
      </c>
      <c r="V303" t="s">
        <v>356</v>
      </c>
      <c r="W303">
        <v>9000</v>
      </c>
      <c r="X303">
        <v>2.33</v>
      </c>
      <c r="Y303">
        <v>20.21</v>
      </c>
      <c r="Z303">
        <v>9000</v>
      </c>
      <c r="AA303">
        <v>0</v>
      </c>
      <c r="AB303">
        <v>44430.864861493057</v>
      </c>
      <c r="AC303" t="s">
        <v>19</v>
      </c>
      <c r="AD303">
        <v>5</v>
      </c>
    </row>
    <row r="304" spans="1:30" x14ac:dyDescent="0.25">
      <c r="A304" t="s">
        <v>1051</v>
      </c>
      <c r="B304" t="s">
        <v>1106</v>
      </c>
      <c r="C304" t="s">
        <v>1151</v>
      </c>
      <c r="D304" t="s">
        <v>1236</v>
      </c>
      <c r="E304" t="s">
        <v>1060</v>
      </c>
      <c r="F304" t="s">
        <v>1061</v>
      </c>
      <c r="G304">
        <v>6101594</v>
      </c>
      <c r="H304">
        <v>202108</v>
      </c>
      <c r="I304">
        <v>44428</v>
      </c>
      <c r="J304" t="s">
        <v>1117</v>
      </c>
      <c r="K304" t="s">
        <v>1056</v>
      </c>
      <c r="M304" t="s">
        <v>355</v>
      </c>
      <c r="O304" t="s">
        <v>1459</v>
      </c>
      <c r="P304" t="s">
        <v>1460</v>
      </c>
      <c r="Q304" t="s">
        <v>354</v>
      </c>
      <c r="R304">
        <v>2069121</v>
      </c>
      <c r="S304" t="s">
        <v>1608</v>
      </c>
      <c r="T304" t="s">
        <v>1608</v>
      </c>
      <c r="U304" t="s">
        <v>1609</v>
      </c>
      <c r="V304" t="s">
        <v>356</v>
      </c>
      <c r="W304">
        <v>6000</v>
      </c>
      <c r="X304">
        <v>1.55</v>
      </c>
      <c r="Y304">
        <v>13.48</v>
      </c>
      <c r="Z304">
        <v>6000</v>
      </c>
      <c r="AA304">
        <v>0</v>
      </c>
      <c r="AB304">
        <v>44430.864861493057</v>
      </c>
      <c r="AC304" t="s">
        <v>19</v>
      </c>
      <c r="AD304">
        <v>5</v>
      </c>
    </row>
    <row r="305" spans="1:30" x14ac:dyDescent="0.25">
      <c r="A305" t="s">
        <v>1051</v>
      </c>
      <c r="B305" t="s">
        <v>1106</v>
      </c>
      <c r="C305" t="s">
        <v>1151</v>
      </c>
      <c r="D305" t="s">
        <v>1236</v>
      </c>
      <c r="E305" t="s">
        <v>1060</v>
      </c>
      <c r="F305" t="s">
        <v>1061</v>
      </c>
      <c r="G305">
        <v>6101594</v>
      </c>
      <c r="H305">
        <v>202108</v>
      </c>
      <c r="I305">
        <v>44428</v>
      </c>
      <c r="J305" t="s">
        <v>1117</v>
      </c>
      <c r="K305" t="s">
        <v>1056</v>
      </c>
      <c r="M305" t="s">
        <v>355</v>
      </c>
      <c r="O305" t="s">
        <v>1551</v>
      </c>
      <c r="P305" t="s">
        <v>1552</v>
      </c>
      <c r="Q305" t="s">
        <v>354</v>
      </c>
      <c r="R305">
        <v>2069121</v>
      </c>
      <c r="S305" t="s">
        <v>1610</v>
      </c>
      <c r="T305" t="s">
        <v>1610</v>
      </c>
      <c r="U305" t="s">
        <v>1611</v>
      </c>
      <c r="V305" t="s">
        <v>356</v>
      </c>
      <c r="W305">
        <v>28000</v>
      </c>
      <c r="X305">
        <v>7.25</v>
      </c>
      <c r="Y305">
        <v>62.89</v>
      </c>
      <c r="Z305">
        <v>28000</v>
      </c>
      <c r="AA305">
        <v>0</v>
      </c>
      <c r="AB305">
        <v>44430.864861493057</v>
      </c>
      <c r="AC305" t="s">
        <v>19</v>
      </c>
      <c r="AD305">
        <v>5</v>
      </c>
    </row>
    <row r="306" spans="1:30" x14ac:dyDescent="0.25">
      <c r="A306" t="s">
        <v>1051</v>
      </c>
      <c r="B306" t="s">
        <v>1106</v>
      </c>
      <c r="C306" t="s">
        <v>1151</v>
      </c>
      <c r="D306" t="s">
        <v>1236</v>
      </c>
      <c r="E306" t="s">
        <v>1060</v>
      </c>
      <c r="F306" t="s">
        <v>1061</v>
      </c>
      <c r="G306">
        <v>6101594</v>
      </c>
      <c r="H306">
        <v>202108</v>
      </c>
      <c r="I306">
        <v>44428</v>
      </c>
      <c r="J306" t="s">
        <v>1117</v>
      </c>
      <c r="K306" t="s">
        <v>1056</v>
      </c>
      <c r="M306" t="s">
        <v>355</v>
      </c>
      <c r="O306" t="s">
        <v>1258</v>
      </c>
      <c r="P306" t="s">
        <v>1259</v>
      </c>
      <c r="Q306" t="s">
        <v>354</v>
      </c>
      <c r="R306">
        <v>2069121</v>
      </c>
      <c r="S306" t="s">
        <v>1612</v>
      </c>
      <c r="T306" t="s">
        <v>1612</v>
      </c>
      <c r="U306" t="s">
        <v>1613</v>
      </c>
      <c r="V306" t="s">
        <v>356</v>
      </c>
      <c r="W306">
        <v>8500</v>
      </c>
      <c r="X306">
        <v>2.2000000000000002</v>
      </c>
      <c r="Y306">
        <v>19.09</v>
      </c>
      <c r="Z306">
        <v>8500</v>
      </c>
      <c r="AA306">
        <v>0</v>
      </c>
      <c r="AB306">
        <v>44430.864861493057</v>
      </c>
      <c r="AC306" t="s">
        <v>19</v>
      </c>
      <c r="AD306">
        <v>5</v>
      </c>
    </row>
    <row r="307" spans="1:30" x14ac:dyDescent="0.25">
      <c r="A307" t="s">
        <v>1051</v>
      </c>
      <c r="B307" t="s">
        <v>1106</v>
      </c>
      <c r="C307" t="s">
        <v>1151</v>
      </c>
      <c r="D307" t="s">
        <v>1236</v>
      </c>
      <c r="E307" t="s">
        <v>1060</v>
      </c>
      <c r="F307" t="s">
        <v>1061</v>
      </c>
      <c r="G307">
        <v>6101720</v>
      </c>
      <c r="H307">
        <v>202108</v>
      </c>
      <c r="I307">
        <v>44438</v>
      </c>
      <c r="J307">
        <v>124932</v>
      </c>
      <c r="K307" t="s">
        <v>1056</v>
      </c>
      <c r="M307" t="s">
        <v>355</v>
      </c>
      <c r="O307" t="s">
        <v>1252</v>
      </c>
      <c r="P307" t="s">
        <v>1253</v>
      </c>
      <c r="Q307" t="s">
        <v>354</v>
      </c>
      <c r="R307">
        <v>2069123</v>
      </c>
      <c r="S307" t="s">
        <v>355</v>
      </c>
      <c r="U307" t="s">
        <v>1614</v>
      </c>
      <c r="V307" t="s">
        <v>356</v>
      </c>
      <c r="W307">
        <v>190000</v>
      </c>
      <c r="X307">
        <v>49.16</v>
      </c>
      <c r="Y307">
        <v>428.09</v>
      </c>
      <c r="Z307">
        <v>190000</v>
      </c>
      <c r="AA307">
        <v>0</v>
      </c>
      <c r="AB307">
        <v>44444.010058715277</v>
      </c>
      <c r="AC307" t="s">
        <v>22</v>
      </c>
      <c r="AD307">
        <v>5</v>
      </c>
    </row>
    <row r="308" spans="1:30" x14ac:dyDescent="0.25">
      <c r="A308" t="s">
        <v>1051</v>
      </c>
      <c r="B308" t="s">
        <v>1106</v>
      </c>
      <c r="C308" t="s">
        <v>1151</v>
      </c>
      <c r="D308" t="s">
        <v>1236</v>
      </c>
      <c r="E308" t="s">
        <v>1060</v>
      </c>
      <c r="F308" t="s">
        <v>1061</v>
      </c>
      <c r="G308">
        <v>6101978</v>
      </c>
      <c r="H308">
        <v>202109</v>
      </c>
      <c r="I308">
        <v>44440</v>
      </c>
      <c r="J308">
        <v>125062</v>
      </c>
      <c r="K308" t="s">
        <v>1056</v>
      </c>
      <c r="M308" t="s">
        <v>355</v>
      </c>
      <c r="O308" t="s">
        <v>1174</v>
      </c>
      <c r="P308" t="s">
        <v>1175</v>
      </c>
      <c r="Q308" t="s">
        <v>354</v>
      </c>
      <c r="R308">
        <v>2069126</v>
      </c>
      <c r="S308" t="s">
        <v>355</v>
      </c>
      <c r="U308" t="s">
        <v>1208</v>
      </c>
      <c r="V308" t="s">
        <v>356</v>
      </c>
      <c r="W308">
        <v>408800</v>
      </c>
      <c r="X308">
        <v>105.77</v>
      </c>
      <c r="Y308">
        <v>921.08</v>
      </c>
      <c r="Z308">
        <v>408800</v>
      </c>
      <c r="AA308">
        <v>241</v>
      </c>
      <c r="AB308">
        <v>44460.53162519676</v>
      </c>
      <c r="AC308" t="s">
        <v>36</v>
      </c>
      <c r="AD308">
        <v>5</v>
      </c>
    </row>
    <row r="309" spans="1:30" x14ac:dyDescent="0.25">
      <c r="A309" t="s">
        <v>1051</v>
      </c>
      <c r="B309" t="s">
        <v>1106</v>
      </c>
      <c r="C309" t="s">
        <v>1151</v>
      </c>
      <c r="D309" t="s">
        <v>1236</v>
      </c>
      <c r="E309" t="s">
        <v>1060</v>
      </c>
      <c r="F309" t="s">
        <v>1061</v>
      </c>
      <c r="G309">
        <v>6101978</v>
      </c>
      <c r="H309">
        <v>202109</v>
      </c>
      <c r="I309">
        <v>44440</v>
      </c>
      <c r="J309">
        <v>125062</v>
      </c>
      <c r="K309" t="s">
        <v>1056</v>
      </c>
      <c r="M309" t="s">
        <v>355</v>
      </c>
      <c r="O309" t="s">
        <v>1174</v>
      </c>
      <c r="P309" t="s">
        <v>1175</v>
      </c>
      <c r="Q309" t="s">
        <v>354</v>
      </c>
      <c r="R309">
        <v>2069126</v>
      </c>
      <c r="S309" t="s">
        <v>355</v>
      </c>
      <c r="U309" t="s">
        <v>1208</v>
      </c>
      <c r="V309" t="s">
        <v>356</v>
      </c>
      <c r="W309">
        <v>38400</v>
      </c>
      <c r="X309">
        <v>9.94</v>
      </c>
      <c r="Y309">
        <v>86.52</v>
      </c>
      <c r="Z309">
        <v>38400</v>
      </c>
      <c r="AA309">
        <v>0</v>
      </c>
      <c r="AB309">
        <v>44460.53162519676</v>
      </c>
      <c r="AC309" t="s">
        <v>36</v>
      </c>
      <c r="AD309">
        <v>5</v>
      </c>
    </row>
    <row r="310" spans="1:30" x14ac:dyDescent="0.25">
      <c r="A310" t="s">
        <v>1051</v>
      </c>
      <c r="B310" t="s">
        <v>1106</v>
      </c>
      <c r="C310" t="s">
        <v>1151</v>
      </c>
      <c r="D310" t="s">
        <v>1236</v>
      </c>
      <c r="E310" t="s">
        <v>1060</v>
      </c>
      <c r="F310" t="s">
        <v>1061</v>
      </c>
      <c r="G310">
        <v>6101978</v>
      </c>
      <c r="H310">
        <v>202109</v>
      </c>
      <c r="I310">
        <v>44440</v>
      </c>
      <c r="J310">
        <v>125062</v>
      </c>
      <c r="K310" t="s">
        <v>1056</v>
      </c>
      <c r="M310" t="s">
        <v>355</v>
      </c>
      <c r="O310" t="s">
        <v>1177</v>
      </c>
      <c r="P310" t="s">
        <v>1178</v>
      </c>
      <c r="Q310" t="s">
        <v>354</v>
      </c>
      <c r="R310">
        <v>2069126</v>
      </c>
      <c r="S310" t="s">
        <v>355</v>
      </c>
      <c r="U310" t="s">
        <v>1208</v>
      </c>
      <c r="V310" t="s">
        <v>356</v>
      </c>
      <c r="W310">
        <v>57500</v>
      </c>
      <c r="X310">
        <v>14.88</v>
      </c>
      <c r="Y310">
        <v>129.55000000000001</v>
      </c>
      <c r="Z310">
        <v>57500</v>
      </c>
      <c r="AA310">
        <v>241</v>
      </c>
      <c r="AB310">
        <v>44460.53162519676</v>
      </c>
      <c r="AC310" t="s">
        <v>36</v>
      </c>
      <c r="AD310">
        <v>5</v>
      </c>
    </row>
    <row r="311" spans="1:30" x14ac:dyDescent="0.25">
      <c r="A311" t="s">
        <v>1051</v>
      </c>
      <c r="B311" t="s">
        <v>1106</v>
      </c>
      <c r="C311" t="s">
        <v>1151</v>
      </c>
      <c r="D311" t="s">
        <v>1236</v>
      </c>
      <c r="E311" t="s">
        <v>1060</v>
      </c>
      <c r="F311" t="s">
        <v>1061</v>
      </c>
      <c r="G311">
        <v>6101901</v>
      </c>
      <c r="H311">
        <v>202109</v>
      </c>
      <c r="I311">
        <v>44442</v>
      </c>
      <c r="J311">
        <v>124932</v>
      </c>
      <c r="K311" t="s">
        <v>1056</v>
      </c>
      <c r="M311" t="s">
        <v>355</v>
      </c>
      <c r="O311" t="s">
        <v>1615</v>
      </c>
      <c r="P311" t="s">
        <v>1616</v>
      </c>
      <c r="Q311" t="s">
        <v>354</v>
      </c>
      <c r="R311">
        <v>2069127</v>
      </c>
      <c r="S311" t="s">
        <v>355</v>
      </c>
      <c r="U311" t="s">
        <v>1617</v>
      </c>
      <c r="V311" t="s">
        <v>356</v>
      </c>
      <c r="W311">
        <v>300000</v>
      </c>
      <c r="X311">
        <v>79.930000000000007</v>
      </c>
      <c r="Y311">
        <v>694.63</v>
      </c>
      <c r="Z311">
        <v>300000</v>
      </c>
      <c r="AA311">
        <v>0</v>
      </c>
      <c r="AB311">
        <v>44457.782853391203</v>
      </c>
      <c r="AC311" t="s">
        <v>36</v>
      </c>
      <c r="AD311">
        <v>5</v>
      </c>
    </row>
    <row r="312" spans="1:30" x14ac:dyDescent="0.25">
      <c r="A312" t="s">
        <v>1051</v>
      </c>
      <c r="B312" t="s">
        <v>1106</v>
      </c>
      <c r="C312" t="s">
        <v>1151</v>
      </c>
      <c r="D312" t="s">
        <v>1236</v>
      </c>
      <c r="E312" t="s">
        <v>1060</v>
      </c>
      <c r="F312" t="s">
        <v>1061</v>
      </c>
      <c r="G312">
        <v>6101924</v>
      </c>
      <c r="H312">
        <v>202109</v>
      </c>
      <c r="I312">
        <v>44449</v>
      </c>
      <c r="J312">
        <v>125062</v>
      </c>
      <c r="K312" t="s">
        <v>1056</v>
      </c>
      <c r="M312" t="s">
        <v>355</v>
      </c>
      <c r="O312" t="s">
        <v>1514</v>
      </c>
      <c r="P312" t="s">
        <v>1515</v>
      </c>
      <c r="Q312" t="s">
        <v>354</v>
      </c>
      <c r="R312">
        <v>2265787</v>
      </c>
      <c r="S312" t="s">
        <v>355</v>
      </c>
      <c r="U312" t="s">
        <v>1618</v>
      </c>
      <c r="V312" t="s">
        <v>356</v>
      </c>
      <c r="W312">
        <v>95000</v>
      </c>
      <c r="X312">
        <v>24.89</v>
      </c>
      <c r="Y312">
        <v>216.87</v>
      </c>
      <c r="Z312">
        <v>95000</v>
      </c>
      <c r="AA312">
        <v>0</v>
      </c>
      <c r="AB312">
        <v>44458.709530821761</v>
      </c>
      <c r="AC312" t="s">
        <v>325</v>
      </c>
      <c r="AD312">
        <v>5</v>
      </c>
    </row>
    <row r="313" spans="1:30" x14ac:dyDescent="0.25">
      <c r="A313" t="s">
        <v>1051</v>
      </c>
      <c r="B313" t="s">
        <v>1106</v>
      </c>
      <c r="C313" t="s">
        <v>1151</v>
      </c>
      <c r="D313" t="s">
        <v>1236</v>
      </c>
      <c r="E313" t="s">
        <v>1060</v>
      </c>
      <c r="F313" t="s">
        <v>1061</v>
      </c>
      <c r="G313">
        <v>6101901</v>
      </c>
      <c r="H313">
        <v>202109</v>
      </c>
      <c r="I313">
        <v>44442</v>
      </c>
      <c r="J313">
        <v>124932</v>
      </c>
      <c r="K313" t="s">
        <v>1056</v>
      </c>
      <c r="M313" t="s">
        <v>355</v>
      </c>
      <c r="O313" t="s">
        <v>1615</v>
      </c>
      <c r="P313" t="s">
        <v>1616</v>
      </c>
      <c r="Q313" t="s">
        <v>354</v>
      </c>
      <c r="R313">
        <v>2069127</v>
      </c>
      <c r="S313" t="s">
        <v>355</v>
      </c>
      <c r="U313" t="s">
        <v>1619</v>
      </c>
      <c r="V313" t="s">
        <v>356</v>
      </c>
      <c r="W313">
        <v>850000</v>
      </c>
      <c r="X313">
        <v>226.47</v>
      </c>
      <c r="Y313">
        <v>1968.12</v>
      </c>
      <c r="Z313">
        <v>850000</v>
      </c>
      <c r="AA313">
        <v>0</v>
      </c>
      <c r="AB313">
        <v>44457.782853206016</v>
      </c>
      <c r="AC313" t="s">
        <v>36</v>
      </c>
      <c r="AD313">
        <v>5</v>
      </c>
    </row>
    <row r="314" spans="1:30" x14ac:dyDescent="0.25">
      <c r="A314" t="s">
        <v>1051</v>
      </c>
      <c r="B314" t="s">
        <v>1106</v>
      </c>
      <c r="C314" t="s">
        <v>1151</v>
      </c>
      <c r="D314" t="s">
        <v>1236</v>
      </c>
      <c r="E314" t="s">
        <v>1060</v>
      </c>
      <c r="F314" t="s">
        <v>1061</v>
      </c>
      <c r="G314">
        <v>6101928</v>
      </c>
      <c r="H314">
        <v>202109</v>
      </c>
      <c r="I314">
        <v>44456</v>
      </c>
      <c r="J314">
        <v>125062</v>
      </c>
      <c r="K314" t="s">
        <v>1056</v>
      </c>
      <c r="M314" t="s">
        <v>355</v>
      </c>
      <c r="O314" t="s">
        <v>1514</v>
      </c>
      <c r="P314" t="s">
        <v>1515</v>
      </c>
      <c r="Q314" t="s">
        <v>354</v>
      </c>
      <c r="R314">
        <v>2265787</v>
      </c>
      <c r="S314" t="s">
        <v>355</v>
      </c>
      <c r="U314" t="s">
        <v>1620</v>
      </c>
      <c r="V314" t="s">
        <v>356</v>
      </c>
      <c r="W314">
        <v>65000</v>
      </c>
      <c r="X314">
        <v>17.03</v>
      </c>
      <c r="Y314">
        <v>148.38999999999999</v>
      </c>
      <c r="Z314">
        <v>65000</v>
      </c>
      <c r="AA314">
        <v>0</v>
      </c>
      <c r="AB314">
        <v>44458.792522650459</v>
      </c>
      <c r="AC314" t="s">
        <v>325</v>
      </c>
      <c r="AD314">
        <v>5</v>
      </c>
    </row>
    <row r="315" spans="1:30" x14ac:dyDescent="0.25">
      <c r="A315" t="s">
        <v>1051</v>
      </c>
      <c r="B315" t="s">
        <v>1106</v>
      </c>
      <c r="C315" t="s">
        <v>1151</v>
      </c>
      <c r="D315" t="s">
        <v>1236</v>
      </c>
      <c r="E315" t="s">
        <v>1060</v>
      </c>
      <c r="F315" t="s">
        <v>1061</v>
      </c>
      <c r="G315">
        <v>6101928</v>
      </c>
      <c r="H315">
        <v>202109</v>
      </c>
      <c r="I315">
        <v>44456</v>
      </c>
      <c r="J315">
        <v>125062</v>
      </c>
      <c r="K315" t="s">
        <v>1056</v>
      </c>
      <c r="M315" t="s">
        <v>355</v>
      </c>
      <c r="O315" t="s">
        <v>1514</v>
      </c>
      <c r="P315" t="s">
        <v>1515</v>
      </c>
      <c r="Q315" t="s">
        <v>354</v>
      </c>
      <c r="R315">
        <v>2069127</v>
      </c>
      <c r="S315" t="s">
        <v>355</v>
      </c>
      <c r="U315" t="s">
        <v>1621</v>
      </c>
      <c r="V315" t="s">
        <v>356</v>
      </c>
      <c r="W315">
        <v>65000</v>
      </c>
      <c r="X315">
        <v>17.03</v>
      </c>
      <c r="Y315">
        <v>148.38999999999999</v>
      </c>
      <c r="Z315">
        <v>65000</v>
      </c>
      <c r="AA315">
        <v>0</v>
      </c>
      <c r="AB315">
        <v>44458.792522997683</v>
      </c>
      <c r="AC315" t="s">
        <v>36</v>
      </c>
      <c r="AD315">
        <v>5</v>
      </c>
    </row>
    <row r="316" spans="1:30" x14ac:dyDescent="0.25">
      <c r="A316" t="s">
        <v>1051</v>
      </c>
      <c r="B316" t="s">
        <v>1106</v>
      </c>
      <c r="C316" t="s">
        <v>1151</v>
      </c>
      <c r="D316" t="s">
        <v>1236</v>
      </c>
      <c r="E316" t="s">
        <v>1060</v>
      </c>
      <c r="F316" t="s">
        <v>1061</v>
      </c>
      <c r="G316">
        <v>6101928</v>
      </c>
      <c r="H316">
        <v>202109</v>
      </c>
      <c r="I316">
        <v>44456</v>
      </c>
      <c r="J316">
        <v>125062</v>
      </c>
      <c r="K316" t="s">
        <v>1056</v>
      </c>
      <c r="M316" t="s">
        <v>355</v>
      </c>
      <c r="O316" t="s">
        <v>1514</v>
      </c>
      <c r="P316" t="s">
        <v>1515</v>
      </c>
      <c r="Q316" t="s">
        <v>354</v>
      </c>
      <c r="R316">
        <v>2265787</v>
      </c>
      <c r="S316" t="s">
        <v>355</v>
      </c>
      <c r="U316" t="s">
        <v>1622</v>
      </c>
      <c r="V316" t="s">
        <v>356</v>
      </c>
      <c r="W316">
        <v>65000</v>
      </c>
      <c r="X316">
        <v>17.03</v>
      </c>
      <c r="Y316">
        <v>148.38999999999999</v>
      </c>
      <c r="Z316">
        <v>65000</v>
      </c>
      <c r="AA316">
        <v>0</v>
      </c>
      <c r="AB316">
        <v>44458.792522997683</v>
      </c>
      <c r="AC316" t="s">
        <v>325</v>
      </c>
      <c r="AD316">
        <v>5</v>
      </c>
    </row>
    <row r="317" spans="1:30" x14ac:dyDescent="0.25">
      <c r="A317" t="s">
        <v>1051</v>
      </c>
      <c r="B317" t="s">
        <v>1106</v>
      </c>
      <c r="C317" t="s">
        <v>1151</v>
      </c>
      <c r="D317" t="s">
        <v>1236</v>
      </c>
      <c r="E317" t="s">
        <v>1060</v>
      </c>
      <c r="F317" t="s">
        <v>1061</v>
      </c>
      <c r="G317">
        <v>6101928</v>
      </c>
      <c r="H317">
        <v>202109</v>
      </c>
      <c r="I317">
        <v>44456</v>
      </c>
      <c r="J317">
        <v>125062</v>
      </c>
      <c r="K317" t="s">
        <v>1056</v>
      </c>
      <c r="M317" t="s">
        <v>355</v>
      </c>
      <c r="O317" t="s">
        <v>1514</v>
      </c>
      <c r="P317" t="s">
        <v>1515</v>
      </c>
      <c r="Q317" t="s">
        <v>354</v>
      </c>
      <c r="R317">
        <v>2069127</v>
      </c>
      <c r="S317" t="s">
        <v>355</v>
      </c>
      <c r="U317" t="s">
        <v>1623</v>
      </c>
      <c r="V317" t="s">
        <v>356</v>
      </c>
      <c r="W317">
        <v>65000</v>
      </c>
      <c r="X317">
        <v>17.03</v>
      </c>
      <c r="Y317">
        <v>148.38999999999999</v>
      </c>
      <c r="Z317">
        <v>65000</v>
      </c>
      <c r="AA317">
        <v>0</v>
      </c>
      <c r="AB317">
        <v>44458.792522256947</v>
      </c>
      <c r="AC317" t="s">
        <v>36</v>
      </c>
      <c r="AD317">
        <v>5</v>
      </c>
    </row>
    <row r="318" spans="1:30" x14ac:dyDescent="0.25">
      <c r="A318" t="s">
        <v>1051</v>
      </c>
      <c r="B318" t="s">
        <v>1106</v>
      </c>
      <c r="C318" t="s">
        <v>1151</v>
      </c>
      <c r="D318" t="s">
        <v>1236</v>
      </c>
      <c r="E318" t="s">
        <v>1060</v>
      </c>
      <c r="F318" t="s">
        <v>1061</v>
      </c>
      <c r="G318">
        <v>6101928</v>
      </c>
      <c r="H318">
        <v>202109</v>
      </c>
      <c r="I318">
        <v>44456</v>
      </c>
      <c r="J318">
        <v>125062</v>
      </c>
      <c r="K318" t="s">
        <v>1056</v>
      </c>
      <c r="M318" t="s">
        <v>355</v>
      </c>
      <c r="O318" t="s">
        <v>1514</v>
      </c>
      <c r="P318" t="s">
        <v>1515</v>
      </c>
      <c r="Q318" t="s">
        <v>354</v>
      </c>
      <c r="R318">
        <v>2265787</v>
      </c>
      <c r="S318" t="s">
        <v>355</v>
      </c>
      <c r="U318" t="s">
        <v>1624</v>
      </c>
      <c r="V318" t="s">
        <v>356</v>
      </c>
      <c r="W318">
        <v>95000</v>
      </c>
      <c r="X318">
        <v>24.89</v>
      </c>
      <c r="Y318">
        <v>216.87</v>
      </c>
      <c r="Z318">
        <v>95000</v>
      </c>
      <c r="AA318">
        <v>0</v>
      </c>
      <c r="AB318">
        <v>44458.792522453703</v>
      </c>
      <c r="AC318" t="s">
        <v>325</v>
      </c>
      <c r="AD318">
        <v>5</v>
      </c>
    </row>
    <row r="319" spans="1:30" x14ac:dyDescent="0.25">
      <c r="A319" t="s">
        <v>1051</v>
      </c>
      <c r="B319" t="s">
        <v>1106</v>
      </c>
      <c r="C319" t="s">
        <v>1151</v>
      </c>
      <c r="D319" t="s">
        <v>1236</v>
      </c>
      <c r="E319" t="s">
        <v>1060</v>
      </c>
      <c r="F319" t="s">
        <v>1061</v>
      </c>
      <c r="G319">
        <v>6101928</v>
      </c>
      <c r="H319">
        <v>202109</v>
      </c>
      <c r="I319">
        <v>44456</v>
      </c>
      <c r="J319">
        <v>125062</v>
      </c>
      <c r="K319" t="s">
        <v>1056</v>
      </c>
      <c r="M319" t="s">
        <v>355</v>
      </c>
      <c r="O319" t="s">
        <v>1514</v>
      </c>
      <c r="P319" t="s">
        <v>1515</v>
      </c>
      <c r="Q319" t="s">
        <v>354</v>
      </c>
      <c r="R319">
        <v>2069123</v>
      </c>
      <c r="S319" t="s">
        <v>355</v>
      </c>
      <c r="U319" t="s">
        <v>1625</v>
      </c>
      <c r="V319" t="s">
        <v>356</v>
      </c>
      <c r="W319">
        <v>65000</v>
      </c>
      <c r="X319">
        <v>17.03</v>
      </c>
      <c r="Y319">
        <v>148.38999999999999</v>
      </c>
      <c r="Z319">
        <v>65000</v>
      </c>
      <c r="AA319">
        <v>0</v>
      </c>
      <c r="AB319">
        <v>44458.792522650459</v>
      </c>
      <c r="AC319" t="s">
        <v>22</v>
      </c>
      <c r="AD319">
        <v>5</v>
      </c>
    </row>
    <row r="320" spans="1:30" x14ac:dyDescent="0.25">
      <c r="A320" t="s">
        <v>1051</v>
      </c>
      <c r="B320" t="s">
        <v>1106</v>
      </c>
      <c r="C320" t="s">
        <v>1151</v>
      </c>
      <c r="D320" t="s">
        <v>1236</v>
      </c>
      <c r="E320" t="s">
        <v>1060</v>
      </c>
      <c r="F320" t="s">
        <v>1061</v>
      </c>
      <c r="G320">
        <v>6102044</v>
      </c>
      <c r="H320">
        <v>202109</v>
      </c>
      <c r="I320">
        <v>44463</v>
      </c>
      <c r="J320">
        <v>122536</v>
      </c>
      <c r="K320" t="s">
        <v>1056</v>
      </c>
      <c r="M320" t="s">
        <v>355</v>
      </c>
      <c r="O320" t="s">
        <v>1258</v>
      </c>
      <c r="P320" t="s">
        <v>1259</v>
      </c>
      <c r="Q320" t="s">
        <v>354</v>
      </c>
      <c r="R320">
        <v>2069126</v>
      </c>
      <c r="S320" t="s">
        <v>355</v>
      </c>
      <c r="U320" t="s">
        <v>1626</v>
      </c>
      <c r="V320" t="s">
        <v>356</v>
      </c>
      <c r="W320">
        <v>12600</v>
      </c>
      <c r="X320">
        <v>3.29</v>
      </c>
      <c r="Y320">
        <v>28.57</v>
      </c>
      <c r="Z320">
        <v>12600</v>
      </c>
      <c r="AA320">
        <v>0</v>
      </c>
      <c r="AB320">
        <v>44469.786329629627</v>
      </c>
      <c r="AC320" t="s">
        <v>36</v>
      </c>
      <c r="AD320">
        <v>5</v>
      </c>
    </row>
    <row r="321" spans="1:30" x14ac:dyDescent="0.25">
      <c r="A321" t="s">
        <v>1051</v>
      </c>
      <c r="B321" t="s">
        <v>1106</v>
      </c>
      <c r="C321" t="s">
        <v>1151</v>
      </c>
      <c r="D321" t="s">
        <v>1236</v>
      </c>
      <c r="E321" t="s">
        <v>1060</v>
      </c>
      <c r="F321" t="s">
        <v>1061</v>
      </c>
      <c r="G321">
        <v>6102044</v>
      </c>
      <c r="H321">
        <v>202109</v>
      </c>
      <c r="I321">
        <v>44463</v>
      </c>
      <c r="J321">
        <v>122536</v>
      </c>
      <c r="K321" t="s">
        <v>1056</v>
      </c>
      <c r="M321" t="s">
        <v>355</v>
      </c>
      <c r="O321" t="s">
        <v>1373</v>
      </c>
      <c r="P321" t="s">
        <v>1374</v>
      </c>
      <c r="Q321" t="s">
        <v>354</v>
      </c>
      <c r="R321">
        <v>2069126</v>
      </c>
      <c r="S321" t="s">
        <v>355</v>
      </c>
      <c r="U321" t="s">
        <v>1627</v>
      </c>
      <c r="V321" t="s">
        <v>356</v>
      </c>
      <c r="W321">
        <v>39100</v>
      </c>
      <c r="X321">
        <v>10.199999999999999</v>
      </c>
      <c r="Y321">
        <v>88.66</v>
      </c>
      <c r="Z321">
        <v>39100</v>
      </c>
      <c r="AA321">
        <v>0</v>
      </c>
      <c r="AB321">
        <v>44469.786329780094</v>
      </c>
      <c r="AC321" t="s">
        <v>36</v>
      </c>
      <c r="AD321">
        <v>5</v>
      </c>
    </row>
    <row r="322" spans="1:30" x14ac:dyDescent="0.25">
      <c r="A322" t="s">
        <v>1051</v>
      </c>
      <c r="B322" t="s">
        <v>1106</v>
      </c>
      <c r="C322" t="s">
        <v>1151</v>
      </c>
      <c r="D322" t="s">
        <v>1236</v>
      </c>
      <c r="E322" t="s">
        <v>1060</v>
      </c>
      <c r="F322" t="s">
        <v>1061</v>
      </c>
      <c r="G322">
        <v>6102044</v>
      </c>
      <c r="H322">
        <v>202109</v>
      </c>
      <c r="I322">
        <v>44463</v>
      </c>
      <c r="J322">
        <v>122536</v>
      </c>
      <c r="K322" t="s">
        <v>1056</v>
      </c>
      <c r="M322" t="s">
        <v>355</v>
      </c>
      <c r="O322" t="s">
        <v>1459</v>
      </c>
      <c r="P322" t="s">
        <v>1460</v>
      </c>
      <c r="Q322" t="s">
        <v>354</v>
      </c>
      <c r="R322">
        <v>2069126</v>
      </c>
      <c r="S322" t="s">
        <v>355</v>
      </c>
      <c r="U322" t="s">
        <v>1628</v>
      </c>
      <c r="V322" t="s">
        <v>356</v>
      </c>
      <c r="W322">
        <v>15000</v>
      </c>
      <c r="X322">
        <v>3.91</v>
      </c>
      <c r="Y322">
        <v>34.01</v>
      </c>
      <c r="Z322">
        <v>15000</v>
      </c>
      <c r="AA322">
        <v>0</v>
      </c>
      <c r="AB322">
        <v>44469.786329780094</v>
      </c>
      <c r="AC322" t="s">
        <v>36</v>
      </c>
      <c r="AD322">
        <v>5</v>
      </c>
    </row>
    <row r="323" spans="1:30" x14ac:dyDescent="0.25">
      <c r="A323" t="s">
        <v>1051</v>
      </c>
      <c r="B323" t="s">
        <v>1106</v>
      </c>
      <c r="C323" t="s">
        <v>1151</v>
      </c>
      <c r="D323" t="s">
        <v>1236</v>
      </c>
      <c r="E323" t="s">
        <v>1060</v>
      </c>
      <c r="F323" t="s">
        <v>1061</v>
      </c>
      <c r="G323">
        <v>6102044</v>
      </c>
      <c r="H323">
        <v>202109</v>
      </c>
      <c r="I323">
        <v>44463</v>
      </c>
      <c r="J323">
        <v>122536</v>
      </c>
      <c r="K323" t="s">
        <v>1056</v>
      </c>
      <c r="M323" t="s">
        <v>355</v>
      </c>
      <c r="O323" t="s">
        <v>1459</v>
      </c>
      <c r="P323" t="s">
        <v>1460</v>
      </c>
      <c r="Q323" t="s">
        <v>354</v>
      </c>
      <c r="R323">
        <v>2069126</v>
      </c>
      <c r="S323" t="s">
        <v>355</v>
      </c>
      <c r="U323" t="s">
        <v>1629</v>
      </c>
      <c r="V323" t="s">
        <v>356</v>
      </c>
      <c r="W323">
        <v>10000</v>
      </c>
      <c r="X323">
        <v>2.61</v>
      </c>
      <c r="Y323">
        <v>22.68</v>
      </c>
      <c r="Z323">
        <v>10000</v>
      </c>
      <c r="AA323">
        <v>0</v>
      </c>
      <c r="AB323">
        <v>44469.786329780094</v>
      </c>
      <c r="AC323" t="s">
        <v>36</v>
      </c>
      <c r="AD323">
        <v>5</v>
      </c>
    </row>
    <row r="324" spans="1:30" x14ac:dyDescent="0.25">
      <c r="A324" t="s">
        <v>1051</v>
      </c>
      <c r="B324" t="s">
        <v>1106</v>
      </c>
      <c r="C324" t="s">
        <v>1151</v>
      </c>
      <c r="D324" t="s">
        <v>1236</v>
      </c>
      <c r="E324" t="s">
        <v>1060</v>
      </c>
      <c r="F324" t="s">
        <v>1061</v>
      </c>
      <c r="G324">
        <v>6102044</v>
      </c>
      <c r="H324">
        <v>202109</v>
      </c>
      <c r="I324">
        <v>44463</v>
      </c>
      <c r="J324">
        <v>122536</v>
      </c>
      <c r="K324" t="s">
        <v>1056</v>
      </c>
      <c r="M324" t="s">
        <v>355</v>
      </c>
      <c r="O324" t="s">
        <v>1574</v>
      </c>
      <c r="P324" t="s">
        <v>1575</v>
      </c>
      <c r="Q324" t="s">
        <v>354</v>
      </c>
      <c r="R324">
        <v>2069126</v>
      </c>
      <c r="S324" t="s">
        <v>355</v>
      </c>
      <c r="U324" t="s">
        <v>1630</v>
      </c>
      <c r="V324" t="s">
        <v>356</v>
      </c>
      <c r="W324">
        <v>52500</v>
      </c>
      <c r="X324">
        <v>13.69</v>
      </c>
      <c r="Y324">
        <v>119.05</v>
      </c>
      <c r="Z324">
        <v>52500</v>
      </c>
      <c r="AA324">
        <v>0</v>
      </c>
      <c r="AB324">
        <v>44469.786329780094</v>
      </c>
      <c r="AC324" t="s">
        <v>36</v>
      </c>
      <c r="AD324">
        <v>5</v>
      </c>
    </row>
    <row r="325" spans="1:30" x14ac:dyDescent="0.25">
      <c r="A325" t="s">
        <v>1051</v>
      </c>
      <c r="B325" t="s">
        <v>1106</v>
      </c>
      <c r="C325" t="s">
        <v>1151</v>
      </c>
      <c r="D325" t="s">
        <v>1236</v>
      </c>
      <c r="E325" t="s">
        <v>1060</v>
      </c>
      <c r="F325" t="s">
        <v>1061</v>
      </c>
      <c r="G325">
        <v>6102044</v>
      </c>
      <c r="H325">
        <v>202109</v>
      </c>
      <c r="I325">
        <v>44463</v>
      </c>
      <c r="J325">
        <v>122536</v>
      </c>
      <c r="K325" t="s">
        <v>1056</v>
      </c>
      <c r="M325" t="s">
        <v>355</v>
      </c>
      <c r="O325" t="s">
        <v>1631</v>
      </c>
      <c r="P325" t="s">
        <v>1632</v>
      </c>
      <c r="Q325" t="s">
        <v>354</v>
      </c>
      <c r="R325">
        <v>2069126</v>
      </c>
      <c r="S325" t="s">
        <v>355</v>
      </c>
      <c r="U325" t="s">
        <v>1633</v>
      </c>
      <c r="V325" t="s">
        <v>356</v>
      </c>
      <c r="W325">
        <v>10000</v>
      </c>
      <c r="X325">
        <v>2.61</v>
      </c>
      <c r="Y325">
        <v>22.68</v>
      </c>
      <c r="Z325">
        <v>10000</v>
      </c>
      <c r="AA325">
        <v>0</v>
      </c>
      <c r="AB325">
        <v>44469.786329780094</v>
      </c>
      <c r="AC325" t="s">
        <v>36</v>
      </c>
      <c r="AD325">
        <v>5</v>
      </c>
    </row>
    <row r="326" spans="1:30" x14ac:dyDescent="0.25">
      <c r="A326" t="s">
        <v>1051</v>
      </c>
      <c r="B326" t="s">
        <v>1106</v>
      </c>
      <c r="C326" t="s">
        <v>1151</v>
      </c>
      <c r="D326" t="s">
        <v>1236</v>
      </c>
      <c r="E326" t="s">
        <v>1060</v>
      </c>
      <c r="F326" t="s">
        <v>1061</v>
      </c>
      <c r="G326">
        <v>6102044</v>
      </c>
      <c r="H326">
        <v>202109</v>
      </c>
      <c r="I326">
        <v>44463</v>
      </c>
      <c r="J326">
        <v>122536</v>
      </c>
      <c r="K326" t="s">
        <v>1056</v>
      </c>
      <c r="M326" t="s">
        <v>355</v>
      </c>
      <c r="O326" t="s">
        <v>1459</v>
      </c>
      <c r="P326" t="s">
        <v>1460</v>
      </c>
      <c r="Q326" t="s">
        <v>354</v>
      </c>
      <c r="R326">
        <v>2069126</v>
      </c>
      <c r="S326" t="s">
        <v>355</v>
      </c>
      <c r="U326" t="s">
        <v>1634</v>
      </c>
      <c r="V326" t="s">
        <v>356</v>
      </c>
      <c r="W326">
        <v>7700</v>
      </c>
      <c r="X326">
        <v>2.0099999999999998</v>
      </c>
      <c r="Y326">
        <v>17.46</v>
      </c>
      <c r="Z326">
        <v>7700</v>
      </c>
      <c r="AA326">
        <v>0</v>
      </c>
      <c r="AB326">
        <v>44469.786329780094</v>
      </c>
      <c r="AC326" t="s">
        <v>36</v>
      </c>
      <c r="AD326">
        <v>5</v>
      </c>
    </row>
    <row r="327" spans="1:30" x14ac:dyDescent="0.25">
      <c r="A327" t="s">
        <v>1051</v>
      </c>
      <c r="B327" t="s">
        <v>1106</v>
      </c>
      <c r="C327" t="s">
        <v>1151</v>
      </c>
      <c r="D327" t="s">
        <v>1236</v>
      </c>
      <c r="E327" t="s">
        <v>1060</v>
      </c>
      <c r="F327" t="s">
        <v>1061</v>
      </c>
      <c r="G327">
        <v>6102044</v>
      </c>
      <c r="H327">
        <v>202109</v>
      </c>
      <c r="I327">
        <v>44463</v>
      </c>
      <c r="J327">
        <v>122536</v>
      </c>
      <c r="K327" t="s">
        <v>1056</v>
      </c>
      <c r="M327" t="s">
        <v>355</v>
      </c>
      <c r="O327" t="s">
        <v>1574</v>
      </c>
      <c r="P327" t="s">
        <v>1575</v>
      </c>
      <c r="Q327" t="s">
        <v>354</v>
      </c>
      <c r="R327">
        <v>2069126</v>
      </c>
      <c r="S327" t="s">
        <v>355</v>
      </c>
      <c r="U327" t="s">
        <v>1635</v>
      </c>
      <c r="V327" t="s">
        <v>356</v>
      </c>
      <c r="W327">
        <v>128800</v>
      </c>
      <c r="X327">
        <v>33.590000000000003</v>
      </c>
      <c r="Y327">
        <v>292.06</v>
      </c>
      <c r="Z327">
        <v>128800</v>
      </c>
      <c r="AA327">
        <v>0</v>
      </c>
      <c r="AB327">
        <v>44469.786329780094</v>
      </c>
      <c r="AC327" t="s">
        <v>36</v>
      </c>
      <c r="AD327">
        <v>5</v>
      </c>
    </row>
    <row r="328" spans="1:30" x14ac:dyDescent="0.25">
      <c r="A328" t="s">
        <v>1051</v>
      </c>
      <c r="B328" t="s">
        <v>1106</v>
      </c>
      <c r="C328" t="s">
        <v>1151</v>
      </c>
      <c r="D328" t="s">
        <v>1236</v>
      </c>
      <c r="E328" t="s">
        <v>1060</v>
      </c>
      <c r="F328" t="s">
        <v>1061</v>
      </c>
      <c r="G328">
        <v>6102044</v>
      </c>
      <c r="H328">
        <v>202109</v>
      </c>
      <c r="I328">
        <v>44463</v>
      </c>
      <c r="J328">
        <v>122536</v>
      </c>
      <c r="K328" t="s">
        <v>1056</v>
      </c>
      <c r="M328" t="s">
        <v>355</v>
      </c>
      <c r="O328" t="s">
        <v>1636</v>
      </c>
      <c r="P328" t="s">
        <v>1637</v>
      </c>
      <c r="Q328" t="s">
        <v>354</v>
      </c>
      <c r="R328">
        <v>2069126</v>
      </c>
      <c r="S328" t="s">
        <v>355</v>
      </c>
      <c r="U328" t="s">
        <v>1638</v>
      </c>
      <c r="V328" t="s">
        <v>356</v>
      </c>
      <c r="W328">
        <v>8300</v>
      </c>
      <c r="X328">
        <v>2.16</v>
      </c>
      <c r="Y328">
        <v>18.82</v>
      </c>
      <c r="Z328">
        <v>8300</v>
      </c>
      <c r="AA328">
        <v>0</v>
      </c>
      <c r="AB328">
        <v>44469.786329780094</v>
      </c>
      <c r="AC328" t="s">
        <v>36</v>
      </c>
      <c r="AD328">
        <v>5</v>
      </c>
    </row>
    <row r="329" spans="1:30" x14ac:dyDescent="0.25">
      <c r="A329" t="s">
        <v>1051</v>
      </c>
      <c r="B329" t="s">
        <v>1106</v>
      </c>
      <c r="C329" t="s">
        <v>1151</v>
      </c>
      <c r="D329" t="s">
        <v>1236</v>
      </c>
      <c r="E329" t="s">
        <v>1060</v>
      </c>
      <c r="F329" t="s">
        <v>1061</v>
      </c>
      <c r="G329">
        <v>6102044</v>
      </c>
      <c r="H329">
        <v>202109</v>
      </c>
      <c r="I329">
        <v>44463</v>
      </c>
      <c r="J329">
        <v>122536</v>
      </c>
      <c r="K329" t="s">
        <v>1056</v>
      </c>
      <c r="M329" t="s">
        <v>355</v>
      </c>
      <c r="O329" t="s">
        <v>1636</v>
      </c>
      <c r="P329" t="s">
        <v>1637</v>
      </c>
      <c r="Q329" t="s">
        <v>354</v>
      </c>
      <c r="R329">
        <v>2069126</v>
      </c>
      <c r="S329" t="s">
        <v>355</v>
      </c>
      <c r="U329" t="s">
        <v>1639</v>
      </c>
      <c r="V329" t="s">
        <v>356</v>
      </c>
      <c r="W329">
        <v>17000</v>
      </c>
      <c r="X329">
        <v>4.43</v>
      </c>
      <c r="Y329">
        <v>38.549999999999997</v>
      </c>
      <c r="Z329">
        <v>17000</v>
      </c>
      <c r="AA329">
        <v>0</v>
      </c>
      <c r="AB329">
        <v>44469.786329780094</v>
      </c>
      <c r="AC329" t="s">
        <v>36</v>
      </c>
      <c r="AD329">
        <v>5</v>
      </c>
    </row>
    <row r="330" spans="1:30" x14ac:dyDescent="0.25">
      <c r="A330" t="s">
        <v>1051</v>
      </c>
      <c r="B330" t="s">
        <v>1106</v>
      </c>
      <c r="C330" t="s">
        <v>1151</v>
      </c>
      <c r="D330" t="s">
        <v>1236</v>
      </c>
      <c r="E330" t="s">
        <v>1060</v>
      </c>
      <c r="F330" t="s">
        <v>1061</v>
      </c>
      <c r="G330">
        <v>6102044</v>
      </c>
      <c r="H330">
        <v>202109</v>
      </c>
      <c r="I330">
        <v>44463</v>
      </c>
      <c r="J330">
        <v>122536</v>
      </c>
      <c r="K330" t="s">
        <v>1056</v>
      </c>
      <c r="M330" t="s">
        <v>355</v>
      </c>
      <c r="O330" t="s">
        <v>1640</v>
      </c>
      <c r="P330" t="s">
        <v>1641</v>
      </c>
      <c r="Q330" t="s">
        <v>354</v>
      </c>
      <c r="R330">
        <v>2069126</v>
      </c>
      <c r="S330" t="s">
        <v>355</v>
      </c>
      <c r="U330" t="s">
        <v>1642</v>
      </c>
      <c r="V330" t="s">
        <v>356</v>
      </c>
      <c r="W330">
        <v>9000</v>
      </c>
      <c r="X330">
        <v>2.35</v>
      </c>
      <c r="Y330">
        <v>20.41</v>
      </c>
      <c r="Z330">
        <v>9000</v>
      </c>
      <c r="AA330">
        <v>0</v>
      </c>
      <c r="AB330">
        <v>44469.786329780094</v>
      </c>
      <c r="AC330" t="s">
        <v>36</v>
      </c>
      <c r="AD330">
        <v>5</v>
      </c>
    </row>
    <row r="331" spans="1:30" x14ac:dyDescent="0.25">
      <c r="A331" t="s">
        <v>1051</v>
      </c>
      <c r="B331" t="s">
        <v>1106</v>
      </c>
      <c r="C331" t="s">
        <v>1151</v>
      </c>
      <c r="D331" t="s">
        <v>1236</v>
      </c>
      <c r="E331" t="s">
        <v>1060</v>
      </c>
      <c r="F331" t="s">
        <v>1061</v>
      </c>
      <c r="G331">
        <v>6102044</v>
      </c>
      <c r="H331">
        <v>202109</v>
      </c>
      <c r="I331">
        <v>44463</v>
      </c>
      <c r="J331">
        <v>122536</v>
      </c>
      <c r="K331" t="s">
        <v>1056</v>
      </c>
      <c r="M331" t="s">
        <v>355</v>
      </c>
      <c r="O331" t="s">
        <v>1252</v>
      </c>
      <c r="P331" t="s">
        <v>1253</v>
      </c>
      <c r="Q331" t="s">
        <v>354</v>
      </c>
      <c r="R331">
        <v>2069126</v>
      </c>
      <c r="S331" t="s">
        <v>355</v>
      </c>
      <c r="U331" t="s">
        <v>1643</v>
      </c>
      <c r="V331" t="s">
        <v>356</v>
      </c>
      <c r="W331">
        <v>22000</v>
      </c>
      <c r="X331">
        <v>5.74</v>
      </c>
      <c r="Y331">
        <v>49.89</v>
      </c>
      <c r="Z331">
        <v>22000</v>
      </c>
      <c r="AA331">
        <v>0</v>
      </c>
      <c r="AB331">
        <v>44469.786329780094</v>
      </c>
      <c r="AC331" t="s">
        <v>36</v>
      </c>
      <c r="AD331">
        <v>5</v>
      </c>
    </row>
    <row r="332" spans="1:30" x14ac:dyDescent="0.25">
      <c r="A332" t="s">
        <v>1051</v>
      </c>
      <c r="B332" t="s">
        <v>1106</v>
      </c>
      <c r="C332" t="s">
        <v>1151</v>
      </c>
      <c r="D332" t="s">
        <v>1236</v>
      </c>
      <c r="E332" t="s">
        <v>1060</v>
      </c>
      <c r="F332" t="s">
        <v>1061</v>
      </c>
      <c r="G332">
        <v>6102044</v>
      </c>
      <c r="H332">
        <v>202109</v>
      </c>
      <c r="I332">
        <v>44463</v>
      </c>
      <c r="J332">
        <v>122536</v>
      </c>
      <c r="K332" t="s">
        <v>1056</v>
      </c>
      <c r="M332" t="s">
        <v>355</v>
      </c>
      <c r="O332" t="s">
        <v>1594</v>
      </c>
      <c r="P332" t="s">
        <v>1595</v>
      </c>
      <c r="Q332" t="s">
        <v>354</v>
      </c>
      <c r="R332">
        <v>2069126</v>
      </c>
      <c r="S332" t="s">
        <v>355</v>
      </c>
      <c r="U332" t="s">
        <v>1644</v>
      </c>
      <c r="V332" t="s">
        <v>356</v>
      </c>
      <c r="W332">
        <v>12000</v>
      </c>
      <c r="X332">
        <v>3.13</v>
      </c>
      <c r="Y332">
        <v>27.21</v>
      </c>
      <c r="Z332">
        <v>12000</v>
      </c>
      <c r="AA332">
        <v>0</v>
      </c>
      <c r="AB332">
        <v>44469.786329629627</v>
      </c>
      <c r="AC332" t="s">
        <v>36</v>
      </c>
      <c r="AD332">
        <v>5</v>
      </c>
    </row>
    <row r="333" spans="1:30" x14ac:dyDescent="0.25">
      <c r="A333" t="s">
        <v>1051</v>
      </c>
      <c r="B333" t="s">
        <v>1106</v>
      </c>
      <c r="C333" t="s">
        <v>1151</v>
      </c>
      <c r="D333" t="s">
        <v>1236</v>
      </c>
      <c r="E333" t="s">
        <v>1060</v>
      </c>
      <c r="F333" t="s">
        <v>1061</v>
      </c>
      <c r="G333">
        <v>6102044</v>
      </c>
      <c r="H333">
        <v>202109</v>
      </c>
      <c r="I333">
        <v>44463</v>
      </c>
      <c r="J333">
        <v>122536</v>
      </c>
      <c r="K333" t="s">
        <v>1056</v>
      </c>
      <c r="M333" t="s">
        <v>355</v>
      </c>
      <c r="O333" t="s">
        <v>1645</v>
      </c>
      <c r="P333" t="s">
        <v>1646</v>
      </c>
      <c r="Q333" t="s">
        <v>354</v>
      </c>
      <c r="R333">
        <v>2069126</v>
      </c>
      <c r="S333" t="s">
        <v>355</v>
      </c>
      <c r="U333" t="s">
        <v>1647</v>
      </c>
      <c r="V333" t="s">
        <v>356</v>
      </c>
      <c r="W333">
        <v>13400</v>
      </c>
      <c r="X333">
        <v>3.49</v>
      </c>
      <c r="Y333">
        <v>30.39</v>
      </c>
      <c r="Z333">
        <v>13400</v>
      </c>
      <c r="AA333">
        <v>0</v>
      </c>
      <c r="AB333">
        <v>44469.786329629627</v>
      </c>
      <c r="AC333" t="s">
        <v>36</v>
      </c>
      <c r="AD333">
        <v>5</v>
      </c>
    </row>
    <row r="334" spans="1:30" x14ac:dyDescent="0.25">
      <c r="A334" t="s">
        <v>1051</v>
      </c>
      <c r="B334" t="s">
        <v>1106</v>
      </c>
      <c r="C334" t="s">
        <v>1151</v>
      </c>
      <c r="D334" t="s">
        <v>1236</v>
      </c>
      <c r="E334" t="s">
        <v>1060</v>
      </c>
      <c r="F334" t="s">
        <v>1061</v>
      </c>
      <c r="G334">
        <v>6102044</v>
      </c>
      <c r="H334">
        <v>202109</v>
      </c>
      <c r="I334">
        <v>44463</v>
      </c>
      <c r="J334">
        <v>122536</v>
      </c>
      <c r="K334" t="s">
        <v>1056</v>
      </c>
      <c r="M334" t="s">
        <v>355</v>
      </c>
      <c r="O334" t="s">
        <v>1390</v>
      </c>
      <c r="P334" t="s">
        <v>1391</v>
      </c>
      <c r="Q334" t="s">
        <v>354</v>
      </c>
      <c r="R334">
        <v>2069126</v>
      </c>
      <c r="S334" t="s">
        <v>355</v>
      </c>
      <c r="U334" t="s">
        <v>1648</v>
      </c>
      <c r="V334" t="s">
        <v>356</v>
      </c>
      <c r="W334">
        <v>13500</v>
      </c>
      <c r="X334">
        <v>3.52</v>
      </c>
      <c r="Y334">
        <v>30.61</v>
      </c>
      <c r="Z334">
        <v>13500</v>
      </c>
      <c r="AA334">
        <v>0</v>
      </c>
      <c r="AB334">
        <v>44469.786329629627</v>
      </c>
      <c r="AC334" t="s">
        <v>36</v>
      </c>
      <c r="AD334">
        <v>5</v>
      </c>
    </row>
    <row r="335" spans="1:30" x14ac:dyDescent="0.25">
      <c r="A335" t="s">
        <v>1051</v>
      </c>
      <c r="B335" t="s">
        <v>1106</v>
      </c>
      <c r="C335" t="s">
        <v>1151</v>
      </c>
      <c r="D335" t="s">
        <v>1236</v>
      </c>
      <c r="E335" t="s">
        <v>1060</v>
      </c>
      <c r="F335" t="s">
        <v>1061</v>
      </c>
      <c r="G335">
        <v>6102044</v>
      </c>
      <c r="H335">
        <v>202109</v>
      </c>
      <c r="I335">
        <v>44463</v>
      </c>
      <c r="J335">
        <v>122536</v>
      </c>
      <c r="K335" t="s">
        <v>1056</v>
      </c>
      <c r="M335" t="s">
        <v>355</v>
      </c>
      <c r="O335" t="s">
        <v>1631</v>
      </c>
      <c r="P335" t="s">
        <v>1632</v>
      </c>
      <c r="Q335" t="s">
        <v>354</v>
      </c>
      <c r="R335">
        <v>2069126</v>
      </c>
      <c r="S335" t="s">
        <v>355</v>
      </c>
      <c r="U335" t="s">
        <v>1649</v>
      </c>
      <c r="V335" t="s">
        <v>356</v>
      </c>
      <c r="W335">
        <v>18000</v>
      </c>
      <c r="X335">
        <v>4.6900000000000004</v>
      </c>
      <c r="Y335">
        <v>40.82</v>
      </c>
      <c r="Z335">
        <v>18000</v>
      </c>
      <c r="AA335">
        <v>0</v>
      </c>
      <c r="AB335">
        <v>44469.786329629627</v>
      </c>
      <c r="AC335" t="s">
        <v>36</v>
      </c>
      <c r="AD335">
        <v>5</v>
      </c>
    </row>
    <row r="336" spans="1:30" x14ac:dyDescent="0.25">
      <c r="A336" t="s">
        <v>1051</v>
      </c>
      <c r="B336" t="s">
        <v>1106</v>
      </c>
      <c r="C336" t="s">
        <v>1151</v>
      </c>
      <c r="D336" t="s">
        <v>1236</v>
      </c>
      <c r="E336" t="s">
        <v>1060</v>
      </c>
      <c r="F336" t="s">
        <v>1061</v>
      </c>
      <c r="G336">
        <v>6102136</v>
      </c>
      <c r="H336">
        <v>202109</v>
      </c>
      <c r="I336">
        <v>44469</v>
      </c>
      <c r="J336">
        <v>124932</v>
      </c>
      <c r="K336" t="s">
        <v>1056</v>
      </c>
      <c r="M336" t="s">
        <v>355</v>
      </c>
      <c r="O336" t="s">
        <v>1258</v>
      </c>
      <c r="P336" t="s">
        <v>1259</v>
      </c>
      <c r="Q336" t="s">
        <v>354</v>
      </c>
      <c r="R336">
        <v>2265787</v>
      </c>
      <c r="S336" t="s">
        <v>355</v>
      </c>
      <c r="U336" t="s">
        <v>1650</v>
      </c>
      <c r="V336" t="s">
        <v>356</v>
      </c>
      <c r="W336">
        <v>6500</v>
      </c>
      <c r="X336">
        <v>1.7</v>
      </c>
      <c r="Y336">
        <v>14.74</v>
      </c>
      <c r="Z336">
        <v>6500</v>
      </c>
      <c r="AA336">
        <v>0</v>
      </c>
      <c r="AB336">
        <v>44472.929121724534</v>
      </c>
      <c r="AC336" t="s">
        <v>325</v>
      </c>
      <c r="AD336">
        <v>5</v>
      </c>
    </row>
    <row r="337" spans="1:30" x14ac:dyDescent="0.25">
      <c r="A337" t="s">
        <v>1051</v>
      </c>
      <c r="B337" t="s">
        <v>1106</v>
      </c>
      <c r="C337" t="s">
        <v>1151</v>
      </c>
      <c r="D337" t="s">
        <v>1236</v>
      </c>
      <c r="E337" t="s">
        <v>1060</v>
      </c>
      <c r="F337" t="s">
        <v>1061</v>
      </c>
      <c r="G337">
        <v>6102136</v>
      </c>
      <c r="H337">
        <v>202109</v>
      </c>
      <c r="I337">
        <v>44469</v>
      </c>
      <c r="J337">
        <v>124932</v>
      </c>
      <c r="K337" t="s">
        <v>1056</v>
      </c>
      <c r="M337" t="s">
        <v>355</v>
      </c>
      <c r="O337" t="s">
        <v>1459</v>
      </c>
      <c r="P337" t="s">
        <v>1460</v>
      </c>
      <c r="Q337" t="s">
        <v>354</v>
      </c>
      <c r="R337">
        <v>2265787</v>
      </c>
      <c r="S337" t="s">
        <v>355</v>
      </c>
      <c r="U337" t="s">
        <v>1651</v>
      </c>
      <c r="V337" t="s">
        <v>356</v>
      </c>
      <c r="W337">
        <v>3000</v>
      </c>
      <c r="X337">
        <v>0.78</v>
      </c>
      <c r="Y337">
        <v>6.8</v>
      </c>
      <c r="Z337">
        <v>3000</v>
      </c>
      <c r="AA337">
        <v>0</v>
      </c>
      <c r="AB337">
        <v>44472.929121724534</v>
      </c>
      <c r="AC337" t="s">
        <v>325</v>
      </c>
      <c r="AD337">
        <v>5</v>
      </c>
    </row>
    <row r="338" spans="1:30" x14ac:dyDescent="0.25">
      <c r="A338" t="s">
        <v>1051</v>
      </c>
      <c r="B338" t="s">
        <v>1106</v>
      </c>
      <c r="C338" t="s">
        <v>1151</v>
      </c>
      <c r="D338" t="s">
        <v>1236</v>
      </c>
      <c r="E338" t="s">
        <v>1060</v>
      </c>
      <c r="F338" t="s">
        <v>1061</v>
      </c>
      <c r="G338">
        <v>6102130</v>
      </c>
      <c r="H338">
        <v>202109</v>
      </c>
      <c r="I338">
        <v>44468</v>
      </c>
      <c r="J338">
        <v>124932</v>
      </c>
      <c r="K338" t="s">
        <v>1056</v>
      </c>
      <c r="M338" t="s">
        <v>355</v>
      </c>
      <c r="O338" t="s">
        <v>1258</v>
      </c>
      <c r="P338" t="s">
        <v>1259</v>
      </c>
      <c r="Q338" t="s">
        <v>354</v>
      </c>
      <c r="R338">
        <v>2265787</v>
      </c>
      <c r="S338" t="s">
        <v>355</v>
      </c>
      <c r="U338" t="s">
        <v>1652</v>
      </c>
      <c r="V338" t="s">
        <v>356</v>
      </c>
      <c r="W338">
        <v>6500</v>
      </c>
      <c r="X338">
        <v>1.7</v>
      </c>
      <c r="Y338">
        <v>14.74</v>
      </c>
      <c r="Z338">
        <v>6500</v>
      </c>
      <c r="AA338">
        <v>0</v>
      </c>
      <c r="AB338">
        <v>44472.674391284723</v>
      </c>
      <c r="AC338" t="s">
        <v>325</v>
      </c>
      <c r="AD338">
        <v>5</v>
      </c>
    </row>
    <row r="339" spans="1:30" x14ac:dyDescent="0.25">
      <c r="A339" t="s">
        <v>1051</v>
      </c>
      <c r="B339" t="s">
        <v>1106</v>
      </c>
      <c r="C339" t="s">
        <v>1151</v>
      </c>
      <c r="D339" t="s">
        <v>1236</v>
      </c>
      <c r="E339" t="s">
        <v>1060</v>
      </c>
      <c r="F339" t="s">
        <v>1061</v>
      </c>
      <c r="G339">
        <v>6102130</v>
      </c>
      <c r="H339">
        <v>202109</v>
      </c>
      <c r="I339">
        <v>44468</v>
      </c>
      <c r="J339">
        <v>124932</v>
      </c>
      <c r="K339" t="s">
        <v>1056</v>
      </c>
      <c r="M339" t="s">
        <v>355</v>
      </c>
      <c r="O339" t="s">
        <v>1653</v>
      </c>
      <c r="P339" t="s">
        <v>1654</v>
      </c>
      <c r="Q339" t="s">
        <v>354</v>
      </c>
      <c r="R339">
        <v>2265787</v>
      </c>
      <c r="S339" t="s">
        <v>355</v>
      </c>
      <c r="U339" t="s">
        <v>1655</v>
      </c>
      <c r="V339" t="s">
        <v>356</v>
      </c>
      <c r="W339">
        <v>10944</v>
      </c>
      <c r="X339">
        <v>2.85</v>
      </c>
      <c r="Y339">
        <v>24.82</v>
      </c>
      <c r="Z339">
        <v>10944</v>
      </c>
      <c r="AA339">
        <v>0</v>
      </c>
      <c r="AB339">
        <v>44472.674391284723</v>
      </c>
      <c r="AC339" t="s">
        <v>325</v>
      </c>
      <c r="AD339">
        <v>5</v>
      </c>
    </row>
    <row r="340" spans="1:30" x14ac:dyDescent="0.25">
      <c r="A340" t="s">
        <v>1051</v>
      </c>
      <c r="B340" t="s">
        <v>1106</v>
      </c>
      <c r="C340" t="s">
        <v>1151</v>
      </c>
      <c r="D340" t="s">
        <v>1236</v>
      </c>
      <c r="E340" t="s">
        <v>1060</v>
      </c>
      <c r="F340" t="s">
        <v>1061</v>
      </c>
      <c r="G340">
        <v>6102130</v>
      </c>
      <c r="H340">
        <v>202109</v>
      </c>
      <c r="I340">
        <v>44468</v>
      </c>
      <c r="J340">
        <v>124932</v>
      </c>
      <c r="K340" t="s">
        <v>1056</v>
      </c>
      <c r="M340" t="s">
        <v>355</v>
      </c>
      <c r="O340" t="s">
        <v>1459</v>
      </c>
      <c r="P340" t="s">
        <v>1460</v>
      </c>
      <c r="Q340" t="s">
        <v>354</v>
      </c>
      <c r="R340">
        <v>2265787</v>
      </c>
      <c r="S340" t="s">
        <v>355</v>
      </c>
      <c r="U340" t="s">
        <v>1656</v>
      </c>
      <c r="V340" t="s">
        <v>356</v>
      </c>
      <c r="W340">
        <v>9000</v>
      </c>
      <c r="X340">
        <v>2.35</v>
      </c>
      <c r="Y340">
        <v>20.41</v>
      </c>
      <c r="Z340">
        <v>9000</v>
      </c>
      <c r="AA340">
        <v>0</v>
      </c>
      <c r="AB340">
        <v>44472.674391284723</v>
      </c>
      <c r="AC340" t="s">
        <v>325</v>
      </c>
      <c r="AD340">
        <v>5</v>
      </c>
    </row>
    <row r="341" spans="1:30" x14ac:dyDescent="0.25">
      <c r="A341" t="s">
        <v>1051</v>
      </c>
      <c r="B341" t="s">
        <v>1106</v>
      </c>
      <c r="C341" t="s">
        <v>1151</v>
      </c>
      <c r="D341" t="s">
        <v>1236</v>
      </c>
      <c r="E341" t="s">
        <v>1060</v>
      </c>
      <c r="F341" t="s">
        <v>1061</v>
      </c>
      <c r="G341">
        <v>6102130</v>
      </c>
      <c r="H341">
        <v>202109</v>
      </c>
      <c r="I341">
        <v>44468</v>
      </c>
      <c r="J341">
        <v>124932</v>
      </c>
      <c r="K341" t="s">
        <v>1056</v>
      </c>
      <c r="M341" t="s">
        <v>355</v>
      </c>
      <c r="O341" t="s">
        <v>1561</v>
      </c>
      <c r="P341" t="s">
        <v>1562</v>
      </c>
      <c r="Q341" t="s">
        <v>354</v>
      </c>
      <c r="R341">
        <v>2265787</v>
      </c>
      <c r="S341" t="s">
        <v>355</v>
      </c>
      <c r="U341" t="s">
        <v>1657</v>
      </c>
      <c r="V341" t="s">
        <v>356</v>
      </c>
      <c r="W341">
        <v>35000</v>
      </c>
      <c r="X341">
        <v>9.1300000000000008</v>
      </c>
      <c r="Y341">
        <v>79.36</v>
      </c>
      <c r="Z341">
        <v>35000</v>
      </c>
      <c r="AA341">
        <v>0</v>
      </c>
      <c r="AB341">
        <v>44472.674391284723</v>
      </c>
      <c r="AC341" t="s">
        <v>325</v>
      </c>
      <c r="AD341">
        <v>5</v>
      </c>
    </row>
    <row r="342" spans="1:30" x14ac:dyDescent="0.25">
      <c r="A342" t="s">
        <v>1051</v>
      </c>
      <c r="B342" t="s">
        <v>1106</v>
      </c>
      <c r="C342" t="s">
        <v>1151</v>
      </c>
      <c r="D342" t="s">
        <v>1236</v>
      </c>
      <c r="E342" t="s">
        <v>1060</v>
      </c>
      <c r="F342" t="s">
        <v>1061</v>
      </c>
      <c r="G342">
        <v>6102140</v>
      </c>
      <c r="H342">
        <v>202109</v>
      </c>
      <c r="I342">
        <v>44466</v>
      </c>
      <c r="J342">
        <v>124932</v>
      </c>
      <c r="K342" t="s">
        <v>1056</v>
      </c>
      <c r="M342" t="s">
        <v>355</v>
      </c>
      <c r="O342" t="s">
        <v>1636</v>
      </c>
      <c r="P342" t="s">
        <v>1637</v>
      </c>
      <c r="Q342" t="s">
        <v>354</v>
      </c>
      <c r="R342">
        <v>2069126</v>
      </c>
      <c r="S342" t="s">
        <v>355</v>
      </c>
      <c r="U342" t="s">
        <v>1658</v>
      </c>
      <c r="V342" t="s">
        <v>356</v>
      </c>
      <c r="W342">
        <v>11300</v>
      </c>
      <c r="X342">
        <v>2.95</v>
      </c>
      <c r="Y342">
        <v>25.62</v>
      </c>
      <c r="Z342">
        <v>11300</v>
      </c>
      <c r="AA342">
        <v>0</v>
      </c>
      <c r="AB342">
        <v>44473.128467824077</v>
      </c>
      <c r="AC342" t="s">
        <v>36</v>
      </c>
      <c r="AD342">
        <v>5</v>
      </c>
    </row>
    <row r="343" spans="1:30" x14ac:dyDescent="0.25">
      <c r="A343" t="s">
        <v>1051</v>
      </c>
      <c r="B343" t="s">
        <v>1106</v>
      </c>
      <c r="C343" t="s">
        <v>1151</v>
      </c>
      <c r="D343" t="s">
        <v>1236</v>
      </c>
      <c r="E343" t="s">
        <v>1060</v>
      </c>
      <c r="F343" t="s">
        <v>1061</v>
      </c>
      <c r="G343">
        <v>6102140</v>
      </c>
      <c r="H343">
        <v>202109</v>
      </c>
      <c r="I343">
        <v>44466</v>
      </c>
      <c r="J343">
        <v>124932</v>
      </c>
      <c r="K343" t="s">
        <v>1056</v>
      </c>
      <c r="M343" t="s">
        <v>355</v>
      </c>
      <c r="O343" t="s">
        <v>1659</v>
      </c>
      <c r="P343" t="s">
        <v>1660</v>
      </c>
      <c r="Q343" t="s">
        <v>354</v>
      </c>
      <c r="R343">
        <v>2069126</v>
      </c>
      <c r="S343" t="s">
        <v>355</v>
      </c>
      <c r="U343" t="s">
        <v>1661</v>
      </c>
      <c r="V343" t="s">
        <v>356</v>
      </c>
      <c r="W343">
        <v>28000</v>
      </c>
      <c r="X343">
        <v>7.3</v>
      </c>
      <c r="Y343">
        <v>63.49</v>
      </c>
      <c r="Z343">
        <v>28000</v>
      </c>
      <c r="AA343">
        <v>0</v>
      </c>
      <c r="AB343">
        <v>44473.128467824077</v>
      </c>
      <c r="AC343" t="s">
        <v>36</v>
      </c>
      <c r="AD343">
        <v>5</v>
      </c>
    </row>
    <row r="344" spans="1:30" x14ac:dyDescent="0.25">
      <c r="A344" t="s">
        <v>1051</v>
      </c>
      <c r="B344" t="s">
        <v>1106</v>
      </c>
      <c r="C344" t="s">
        <v>1151</v>
      </c>
      <c r="D344" t="s">
        <v>1236</v>
      </c>
      <c r="E344" t="s">
        <v>1060</v>
      </c>
      <c r="F344" t="s">
        <v>1061</v>
      </c>
      <c r="G344">
        <v>6102140</v>
      </c>
      <c r="H344">
        <v>202109</v>
      </c>
      <c r="I344">
        <v>44466</v>
      </c>
      <c r="J344">
        <v>124932</v>
      </c>
      <c r="K344" t="s">
        <v>1056</v>
      </c>
      <c r="M344" t="s">
        <v>355</v>
      </c>
      <c r="O344" t="s">
        <v>1662</v>
      </c>
      <c r="P344" t="s">
        <v>1663</v>
      </c>
      <c r="Q344" t="s">
        <v>354</v>
      </c>
      <c r="R344">
        <v>2069126</v>
      </c>
      <c r="S344" t="s">
        <v>355</v>
      </c>
      <c r="U344" t="s">
        <v>1664</v>
      </c>
      <c r="V344" t="s">
        <v>356</v>
      </c>
      <c r="W344">
        <v>35000</v>
      </c>
      <c r="X344">
        <v>9.1300000000000008</v>
      </c>
      <c r="Y344">
        <v>79.36</v>
      </c>
      <c r="Z344">
        <v>35000</v>
      </c>
      <c r="AA344">
        <v>0</v>
      </c>
      <c r="AB344">
        <v>44473.128468020834</v>
      </c>
      <c r="AC344" t="s">
        <v>36</v>
      </c>
      <c r="AD344">
        <v>5</v>
      </c>
    </row>
    <row r="345" spans="1:30" x14ac:dyDescent="0.25">
      <c r="A345" t="s">
        <v>1051</v>
      </c>
      <c r="B345" t="s">
        <v>1106</v>
      </c>
      <c r="C345" t="s">
        <v>1151</v>
      </c>
      <c r="D345" t="s">
        <v>1236</v>
      </c>
      <c r="E345" t="s">
        <v>1060</v>
      </c>
      <c r="F345" t="s">
        <v>1061</v>
      </c>
      <c r="G345">
        <v>6102140</v>
      </c>
      <c r="H345">
        <v>202109</v>
      </c>
      <c r="I345">
        <v>44466</v>
      </c>
      <c r="J345">
        <v>124932</v>
      </c>
      <c r="K345" t="s">
        <v>1056</v>
      </c>
      <c r="M345" t="s">
        <v>355</v>
      </c>
      <c r="O345" t="s">
        <v>1636</v>
      </c>
      <c r="P345" t="s">
        <v>1637</v>
      </c>
      <c r="Q345" t="s">
        <v>354</v>
      </c>
      <c r="R345">
        <v>2069126</v>
      </c>
      <c r="S345" t="s">
        <v>355</v>
      </c>
      <c r="U345" t="s">
        <v>1665</v>
      </c>
      <c r="V345" t="s">
        <v>356</v>
      </c>
      <c r="W345">
        <v>11700</v>
      </c>
      <c r="X345">
        <v>3.05</v>
      </c>
      <c r="Y345">
        <v>26.53</v>
      </c>
      <c r="Z345">
        <v>11700</v>
      </c>
      <c r="AA345">
        <v>0</v>
      </c>
      <c r="AB345">
        <v>44473.128468020834</v>
      </c>
      <c r="AC345" t="s">
        <v>36</v>
      </c>
      <c r="AD345">
        <v>5</v>
      </c>
    </row>
    <row r="346" spans="1:30" x14ac:dyDescent="0.25">
      <c r="A346" t="s">
        <v>1051</v>
      </c>
      <c r="B346" t="s">
        <v>1106</v>
      </c>
      <c r="C346" t="s">
        <v>1151</v>
      </c>
      <c r="D346" t="s">
        <v>1236</v>
      </c>
      <c r="E346" t="s">
        <v>1060</v>
      </c>
      <c r="F346" t="s">
        <v>1061</v>
      </c>
      <c r="G346">
        <v>6102140</v>
      </c>
      <c r="H346">
        <v>202109</v>
      </c>
      <c r="I346">
        <v>44466</v>
      </c>
      <c r="J346">
        <v>124932</v>
      </c>
      <c r="K346" t="s">
        <v>1056</v>
      </c>
      <c r="M346" t="s">
        <v>355</v>
      </c>
      <c r="O346" t="s">
        <v>1666</v>
      </c>
      <c r="P346" t="s">
        <v>1667</v>
      </c>
      <c r="Q346" t="s">
        <v>354</v>
      </c>
      <c r="R346">
        <v>2069126</v>
      </c>
      <c r="S346" t="s">
        <v>355</v>
      </c>
      <c r="U346" t="s">
        <v>1668</v>
      </c>
      <c r="V346" t="s">
        <v>356</v>
      </c>
      <c r="W346">
        <v>9100</v>
      </c>
      <c r="X346">
        <v>2.37</v>
      </c>
      <c r="Y346">
        <v>20.63</v>
      </c>
      <c r="Z346">
        <v>9100</v>
      </c>
      <c r="AA346">
        <v>0</v>
      </c>
      <c r="AB346">
        <v>44473.128468020834</v>
      </c>
      <c r="AC346" t="s">
        <v>36</v>
      </c>
      <c r="AD346">
        <v>5</v>
      </c>
    </row>
    <row r="347" spans="1:30" x14ac:dyDescent="0.25">
      <c r="A347" t="s">
        <v>1051</v>
      </c>
      <c r="B347" t="s">
        <v>1106</v>
      </c>
      <c r="C347" t="s">
        <v>1151</v>
      </c>
      <c r="D347" t="s">
        <v>1236</v>
      </c>
      <c r="E347" t="s">
        <v>1060</v>
      </c>
      <c r="F347" t="s">
        <v>1061</v>
      </c>
      <c r="G347">
        <v>6102140</v>
      </c>
      <c r="H347">
        <v>202109</v>
      </c>
      <c r="I347">
        <v>44466</v>
      </c>
      <c r="J347">
        <v>124932</v>
      </c>
      <c r="K347" t="s">
        <v>1056</v>
      </c>
      <c r="M347" t="s">
        <v>355</v>
      </c>
      <c r="O347" t="s">
        <v>1252</v>
      </c>
      <c r="P347" t="s">
        <v>1253</v>
      </c>
      <c r="Q347" t="s">
        <v>354</v>
      </c>
      <c r="R347">
        <v>2069126</v>
      </c>
      <c r="S347" t="s">
        <v>355</v>
      </c>
      <c r="U347" t="s">
        <v>1669</v>
      </c>
      <c r="V347" t="s">
        <v>356</v>
      </c>
      <c r="W347">
        <v>12000</v>
      </c>
      <c r="X347">
        <v>3.13</v>
      </c>
      <c r="Y347">
        <v>27.21</v>
      </c>
      <c r="Z347">
        <v>12000</v>
      </c>
      <c r="AA347">
        <v>0</v>
      </c>
      <c r="AB347">
        <v>44473.128468020834</v>
      </c>
      <c r="AC347" t="s">
        <v>36</v>
      </c>
      <c r="AD347">
        <v>5</v>
      </c>
    </row>
    <row r="348" spans="1:30" x14ac:dyDescent="0.25">
      <c r="A348" t="s">
        <v>1051</v>
      </c>
      <c r="B348" t="s">
        <v>1106</v>
      </c>
      <c r="C348" t="s">
        <v>1151</v>
      </c>
      <c r="D348" t="s">
        <v>1236</v>
      </c>
      <c r="E348" t="s">
        <v>1060</v>
      </c>
      <c r="F348" t="s">
        <v>1061</v>
      </c>
      <c r="G348">
        <v>6102140</v>
      </c>
      <c r="H348">
        <v>202109</v>
      </c>
      <c r="I348">
        <v>44466</v>
      </c>
      <c r="J348">
        <v>124932</v>
      </c>
      <c r="K348" t="s">
        <v>1056</v>
      </c>
      <c r="M348" t="s">
        <v>355</v>
      </c>
      <c r="O348" t="s">
        <v>1264</v>
      </c>
      <c r="P348" t="s">
        <v>1265</v>
      </c>
      <c r="Q348" t="s">
        <v>354</v>
      </c>
      <c r="R348">
        <v>2069126</v>
      </c>
      <c r="S348" t="s">
        <v>355</v>
      </c>
      <c r="U348" t="s">
        <v>1670</v>
      </c>
      <c r="V348" t="s">
        <v>356</v>
      </c>
      <c r="W348">
        <v>66000</v>
      </c>
      <c r="X348">
        <v>17.21</v>
      </c>
      <c r="Y348">
        <v>149.66</v>
      </c>
      <c r="Z348">
        <v>66000</v>
      </c>
      <c r="AA348">
        <v>0</v>
      </c>
      <c r="AB348">
        <v>44473.128468020834</v>
      </c>
      <c r="AC348" t="s">
        <v>36</v>
      </c>
      <c r="AD348">
        <v>5</v>
      </c>
    </row>
    <row r="349" spans="1:30" x14ac:dyDescent="0.25">
      <c r="A349" t="s">
        <v>1051</v>
      </c>
      <c r="B349" t="s">
        <v>1106</v>
      </c>
      <c r="C349" t="s">
        <v>1151</v>
      </c>
      <c r="D349" t="s">
        <v>1671</v>
      </c>
      <c r="E349" t="s">
        <v>1060</v>
      </c>
      <c r="F349" t="s">
        <v>1061</v>
      </c>
      <c r="G349">
        <v>6100699</v>
      </c>
      <c r="H349">
        <v>202104</v>
      </c>
      <c r="I349">
        <v>44309</v>
      </c>
      <c r="J349" t="s">
        <v>1117</v>
      </c>
      <c r="K349" t="s">
        <v>1056</v>
      </c>
      <c r="M349" t="s">
        <v>355</v>
      </c>
      <c r="O349" t="s">
        <v>1192</v>
      </c>
      <c r="P349" t="s">
        <v>1193</v>
      </c>
      <c r="Q349" t="s">
        <v>1155</v>
      </c>
      <c r="R349">
        <v>2069125</v>
      </c>
      <c r="S349" t="s">
        <v>1194</v>
      </c>
      <c r="U349" t="s">
        <v>1195</v>
      </c>
      <c r="V349" t="s">
        <v>356</v>
      </c>
      <c r="W349">
        <v>5220000</v>
      </c>
      <c r="X349">
        <v>1435.5</v>
      </c>
      <c r="Y349">
        <v>11891.16</v>
      </c>
      <c r="Z349">
        <v>5220000</v>
      </c>
      <c r="AA349">
        <v>11</v>
      </c>
      <c r="AB349">
        <v>44318.781356747684</v>
      </c>
      <c r="AC349" t="s">
        <v>25</v>
      </c>
      <c r="AD349">
        <v>2</v>
      </c>
    </row>
    <row r="350" spans="1:30" x14ac:dyDescent="0.25">
      <c r="A350" t="s">
        <v>1051</v>
      </c>
      <c r="B350" t="s">
        <v>1106</v>
      </c>
      <c r="C350" t="s">
        <v>1151</v>
      </c>
      <c r="D350" t="s">
        <v>1671</v>
      </c>
      <c r="E350" t="s">
        <v>1060</v>
      </c>
      <c r="F350" t="s">
        <v>1061</v>
      </c>
      <c r="G350">
        <v>6101236</v>
      </c>
      <c r="H350">
        <v>202107</v>
      </c>
      <c r="I350">
        <v>44396</v>
      </c>
      <c r="J350" t="s">
        <v>1117</v>
      </c>
      <c r="K350" t="s">
        <v>1056</v>
      </c>
      <c r="M350" t="s">
        <v>355</v>
      </c>
      <c r="O350" t="s">
        <v>1200</v>
      </c>
      <c r="P350" t="s">
        <v>1201</v>
      </c>
      <c r="Q350" t="s">
        <v>1155</v>
      </c>
      <c r="R350">
        <v>2069125</v>
      </c>
      <c r="S350" t="s">
        <v>1202</v>
      </c>
      <c r="U350" t="s">
        <v>1203</v>
      </c>
      <c r="V350" t="s">
        <v>356</v>
      </c>
      <c r="W350">
        <v>1367716</v>
      </c>
      <c r="X350">
        <v>359.71</v>
      </c>
      <c r="Y350">
        <v>3096.51</v>
      </c>
      <c r="Z350">
        <v>1367716</v>
      </c>
      <c r="AA350">
        <v>11</v>
      </c>
      <c r="AB350">
        <v>44396.819253437498</v>
      </c>
      <c r="AC350" t="s">
        <v>25</v>
      </c>
      <c r="AD350">
        <v>2</v>
      </c>
    </row>
    <row r="351" spans="1:30" x14ac:dyDescent="0.25">
      <c r="A351" t="s">
        <v>1051</v>
      </c>
      <c r="B351" t="s">
        <v>1106</v>
      </c>
      <c r="C351" t="s">
        <v>1151</v>
      </c>
      <c r="D351" t="s">
        <v>1671</v>
      </c>
      <c r="E351" t="s">
        <v>1060</v>
      </c>
      <c r="F351" t="s">
        <v>1061</v>
      </c>
      <c r="G351">
        <v>6101227</v>
      </c>
      <c r="H351">
        <v>202107</v>
      </c>
      <c r="I351">
        <v>44385</v>
      </c>
      <c r="J351" t="s">
        <v>1117</v>
      </c>
      <c r="K351" t="s">
        <v>1056</v>
      </c>
      <c r="M351" t="s">
        <v>355</v>
      </c>
      <c r="O351" t="s">
        <v>1204</v>
      </c>
      <c r="P351" t="s">
        <v>1205</v>
      </c>
      <c r="Q351" t="s">
        <v>1155</v>
      </c>
      <c r="R351">
        <v>2069125</v>
      </c>
      <c r="S351" t="s">
        <v>1206</v>
      </c>
      <c r="U351" t="s">
        <v>1207</v>
      </c>
      <c r="V351" t="s">
        <v>356</v>
      </c>
      <c r="W351">
        <v>55294</v>
      </c>
      <c r="X351">
        <v>14.49</v>
      </c>
      <c r="Y351">
        <v>124.08</v>
      </c>
      <c r="Z351">
        <v>55294</v>
      </c>
      <c r="AA351">
        <v>166</v>
      </c>
      <c r="AB351">
        <v>44392.759670219908</v>
      </c>
      <c r="AC351" t="s">
        <v>25</v>
      </c>
      <c r="AD351">
        <v>2</v>
      </c>
    </row>
    <row r="352" spans="1:30" x14ac:dyDescent="0.25">
      <c r="A352" t="s">
        <v>1051</v>
      </c>
      <c r="B352" t="s">
        <v>1106</v>
      </c>
      <c r="C352" t="s">
        <v>1151</v>
      </c>
      <c r="D352" t="s">
        <v>1671</v>
      </c>
      <c r="E352" t="s">
        <v>1060</v>
      </c>
      <c r="F352" t="s">
        <v>1061</v>
      </c>
      <c r="G352">
        <v>6101227</v>
      </c>
      <c r="H352">
        <v>202107</v>
      </c>
      <c r="I352">
        <v>44385</v>
      </c>
      <c r="J352" t="s">
        <v>1117</v>
      </c>
      <c r="K352" t="s">
        <v>1056</v>
      </c>
      <c r="M352" t="s">
        <v>355</v>
      </c>
      <c r="O352" t="s">
        <v>1672</v>
      </c>
      <c r="P352" t="s">
        <v>1673</v>
      </c>
      <c r="Q352" t="s">
        <v>1155</v>
      </c>
      <c r="R352">
        <v>2069125</v>
      </c>
      <c r="S352" t="s">
        <v>1674</v>
      </c>
      <c r="U352" t="s">
        <v>1675</v>
      </c>
      <c r="V352" t="s">
        <v>356</v>
      </c>
      <c r="W352">
        <v>83652</v>
      </c>
      <c r="X352">
        <v>21.92</v>
      </c>
      <c r="Y352">
        <v>187.72</v>
      </c>
      <c r="Z352">
        <v>83652</v>
      </c>
      <c r="AA352">
        <v>0</v>
      </c>
      <c r="AB352">
        <v>44392.759670057872</v>
      </c>
      <c r="AC352" t="s">
        <v>25</v>
      </c>
      <c r="AD352">
        <v>2</v>
      </c>
    </row>
    <row r="353" spans="1:30" x14ac:dyDescent="0.25">
      <c r="A353" t="s">
        <v>1051</v>
      </c>
      <c r="B353" t="s">
        <v>1106</v>
      </c>
      <c r="C353" t="s">
        <v>1151</v>
      </c>
      <c r="D353" t="s">
        <v>1671</v>
      </c>
      <c r="E353" t="s">
        <v>1060</v>
      </c>
      <c r="F353" t="s">
        <v>1061</v>
      </c>
      <c r="G353">
        <v>6102063</v>
      </c>
      <c r="H353">
        <v>202109</v>
      </c>
      <c r="I353">
        <v>44469</v>
      </c>
      <c r="J353">
        <v>122536</v>
      </c>
      <c r="K353" t="s">
        <v>1056</v>
      </c>
      <c r="M353" t="s">
        <v>355</v>
      </c>
      <c r="O353" t="s">
        <v>1209</v>
      </c>
      <c r="P353" t="s">
        <v>1210</v>
      </c>
      <c r="Q353" t="s">
        <v>354</v>
      </c>
      <c r="R353">
        <v>2069127</v>
      </c>
      <c r="S353" t="s">
        <v>355</v>
      </c>
      <c r="U353" t="s">
        <v>1211</v>
      </c>
      <c r="V353" t="s">
        <v>356</v>
      </c>
      <c r="W353">
        <v>1204200</v>
      </c>
      <c r="X353">
        <v>314.02999999999997</v>
      </c>
      <c r="Y353">
        <v>2730.6</v>
      </c>
      <c r="Z353">
        <v>1204200</v>
      </c>
      <c r="AA353">
        <v>11</v>
      </c>
      <c r="AB353">
        <v>44470.717716747684</v>
      </c>
      <c r="AC353" t="s">
        <v>36</v>
      </c>
      <c r="AD353">
        <v>2</v>
      </c>
    </row>
    <row r="354" spans="1:30" x14ac:dyDescent="0.25">
      <c r="A354" t="s">
        <v>1051</v>
      </c>
      <c r="B354" t="s">
        <v>1106</v>
      </c>
      <c r="C354" t="s">
        <v>1151</v>
      </c>
      <c r="D354" t="s">
        <v>1676</v>
      </c>
      <c r="E354" t="s">
        <v>1060</v>
      </c>
      <c r="F354" t="s">
        <v>1061</v>
      </c>
      <c r="G354">
        <v>6100283</v>
      </c>
      <c r="H354">
        <v>202102</v>
      </c>
      <c r="I354">
        <v>44253</v>
      </c>
      <c r="J354" t="s">
        <v>1117</v>
      </c>
      <c r="K354" t="s">
        <v>1056</v>
      </c>
      <c r="M354" t="s">
        <v>355</v>
      </c>
      <c r="O354" t="s">
        <v>1677</v>
      </c>
      <c r="P354" t="s">
        <v>1678</v>
      </c>
      <c r="Q354" t="s">
        <v>354</v>
      </c>
      <c r="R354">
        <v>2069125</v>
      </c>
      <c r="S354" t="s">
        <v>1679</v>
      </c>
      <c r="U354" t="s">
        <v>1680</v>
      </c>
      <c r="V354" t="s">
        <v>356</v>
      </c>
      <c r="W354">
        <v>112000</v>
      </c>
      <c r="X354">
        <v>31.81</v>
      </c>
      <c r="Y354">
        <v>268.91000000000003</v>
      </c>
      <c r="Z354">
        <v>112000</v>
      </c>
      <c r="AA354">
        <v>0</v>
      </c>
      <c r="AB354">
        <v>44258.894131712965</v>
      </c>
      <c r="AC354" t="s">
        <v>25</v>
      </c>
      <c r="AD354">
        <v>2</v>
      </c>
    </row>
    <row r="355" spans="1:30" x14ac:dyDescent="0.25">
      <c r="A355" t="s">
        <v>1051</v>
      </c>
      <c r="B355" t="s">
        <v>1106</v>
      </c>
      <c r="C355" t="s">
        <v>1151</v>
      </c>
      <c r="D355" t="s">
        <v>1676</v>
      </c>
      <c r="E355" t="s">
        <v>1060</v>
      </c>
      <c r="F355" t="s">
        <v>1061</v>
      </c>
      <c r="G355">
        <v>6100340</v>
      </c>
      <c r="H355">
        <v>202103</v>
      </c>
      <c r="I355">
        <v>44260</v>
      </c>
      <c r="J355" t="s">
        <v>1681</v>
      </c>
      <c r="K355" t="s">
        <v>1056</v>
      </c>
      <c r="M355" t="s">
        <v>355</v>
      </c>
      <c r="O355" t="s">
        <v>1252</v>
      </c>
      <c r="P355" t="s">
        <v>1253</v>
      </c>
      <c r="Q355" t="s">
        <v>354</v>
      </c>
      <c r="R355">
        <v>2069125</v>
      </c>
      <c r="S355" t="s">
        <v>355</v>
      </c>
      <c r="U355" t="s">
        <v>1682</v>
      </c>
      <c r="V355" t="s">
        <v>356</v>
      </c>
      <c r="W355">
        <v>2400000</v>
      </c>
      <c r="X355">
        <v>681.6</v>
      </c>
      <c r="Y355">
        <v>5762.4</v>
      </c>
      <c r="Z355">
        <v>2400000</v>
      </c>
      <c r="AA355">
        <v>0</v>
      </c>
      <c r="AB355">
        <v>44267.739683564818</v>
      </c>
      <c r="AC355" t="s">
        <v>25</v>
      </c>
      <c r="AD355">
        <v>2</v>
      </c>
    </row>
    <row r="356" spans="1:30" x14ac:dyDescent="0.25">
      <c r="A356" t="s">
        <v>1051</v>
      </c>
      <c r="B356" t="s">
        <v>1106</v>
      </c>
      <c r="C356" t="s">
        <v>1151</v>
      </c>
      <c r="D356" t="s">
        <v>1676</v>
      </c>
      <c r="E356" t="s">
        <v>1060</v>
      </c>
      <c r="F356" t="s">
        <v>1061</v>
      </c>
      <c r="G356">
        <v>6100340</v>
      </c>
      <c r="H356">
        <v>202103</v>
      </c>
      <c r="I356">
        <v>44260</v>
      </c>
      <c r="J356" t="s">
        <v>1681</v>
      </c>
      <c r="K356" t="s">
        <v>1056</v>
      </c>
      <c r="M356" t="s">
        <v>355</v>
      </c>
      <c r="O356" t="s">
        <v>1683</v>
      </c>
      <c r="P356" t="s">
        <v>1684</v>
      </c>
      <c r="Q356" t="s">
        <v>354</v>
      </c>
      <c r="R356">
        <v>2069125</v>
      </c>
      <c r="S356" t="s">
        <v>355</v>
      </c>
      <c r="U356" t="s">
        <v>1685</v>
      </c>
      <c r="V356" t="s">
        <v>356</v>
      </c>
      <c r="W356">
        <v>27360</v>
      </c>
      <c r="X356">
        <v>7.77</v>
      </c>
      <c r="Y356">
        <v>65.69</v>
      </c>
      <c r="Z356">
        <v>27360</v>
      </c>
      <c r="AA356">
        <v>0</v>
      </c>
      <c r="AB356">
        <v>44267.739683564818</v>
      </c>
      <c r="AC356" t="s">
        <v>25</v>
      </c>
      <c r="AD356">
        <v>2</v>
      </c>
    </row>
    <row r="357" spans="1:30" x14ac:dyDescent="0.25">
      <c r="A357" t="s">
        <v>1051</v>
      </c>
      <c r="B357" t="s">
        <v>1106</v>
      </c>
      <c r="C357" t="s">
        <v>1151</v>
      </c>
      <c r="D357" t="s">
        <v>1676</v>
      </c>
      <c r="E357" t="s">
        <v>1060</v>
      </c>
      <c r="F357" t="s">
        <v>1061</v>
      </c>
      <c r="G357">
        <v>6100529</v>
      </c>
      <c r="H357">
        <v>202103</v>
      </c>
      <c r="I357">
        <v>44280</v>
      </c>
      <c r="J357" t="s">
        <v>1681</v>
      </c>
      <c r="K357" t="s">
        <v>1056</v>
      </c>
      <c r="M357" t="s">
        <v>355</v>
      </c>
      <c r="O357" t="s">
        <v>1677</v>
      </c>
      <c r="P357" t="s">
        <v>1678</v>
      </c>
      <c r="Q357" t="s">
        <v>1155</v>
      </c>
      <c r="R357">
        <v>2069125</v>
      </c>
      <c r="S357" t="s">
        <v>355</v>
      </c>
      <c r="U357" t="s">
        <v>1686</v>
      </c>
      <c r="V357" t="s">
        <v>356</v>
      </c>
      <c r="W357">
        <v>1120000</v>
      </c>
      <c r="X357">
        <v>312.48</v>
      </c>
      <c r="Y357">
        <v>2688</v>
      </c>
      <c r="Z357">
        <v>1120000</v>
      </c>
      <c r="AA357">
        <v>0</v>
      </c>
      <c r="AB357">
        <v>44291.159031712959</v>
      </c>
      <c r="AC357" t="s">
        <v>25</v>
      </c>
      <c r="AD357">
        <v>2</v>
      </c>
    </row>
    <row r="358" spans="1:30" x14ac:dyDescent="0.25">
      <c r="A358" t="s">
        <v>1051</v>
      </c>
      <c r="B358" t="s">
        <v>1106</v>
      </c>
      <c r="C358" t="s">
        <v>1151</v>
      </c>
      <c r="D358" t="s">
        <v>1676</v>
      </c>
      <c r="E358" t="s">
        <v>1060</v>
      </c>
      <c r="F358" t="s">
        <v>1061</v>
      </c>
      <c r="G358">
        <v>6100529</v>
      </c>
      <c r="H358">
        <v>202103</v>
      </c>
      <c r="I358">
        <v>44280</v>
      </c>
      <c r="J358" t="s">
        <v>1681</v>
      </c>
      <c r="K358" t="s">
        <v>1056</v>
      </c>
      <c r="M358" t="s">
        <v>355</v>
      </c>
      <c r="O358" t="s">
        <v>1683</v>
      </c>
      <c r="P358" t="s">
        <v>1684</v>
      </c>
      <c r="Q358" t="s">
        <v>1155</v>
      </c>
      <c r="R358">
        <v>2069125</v>
      </c>
      <c r="S358" t="s">
        <v>355</v>
      </c>
      <c r="U358" t="s">
        <v>1687</v>
      </c>
      <c r="V358" t="s">
        <v>356</v>
      </c>
      <c r="W358">
        <v>12768</v>
      </c>
      <c r="X358">
        <v>3.56</v>
      </c>
      <c r="Y358">
        <v>30.64</v>
      </c>
      <c r="Z358">
        <v>12768</v>
      </c>
      <c r="AA358">
        <v>0</v>
      </c>
      <c r="AB358">
        <v>44291.159031712959</v>
      </c>
      <c r="AC358" t="s">
        <v>25</v>
      </c>
      <c r="AD358">
        <v>2</v>
      </c>
    </row>
    <row r="359" spans="1:30" x14ac:dyDescent="0.25">
      <c r="A359" t="s">
        <v>1051</v>
      </c>
      <c r="B359" t="s">
        <v>1106</v>
      </c>
      <c r="C359" t="s">
        <v>1151</v>
      </c>
      <c r="D359" t="s">
        <v>1676</v>
      </c>
      <c r="E359" t="s">
        <v>1060</v>
      </c>
      <c r="F359" t="s">
        <v>1061</v>
      </c>
      <c r="G359">
        <v>6100545</v>
      </c>
      <c r="H359">
        <v>202103</v>
      </c>
      <c r="I359">
        <v>44285</v>
      </c>
      <c r="J359" t="s">
        <v>1681</v>
      </c>
      <c r="K359" t="s">
        <v>1056</v>
      </c>
      <c r="M359" t="s">
        <v>355</v>
      </c>
      <c r="O359" t="s">
        <v>1677</v>
      </c>
      <c r="P359" t="s">
        <v>1678</v>
      </c>
      <c r="Q359" t="s">
        <v>1155</v>
      </c>
      <c r="R359">
        <v>2069125</v>
      </c>
      <c r="S359" t="s">
        <v>355</v>
      </c>
      <c r="U359" t="s">
        <v>1688</v>
      </c>
      <c r="V359" t="s">
        <v>356</v>
      </c>
      <c r="W359">
        <v>-240000</v>
      </c>
      <c r="X359">
        <v>-66.959999999999994</v>
      </c>
      <c r="Y359">
        <v>-576</v>
      </c>
      <c r="Z359">
        <v>-240000</v>
      </c>
      <c r="AA359">
        <v>0</v>
      </c>
      <c r="AB359">
        <v>44292.019698530094</v>
      </c>
      <c r="AC359" t="s">
        <v>25</v>
      </c>
      <c r="AD359">
        <v>2</v>
      </c>
    </row>
    <row r="360" spans="1:30" x14ac:dyDescent="0.25">
      <c r="A360" t="s">
        <v>1051</v>
      </c>
      <c r="B360" t="s">
        <v>1106</v>
      </c>
      <c r="C360" t="s">
        <v>1151</v>
      </c>
      <c r="D360" t="s">
        <v>1676</v>
      </c>
      <c r="E360" t="s">
        <v>1060</v>
      </c>
      <c r="F360" t="s">
        <v>1061</v>
      </c>
      <c r="G360">
        <v>6100411</v>
      </c>
      <c r="H360">
        <v>202103</v>
      </c>
      <c r="I360">
        <v>44270</v>
      </c>
      <c r="J360" t="s">
        <v>1117</v>
      </c>
      <c r="K360" t="s">
        <v>1056</v>
      </c>
      <c r="M360" t="s">
        <v>355</v>
      </c>
      <c r="O360" t="s">
        <v>1367</v>
      </c>
      <c r="P360" t="s">
        <v>1368</v>
      </c>
      <c r="Q360" t="s">
        <v>1155</v>
      </c>
      <c r="R360">
        <v>2069125</v>
      </c>
      <c r="S360" t="s">
        <v>1689</v>
      </c>
      <c r="U360" t="s">
        <v>1690</v>
      </c>
      <c r="V360" t="s">
        <v>356</v>
      </c>
      <c r="W360">
        <v>170000</v>
      </c>
      <c r="X360">
        <v>48.28</v>
      </c>
      <c r="Y360">
        <v>409.7</v>
      </c>
      <c r="Z360">
        <v>170000</v>
      </c>
      <c r="AA360">
        <v>0</v>
      </c>
      <c r="AB360">
        <v>44272.95520621528</v>
      </c>
      <c r="AC360" t="s">
        <v>25</v>
      </c>
      <c r="AD360">
        <v>2</v>
      </c>
    </row>
    <row r="361" spans="1:30" x14ac:dyDescent="0.25">
      <c r="A361" t="s">
        <v>1051</v>
      </c>
      <c r="B361" t="s">
        <v>1106</v>
      </c>
      <c r="C361" t="s">
        <v>1151</v>
      </c>
      <c r="D361" t="s">
        <v>1676</v>
      </c>
      <c r="E361" t="s">
        <v>1060</v>
      </c>
      <c r="F361" t="s">
        <v>1061</v>
      </c>
      <c r="G361">
        <v>6100423</v>
      </c>
      <c r="H361">
        <v>202103</v>
      </c>
      <c r="I361">
        <v>44263</v>
      </c>
      <c r="J361" t="s">
        <v>1681</v>
      </c>
      <c r="K361" t="s">
        <v>1056</v>
      </c>
      <c r="M361" t="s">
        <v>355</v>
      </c>
      <c r="O361" t="s">
        <v>1677</v>
      </c>
      <c r="P361" t="s">
        <v>1678</v>
      </c>
      <c r="Q361" t="s">
        <v>1155</v>
      </c>
      <c r="R361">
        <v>2069125</v>
      </c>
      <c r="S361" t="s">
        <v>355</v>
      </c>
      <c r="U361" t="s">
        <v>1691</v>
      </c>
      <c r="V361" t="s">
        <v>356</v>
      </c>
      <c r="W361">
        <v>2000000</v>
      </c>
      <c r="X361">
        <v>568</v>
      </c>
      <c r="Y361">
        <v>4802</v>
      </c>
      <c r="Z361">
        <v>2000000</v>
      </c>
      <c r="AA361">
        <v>0</v>
      </c>
      <c r="AB361">
        <v>44278.739142627317</v>
      </c>
      <c r="AC361" t="s">
        <v>25</v>
      </c>
      <c r="AD361">
        <v>2</v>
      </c>
    </row>
    <row r="362" spans="1:30" x14ac:dyDescent="0.25">
      <c r="A362" t="s">
        <v>1051</v>
      </c>
      <c r="B362" t="s">
        <v>1106</v>
      </c>
      <c r="C362" t="s">
        <v>1151</v>
      </c>
      <c r="D362" t="s">
        <v>1676</v>
      </c>
      <c r="E362" t="s">
        <v>1060</v>
      </c>
      <c r="F362" t="s">
        <v>1061</v>
      </c>
      <c r="G362">
        <v>6100423</v>
      </c>
      <c r="H362">
        <v>202103</v>
      </c>
      <c r="I362">
        <v>44263</v>
      </c>
      <c r="J362" t="s">
        <v>1681</v>
      </c>
      <c r="K362" t="s">
        <v>1056</v>
      </c>
      <c r="M362" t="s">
        <v>355</v>
      </c>
      <c r="O362" t="s">
        <v>1683</v>
      </c>
      <c r="P362" t="s">
        <v>1684</v>
      </c>
      <c r="Q362" t="s">
        <v>1155</v>
      </c>
      <c r="R362">
        <v>2069125</v>
      </c>
      <c r="S362" t="s">
        <v>355</v>
      </c>
      <c r="U362" t="s">
        <v>1692</v>
      </c>
      <c r="V362" t="s">
        <v>356</v>
      </c>
      <c r="W362">
        <v>22800</v>
      </c>
      <c r="X362">
        <v>6.48</v>
      </c>
      <c r="Y362">
        <v>54.74</v>
      </c>
      <c r="Z362">
        <v>22800</v>
      </c>
      <c r="AA362">
        <v>0</v>
      </c>
      <c r="AB362">
        <v>44278.739142824073</v>
      </c>
      <c r="AC362" t="s">
        <v>25</v>
      </c>
      <c r="AD362">
        <v>2</v>
      </c>
    </row>
    <row r="363" spans="1:30" x14ac:dyDescent="0.25">
      <c r="A363" t="s">
        <v>1051</v>
      </c>
      <c r="B363" t="s">
        <v>1106</v>
      </c>
      <c r="C363" t="s">
        <v>1151</v>
      </c>
      <c r="D363" t="s">
        <v>1676</v>
      </c>
      <c r="E363" t="s">
        <v>1060</v>
      </c>
      <c r="F363" t="s">
        <v>1061</v>
      </c>
      <c r="G363">
        <v>6100994</v>
      </c>
      <c r="H363">
        <v>202106</v>
      </c>
      <c r="I363">
        <v>44362</v>
      </c>
      <c r="J363" t="s">
        <v>1681</v>
      </c>
      <c r="K363" t="s">
        <v>1056</v>
      </c>
      <c r="M363" t="s">
        <v>355</v>
      </c>
      <c r="O363" t="s">
        <v>1677</v>
      </c>
      <c r="P363" t="s">
        <v>1678</v>
      </c>
      <c r="Q363" t="s">
        <v>1155</v>
      </c>
      <c r="R363">
        <v>2069125</v>
      </c>
      <c r="S363" t="s">
        <v>355</v>
      </c>
      <c r="U363" t="s">
        <v>1693</v>
      </c>
      <c r="V363" t="s">
        <v>356</v>
      </c>
      <c r="W363">
        <v>12800000</v>
      </c>
      <c r="X363">
        <v>3571.2</v>
      </c>
      <c r="Y363">
        <v>29299.200000000001</v>
      </c>
      <c r="Z363">
        <v>12800000</v>
      </c>
      <c r="AA363">
        <v>0</v>
      </c>
      <c r="AB363">
        <v>44366.11307835648</v>
      </c>
      <c r="AC363" t="s">
        <v>25</v>
      </c>
      <c r="AD363">
        <v>2</v>
      </c>
    </row>
    <row r="364" spans="1:30" x14ac:dyDescent="0.25">
      <c r="A364" t="s">
        <v>1051</v>
      </c>
      <c r="B364" t="s">
        <v>1106</v>
      </c>
      <c r="C364" t="s">
        <v>1151</v>
      </c>
      <c r="D364" t="s">
        <v>1676</v>
      </c>
      <c r="E364" t="s">
        <v>1060</v>
      </c>
      <c r="F364" t="s">
        <v>1061</v>
      </c>
      <c r="G364">
        <v>6100994</v>
      </c>
      <c r="H364">
        <v>202106</v>
      </c>
      <c r="I364">
        <v>44362</v>
      </c>
      <c r="J364" t="s">
        <v>1681</v>
      </c>
      <c r="K364" t="s">
        <v>1056</v>
      </c>
      <c r="M364" t="s">
        <v>355</v>
      </c>
      <c r="O364" t="s">
        <v>1683</v>
      </c>
      <c r="P364" t="s">
        <v>1684</v>
      </c>
      <c r="Q364" t="s">
        <v>1155</v>
      </c>
      <c r="R364">
        <v>2069125</v>
      </c>
      <c r="S364" t="s">
        <v>355</v>
      </c>
      <c r="U364" t="s">
        <v>1694</v>
      </c>
      <c r="V364" t="s">
        <v>356</v>
      </c>
      <c r="W364">
        <v>145920</v>
      </c>
      <c r="X364">
        <v>40.71</v>
      </c>
      <c r="Y364">
        <v>334.01</v>
      </c>
      <c r="Z364">
        <v>145920</v>
      </c>
      <c r="AA364">
        <v>0</v>
      </c>
      <c r="AB364">
        <v>44366.11307835648</v>
      </c>
      <c r="AC364" t="s">
        <v>25</v>
      </c>
      <c r="AD364">
        <v>2</v>
      </c>
    </row>
    <row r="365" spans="1:30" x14ac:dyDescent="0.25">
      <c r="A365" t="s">
        <v>1051</v>
      </c>
      <c r="B365" t="s">
        <v>1106</v>
      </c>
      <c r="C365" t="s">
        <v>1151</v>
      </c>
      <c r="D365" t="s">
        <v>1676</v>
      </c>
      <c r="E365" t="s">
        <v>1060</v>
      </c>
      <c r="F365" t="s">
        <v>1061</v>
      </c>
      <c r="G365">
        <v>6101142</v>
      </c>
      <c r="H365">
        <v>202106</v>
      </c>
      <c r="I365">
        <v>44377</v>
      </c>
      <c r="J365" t="s">
        <v>1117</v>
      </c>
      <c r="K365" t="s">
        <v>1056</v>
      </c>
      <c r="M365" t="s">
        <v>355</v>
      </c>
      <c r="O365" t="s">
        <v>1695</v>
      </c>
      <c r="P365" t="s">
        <v>1696</v>
      </c>
      <c r="Q365" t="s">
        <v>1155</v>
      </c>
      <c r="R365">
        <v>2069125</v>
      </c>
      <c r="S365" t="s">
        <v>1697</v>
      </c>
      <c r="U365" t="s">
        <v>1698</v>
      </c>
      <c r="V365" t="s">
        <v>356</v>
      </c>
      <c r="W365">
        <v>2600000</v>
      </c>
      <c r="X365">
        <v>689</v>
      </c>
      <c r="Y365">
        <v>5852.6</v>
      </c>
      <c r="Z365">
        <v>2600000</v>
      </c>
      <c r="AA365">
        <v>306</v>
      </c>
      <c r="AB365">
        <v>44380.893724386573</v>
      </c>
      <c r="AC365" t="s">
        <v>25</v>
      </c>
      <c r="AD365">
        <v>2</v>
      </c>
    </row>
    <row r="366" spans="1:30" x14ac:dyDescent="0.25">
      <c r="A366" t="s">
        <v>1051</v>
      </c>
      <c r="B366" t="s">
        <v>1106</v>
      </c>
      <c r="C366" t="s">
        <v>1151</v>
      </c>
      <c r="D366" t="s">
        <v>1676</v>
      </c>
      <c r="E366" t="s">
        <v>1060</v>
      </c>
      <c r="F366" t="s">
        <v>1061</v>
      </c>
      <c r="G366">
        <v>6101142</v>
      </c>
      <c r="H366">
        <v>202106</v>
      </c>
      <c r="I366">
        <v>44377</v>
      </c>
      <c r="J366" t="s">
        <v>1117</v>
      </c>
      <c r="K366" t="s">
        <v>1056</v>
      </c>
      <c r="M366" t="s">
        <v>355</v>
      </c>
      <c r="O366" t="s">
        <v>1367</v>
      </c>
      <c r="P366" t="s">
        <v>1368</v>
      </c>
      <c r="Q366" t="s">
        <v>1155</v>
      </c>
      <c r="R366">
        <v>2069125</v>
      </c>
      <c r="S366" t="s">
        <v>1699</v>
      </c>
      <c r="U366" t="s">
        <v>1700</v>
      </c>
      <c r="V366" t="s">
        <v>356</v>
      </c>
      <c r="W366">
        <v>1100000</v>
      </c>
      <c r="X366">
        <v>291.5</v>
      </c>
      <c r="Y366">
        <v>2476.1</v>
      </c>
      <c r="Z366">
        <v>1100000</v>
      </c>
      <c r="AA366">
        <v>306</v>
      </c>
      <c r="AB366">
        <v>44380.893724386573</v>
      </c>
      <c r="AC366" t="s">
        <v>25</v>
      </c>
      <c r="AD366">
        <v>2</v>
      </c>
    </row>
    <row r="367" spans="1:30" x14ac:dyDescent="0.25">
      <c r="A367" t="s">
        <v>1051</v>
      </c>
      <c r="B367" t="s">
        <v>1106</v>
      </c>
      <c r="C367" t="s">
        <v>1151</v>
      </c>
      <c r="D367" t="s">
        <v>1676</v>
      </c>
      <c r="E367" t="s">
        <v>1060</v>
      </c>
      <c r="F367" t="s">
        <v>1061</v>
      </c>
      <c r="G367">
        <v>6101065</v>
      </c>
      <c r="H367">
        <v>202106</v>
      </c>
      <c r="I367">
        <v>44375</v>
      </c>
      <c r="J367" t="s">
        <v>1701</v>
      </c>
      <c r="K367" t="s">
        <v>1056</v>
      </c>
      <c r="M367" t="s">
        <v>355</v>
      </c>
      <c r="O367" t="s">
        <v>1677</v>
      </c>
      <c r="P367" t="s">
        <v>1678</v>
      </c>
      <c r="Q367" t="s">
        <v>1155</v>
      </c>
      <c r="R367">
        <v>2069125</v>
      </c>
      <c r="S367" t="s">
        <v>355</v>
      </c>
      <c r="U367" t="s">
        <v>1702</v>
      </c>
      <c r="V367" t="s">
        <v>356</v>
      </c>
      <c r="W367">
        <v>8000000</v>
      </c>
      <c r="X367">
        <v>2120</v>
      </c>
      <c r="Y367">
        <v>18008</v>
      </c>
      <c r="Z367">
        <v>8000000</v>
      </c>
      <c r="AA367">
        <v>0</v>
      </c>
      <c r="AB367">
        <v>44379.252708796295</v>
      </c>
      <c r="AC367" t="s">
        <v>25</v>
      </c>
      <c r="AD367">
        <v>2</v>
      </c>
    </row>
    <row r="368" spans="1:30" x14ac:dyDescent="0.25">
      <c r="A368" t="s">
        <v>1051</v>
      </c>
      <c r="B368" t="s">
        <v>1106</v>
      </c>
      <c r="C368" t="s">
        <v>1151</v>
      </c>
      <c r="D368" t="s">
        <v>1676</v>
      </c>
      <c r="E368" t="s">
        <v>1060</v>
      </c>
      <c r="F368" t="s">
        <v>1061</v>
      </c>
      <c r="G368">
        <v>6101065</v>
      </c>
      <c r="H368">
        <v>202106</v>
      </c>
      <c r="I368">
        <v>44375</v>
      </c>
      <c r="J368" t="s">
        <v>1701</v>
      </c>
      <c r="K368" t="s">
        <v>1056</v>
      </c>
      <c r="M368" t="s">
        <v>355</v>
      </c>
      <c r="O368" t="s">
        <v>1683</v>
      </c>
      <c r="P368" t="s">
        <v>1684</v>
      </c>
      <c r="Q368" t="s">
        <v>1155</v>
      </c>
      <c r="R368">
        <v>2069125</v>
      </c>
      <c r="S368" t="s">
        <v>355</v>
      </c>
      <c r="U368" t="s">
        <v>1703</v>
      </c>
      <c r="V368" t="s">
        <v>356</v>
      </c>
      <c r="W368">
        <v>91200</v>
      </c>
      <c r="X368">
        <v>24.17</v>
      </c>
      <c r="Y368">
        <v>205.29</v>
      </c>
      <c r="Z368">
        <v>91200</v>
      </c>
      <c r="AA368">
        <v>0</v>
      </c>
      <c r="AB368">
        <v>44379.252708796295</v>
      </c>
      <c r="AC368" t="s">
        <v>25</v>
      </c>
      <c r="AD368">
        <v>2</v>
      </c>
    </row>
    <row r="369" spans="1:30" x14ac:dyDescent="0.25">
      <c r="A369" t="s">
        <v>1051</v>
      </c>
      <c r="B369" t="s">
        <v>1106</v>
      </c>
      <c r="C369" t="s">
        <v>1151</v>
      </c>
      <c r="D369" t="s">
        <v>1676</v>
      </c>
      <c r="E369" t="s">
        <v>1060</v>
      </c>
      <c r="F369" t="s">
        <v>1061</v>
      </c>
      <c r="G369">
        <v>6101331</v>
      </c>
      <c r="H369">
        <v>202107</v>
      </c>
      <c r="I369">
        <v>44407</v>
      </c>
      <c r="J369">
        <v>125062</v>
      </c>
      <c r="K369" t="s">
        <v>1056</v>
      </c>
      <c r="M369" t="s">
        <v>355</v>
      </c>
      <c r="O369" t="s">
        <v>1615</v>
      </c>
      <c r="P369" t="s">
        <v>1616</v>
      </c>
      <c r="Q369" t="s">
        <v>354</v>
      </c>
      <c r="R369">
        <v>2069121</v>
      </c>
      <c r="S369" t="s">
        <v>355</v>
      </c>
      <c r="U369" t="s">
        <v>1704</v>
      </c>
      <c r="V369" t="s">
        <v>356</v>
      </c>
      <c r="W369">
        <v>350000</v>
      </c>
      <c r="X369">
        <v>89.6</v>
      </c>
      <c r="Y369">
        <v>774.2</v>
      </c>
      <c r="Z369">
        <v>350000</v>
      </c>
      <c r="AA369">
        <v>0</v>
      </c>
      <c r="AB369">
        <v>44409.970937847225</v>
      </c>
      <c r="AC369" t="s">
        <v>19</v>
      </c>
      <c r="AD369">
        <v>2</v>
      </c>
    </row>
    <row r="370" spans="1:30" x14ac:dyDescent="0.25">
      <c r="A370" t="s">
        <v>1051</v>
      </c>
      <c r="B370" t="s">
        <v>1106</v>
      </c>
      <c r="C370" t="s">
        <v>1151</v>
      </c>
      <c r="D370" t="s">
        <v>1676</v>
      </c>
      <c r="E370" t="s">
        <v>1060</v>
      </c>
      <c r="F370" t="s">
        <v>1061</v>
      </c>
      <c r="G370">
        <v>6101361</v>
      </c>
      <c r="H370">
        <v>202107</v>
      </c>
      <c r="I370">
        <v>44406</v>
      </c>
      <c r="J370" t="s">
        <v>1681</v>
      </c>
      <c r="K370" t="s">
        <v>1056</v>
      </c>
      <c r="M370" t="s">
        <v>355</v>
      </c>
      <c r="O370" t="s">
        <v>1677</v>
      </c>
      <c r="P370" t="s">
        <v>1678</v>
      </c>
      <c r="Q370" t="s">
        <v>354</v>
      </c>
      <c r="R370">
        <v>2069123</v>
      </c>
      <c r="S370" t="s">
        <v>355</v>
      </c>
      <c r="U370" t="s">
        <v>1705</v>
      </c>
      <c r="V370" t="s">
        <v>356</v>
      </c>
      <c r="W370">
        <v>4800000</v>
      </c>
      <c r="X370">
        <v>1262.4000000000001</v>
      </c>
      <c r="Y370">
        <v>10867.2</v>
      </c>
      <c r="Z370">
        <v>4800000</v>
      </c>
      <c r="AA370">
        <v>0</v>
      </c>
      <c r="AB370">
        <v>44410.905584259257</v>
      </c>
      <c r="AC370" t="s">
        <v>22</v>
      </c>
      <c r="AD370">
        <v>2</v>
      </c>
    </row>
    <row r="371" spans="1:30" x14ac:dyDescent="0.25">
      <c r="A371" t="s">
        <v>1051</v>
      </c>
      <c r="B371" t="s">
        <v>1106</v>
      </c>
      <c r="C371" t="s">
        <v>1151</v>
      </c>
      <c r="D371" t="s">
        <v>1676</v>
      </c>
      <c r="E371" t="s">
        <v>1060</v>
      </c>
      <c r="F371" t="s">
        <v>1061</v>
      </c>
      <c r="G371">
        <v>6101361</v>
      </c>
      <c r="H371">
        <v>202107</v>
      </c>
      <c r="I371">
        <v>44406</v>
      </c>
      <c r="J371" t="s">
        <v>1681</v>
      </c>
      <c r="K371" t="s">
        <v>1056</v>
      </c>
      <c r="M371" t="s">
        <v>355</v>
      </c>
      <c r="O371" t="s">
        <v>1683</v>
      </c>
      <c r="P371" t="s">
        <v>1684</v>
      </c>
      <c r="Q371" t="s">
        <v>354</v>
      </c>
      <c r="R371">
        <v>2069123</v>
      </c>
      <c r="S371" t="s">
        <v>355</v>
      </c>
      <c r="U371" t="s">
        <v>1706</v>
      </c>
      <c r="V371" t="s">
        <v>356</v>
      </c>
      <c r="W371">
        <v>54720</v>
      </c>
      <c r="X371">
        <v>14.39</v>
      </c>
      <c r="Y371">
        <v>123.89</v>
      </c>
      <c r="Z371">
        <v>54720</v>
      </c>
      <c r="AA371">
        <v>0</v>
      </c>
      <c r="AB371">
        <v>44410.905584456021</v>
      </c>
      <c r="AC371" t="s">
        <v>22</v>
      </c>
      <c r="AD371">
        <v>2</v>
      </c>
    </row>
    <row r="372" spans="1:30" x14ac:dyDescent="0.25">
      <c r="A372" t="s">
        <v>1051</v>
      </c>
      <c r="B372" t="s">
        <v>1106</v>
      </c>
      <c r="C372" t="s">
        <v>1151</v>
      </c>
      <c r="D372" t="s">
        <v>1676</v>
      </c>
      <c r="E372" t="s">
        <v>1060</v>
      </c>
      <c r="F372" t="s">
        <v>1061</v>
      </c>
      <c r="G372">
        <v>6101361</v>
      </c>
      <c r="H372">
        <v>202107</v>
      </c>
      <c r="I372">
        <v>44406</v>
      </c>
      <c r="J372" t="s">
        <v>1681</v>
      </c>
      <c r="K372" t="s">
        <v>1056</v>
      </c>
      <c r="M372" t="s">
        <v>355</v>
      </c>
      <c r="O372" t="s">
        <v>1677</v>
      </c>
      <c r="P372" t="s">
        <v>1678</v>
      </c>
      <c r="Q372" t="s">
        <v>354</v>
      </c>
      <c r="R372">
        <v>2069127</v>
      </c>
      <c r="S372" t="s">
        <v>355</v>
      </c>
      <c r="U372" t="s">
        <v>1707</v>
      </c>
      <c r="V372" t="s">
        <v>356</v>
      </c>
      <c r="W372">
        <v>4800000</v>
      </c>
      <c r="X372">
        <v>1262.4000000000001</v>
      </c>
      <c r="Y372">
        <v>10867.2</v>
      </c>
      <c r="Z372">
        <v>4800000</v>
      </c>
      <c r="AA372">
        <v>0</v>
      </c>
      <c r="AB372">
        <v>44410.905584456021</v>
      </c>
      <c r="AC372" t="s">
        <v>36</v>
      </c>
      <c r="AD372">
        <v>2</v>
      </c>
    </row>
    <row r="373" spans="1:30" x14ac:dyDescent="0.25">
      <c r="A373" t="s">
        <v>1051</v>
      </c>
      <c r="B373" t="s">
        <v>1106</v>
      </c>
      <c r="C373" t="s">
        <v>1151</v>
      </c>
      <c r="D373" t="s">
        <v>1676</v>
      </c>
      <c r="E373" t="s">
        <v>1060</v>
      </c>
      <c r="F373" t="s">
        <v>1061</v>
      </c>
      <c r="G373">
        <v>6101361</v>
      </c>
      <c r="H373">
        <v>202107</v>
      </c>
      <c r="I373">
        <v>44406</v>
      </c>
      <c r="J373" t="s">
        <v>1681</v>
      </c>
      <c r="K373" t="s">
        <v>1056</v>
      </c>
      <c r="M373" t="s">
        <v>355</v>
      </c>
      <c r="O373" t="s">
        <v>1683</v>
      </c>
      <c r="P373" t="s">
        <v>1684</v>
      </c>
      <c r="Q373" t="s">
        <v>354</v>
      </c>
      <c r="R373">
        <v>2069127</v>
      </c>
      <c r="S373" t="s">
        <v>355</v>
      </c>
      <c r="U373" t="s">
        <v>1708</v>
      </c>
      <c r="V373" t="s">
        <v>356</v>
      </c>
      <c r="W373">
        <v>54720</v>
      </c>
      <c r="X373">
        <v>14.39</v>
      </c>
      <c r="Y373">
        <v>123.89</v>
      </c>
      <c r="Z373">
        <v>54720</v>
      </c>
      <c r="AA373">
        <v>0</v>
      </c>
      <c r="AB373">
        <v>44410.905584456021</v>
      </c>
      <c r="AC373" t="s">
        <v>36</v>
      </c>
      <c r="AD373">
        <v>2</v>
      </c>
    </row>
    <row r="374" spans="1:30" x14ac:dyDescent="0.25">
      <c r="A374" t="s">
        <v>1051</v>
      </c>
      <c r="B374" t="s">
        <v>1106</v>
      </c>
      <c r="C374" t="s">
        <v>1151</v>
      </c>
      <c r="D374" t="s">
        <v>1676</v>
      </c>
      <c r="E374" t="s">
        <v>1060</v>
      </c>
      <c r="F374" t="s">
        <v>1061</v>
      </c>
      <c r="G374">
        <v>6101508</v>
      </c>
      <c r="H374">
        <v>202108</v>
      </c>
      <c r="I374">
        <v>44421</v>
      </c>
      <c r="J374" t="s">
        <v>1681</v>
      </c>
      <c r="K374" t="s">
        <v>1056</v>
      </c>
      <c r="M374" t="s">
        <v>355</v>
      </c>
      <c r="O374" t="s">
        <v>1677</v>
      </c>
      <c r="P374" t="s">
        <v>1678</v>
      </c>
      <c r="Q374" t="s">
        <v>1155</v>
      </c>
      <c r="R374">
        <v>2069125</v>
      </c>
      <c r="S374" t="s">
        <v>1709</v>
      </c>
      <c r="U374" t="s">
        <v>1710</v>
      </c>
      <c r="V374" t="s">
        <v>356</v>
      </c>
      <c r="W374">
        <v>-710000</v>
      </c>
      <c r="X374">
        <v>-181.53</v>
      </c>
      <c r="Y374">
        <v>-1568.12</v>
      </c>
      <c r="Z374">
        <v>-710000</v>
      </c>
      <c r="AA374">
        <v>0</v>
      </c>
      <c r="AB374">
        <v>44426.799762696763</v>
      </c>
      <c r="AC374" t="s">
        <v>25</v>
      </c>
      <c r="AD374">
        <v>2</v>
      </c>
    </row>
    <row r="375" spans="1:30" x14ac:dyDescent="0.25">
      <c r="A375" t="s">
        <v>1051</v>
      </c>
      <c r="B375" t="s">
        <v>1106</v>
      </c>
      <c r="C375" t="s">
        <v>1151</v>
      </c>
      <c r="D375" t="s">
        <v>1676</v>
      </c>
      <c r="E375" t="s">
        <v>1060</v>
      </c>
      <c r="F375" t="s">
        <v>1061</v>
      </c>
      <c r="G375">
        <v>6101539</v>
      </c>
      <c r="H375">
        <v>202108</v>
      </c>
      <c r="I375">
        <v>44421</v>
      </c>
      <c r="J375" t="s">
        <v>1681</v>
      </c>
      <c r="K375" t="s">
        <v>1056</v>
      </c>
      <c r="M375" t="s">
        <v>355</v>
      </c>
      <c r="O375" t="s">
        <v>1677</v>
      </c>
      <c r="P375" t="s">
        <v>1678</v>
      </c>
      <c r="Q375" t="s">
        <v>1155</v>
      </c>
      <c r="R375">
        <v>2069125</v>
      </c>
      <c r="S375" t="s">
        <v>1711</v>
      </c>
      <c r="U375" t="s">
        <v>1712</v>
      </c>
      <c r="V375" t="s">
        <v>356</v>
      </c>
      <c r="W375">
        <v>-1300000</v>
      </c>
      <c r="X375">
        <v>-332.37</v>
      </c>
      <c r="Y375">
        <v>-2871.21</v>
      </c>
      <c r="Z375">
        <v>-1300000</v>
      </c>
      <c r="AA375">
        <v>0</v>
      </c>
      <c r="AB375">
        <v>44427.966017326391</v>
      </c>
      <c r="AC375" t="s">
        <v>25</v>
      </c>
      <c r="AD375">
        <v>2</v>
      </c>
    </row>
    <row r="376" spans="1:30" x14ac:dyDescent="0.25">
      <c r="A376" t="s">
        <v>1051</v>
      </c>
      <c r="B376" t="s">
        <v>1106</v>
      </c>
      <c r="C376" t="s">
        <v>1151</v>
      </c>
      <c r="D376" t="s">
        <v>1676</v>
      </c>
      <c r="E376" t="s">
        <v>1060</v>
      </c>
      <c r="F376" t="s">
        <v>1061</v>
      </c>
      <c r="G376">
        <v>6101773</v>
      </c>
      <c r="H376">
        <v>202108</v>
      </c>
      <c r="I376">
        <v>44438</v>
      </c>
      <c r="J376">
        <v>122536</v>
      </c>
      <c r="K376" t="s">
        <v>1056</v>
      </c>
      <c r="M376" t="s">
        <v>355</v>
      </c>
      <c r="O376" t="s">
        <v>1677</v>
      </c>
      <c r="P376" t="s">
        <v>1678</v>
      </c>
      <c r="Q376" t="s">
        <v>354</v>
      </c>
      <c r="R376">
        <v>2069127</v>
      </c>
      <c r="S376" t="s">
        <v>355</v>
      </c>
      <c r="U376" t="s">
        <v>1713</v>
      </c>
      <c r="V376" t="s">
        <v>356</v>
      </c>
      <c r="W376">
        <v>-790000</v>
      </c>
      <c r="X376">
        <v>-204.4</v>
      </c>
      <c r="Y376">
        <v>-1779.96</v>
      </c>
      <c r="Z376">
        <v>-790000</v>
      </c>
      <c r="AA376">
        <v>0</v>
      </c>
      <c r="AB376">
        <v>44445.839481944444</v>
      </c>
      <c r="AC376" t="s">
        <v>36</v>
      </c>
      <c r="AD376">
        <v>2</v>
      </c>
    </row>
    <row r="377" spans="1:30" x14ac:dyDescent="0.25">
      <c r="A377" t="s">
        <v>1051</v>
      </c>
      <c r="B377" t="s">
        <v>1106</v>
      </c>
      <c r="C377" t="s">
        <v>1151</v>
      </c>
      <c r="D377" t="s">
        <v>1676</v>
      </c>
      <c r="E377" t="s">
        <v>1060</v>
      </c>
      <c r="F377" t="s">
        <v>1061</v>
      </c>
      <c r="G377">
        <v>6101689</v>
      </c>
      <c r="H377">
        <v>202108</v>
      </c>
      <c r="I377">
        <v>44439</v>
      </c>
      <c r="J377" t="s">
        <v>1714</v>
      </c>
      <c r="K377" t="s">
        <v>1056</v>
      </c>
      <c r="M377" t="s">
        <v>355</v>
      </c>
      <c r="O377" t="s">
        <v>1695</v>
      </c>
      <c r="P377" t="s">
        <v>1696</v>
      </c>
      <c r="Q377" t="s">
        <v>354</v>
      </c>
      <c r="R377">
        <v>2069121</v>
      </c>
      <c r="S377" t="s">
        <v>355</v>
      </c>
      <c r="U377" t="s">
        <v>1715</v>
      </c>
      <c r="V377" t="s">
        <v>356</v>
      </c>
      <c r="W377">
        <v>320000</v>
      </c>
      <c r="X377">
        <v>82.79</v>
      </c>
      <c r="Y377">
        <v>721</v>
      </c>
      <c r="Z377">
        <v>320000</v>
      </c>
      <c r="AA377">
        <v>0</v>
      </c>
      <c r="AB377">
        <v>44442.145152048608</v>
      </c>
      <c r="AC377" t="s">
        <v>19</v>
      </c>
      <c r="AD377">
        <v>2</v>
      </c>
    </row>
    <row r="378" spans="1:30" x14ac:dyDescent="0.25">
      <c r="A378" t="s">
        <v>1051</v>
      </c>
      <c r="B378" t="s">
        <v>1106</v>
      </c>
      <c r="C378" t="s">
        <v>1151</v>
      </c>
      <c r="D378" t="s">
        <v>1676</v>
      </c>
      <c r="E378" t="s">
        <v>1060</v>
      </c>
      <c r="F378" t="s">
        <v>1061</v>
      </c>
      <c r="G378">
        <v>6101875</v>
      </c>
      <c r="H378">
        <v>202109</v>
      </c>
      <c r="I378">
        <v>44441</v>
      </c>
      <c r="J378">
        <v>122536</v>
      </c>
      <c r="K378" t="s">
        <v>1056</v>
      </c>
      <c r="M378" t="s">
        <v>355</v>
      </c>
      <c r="O378" t="s">
        <v>1683</v>
      </c>
      <c r="P378" t="s">
        <v>1684</v>
      </c>
      <c r="Q378" t="s">
        <v>354</v>
      </c>
      <c r="R378">
        <v>2069127</v>
      </c>
      <c r="S378" t="s">
        <v>355</v>
      </c>
      <c r="U378" t="s">
        <v>1716</v>
      </c>
      <c r="V378" t="s">
        <v>356</v>
      </c>
      <c r="W378">
        <v>86982</v>
      </c>
      <c r="X378">
        <v>23.17</v>
      </c>
      <c r="Y378">
        <v>201.4</v>
      </c>
      <c r="Z378">
        <v>86982</v>
      </c>
      <c r="AA378">
        <v>0</v>
      </c>
      <c r="AB378">
        <v>44453.946569479165</v>
      </c>
      <c r="AC378" t="s">
        <v>36</v>
      </c>
      <c r="AD378">
        <v>2</v>
      </c>
    </row>
    <row r="379" spans="1:30" x14ac:dyDescent="0.25">
      <c r="A379" t="s">
        <v>1051</v>
      </c>
      <c r="B379" t="s">
        <v>1106</v>
      </c>
      <c r="C379" t="s">
        <v>1151</v>
      </c>
      <c r="D379" t="s">
        <v>1676</v>
      </c>
      <c r="E379" t="s">
        <v>1060</v>
      </c>
      <c r="F379" t="s">
        <v>1061</v>
      </c>
      <c r="G379">
        <v>6101875</v>
      </c>
      <c r="H379">
        <v>202109</v>
      </c>
      <c r="I379">
        <v>44441</v>
      </c>
      <c r="J379">
        <v>122536</v>
      </c>
      <c r="K379" t="s">
        <v>1056</v>
      </c>
      <c r="M379" t="s">
        <v>355</v>
      </c>
      <c r="O379" t="s">
        <v>1677</v>
      </c>
      <c r="P379" t="s">
        <v>1678</v>
      </c>
      <c r="Q379" t="s">
        <v>354</v>
      </c>
      <c r="R379">
        <v>2069123</v>
      </c>
      <c r="S379" t="s">
        <v>355</v>
      </c>
      <c r="U379" t="s">
        <v>1717</v>
      </c>
      <c r="V379" t="s">
        <v>356</v>
      </c>
      <c r="W379">
        <v>990000</v>
      </c>
      <c r="X379">
        <v>263.77</v>
      </c>
      <c r="Y379">
        <v>2292.29</v>
      </c>
      <c r="Z379">
        <v>990000</v>
      </c>
      <c r="AA379">
        <v>0</v>
      </c>
      <c r="AB379">
        <v>44453.946569293985</v>
      </c>
      <c r="AC379" t="s">
        <v>22</v>
      </c>
      <c r="AD379">
        <v>2</v>
      </c>
    </row>
    <row r="380" spans="1:30" x14ac:dyDescent="0.25">
      <c r="A380" t="s">
        <v>1051</v>
      </c>
      <c r="B380" t="s">
        <v>1106</v>
      </c>
      <c r="C380" t="s">
        <v>1151</v>
      </c>
      <c r="D380" t="s">
        <v>1676</v>
      </c>
      <c r="E380" t="s">
        <v>1060</v>
      </c>
      <c r="F380" t="s">
        <v>1061</v>
      </c>
      <c r="G380">
        <v>6101875</v>
      </c>
      <c r="H380">
        <v>202109</v>
      </c>
      <c r="I380">
        <v>44441</v>
      </c>
      <c r="J380">
        <v>122536</v>
      </c>
      <c r="K380" t="s">
        <v>1056</v>
      </c>
      <c r="M380" t="s">
        <v>355</v>
      </c>
      <c r="O380" t="s">
        <v>1683</v>
      </c>
      <c r="P380" t="s">
        <v>1684</v>
      </c>
      <c r="Q380" t="s">
        <v>354</v>
      </c>
      <c r="R380">
        <v>2069123</v>
      </c>
      <c r="S380" t="s">
        <v>355</v>
      </c>
      <c r="U380" t="s">
        <v>1716</v>
      </c>
      <c r="V380" t="s">
        <v>356</v>
      </c>
      <c r="W380">
        <v>11286</v>
      </c>
      <c r="X380">
        <v>3.01</v>
      </c>
      <c r="Y380">
        <v>26.13</v>
      </c>
      <c r="Z380">
        <v>11286</v>
      </c>
      <c r="AA380">
        <v>0</v>
      </c>
      <c r="AB380">
        <v>44453.946569293985</v>
      </c>
      <c r="AC380" t="s">
        <v>22</v>
      </c>
      <c r="AD380">
        <v>2</v>
      </c>
    </row>
    <row r="381" spans="1:30" x14ac:dyDescent="0.25">
      <c r="A381" t="s">
        <v>1051</v>
      </c>
      <c r="B381" t="s">
        <v>1106</v>
      </c>
      <c r="C381" t="s">
        <v>1151</v>
      </c>
      <c r="D381" t="s">
        <v>1676</v>
      </c>
      <c r="E381" t="s">
        <v>1060</v>
      </c>
      <c r="F381" t="s">
        <v>1061</v>
      </c>
      <c r="G381">
        <v>6101875</v>
      </c>
      <c r="H381">
        <v>202109</v>
      </c>
      <c r="I381">
        <v>44441</v>
      </c>
      <c r="J381">
        <v>122536</v>
      </c>
      <c r="K381" t="s">
        <v>1056</v>
      </c>
      <c r="M381" t="s">
        <v>355</v>
      </c>
      <c r="O381" t="s">
        <v>1677</v>
      </c>
      <c r="P381" t="s">
        <v>1678</v>
      </c>
      <c r="Q381" t="s">
        <v>354</v>
      </c>
      <c r="R381">
        <v>2069127</v>
      </c>
      <c r="S381" t="s">
        <v>355</v>
      </c>
      <c r="U381" t="s">
        <v>1717</v>
      </c>
      <c r="V381" t="s">
        <v>356</v>
      </c>
      <c r="W381">
        <v>3815000</v>
      </c>
      <c r="X381">
        <v>1016.43</v>
      </c>
      <c r="Y381">
        <v>8833.4</v>
      </c>
      <c r="Z381">
        <v>3815000</v>
      </c>
      <c r="AA381">
        <v>0</v>
      </c>
      <c r="AB381">
        <v>44453.946569293985</v>
      </c>
      <c r="AC381" t="s">
        <v>36</v>
      </c>
      <c r="AD381">
        <v>2</v>
      </c>
    </row>
    <row r="382" spans="1:30" x14ac:dyDescent="0.25">
      <c r="A382" t="s">
        <v>1051</v>
      </c>
      <c r="B382" t="s">
        <v>1106</v>
      </c>
      <c r="C382" t="s">
        <v>1151</v>
      </c>
      <c r="D382" t="s">
        <v>1676</v>
      </c>
      <c r="E382" t="s">
        <v>1060</v>
      </c>
      <c r="F382" t="s">
        <v>1061</v>
      </c>
      <c r="G382">
        <v>6101875</v>
      </c>
      <c r="H382">
        <v>202109</v>
      </c>
      <c r="I382">
        <v>44441</v>
      </c>
      <c r="J382">
        <v>122536</v>
      </c>
      <c r="K382" t="s">
        <v>1056</v>
      </c>
      <c r="M382" t="s">
        <v>355</v>
      </c>
      <c r="O382" t="s">
        <v>1677</v>
      </c>
      <c r="P382" t="s">
        <v>1678</v>
      </c>
      <c r="Q382" t="s">
        <v>354</v>
      </c>
      <c r="R382">
        <v>2069127</v>
      </c>
      <c r="S382" t="s">
        <v>355</v>
      </c>
      <c r="U382" t="s">
        <v>1717</v>
      </c>
      <c r="V382" t="s">
        <v>356</v>
      </c>
      <c r="W382">
        <v>3815000</v>
      </c>
      <c r="X382">
        <v>1016.43</v>
      </c>
      <c r="Y382">
        <v>8833.4</v>
      </c>
      <c r="Z382">
        <v>3815000</v>
      </c>
      <c r="AA382">
        <v>0</v>
      </c>
      <c r="AB382">
        <v>44453.946569293985</v>
      </c>
      <c r="AC382" t="s">
        <v>36</v>
      </c>
      <c r="AD382">
        <v>2</v>
      </c>
    </row>
    <row r="383" spans="1:30" x14ac:dyDescent="0.25">
      <c r="A383" t="s">
        <v>1051</v>
      </c>
      <c r="B383" t="s">
        <v>1106</v>
      </c>
      <c r="C383" t="s">
        <v>1151</v>
      </c>
      <c r="D383" t="s">
        <v>1676</v>
      </c>
      <c r="E383" t="s">
        <v>1060</v>
      </c>
      <c r="F383" t="s">
        <v>1061</v>
      </c>
      <c r="G383">
        <v>6102162</v>
      </c>
      <c r="H383">
        <v>202109</v>
      </c>
      <c r="I383">
        <v>44467</v>
      </c>
      <c r="J383" t="s">
        <v>1681</v>
      </c>
      <c r="K383" t="s">
        <v>1056</v>
      </c>
      <c r="M383" t="s">
        <v>355</v>
      </c>
      <c r="O383" t="s">
        <v>1677</v>
      </c>
      <c r="P383" t="s">
        <v>1678</v>
      </c>
      <c r="Q383" t="s">
        <v>354</v>
      </c>
      <c r="R383">
        <v>2069132</v>
      </c>
      <c r="S383" t="s">
        <v>355</v>
      </c>
      <c r="U383" t="s">
        <v>1718</v>
      </c>
      <c r="V383" t="s">
        <v>356</v>
      </c>
      <c r="W383">
        <v>1200000</v>
      </c>
      <c r="X383">
        <v>312.94</v>
      </c>
      <c r="Y383">
        <v>2721.06</v>
      </c>
      <c r="Z383">
        <v>1200000</v>
      </c>
      <c r="AA383">
        <v>0</v>
      </c>
      <c r="AB383">
        <v>44473.764540011573</v>
      </c>
      <c r="AC383" t="s">
        <v>56</v>
      </c>
      <c r="AD383">
        <v>2</v>
      </c>
    </row>
    <row r="384" spans="1:30" x14ac:dyDescent="0.25">
      <c r="A384" t="s">
        <v>1051</v>
      </c>
      <c r="B384" t="s">
        <v>1106</v>
      </c>
      <c r="C384" t="s">
        <v>1151</v>
      </c>
      <c r="D384" t="s">
        <v>1676</v>
      </c>
      <c r="E384" t="s">
        <v>1060</v>
      </c>
      <c r="F384" t="s">
        <v>1061</v>
      </c>
      <c r="G384">
        <v>6102162</v>
      </c>
      <c r="H384">
        <v>202109</v>
      </c>
      <c r="I384">
        <v>44467</v>
      </c>
      <c r="J384" t="s">
        <v>1681</v>
      </c>
      <c r="K384" t="s">
        <v>1056</v>
      </c>
      <c r="M384" t="s">
        <v>355</v>
      </c>
      <c r="O384" t="s">
        <v>1677</v>
      </c>
      <c r="P384" t="s">
        <v>1678</v>
      </c>
      <c r="Q384" t="s">
        <v>354</v>
      </c>
      <c r="R384">
        <v>2069126</v>
      </c>
      <c r="S384" t="s">
        <v>355</v>
      </c>
      <c r="U384" t="s">
        <v>1718</v>
      </c>
      <c r="V384" t="s">
        <v>356</v>
      </c>
      <c r="W384">
        <v>7630000</v>
      </c>
      <c r="X384">
        <v>1989.75</v>
      </c>
      <c r="Y384">
        <v>17301.41</v>
      </c>
      <c r="Z384">
        <v>7630000</v>
      </c>
      <c r="AA384">
        <v>0</v>
      </c>
      <c r="AB384">
        <v>44473.764540011573</v>
      </c>
      <c r="AC384" t="s">
        <v>36</v>
      </c>
      <c r="AD384">
        <v>2</v>
      </c>
    </row>
    <row r="385" spans="1:30" x14ac:dyDescent="0.25">
      <c r="A385" t="s">
        <v>1051</v>
      </c>
      <c r="B385" t="s">
        <v>1106</v>
      </c>
      <c r="C385" t="s">
        <v>1151</v>
      </c>
      <c r="D385" t="s">
        <v>1676</v>
      </c>
      <c r="E385" t="s">
        <v>1060</v>
      </c>
      <c r="F385" t="s">
        <v>1061</v>
      </c>
      <c r="G385">
        <v>6102162</v>
      </c>
      <c r="H385">
        <v>202109</v>
      </c>
      <c r="I385">
        <v>44467</v>
      </c>
      <c r="J385" t="s">
        <v>1681</v>
      </c>
      <c r="K385" t="s">
        <v>1056</v>
      </c>
      <c r="M385" t="s">
        <v>355</v>
      </c>
      <c r="O385" t="s">
        <v>1677</v>
      </c>
      <c r="P385" t="s">
        <v>1678</v>
      </c>
      <c r="Q385" t="s">
        <v>354</v>
      </c>
      <c r="R385">
        <v>2069127</v>
      </c>
      <c r="S385" t="s">
        <v>355</v>
      </c>
      <c r="U385" t="s">
        <v>1718</v>
      </c>
      <c r="V385" t="s">
        <v>356</v>
      </c>
      <c r="W385">
        <v>10800000</v>
      </c>
      <c r="X385">
        <v>2816.42</v>
      </c>
      <c r="Y385">
        <v>24489.54</v>
      </c>
      <c r="Z385">
        <v>10800000</v>
      </c>
      <c r="AA385">
        <v>0</v>
      </c>
      <c r="AB385">
        <v>44473.76454019676</v>
      </c>
      <c r="AC385" t="s">
        <v>36</v>
      </c>
      <c r="AD385">
        <v>2</v>
      </c>
    </row>
    <row r="386" spans="1:30" x14ac:dyDescent="0.25">
      <c r="A386" t="s">
        <v>1051</v>
      </c>
      <c r="B386" t="s">
        <v>1106</v>
      </c>
      <c r="C386" t="s">
        <v>1151</v>
      </c>
      <c r="D386" t="s">
        <v>1676</v>
      </c>
      <c r="E386" t="s">
        <v>1060</v>
      </c>
      <c r="F386" t="s">
        <v>1061</v>
      </c>
      <c r="G386">
        <v>6102162</v>
      </c>
      <c r="H386">
        <v>202109</v>
      </c>
      <c r="I386">
        <v>44467</v>
      </c>
      <c r="J386" t="s">
        <v>1681</v>
      </c>
      <c r="K386" t="s">
        <v>1056</v>
      </c>
      <c r="M386" t="s">
        <v>355</v>
      </c>
      <c r="O386" t="s">
        <v>1683</v>
      </c>
      <c r="P386" t="s">
        <v>1684</v>
      </c>
      <c r="Q386" t="s">
        <v>354</v>
      </c>
      <c r="R386">
        <v>2069132</v>
      </c>
      <c r="S386" t="s">
        <v>355</v>
      </c>
      <c r="U386" t="s">
        <v>1719</v>
      </c>
      <c r="V386" t="s">
        <v>356</v>
      </c>
      <c r="W386">
        <v>13680</v>
      </c>
      <c r="X386">
        <v>3.57</v>
      </c>
      <c r="Y386">
        <v>31.02</v>
      </c>
      <c r="Z386">
        <v>13680</v>
      </c>
      <c r="AA386">
        <v>0</v>
      </c>
      <c r="AB386">
        <v>44473.76454019676</v>
      </c>
      <c r="AC386" t="s">
        <v>56</v>
      </c>
      <c r="AD386">
        <v>2</v>
      </c>
    </row>
    <row r="387" spans="1:30" x14ac:dyDescent="0.25">
      <c r="A387" t="s">
        <v>1051</v>
      </c>
      <c r="B387" t="s">
        <v>1106</v>
      </c>
      <c r="C387" t="s">
        <v>1151</v>
      </c>
      <c r="D387" t="s">
        <v>1676</v>
      </c>
      <c r="E387" t="s">
        <v>1060</v>
      </c>
      <c r="F387" t="s">
        <v>1061</v>
      </c>
      <c r="G387">
        <v>6102162</v>
      </c>
      <c r="H387">
        <v>202109</v>
      </c>
      <c r="I387">
        <v>44467</v>
      </c>
      <c r="J387" t="s">
        <v>1681</v>
      </c>
      <c r="K387" t="s">
        <v>1056</v>
      </c>
      <c r="M387" t="s">
        <v>355</v>
      </c>
      <c r="O387" t="s">
        <v>1683</v>
      </c>
      <c r="P387" t="s">
        <v>1684</v>
      </c>
      <c r="Q387" t="s">
        <v>354</v>
      </c>
      <c r="R387">
        <v>2069126</v>
      </c>
      <c r="S387" t="s">
        <v>355</v>
      </c>
      <c r="U387" t="s">
        <v>1719</v>
      </c>
      <c r="V387" t="s">
        <v>356</v>
      </c>
      <c r="W387">
        <v>86982</v>
      </c>
      <c r="X387">
        <v>22.68</v>
      </c>
      <c r="Y387">
        <v>197.24</v>
      </c>
      <c r="Z387">
        <v>86982</v>
      </c>
      <c r="AA387">
        <v>0</v>
      </c>
      <c r="AB387">
        <v>44473.76454019676</v>
      </c>
      <c r="AC387" t="s">
        <v>36</v>
      </c>
      <c r="AD387">
        <v>2</v>
      </c>
    </row>
    <row r="388" spans="1:30" x14ac:dyDescent="0.25">
      <c r="A388" t="s">
        <v>1051</v>
      </c>
      <c r="B388" t="s">
        <v>1106</v>
      </c>
      <c r="C388" t="s">
        <v>1151</v>
      </c>
      <c r="D388" t="s">
        <v>1676</v>
      </c>
      <c r="E388" t="s">
        <v>1060</v>
      </c>
      <c r="F388" t="s">
        <v>1061</v>
      </c>
      <c r="G388">
        <v>6102162</v>
      </c>
      <c r="H388">
        <v>202109</v>
      </c>
      <c r="I388">
        <v>44467</v>
      </c>
      <c r="J388" t="s">
        <v>1681</v>
      </c>
      <c r="K388" t="s">
        <v>1056</v>
      </c>
      <c r="M388" t="s">
        <v>355</v>
      </c>
      <c r="O388" t="s">
        <v>1683</v>
      </c>
      <c r="P388" t="s">
        <v>1684</v>
      </c>
      <c r="Q388" t="s">
        <v>354</v>
      </c>
      <c r="R388">
        <v>2069126</v>
      </c>
      <c r="S388" t="s">
        <v>355</v>
      </c>
      <c r="U388" t="s">
        <v>1719</v>
      </c>
      <c r="V388" t="s">
        <v>356</v>
      </c>
      <c r="W388">
        <v>123120</v>
      </c>
      <c r="X388">
        <v>32.11</v>
      </c>
      <c r="Y388">
        <v>279.18</v>
      </c>
      <c r="Z388">
        <v>123120</v>
      </c>
      <c r="AA388">
        <v>0</v>
      </c>
      <c r="AB388">
        <v>44473.764540358796</v>
      </c>
      <c r="AC388" t="s">
        <v>36</v>
      </c>
      <c r="AD388">
        <v>2</v>
      </c>
    </row>
    <row r="389" spans="1:30" x14ac:dyDescent="0.25">
      <c r="A389" t="s">
        <v>1051</v>
      </c>
      <c r="B389" t="s">
        <v>1106</v>
      </c>
      <c r="C389" t="s">
        <v>1151</v>
      </c>
      <c r="D389" t="s">
        <v>1676</v>
      </c>
      <c r="E389" t="s">
        <v>1060</v>
      </c>
      <c r="F389" t="s">
        <v>1061</v>
      </c>
      <c r="G389">
        <v>6102204</v>
      </c>
      <c r="H389">
        <v>202109</v>
      </c>
      <c r="I389">
        <v>44467</v>
      </c>
      <c r="J389" t="s">
        <v>1681</v>
      </c>
      <c r="K389" t="s">
        <v>1056</v>
      </c>
      <c r="M389" t="s">
        <v>355</v>
      </c>
      <c r="O389" t="s">
        <v>1677</v>
      </c>
      <c r="P389" t="s">
        <v>1678</v>
      </c>
      <c r="Q389" t="s">
        <v>354</v>
      </c>
      <c r="R389">
        <v>2069127</v>
      </c>
      <c r="S389" t="s">
        <v>355</v>
      </c>
      <c r="U389" t="s">
        <v>1720</v>
      </c>
      <c r="V389" t="s">
        <v>356</v>
      </c>
      <c r="W389">
        <v>-395000</v>
      </c>
      <c r="X389">
        <v>-103.01</v>
      </c>
      <c r="Y389">
        <v>-895.68</v>
      </c>
      <c r="Z389">
        <v>-395000</v>
      </c>
      <c r="AA389">
        <v>0</v>
      </c>
      <c r="AB389">
        <v>44474.705578356479</v>
      </c>
      <c r="AC389" t="s">
        <v>36</v>
      </c>
      <c r="AD389">
        <v>2</v>
      </c>
    </row>
    <row r="390" spans="1:30" x14ac:dyDescent="0.25">
      <c r="A390" t="s">
        <v>1051</v>
      </c>
      <c r="B390" t="s">
        <v>1106</v>
      </c>
      <c r="C390" t="s">
        <v>1151</v>
      </c>
      <c r="D390" t="s">
        <v>1721</v>
      </c>
      <c r="E390" t="s">
        <v>1060</v>
      </c>
      <c r="F390" t="s">
        <v>1061</v>
      </c>
      <c r="G390">
        <v>6100453</v>
      </c>
      <c r="H390">
        <v>202103</v>
      </c>
      <c r="I390">
        <v>44281</v>
      </c>
      <c r="J390">
        <v>122536</v>
      </c>
      <c r="K390" t="s">
        <v>1056</v>
      </c>
      <c r="M390" t="s">
        <v>355</v>
      </c>
      <c r="O390" t="s">
        <v>1216</v>
      </c>
      <c r="P390" t="s">
        <v>1217</v>
      </c>
      <c r="Q390" t="s">
        <v>1155</v>
      </c>
      <c r="R390">
        <v>2069125</v>
      </c>
      <c r="S390" t="s">
        <v>355</v>
      </c>
      <c r="U390" t="s">
        <v>1722</v>
      </c>
      <c r="V390" t="s">
        <v>356</v>
      </c>
      <c r="W390">
        <v>100000</v>
      </c>
      <c r="X390">
        <v>27.9</v>
      </c>
      <c r="Y390">
        <v>240</v>
      </c>
      <c r="Z390">
        <v>100000</v>
      </c>
      <c r="AA390">
        <v>0</v>
      </c>
      <c r="AB390">
        <v>44286.055100891201</v>
      </c>
      <c r="AC390" t="s">
        <v>25</v>
      </c>
      <c r="AD390">
        <v>2</v>
      </c>
    </row>
    <row r="391" spans="1:30" x14ac:dyDescent="0.25">
      <c r="A391" t="s">
        <v>1051</v>
      </c>
      <c r="B391" t="s">
        <v>1106</v>
      </c>
      <c r="C391" t="s">
        <v>1151</v>
      </c>
      <c r="D391" t="s">
        <v>1721</v>
      </c>
      <c r="E391" t="s">
        <v>1060</v>
      </c>
      <c r="F391" t="s">
        <v>1061</v>
      </c>
      <c r="G391">
        <v>6100503</v>
      </c>
      <c r="H391">
        <v>202103</v>
      </c>
      <c r="I391">
        <v>44284</v>
      </c>
      <c r="J391" t="s">
        <v>1117</v>
      </c>
      <c r="K391" t="s">
        <v>1056</v>
      </c>
      <c r="M391" t="s">
        <v>355</v>
      </c>
      <c r="O391" t="s">
        <v>1216</v>
      </c>
      <c r="P391" t="s">
        <v>1217</v>
      </c>
      <c r="Q391" t="s">
        <v>1155</v>
      </c>
      <c r="R391">
        <v>2069125</v>
      </c>
      <c r="S391" t="s">
        <v>1723</v>
      </c>
      <c r="U391" t="s">
        <v>1724</v>
      </c>
      <c r="V391" t="s">
        <v>356</v>
      </c>
      <c r="W391">
        <v>1830000</v>
      </c>
      <c r="X391">
        <v>510.57</v>
      </c>
      <c r="Y391">
        <v>4392</v>
      </c>
      <c r="Z391">
        <v>1830000</v>
      </c>
      <c r="AA391">
        <v>318</v>
      </c>
      <c r="AB391">
        <v>44290.106625810186</v>
      </c>
      <c r="AC391" t="s">
        <v>25</v>
      </c>
      <c r="AD391">
        <v>2</v>
      </c>
    </row>
    <row r="392" spans="1:30" x14ac:dyDescent="0.25">
      <c r="A392" t="s">
        <v>1051</v>
      </c>
      <c r="B392" t="s">
        <v>1106</v>
      </c>
      <c r="C392" t="s">
        <v>1151</v>
      </c>
      <c r="D392" t="s">
        <v>1721</v>
      </c>
      <c r="E392" t="s">
        <v>1060</v>
      </c>
      <c r="F392" t="s">
        <v>1061</v>
      </c>
      <c r="G392">
        <v>6100638</v>
      </c>
      <c r="H392">
        <v>202104</v>
      </c>
      <c r="I392">
        <v>44302</v>
      </c>
      <c r="J392">
        <v>122536</v>
      </c>
      <c r="K392" t="s">
        <v>1056</v>
      </c>
      <c r="M392" t="s">
        <v>355</v>
      </c>
      <c r="O392" t="s">
        <v>1725</v>
      </c>
      <c r="P392" t="s">
        <v>1726</v>
      </c>
      <c r="Q392" t="s">
        <v>1155</v>
      </c>
      <c r="R392">
        <v>2069125</v>
      </c>
      <c r="S392" t="s">
        <v>355</v>
      </c>
      <c r="U392" t="s">
        <v>1727</v>
      </c>
      <c r="V392" t="s">
        <v>356</v>
      </c>
      <c r="W392">
        <v>390000</v>
      </c>
      <c r="X392">
        <v>107.25</v>
      </c>
      <c r="Y392">
        <v>908.31</v>
      </c>
      <c r="Z392">
        <v>390000</v>
      </c>
      <c r="AA392">
        <v>318</v>
      </c>
      <c r="AB392">
        <v>44310.032955706018</v>
      </c>
      <c r="AC392" t="s">
        <v>25</v>
      </c>
      <c r="AD392">
        <v>2</v>
      </c>
    </row>
    <row r="393" spans="1:30" x14ac:dyDescent="0.25">
      <c r="A393" t="s">
        <v>1051</v>
      </c>
      <c r="B393" t="s">
        <v>1106</v>
      </c>
      <c r="C393" t="s">
        <v>1151</v>
      </c>
      <c r="D393" t="s">
        <v>1721</v>
      </c>
      <c r="E393" t="s">
        <v>1060</v>
      </c>
      <c r="F393" t="s">
        <v>1061</v>
      </c>
      <c r="G393">
        <v>6100593</v>
      </c>
      <c r="H393">
        <v>202104</v>
      </c>
      <c r="I393">
        <v>44295</v>
      </c>
      <c r="J393" t="s">
        <v>1117</v>
      </c>
      <c r="K393" t="s">
        <v>1056</v>
      </c>
      <c r="M393" t="s">
        <v>355</v>
      </c>
      <c r="O393" t="s">
        <v>1728</v>
      </c>
      <c r="P393" t="s">
        <v>1729</v>
      </c>
      <c r="Q393" t="s">
        <v>1155</v>
      </c>
      <c r="R393">
        <v>2069125</v>
      </c>
      <c r="S393" t="s">
        <v>355</v>
      </c>
      <c r="U393" t="s">
        <v>1730</v>
      </c>
      <c r="V393" t="s">
        <v>356</v>
      </c>
      <c r="W393">
        <v>750000</v>
      </c>
      <c r="X393">
        <v>206.25</v>
      </c>
      <c r="Y393">
        <v>1764.75</v>
      </c>
      <c r="Z393">
        <v>750000</v>
      </c>
      <c r="AA393">
        <v>318</v>
      </c>
      <c r="AB393">
        <v>44304.250973958333</v>
      </c>
      <c r="AC393" t="s">
        <v>25</v>
      </c>
      <c r="AD393">
        <v>2</v>
      </c>
    </row>
    <row r="394" spans="1:30" x14ac:dyDescent="0.25">
      <c r="A394" t="s">
        <v>1051</v>
      </c>
      <c r="B394" t="s">
        <v>1106</v>
      </c>
      <c r="C394" t="s">
        <v>1151</v>
      </c>
      <c r="D394" t="s">
        <v>1721</v>
      </c>
      <c r="E394" t="s">
        <v>1060</v>
      </c>
      <c r="F394" t="s">
        <v>1061</v>
      </c>
      <c r="G394">
        <v>6100811</v>
      </c>
      <c r="H394">
        <v>202105</v>
      </c>
      <c r="I394">
        <v>44323</v>
      </c>
      <c r="J394" t="s">
        <v>1117</v>
      </c>
      <c r="K394" t="s">
        <v>1056</v>
      </c>
      <c r="M394" t="s">
        <v>355</v>
      </c>
      <c r="O394" t="s">
        <v>1731</v>
      </c>
      <c r="P394" t="s">
        <v>1732</v>
      </c>
      <c r="Q394" t="s">
        <v>1155</v>
      </c>
      <c r="R394">
        <v>2069125</v>
      </c>
      <c r="S394" t="s">
        <v>1733</v>
      </c>
      <c r="U394" t="s">
        <v>1734</v>
      </c>
      <c r="V394" t="s">
        <v>356</v>
      </c>
      <c r="W394">
        <v>570000</v>
      </c>
      <c r="X394">
        <v>148.19999999999999</v>
      </c>
      <c r="Y394">
        <v>1226.07</v>
      </c>
      <c r="Z394">
        <v>570000</v>
      </c>
      <c r="AA394">
        <v>318</v>
      </c>
      <c r="AB394">
        <v>44328.767658252313</v>
      </c>
      <c r="AC394" t="s">
        <v>25</v>
      </c>
      <c r="AD394">
        <v>2</v>
      </c>
    </row>
    <row r="395" spans="1:30" x14ac:dyDescent="0.25">
      <c r="A395" t="s">
        <v>1051</v>
      </c>
      <c r="B395" t="s">
        <v>1106</v>
      </c>
      <c r="C395" t="s">
        <v>1151</v>
      </c>
      <c r="D395" t="s">
        <v>1721</v>
      </c>
      <c r="E395" t="s">
        <v>1060</v>
      </c>
      <c r="F395" t="s">
        <v>1061</v>
      </c>
      <c r="G395">
        <v>6100811</v>
      </c>
      <c r="H395">
        <v>202105</v>
      </c>
      <c r="I395">
        <v>44323</v>
      </c>
      <c r="J395" t="s">
        <v>1117</v>
      </c>
      <c r="K395" t="s">
        <v>1056</v>
      </c>
      <c r="M395" t="s">
        <v>355</v>
      </c>
      <c r="O395" t="s">
        <v>1216</v>
      </c>
      <c r="P395" t="s">
        <v>1217</v>
      </c>
      <c r="Q395" t="s">
        <v>1155</v>
      </c>
      <c r="R395">
        <v>2069125</v>
      </c>
      <c r="S395" t="s">
        <v>1218</v>
      </c>
      <c r="U395" t="s">
        <v>1735</v>
      </c>
      <c r="V395" t="s">
        <v>356</v>
      </c>
      <c r="W395">
        <v>826500</v>
      </c>
      <c r="X395">
        <v>214.89</v>
      </c>
      <c r="Y395">
        <v>1777.8</v>
      </c>
      <c r="Z395">
        <v>826500</v>
      </c>
      <c r="AA395">
        <v>318</v>
      </c>
      <c r="AB395">
        <v>44328.767658993056</v>
      </c>
      <c r="AC395" t="s">
        <v>25</v>
      </c>
      <c r="AD395">
        <v>2</v>
      </c>
    </row>
    <row r="396" spans="1:30" x14ac:dyDescent="0.25">
      <c r="A396" t="s">
        <v>1051</v>
      </c>
      <c r="B396" t="s">
        <v>1106</v>
      </c>
      <c r="C396" t="s">
        <v>1151</v>
      </c>
      <c r="D396" t="s">
        <v>1721</v>
      </c>
      <c r="E396" t="s">
        <v>1060</v>
      </c>
      <c r="F396" t="s">
        <v>1061</v>
      </c>
      <c r="G396">
        <v>6100907</v>
      </c>
      <c r="H396">
        <v>202105</v>
      </c>
      <c r="I396">
        <v>44344</v>
      </c>
      <c r="J396">
        <v>122536</v>
      </c>
      <c r="K396" t="s">
        <v>1056</v>
      </c>
      <c r="M396" t="s">
        <v>355</v>
      </c>
      <c r="O396" t="s">
        <v>1736</v>
      </c>
      <c r="P396" t="s">
        <v>1737</v>
      </c>
      <c r="Q396" t="s">
        <v>1155</v>
      </c>
      <c r="R396">
        <v>2069125</v>
      </c>
      <c r="S396" t="s">
        <v>355</v>
      </c>
      <c r="U396" t="s">
        <v>1738</v>
      </c>
      <c r="V396" t="s">
        <v>356</v>
      </c>
      <c r="W396">
        <v>471000</v>
      </c>
      <c r="X396">
        <v>125.76</v>
      </c>
      <c r="Y396">
        <v>1032.43</v>
      </c>
      <c r="Z396">
        <v>471000</v>
      </c>
      <c r="AA396">
        <v>318</v>
      </c>
      <c r="AB396">
        <v>44347.689882175924</v>
      </c>
      <c r="AC396" t="s">
        <v>25</v>
      </c>
      <c r="AD396">
        <v>2</v>
      </c>
    </row>
    <row r="397" spans="1:30" x14ac:dyDescent="0.25">
      <c r="A397" t="s">
        <v>1051</v>
      </c>
      <c r="B397" t="s">
        <v>1106</v>
      </c>
      <c r="C397" t="s">
        <v>1151</v>
      </c>
      <c r="D397" t="s">
        <v>1721</v>
      </c>
      <c r="E397" t="s">
        <v>1060</v>
      </c>
      <c r="F397" t="s">
        <v>1061</v>
      </c>
      <c r="G397">
        <v>6101123</v>
      </c>
      <c r="H397">
        <v>202106</v>
      </c>
      <c r="I397">
        <v>44377</v>
      </c>
      <c r="J397" t="s">
        <v>1117</v>
      </c>
      <c r="K397" t="s">
        <v>1056</v>
      </c>
      <c r="M397" t="s">
        <v>355</v>
      </c>
      <c r="O397" t="s">
        <v>1736</v>
      </c>
      <c r="P397" t="s">
        <v>1737</v>
      </c>
      <c r="Q397" t="s">
        <v>1155</v>
      </c>
      <c r="R397">
        <v>2069125</v>
      </c>
      <c r="S397" t="s">
        <v>1739</v>
      </c>
      <c r="U397" t="s">
        <v>1740</v>
      </c>
      <c r="V397" t="s">
        <v>356</v>
      </c>
      <c r="W397">
        <v>4395000</v>
      </c>
      <c r="X397">
        <v>1164.68</v>
      </c>
      <c r="Y397">
        <v>9893.15</v>
      </c>
      <c r="Z397">
        <v>4395000</v>
      </c>
      <c r="AA397">
        <v>318</v>
      </c>
      <c r="AB397">
        <v>44380.83015115741</v>
      </c>
      <c r="AC397" t="s">
        <v>25</v>
      </c>
      <c r="AD397">
        <v>2</v>
      </c>
    </row>
    <row r="398" spans="1:30" x14ac:dyDescent="0.25">
      <c r="A398" t="s">
        <v>1051</v>
      </c>
      <c r="B398" t="s">
        <v>1106</v>
      </c>
      <c r="C398" t="s">
        <v>1151</v>
      </c>
      <c r="D398" t="s">
        <v>1721</v>
      </c>
      <c r="E398" t="s">
        <v>1060</v>
      </c>
      <c r="F398" t="s">
        <v>1061</v>
      </c>
      <c r="G398">
        <v>6101385</v>
      </c>
      <c r="H398">
        <v>202107</v>
      </c>
      <c r="I398">
        <v>44407</v>
      </c>
      <c r="J398" t="s">
        <v>1117</v>
      </c>
      <c r="K398" t="s">
        <v>1056</v>
      </c>
      <c r="M398" t="s">
        <v>355</v>
      </c>
      <c r="O398" t="s">
        <v>1216</v>
      </c>
      <c r="P398" t="s">
        <v>1217</v>
      </c>
      <c r="Q398" t="s">
        <v>354</v>
      </c>
      <c r="R398">
        <v>2069121</v>
      </c>
      <c r="S398" t="s">
        <v>1741</v>
      </c>
      <c r="U398" t="s">
        <v>1742</v>
      </c>
      <c r="V398" t="s">
        <v>356</v>
      </c>
      <c r="W398">
        <v>-250</v>
      </c>
      <c r="X398">
        <v>-0.06</v>
      </c>
      <c r="Y398">
        <v>-0.55000000000000004</v>
      </c>
      <c r="Z398">
        <v>-250</v>
      </c>
      <c r="AA398">
        <v>0</v>
      </c>
      <c r="AB398">
        <v>44411.815652199075</v>
      </c>
      <c r="AC398" t="s">
        <v>19</v>
      </c>
      <c r="AD398">
        <v>2</v>
      </c>
    </row>
    <row r="399" spans="1:30" x14ac:dyDescent="0.25">
      <c r="A399" t="s">
        <v>1051</v>
      </c>
      <c r="B399" t="s">
        <v>1106</v>
      </c>
      <c r="C399" t="s">
        <v>1151</v>
      </c>
      <c r="D399" t="s">
        <v>1721</v>
      </c>
      <c r="E399" t="s">
        <v>1060</v>
      </c>
      <c r="F399" t="s">
        <v>1061</v>
      </c>
      <c r="G399">
        <v>6101385</v>
      </c>
      <c r="H399">
        <v>202107</v>
      </c>
      <c r="I399">
        <v>44407</v>
      </c>
      <c r="J399" t="s">
        <v>1117</v>
      </c>
      <c r="K399" t="s">
        <v>1056</v>
      </c>
      <c r="M399" t="s">
        <v>355</v>
      </c>
      <c r="O399" t="s">
        <v>1216</v>
      </c>
      <c r="P399" t="s">
        <v>1217</v>
      </c>
      <c r="Q399" t="s">
        <v>354</v>
      </c>
      <c r="R399">
        <v>2069121</v>
      </c>
      <c r="S399" t="s">
        <v>1228</v>
      </c>
      <c r="U399" t="s">
        <v>1743</v>
      </c>
      <c r="V399" t="s">
        <v>356</v>
      </c>
      <c r="W399">
        <v>690000</v>
      </c>
      <c r="X399">
        <v>176.64</v>
      </c>
      <c r="Y399">
        <v>1526.28</v>
      </c>
      <c r="Z399">
        <v>690000</v>
      </c>
      <c r="AA399">
        <v>318</v>
      </c>
      <c r="AB399">
        <v>44411.815652199075</v>
      </c>
      <c r="AC399" t="s">
        <v>19</v>
      </c>
      <c r="AD399">
        <v>2</v>
      </c>
    </row>
    <row r="400" spans="1:30" x14ac:dyDescent="0.25">
      <c r="A400" t="s">
        <v>1051</v>
      </c>
      <c r="B400" t="s">
        <v>1106</v>
      </c>
      <c r="C400" t="s">
        <v>1151</v>
      </c>
      <c r="D400" t="s">
        <v>1721</v>
      </c>
      <c r="E400" t="s">
        <v>1060</v>
      </c>
      <c r="F400" t="s">
        <v>1061</v>
      </c>
      <c r="G400">
        <v>6101320</v>
      </c>
      <c r="H400">
        <v>202107</v>
      </c>
      <c r="I400">
        <v>44405</v>
      </c>
      <c r="J400" t="s">
        <v>1117</v>
      </c>
      <c r="K400" t="s">
        <v>1056</v>
      </c>
      <c r="M400" t="s">
        <v>355</v>
      </c>
      <c r="O400" t="s">
        <v>1216</v>
      </c>
      <c r="P400" t="s">
        <v>1217</v>
      </c>
      <c r="Q400" t="s">
        <v>354</v>
      </c>
      <c r="R400">
        <v>2069121</v>
      </c>
      <c r="S400" t="s">
        <v>1226</v>
      </c>
      <c r="U400" t="s">
        <v>1744</v>
      </c>
      <c r="V400" t="s">
        <v>356</v>
      </c>
      <c r="W400">
        <v>1490000</v>
      </c>
      <c r="X400">
        <v>391.87</v>
      </c>
      <c r="Y400">
        <v>3373.36</v>
      </c>
      <c r="Z400">
        <v>1490000</v>
      </c>
      <c r="AA400">
        <v>318</v>
      </c>
      <c r="AB400">
        <v>44405.764153703705</v>
      </c>
      <c r="AC400" t="s">
        <v>19</v>
      </c>
      <c r="AD400">
        <v>2</v>
      </c>
    </row>
    <row r="401" spans="1:30" x14ac:dyDescent="0.25">
      <c r="A401" t="s">
        <v>1051</v>
      </c>
      <c r="B401" t="s">
        <v>1106</v>
      </c>
      <c r="C401" t="s">
        <v>1151</v>
      </c>
      <c r="D401" t="s">
        <v>1721</v>
      </c>
      <c r="E401" t="s">
        <v>1060</v>
      </c>
      <c r="F401" t="s">
        <v>1061</v>
      </c>
      <c r="G401">
        <v>6101320</v>
      </c>
      <c r="H401">
        <v>202107</v>
      </c>
      <c r="I401">
        <v>44405</v>
      </c>
      <c r="J401" t="s">
        <v>1117</v>
      </c>
      <c r="K401" t="s">
        <v>1056</v>
      </c>
      <c r="M401" t="s">
        <v>355</v>
      </c>
      <c r="O401" t="s">
        <v>1222</v>
      </c>
      <c r="P401" t="s">
        <v>1223</v>
      </c>
      <c r="Q401" t="s">
        <v>1155</v>
      </c>
      <c r="R401">
        <v>2069125</v>
      </c>
      <c r="S401" t="s">
        <v>1224</v>
      </c>
      <c r="U401" t="s">
        <v>1745</v>
      </c>
      <c r="V401" t="s">
        <v>356</v>
      </c>
      <c r="W401">
        <v>4360000</v>
      </c>
      <c r="X401">
        <v>1146.68</v>
      </c>
      <c r="Y401">
        <v>9871.0400000000009</v>
      </c>
      <c r="Z401">
        <v>4360000</v>
      </c>
      <c r="AA401">
        <v>318</v>
      </c>
      <c r="AB401">
        <v>44405.764153356482</v>
      </c>
      <c r="AC401" t="s">
        <v>25</v>
      </c>
      <c r="AD401">
        <v>2</v>
      </c>
    </row>
    <row r="402" spans="1:30" x14ac:dyDescent="0.25">
      <c r="A402" t="s">
        <v>1051</v>
      </c>
      <c r="B402" t="s">
        <v>1106</v>
      </c>
      <c r="C402" t="s">
        <v>1151</v>
      </c>
      <c r="D402" t="s">
        <v>1721</v>
      </c>
      <c r="E402" t="s">
        <v>1060</v>
      </c>
      <c r="F402" t="s">
        <v>1061</v>
      </c>
      <c r="G402">
        <v>6101293</v>
      </c>
      <c r="H402">
        <v>202107</v>
      </c>
      <c r="I402">
        <v>44396</v>
      </c>
      <c r="J402" t="s">
        <v>1117</v>
      </c>
      <c r="K402" t="s">
        <v>1056</v>
      </c>
      <c r="M402" t="s">
        <v>355</v>
      </c>
      <c r="O402" t="s">
        <v>1153</v>
      </c>
      <c r="P402" t="s">
        <v>1154</v>
      </c>
      <c r="Q402" t="s">
        <v>1155</v>
      </c>
      <c r="R402">
        <v>2069125</v>
      </c>
      <c r="S402" t="s">
        <v>1156</v>
      </c>
      <c r="U402" t="s">
        <v>1746</v>
      </c>
      <c r="V402" t="s">
        <v>356</v>
      </c>
      <c r="W402">
        <v>4425000</v>
      </c>
      <c r="X402">
        <v>1163.78</v>
      </c>
      <c r="Y402">
        <v>10018.200000000001</v>
      </c>
      <c r="Z402">
        <v>4425000</v>
      </c>
      <c r="AA402">
        <v>318</v>
      </c>
      <c r="AB402">
        <v>44398.725051273148</v>
      </c>
      <c r="AC402" t="s">
        <v>25</v>
      </c>
      <c r="AD402">
        <v>2</v>
      </c>
    </row>
    <row r="403" spans="1:30" x14ac:dyDescent="0.25">
      <c r="A403" t="s">
        <v>1051</v>
      </c>
      <c r="B403" t="s">
        <v>1106</v>
      </c>
      <c r="C403" t="s">
        <v>1151</v>
      </c>
      <c r="D403" t="s">
        <v>1721</v>
      </c>
      <c r="E403" t="s">
        <v>1060</v>
      </c>
      <c r="F403" t="s">
        <v>1061</v>
      </c>
      <c r="G403">
        <v>6101520</v>
      </c>
      <c r="H403">
        <v>202108</v>
      </c>
      <c r="I403">
        <v>44421</v>
      </c>
      <c r="J403">
        <v>124932</v>
      </c>
      <c r="K403" t="s">
        <v>1056</v>
      </c>
      <c r="M403" t="s">
        <v>355</v>
      </c>
      <c r="O403" t="s">
        <v>1230</v>
      </c>
      <c r="P403" t="s">
        <v>1231</v>
      </c>
      <c r="Q403" t="s">
        <v>354</v>
      </c>
      <c r="R403">
        <v>2069123</v>
      </c>
      <c r="S403" t="s">
        <v>355</v>
      </c>
      <c r="U403" t="s">
        <v>1747</v>
      </c>
      <c r="V403" t="s">
        <v>356</v>
      </c>
      <c r="W403">
        <v>2040000</v>
      </c>
      <c r="X403">
        <v>521.57000000000005</v>
      </c>
      <c r="Y403">
        <v>4505.58</v>
      </c>
      <c r="Z403">
        <v>2040000</v>
      </c>
      <c r="AA403">
        <v>318</v>
      </c>
      <c r="AB403">
        <v>44427.769844479168</v>
      </c>
      <c r="AC403" t="s">
        <v>22</v>
      </c>
      <c r="AD403">
        <v>2</v>
      </c>
    </row>
    <row r="404" spans="1:30" x14ac:dyDescent="0.25">
      <c r="A404" t="s">
        <v>1051</v>
      </c>
      <c r="B404" t="s">
        <v>1106</v>
      </c>
      <c r="C404" t="s">
        <v>1151</v>
      </c>
      <c r="D404" t="s">
        <v>1721</v>
      </c>
      <c r="E404" t="s">
        <v>1060</v>
      </c>
      <c r="F404" t="s">
        <v>1061</v>
      </c>
      <c r="G404">
        <v>6101689</v>
      </c>
      <c r="H404">
        <v>202108</v>
      </c>
      <c r="I404">
        <v>44439</v>
      </c>
      <c r="J404" t="s">
        <v>1714</v>
      </c>
      <c r="K404" t="s">
        <v>1056</v>
      </c>
      <c r="M404" t="s">
        <v>355</v>
      </c>
      <c r="O404" t="s">
        <v>1216</v>
      </c>
      <c r="P404" t="s">
        <v>1217</v>
      </c>
      <c r="Q404" t="s">
        <v>354</v>
      </c>
      <c r="R404">
        <v>2069121</v>
      </c>
      <c r="S404" t="s">
        <v>355</v>
      </c>
      <c r="U404" t="s">
        <v>1748</v>
      </c>
      <c r="V404" t="s">
        <v>356</v>
      </c>
      <c r="W404">
        <v>459000</v>
      </c>
      <c r="X404">
        <v>118.76</v>
      </c>
      <c r="Y404">
        <v>1034.18</v>
      </c>
      <c r="Z404">
        <v>459000</v>
      </c>
      <c r="AA404">
        <v>318</v>
      </c>
      <c r="AB404">
        <v>44442.145152048608</v>
      </c>
      <c r="AC404" t="s">
        <v>19</v>
      </c>
      <c r="AD404">
        <v>2</v>
      </c>
    </row>
    <row r="405" spans="1:30" x14ac:dyDescent="0.25">
      <c r="A405" t="s">
        <v>1051</v>
      </c>
      <c r="B405" t="s">
        <v>1106</v>
      </c>
      <c r="C405" t="s">
        <v>1151</v>
      </c>
      <c r="D405" t="s">
        <v>1721</v>
      </c>
      <c r="E405" t="s">
        <v>1060</v>
      </c>
      <c r="F405" t="s">
        <v>1061</v>
      </c>
      <c r="G405">
        <v>6101882</v>
      </c>
      <c r="H405">
        <v>202109</v>
      </c>
      <c r="I405">
        <v>44449</v>
      </c>
      <c r="J405">
        <v>122536</v>
      </c>
      <c r="K405" t="s">
        <v>1056</v>
      </c>
      <c r="M405" t="s">
        <v>355</v>
      </c>
      <c r="O405" t="s">
        <v>1222</v>
      </c>
      <c r="P405" t="s">
        <v>1223</v>
      </c>
      <c r="Q405" t="s">
        <v>354</v>
      </c>
      <c r="R405">
        <v>2069127</v>
      </c>
      <c r="S405" t="s">
        <v>355</v>
      </c>
      <c r="U405" t="s">
        <v>1749</v>
      </c>
      <c r="V405" t="s">
        <v>356</v>
      </c>
      <c r="W405">
        <v>3120000</v>
      </c>
      <c r="X405">
        <v>817.56</v>
      </c>
      <c r="Y405">
        <v>7122.52</v>
      </c>
      <c r="Z405">
        <v>3120000</v>
      </c>
      <c r="AA405">
        <v>318</v>
      </c>
      <c r="AB405">
        <v>44454.748639351848</v>
      </c>
      <c r="AC405" t="s">
        <v>36</v>
      </c>
      <c r="AD405">
        <v>2</v>
      </c>
    </row>
    <row r="406" spans="1:30" x14ac:dyDescent="0.25">
      <c r="A406" t="s">
        <v>1051</v>
      </c>
      <c r="B406" t="s">
        <v>1106</v>
      </c>
      <c r="C406" t="s">
        <v>1151</v>
      </c>
      <c r="D406" t="s">
        <v>1721</v>
      </c>
      <c r="E406" t="s">
        <v>1060</v>
      </c>
      <c r="F406" t="s">
        <v>1061</v>
      </c>
      <c r="G406">
        <v>6101882</v>
      </c>
      <c r="H406">
        <v>202109</v>
      </c>
      <c r="I406">
        <v>44449</v>
      </c>
      <c r="J406">
        <v>122536</v>
      </c>
      <c r="K406" t="s">
        <v>1056</v>
      </c>
      <c r="M406" t="s">
        <v>355</v>
      </c>
      <c r="O406" t="s">
        <v>1222</v>
      </c>
      <c r="P406" t="s">
        <v>1223</v>
      </c>
      <c r="Q406" t="s">
        <v>354</v>
      </c>
      <c r="R406">
        <v>2069127</v>
      </c>
      <c r="S406" t="s">
        <v>355</v>
      </c>
      <c r="U406" t="s">
        <v>1750</v>
      </c>
      <c r="V406" t="s">
        <v>356</v>
      </c>
      <c r="W406">
        <v>900000</v>
      </c>
      <c r="X406">
        <v>235.84</v>
      </c>
      <c r="Y406">
        <v>2054.5700000000002</v>
      </c>
      <c r="Z406">
        <v>900000</v>
      </c>
      <c r="AA406">
        <v>0</v>
      </c>
      <c r="AB406">
        <v>44454.748639351848</v>
      </c>
      <c r="AC406" t="s">
        <v>36</v>
      </c>
      <c r="AD406">
        <v>2</v>
      </c>
    </row>
    <row r="407" spans="1:30" x14ac:dyDescent="0.25">
      <c r="A407" t="s">
        <v>1051</v>
      </c>
      <c r="B407" t="s">
        <v>1106</v>
      </c>
      <c r="C407" t="s">
        <v>1151</v>
      </c>
      <c r="D407" t="s">
        <v>1721</v>
      </c>
      <c r="E407" t="s">
        <v>1060</v>
      </c>
      <c r="F407" t="s">
        <v>1061</v>
      </c>
      <c r="G407">
        <v>6101882</v>
      </c>
      <c r="H407">
        <v>202109</v>
      </c>
      <c r="I407">
        <v>44449</v>
      </c>
      <c r="J407">
        <v>122536</v>
      </c>
      <c r="K407" t="s">
        <v>1056</v>
      </c>
      <c r="M407" t="s">
        <v>355</v>
      </c>
      <c r="O407" t="s">
        <v>1222</v>
      </c>
      <c r="P407" t="s">
        <v>1223</v>
      </c>
      <c r="Q407" t="s">
        <v>354</v>
      </c>
      <c r="R407">
        <v>2069127</v>
      </c>
      <c r="S407" t="s">
        <v>355</v>
      </c>
      <c r="U407" t="s">
        <v>1751</v>
      </c>
      <c r="V407" t="s">
        <v>356</v>
      </c>
      <c r="W407">
        <v>2080000</v>
      </c>
      <c r="X407">
        <v>545.04</v>
      </c>
      <c r="Y407">
        <v>4748.3500000000004</v>
      </c>
      <c r="Z407">
        <v>2080000</v>
      </c>
      <c r="AA407">
        <v>318</v>
      </c>
      <c r="AB407">
        <v>44454.748639502315</v>
      </c>
      <c r="AC407" t="s">
        <v>36</v>
      </c>
      <c r="AD407">
        <v>2</v>
      </c>
    </row>
    <row r="408" spans="1:30" x14ac:dyDescent="0.25">
      <c r="A408" t="s">
        <v>1051</v>
      </c>
      <c r="B408" t="s">
        <v>1106</v>
      </c>
      <c r="C408" t="s">
        <v>1151</v>
      </c>
      <c r="D408" t="s">
        <v>1721</v>
      </c>
      <c r="E408" t="s">
        <v>1060</v>
      </c>
      <c r="F408" t="s">
        <v>1061</v>
      </c>
      <c r="G408">
        <v>6102050</v>
      </c>
      <c r="H408">
        <v>202109</v>
      </c>
      <c r="I408">
        <v>44463</v>
      </c>
      <c r="J408">
        <v>122536</v>
      </c>
      <c r="K408" t="s">
        <v>1056</v>
      </c>
      <c r="M408" t="s">
        <v>355</v>
      </c>
      <c r="O408" t="s">
        <v>1216</v>
      </c>
      <c r="P408" t="s">
        <v>1217</v>
      </c>
      <c r="Q408" t="s">
        <v>354</v>
      </c>
      <c r="R408">
        <v>2069126</v>
      </c>
      <c r="S408" t="s">
        <v>355</v>
      </c>
      <c r="U408" t="s">
        <v>1752</v>
      </c>
      <c r="V408" t="s">
        <v>356</v>
      </c>
      <c r="W408">
        <v>64000</v>
      </c>
      <c r="X408">
        <v>16.690000000000001</v>
      </c>
      <c r="Y408">
        <v>145.12</v>
      </c>
      <c r="Z408">
        <v>64000</v>
      </c>
      <c r="AA408">
        <v>0</v>
      </c>
      <c r="AB408">
        <v>44469.892926354165</v>
      </c>
      <c r="AC408" t="s">
        <v>36</v>
      </c>
      <c r="AD408">
        <v>2</v>
      </c>
    </row>
    <row r="409" spans="1:30" x14ac:dyDescent="0.25">
      <c r="A409" t="s">
        <v>1051</v>
      </c>
      <c r="B409" t="s">
        <v>1051</v>
      </c>
      <c r="C409" t="s">
        <v>1151</v>
      </c>
      <c r="D409" t="s">
        <v>1753</v>
      </c>
      <c r="E409" t="s">
        <v>1183</v>
      </c>
      <c r="F409" t="s">
        <v>1184</v>
      </c>
      <c r="G409">
        <v>12100576</v>
      </c>
      <c r="H409">
        <v>202103</v>
      </c>
      <c r="I409">
        <v>44259</v>
      </c>
      <c r="J409" t="s">
        <v>1185</v>
      </c>
      <c r="K409" t="s">
        <v>1056</v>
      </c>
      <c r="M409" t="s">
        <v>355</v>
      </c>
      <c r="O409" t="s">
        <v>1174</v>
      </c>
      <c r="P409" t="s">
        <v>1175</v>
      </c>
      <c r="Q409" t="s">
        <v>1155</v>
      </c>
      <c r="R409">
        <v>2069125</v>
      </c>
      <c r="S409" t="s">
        <v>1186</v>
      </c>
      <c r="U409" t="s">
        <v>1187</v>
      </c>
      <c r="V409" t="s">
        <v>356</v>
      </c>
      <c r="W409">
        <v>273000</v>
      </c>
      <c r="X409">
        <v>77.53</v>
      </c>
      <c r="Y409">
        <v>655.47</v>
      </c>
      <c r="Z409">
        <v>273000</v>
      </c>
      <c r="AA409">
        <v>241</v>
      </c>
      <c r="AB409">
        <v>44289.718629710645</v>
      </c>
      <c r="AC409" t="s">
        <v>25</v>
      </c>
      <c r="AD409">
        <v>2</v>
      </c>
    </row>
    <row r="410" spans="1:30" x14ac:dyDescent="0.25">
      <c r="A410" t="s">
        <v>1051</v>
      </c>
      <c r="B410" t="s">
        <v>1051</v>
      </c>
      <c r="C410" t="s">
        <v>1151</v>
      </c>
      <c r="D410" t="s">
        <v>1753</v>
      </c>
      <c r="E410" t="s">
        <v>1183</v>
      </c>
      <c r="F410" t="s">
        <v>1184</v>
      </c>
      <c r="G410">
        <v>12100576</v>
      </c>
      <c r="H410">
        <v>202103</v>
      </c>
      <c r="I410">
        <v>44259</v>
      </c>
      <c r="J410" t="s">
        <v>1185</v>
      </c>
      <c r="K410" t="s">
        <v>1056</v>
      </c>
      <c r="M410" t="s">
        <v>355</v>
      </c>
      <c r="O410" t="s">
        <v>1174</v>
      </c>
      <c r="P410" t="s">
        <v>1175</v>
      </c>
      <c r="Q410" t="s">
        <v>1155</v>
      </c>
      <c r="R410">
        <v>2069125</v>
      </c>
      <c r="S410" t="s">
        <v>1186</v>
      </c>
      <c r="U410" t="s">
        <v>1187</v>
      </c>
      <c r="V410" t="s">
        <v>356</v>
      </c>
      <c r="W410">
        <v>33500</v>
      </c>
      <c r="X410">
        <v>9.51</v>
      </c>
      <c r="Y410">
        <v>80.430000000000007</v>
      </c>
      <c r="Z410">
        <v>33500</v>
      </c>
      <c r="AA410">
        <v>0</v>
      </c>
      <c r="AB410">
        <v>44289.718629710645</v>
      </c>
      <c r="AC410" t="s">
        <v>25</v>
      </c>
      <c r="AD410">
        <v>2</v>
      </c>
    </row>
    <row r="411" spans="1:30" x14ac:dyDescent="0.25">
      <c r="A411" t="s">
        <v>1051</v>
      </c>
      <c r="B411" t="s">
        <v>1051</v>
      </c>
      <c r="C411" t="s">
        <v>1151</v>
      </c>
      <c r="D411" t="s">
        <v>1753</v>
      </c>
      <c r="E411" t="s">
        <v>1183</v>
      </c>
      <c r="F411" t="s">
        <v>1184</v>
      </c>
      <c r="G411">
        <v>12100576</v>
      </c>
      <c r="H411">
        <v>202103</v>
      </c>
      <c r="I411">
        <v>44259</v>
      </c>
      <c r="J411" t="s">
        <v>1185</v>
      </c>
      <c r="K411" t="s">
        <v>1056</v>
      </c>
      <c r="M411" t="s">
        <v>355</v>
      </c>
      <c r="O411" t="s">
        <v>1177</v>
      </c>
      <c r="P411" t="s">
        <v>1178</v>
      </c>
      <c r="Q411" t="s">
        <v>1155</v>
      </c>
      <c r="R411">
        <v>2069125</v>
      </c>
      <c r="S411" t="s">
        <v>1186</v>
      </c>
      <c r="U411" t="s">
        <v>1187</v>
      </c>
      <c r="V411" t="s">
        <v>356</v>
      </c>
      <c r="W411">
        <v>57500</v>
      </c>
      <c r="X411">
        <v>16.329999999999998</v>
      </c>
      <c r="Y411">
        <v>138.06</v>
      </c>
      <c r="Z411">
        <v>57500</v>
      </c>
      <c r="AA411">
        <v>241</v>
      </c>
      <c r="AB411">
        <v>44289.718629861112</v>
      </c>
      <c r="AC411" t="s">
        <v>25</v>
      </c>
      <c r="AD411">
        <v>2</v>
      </c>
    </row>
    <row r="412" spans="1:30" x14ac:dyDescent="0.25">
      <c r="A412" t="s">
        <v>1051</v>
      </c>
      <c r="B412" t="s">
        <v>1051</v>
      </c>
      <c r="C412" t="s">
        <v>1151</v>
      </c>
      <c r="D412" t="s">
        <v>1753</v>
      </c>
      <c r="E412" t="s">
        <v>1183</v>
      </c>
      <c r="F412" t="s">
        <v>1184</v>
      </c>
      <c r="G412">
        <v>12100996</v>
      </c>
      <c r="H412">
        <v>202104</v>
      </c>
      <c r="I412">
        <v>44287</v>
      </c>
      <c r="J412" t="s">
        <v>1185</v>
      </c>
      <c r="K412" t="s">
        <v>1056</v>
      </c>
      <c r="M412" t="s">
        <v>355</v>
      </c>
      <c r="O412" t="s">
        <v>1174</v>
      </c>
      <c r="P412" t="s">
        <v>1175</v>
      </c>
      <c r="Q412" t="s">
        <v>1155</v>
      </c>
      <c r="R412">
        <v>2069125</v>
      </c>
      <c r="S412" t="s">
        <v>1186</v>
      </c>
      <c r="U412" t="s">
        <v>1190</v>
      </c>
      <c r="V412" t="s">
        <v>356</v>
      </c>
      <c r="W412">
        <v>-273000</v>
      </c>
      <c r="X412">
        <v>-77.53</v>
      </c>
      <c r="Y412">
        <v>-655.47</v>
      </c>
      <c r="Z412">
        <v>-273000</v>
      </c>
      <c r="AA412">
        <v>0</v>
      </c>
      <c r="AB412">
        <v>44319.85771971065</v>
      </c>
      <c r="AC412" t="s">
        <v>25</v>
      </c>
      <c r="AD412">
        <v>2</v>
      </c>
    </row>
    <row r="413" spans="1:30" x14ac:dyDescent="0.25">
      <c r="A413" t="s">
        <v>1051</v>
      </c>
      <c r="B413" t="s">
        <v>1051</v>
      </c>
      <c r="C413" t="s">
        <v>1151</v>
      </c>
      <c r="D413" t="s">
        <v>1753</v>
      </c>
      <c r="E413" t="s">
        <v>1183</v>
      </c>
      <c r="F413" t="s">
        <v>1184</v>
      </c>
      <c r="G413">
        <v>12100996</v>
      </c>
      <c r="H413">
        <v>202104</v>
      </c>
      <c r="I413">
        <v>44287</v>
      </c>
      <c r="J413" t="s">
        <v>1185</v>
      </c>
      <c r="K413" t="s">
        <v>1056</v>
      </c>
      <c r="M413" t="s">
        <v>355</v>
      </c>
      <c r="O413" t="s">
        <v>1174</v>
      </c>
      <c r="P413" t="s">
        <v>1175</v>
      </c>
      <c r="Q413" t="s">
        <v>1155</v>
      </c>
      <c r="R413">
        <v>2069125</v>
      </c>
      <c r="S413" t="s">
        <v>1186</v>
      </c>
      <c r="U413" t="s">
        <v>1190</v>
      </c>
      <c r="V413" t="s">
        <v>356</v>
      </c>
      <c r="W413">
        <v>-33500</v>
      </c>
      <c r="X413">
        <v>-9.51</v>
      </c>
      <c r="Y413">
        <v>-80.430000000000007</v>
      </c>
      <c r="Z413">
        <v>-33500</v>
      </c>
      <c r="AA413">
        <v>0</v>
      </c>
      <c r="AB413">
        <v>44319.85771971065</v>
      </c>
      <c r="AC413" t="s">
        <v>25</v>
      </c>
      <c r="AD413">
        <v>2</v>
      </c>
    </row>
    <row r="414" spans="1:30" x14ac:dyDescent="0.25">
      <c r="A414" t="s">
        <v>1051</v>
      </c>
      <c r="B414" t="s">
        <v>1051</v>
      </c>
      <c r="C414" t="s">
        <v>1151</v>
      </c>
      <c r="D414" t="s">
        <v>1753</v>
      </c>
      <c r="E414" t="s">
        <v>1183</v>
      </c>
      <c r="F414" t="s">
        <v>1184</v>
      </c>
      <c r="G414">
        <v>12100996</v>
      </c>
      <c r="H414">
        <v>202104</v>
      </c>
      <c r="I414">
        <v>44287</v>
      </c>
      <c r="J414" t="s">
        <v>1185</v>
      </c>
      <c r="K414" t="s">
        <v>1056</v>
      </c>
      <c r="M414" t="s">
        <v>355</v>
      </c>
      <c r="O414" t="s">
        <v>1177</v>
      </c>
      <c r="P414" t="s">
        <v>1178</v>
      </c>
      <c r="Q414" t="s">
        <v>1155</v>
      </c>
      <c r="R414">
        <v>2069125</v>
      </c>
      <c r="S414" t="s">
        <v>1186</v>
      </c>
      <c r="U414" t="s">
        <v>1190</v>
      </c>
      <c r="V414" t="s">
        <v>356</v>
      </c>
      <c r="W414">
        <v>-57500</v>
      </c>
      <c r="X414">
        <v>-16.329999999999998</v>
      </c>
      <c r="Y414">
        <v>-138.06</v>
      </c>
      <c r="Z414">
        <v>-57500</v>
      </c>
      <c r="AA414">
        <v>0</v>
      </c>
      <c r="AB414">
        <v>44319.85771971065</v>
      </c>
      <c r="AC414" t="s">
        <v>25</v>
      </c>
      <c r="AD414">
        <v>2</v>
      </c>
    </row>
    <row r="415" spans="1:30" x14ac:dyDescent="0.25">
      <c r="A415" t="s">
        <v>1051</v>
      </c>
      <c r="B415" t="s">
        <v>1106</v>
      </c>
      <c r="C415" t="s">
        <v>1151</v>
      </c>
      <c r="D415" t="s">
        <v>1753</v>
      </c>
      <c r="E415" t="s">
        <v>1060</v>
      </c>
      <c r="F415" t="s">
        <v>1061</v>
      </c>
      <c r="G415">
        <v>6100638</v>
      </c>
      <c r="H415">
        <v>202104</v>
      </c>
      <c r="I415">
        <v>44302</v>
      </c>
      <c r="J415">
        <v>122536</v>
      </c>
      <c r="K415" t="s">
        <v>1056</v>
      </c>
      <c r="M415" t="s">
        <v>355</v>
      </c>
      <c r="O415" t="s">
        <v>1725</v>
      </c>
      <c r="P415" t="s">
        <v>1726</v>
      </c>
      <c r="Q415" t="s">
        <v>1155</v>
      </c>
      <c r="R415">
        <v>2069125</v>
      </c>
      <c r="S415" t="s">
        <v>355</v>
      </c>
      <c r="U415" t="s">
        <v>1727</v>
      </c>
      <c r="V415" t="s">
        <v>356</v>
      </c>
      <c r="W415">
        <v>50000</v>
      </c>
      <c r="X415">
        <v>13.75</v>
      </c>
      <c r="Y415">
        <v>116.45</v>
      </c>
      <c r="Z415">
        <v>50000</v>
      </c>
      <c r="AA415">
        <v>0</v>
      </c>
      <c r="AB415">
        <v>44310.032955868053</v>
      </c>
      <c r="AC415" t="s">
        <v>25</v>
      </c>
      <c r="AD415">
        <v>2</v>
      </c>
    </row>
    <row r="416" spans="1:30" x14ac:dyDescent="0.25">
      <c r="A416" t="s">
        <v>1051</v>
      </c>
      <c r="B416" t="s">
        <v>1106</v>
      </c>
      <c r="C416" t="s">
        <v>1151</v>
      </c>
      <c r="D416" t="s">
        <v>1753</v>
      </c>
      <c r="E416" t="s">
        <v>1060</v>
      </c>
      <c r="F416" t="s">
        <v>1061</v>
      </c>
      <c r="G416">
        <v>6101643</v>
      </c>
      <c r="H416">
        <v>202108</v>
      </c>
      <c r="I416">
        <v>44438</v>
      </c>
      <c r="J416">
        <v>124932</v>
      </c>
      <c r="K416" t="s">
        <v>1056</v>
      </c>
      <c r="M416" t="s">
        <v>355</v>
      </c>
      <c r="O416" t="s">
        <v>1754</v>
      </c>
      <c r="P416" t="s">
        <v>1755</v>
      </c>
      <c r="Q416" t="s">
        <v>354</v>
      </c>
      <c r="R416">
        <v>2069123</v>
      </c>
      <c r="S416" t="s">
        <v>355</v>
      </c>
      <c r="U416" t="s">
        <v>1756</v>
      </c>
      <c r="V416" t="s">
        <v>356</v>
      </c>
      <c r="W416">
        <v>33000</v>
      </c>
      <c r="X416">
        <v>8.5399999999999991</v>
      </c>
      <c r="Y416">
        <v>74.349999999999994</v>
      </c>
      <c r="Z416">
        <v>33000</v>
      </c>
      <c r="AA416">
        <v>0</v>
      </c>
      <c r="AB416">
        <v>44441.821755358797</v>
      </c>
      <c r="AC416" t="s">
        <v>22</v>
      </c>
      <c r="AD416">
        <v>2</v>
      </c>
    </row>
    <row r="417" spans="1:30" x14ac:dyDescent="0.25">
      <c r="A417" t="s">
        <v>1051</v>
      </c>
      <c r="B417" t="s">
        <v>1106</v>
      </c>
      <c r="C417" t="s">
        <v>1151</v>
      </c>
      <c r="D417" t="s">
        <v>1753</v>
      </c>
      <c r="E417" t="s">
        <v>1060</v>
      </c>
      <c r="F417" t="s">
        <v>1061</v>
      </c>
      <c r="G417">
        <v>6101526</v>
      </c>
      <c r="H417">
        <v>202108</v>
      </c>
      <c r="I417">
        <v>44421</v>
      </c>
      <c r="J417">
        <v>124932</v>
      </c>
      <c r="K417" t="s">
        <v>1056</v>
      </c>
      <c r="M417" t="s">
        <v>355</v>
      </c>
      <c r="O417" t="s">
        <v>1695</v>
      </c>
      <c r="P417" t="s">
        <v>1696</v>
      </c>
      <c r="Q417" t="s">
        <v>354</v>
      </c>
      <c r="R417">
        <v>2069123</v>
      </c>
      <c r="S417" t="s">
        <v>355</v>
      </c>
      <c r="U417" t="s">
        <v>1757</v>
      </c>
      <c r="V417" t="s">
        <v>356</v>
      </c>
      <c r="W417">
        <v>320000</v>
      </c>
      <c r="X417">
        <v>81.81</v>
      </c>
      <c r="Y417">
        <v>706.76</v>
      </c>
      <c r="Z417">
        <v>320000</v>
      </c>
      <c r="AA417">
        <v>0</v>
      </c>
      <c r="AB417">
        <v>44427.834416006946</v>
      </c>
      <c r="AC417" t="s">
        <v>22</v>
      </c>
      <c r="AD417">
        <v>2</v>
      </c>
    </row>
    <row r="418" spans="1:30" x14ac:dyDescent="0.25">
      <c r="A418" t="s">
        <v>1051</v>
      </c>
      <c r="B418" t="s">
        <v>1106</v>
      </c>
      <c r="C418" t="s">
        <v>1151</v>
      </c>
      <c r="D418" t="s">
        <v>1753</v>
      </c>
      <c r="E418" t="s">
        <v>1060</v>
      </c>
      <c r="F418" t="s">
        <v>1061</v>
      </c>
      <c r="G418">
        <v>6101937</v>
      </c>
      <c r="H418">
        <v>202109</v>
      </c>
      <c r="I418">
        <v>44456</v>
      </c>
      <c r="J418">
        <v>122536</v>
      </c>
      <c r="K418" t="s">
        <v>1056</v>
      </c>
      <c r="M418" t="s">
        <v>355</v>
      </c>
      <c r="O418" t="s">
        <v>1222</v>
      </c>
      <c r="P418" t="s">
        <v>1223</v>
      </c>
      <c r="Q418" t="s">
        <v>354</v>
      </c>
      <c r="R418">
        <v>2069127</v>
      </c>
      <c r="S418" t="s">
        <v>355</v>
      </c>
      <c r="U418" t="s">
        <v>1758</v>
      </c>
      <c r="V418" t="s">
        <v>356</v>
      </c>
      <c r="W418">
        <v>8400000</v>
      </c>
      <c r="X418">
        <v>2201.14</v>
      </c>
      <c r="Y418">
        <v>19176.02</v>
      </c>
      <c r="Z418">
        <v>8400000</v>
      </c>
      <c r="AA418">
        <v>318</v>
      </c>
      <c r="AB418">
        <v>44458.969458946762</v>
      </c>
      <c r="AC418" t="s">
        <v>36</v>
      </c>
      <c r="AD418">
        <v>2</v>
      </c>
    </row>
    <row r="419" spans="1:30" x14ac:dyDescent="0.25">
      <c r="A419" t="s">
        <v>1051</v>
      </c>
      <c r="B419" t="s">
        <v>1106</v>
      </c>
      <c r="C419" t="s">
        <v>1151</v>
      </c>
      <c r="D419" t="s">
        <v>1753</v>
      </c>
      <c r="E419" t="s">
        <v>1060</v>
      </c>
      <c r="F419" t="s">
        <v>1061</v>
      </c>
      <c r="G419">
        <v>6102019</v>
      </c>
      <c r="H419">
        <v>202109</v>
      </c>
      <c r="I419">
        <v>44460</v>
      </c>
      <c r="J419">
        <v>122536</v>
      </c>
      <c r="K419" t="s">
        <v>1056</v>
      </c>
      <c r="M419" t="s">
        <v>355</v>
      </c>
      <c r="O419" t="s">
        <v>1695</v>
      </c>
      <c r="P419" t="s">
        <v>1696</v>
      </c>
      <c r="Q419" t="s">
        <v>354</v>
      </c>
      <c r="R419">
        <v>2265776</v>
      </c>
      <c r="S419" t="s">
        <v>355</v>
      </c>
      <c r="U419" t="s">
        <v>1759</v>
      </c>
      <c r="V419" t="s">
        <v>356</v>
      </c>
      <c r="W419">
        <v>-640000</v>
      </c>
      <c r="X419">
        <v>-167.3</v>
      </c>
      <c r="Y419">
        <v>-1454.66</v>
      </c>
      <c r="Z419">
        <v>-640000</v>
      </c>
      <c r="AA419">
        <v>0</v>
      </c>
      <c r="AB419">
        <v>44461.010643981484</v>
      </c>
      <c r="AC419" t="s">
        <v>325</v>
      </c>
      <c r="AD419">
        <v>5</v>
      </c>
    </row>
    <row r="420" spans="1:30" x14ac:dyDescent="0.25">
      <c r="A420" t="s">
        <v>1051</v>
      </c>
      <c r="B420" t="s">
        <v>1106</v>
      </c>
      <c r="C420" t="s">
        <v>1151</v>
      </c>
      <c r="D420" t="s">
        <v>1753</v>
      </c>
      <c r="E420" t="s">
        <v>1060</v>
      </c>
      <c r="F420" t="s">
        <v>1061</v>
      </c>
      <c r="G420">
        <v>6101939</v>
      </c>
      <c r="H420">
        <v>202109</v>
      </c>
      <c r="I420">
        <v>44456</v>
      </c>
      <c r="J420">
        <v>122536</v>
      </c>
      <c r="K420" t="s">
        <v>1056</v>
      </c>
      <c r="M420" t="s">
        <v>355</v>
      </c>
      <c r="O420" t="s">
        <v>1514</v>
      </c>
      <c r="P420" t="s">
        <v>1515</v>
      </c>
      <c r="Q420" t="s">
        <v>354</v>
      </c>
      <c r="R420">
        <v>2069126</v>
      </c>
      <c r="S420" t="s">
        <v>355</v>
      </c>
      <c r="U420" t="s">
        <v>1760</v>
      </c>
      <c r="V420" t="s">
        <v>356</v>
      </c>
      <c r="W420">
        <v>195000</v>
      </c>
      <c r="X420">
        <v>51.1</v>
      </c>
      <c r="Y420">
        <v>445.16</v>
      </c>
      <c r="Z420">
        <v>195000</v>
      </c>
      <c r="AA420">
        <v>318</v>
      </c>
      <c r="AB420">
        <v>44458.993526620368</v>
      </c>
      <c r="AC420" t="s">
        <v>36</v>
      </c>
      <c r="AD420">
        <v>2</v>
      </c>
    </row>
    <row r="421" spans="1:30" x14ac:dyDescent="0.25">
      <c r="A421" t="s">
        <v>1051</v>
      </c>
      <c r="B421" t="s">
        <v>1106</v>
      </c>
      <c r="C421" t="s">
        <v>1151</v>
      </c>
      <c r="D421" t="s">
        <v>1753</v>
      </c>
      <c r="E421" t="s">
        <v>1060</v>
      </c>
      <c r="F421" t="s">
        <v>1061</v>
      </c>
      <c r="G421">
        <v>6101937</v>
      </c>
      <c r="H421">
        <v>202109</v>
      </c>
      <c r="I421">
        <v>44456</v>
      </c>
      <c r="J421">
        <v>122536</v>
      </c>
      <c r="K421" t="s">
        <v>1056</v>
      </c>
      <c r="M421" t="s">
        <v>355</v>
      </c>
      <c r="O421" t="s">
        <v>1695</v>
      </c>
      <c r="P421" t="s">
        <v>1696</v>
      </c>
      <c r="Q421" t="s">
        <v>354</v>
      </c>
      <c r="R421">
        <v>2069126</v>
      </c>
      <c r="S421" t="s">
        <v>355</v>
      </c>
      <c r="U421" t="s">
        <v>1761</v>
      </c>
      <c r="V421" t="s">
        <v>356</v>
      </c>
      <c r="W421">
        <v>760000</v>
      </c>
      <c r="X421">
        <v>199.15</v>
      </c>
      <c r="Y421">
        <v>1734.97</v>
      </c>
      <c r="Z421">
        <v>760000</v>
      </c>
      <c r="AA421">
        <v>0</v>
      </c>
      <c r="AB421">
        <v>44458.969458946762</v>
      </c>
      <c r="AC421" t="s">
        <v>36</v>
      </c>
      <c r="AD421">
        <v>2</v>
      </c>
    </row>
    <row r="422" spans="1:30" x14ac:dyDescent="0.25">
      <c r="A422" t="s">
        <v>1051</v>
      </c>
      <c r="B422" t="s">
        <v>1106</v>
      </c>
      <c r="C422" t="s">
        <v>1151</v>
      </c>
      <c r="D422" t="s">
        <v>1753</v>
      </c>
      <c r="E422" t="s">
        <v>1060</v>
      </c>
      <c r="F422" t="s">
        <v>1061</v>
      </c>
      <c r="G422">
        <v>6101937</v>
      </c>
      <c r="H422">
        <v>202109</v>
      </c>
      <c r="I422">
        <v>44456</v>
      </c>
      <c r="J422">
        <v>122536</v>
      </c>
      <c r="K422" t="s">
        <v>1056</v>
      </c>
      <c r="M422" t="s">
        <v>355</v>
      </c>
      <c r="O422" t="s">
        <v>1367</v>
      </c>
      <c r="P422" t="s">
        <v>1368</v>
      </c>
      <c r="Q422" t="s">
        <v>354</v>
      </c>
      <c r="R422">
        <v>2069126</v>
      </c>
      <c r="S422" t="s">
        <v>355</v>
      </c>
      <c r="U422" t="s">
        <v>1762</v>
      </c>
      <c r="V422" t="s">
        <v>356</v>
      </c>
      <c r="W422">
        <v>2000000</v>
      </c>
      <c r="X422">
        <v>524.08000000000004</v>
      </c>
      <c r="Y422">
        <v>4565.72</v>
      </c>
      <c r="Z422">
        <v>2000000</v>
      </c>
      <c r="AA422">
        <v>306</v>
      </c>
      <c r="AB422">
        <v>44458.969459293985</v>
      </c>
      <c r="AC422" t="s">
        <v>36</v>
      </c>
      <c r="AD422">
        <v>2</v>
      </c>
    </row>
    <row r="423" spans="1:30" x14ac:dyDescent="0.25">
      <c r="A423" t="s">
        <v>1051</v>
      </c>
      <c r="B423" t="s">
        <v>1106</v>
      </c>
      <c r="C423" t="s">
        <v>1151</v>
      </c>
      <c r="D423" t="s">
        <v>1753</v>
      </c>
      <c r="E423" t="s">
        <v>1060</v>
      </c>
      <c r="F423" t="s">
        <v>1061</v>
      </c>
      <c r="G423">
        <v>6101937</v>
      </c>
      <c r="H423">
        <v>202109</v>
      </c>
      <c r="I423">
        <v>44456</v>
      </c>
      <c r="J423">
        <v>122536</v>
      </c>
      <c r="K423" t="s">
        <v>1056</v>
      </c>
      <c r="M423" t="s">
        <v>355</v>
      </c>
      <c r="O423" t="s">
        <v>1695</v>
      </c>
      <c r="P423" t="s">
        <v>1696</v>
      </c>
      <c r="Q423" t="s">
        <v>354</v>
      </c>
      <c r="R423">
        <v>2265776</v>
      </c>
      <c r="S423" t="s">
        <v>355</v>
      </c>
      <c r="U423" t="s">
        <v>1763</v>
      </c>
      <c r="V423" t="s">
        <v>356</v>
      </c>
      <c r="W423">
        <v>640000</v>
      </c>
      <c r="X423">
        <v>167.71</v>
      </c>
      <c r="Y423">
        <v>1461.03</v>
      </c>
      <c r="Z423">
        <v>640000</v>
      </c>
      <c r="AA423">
        <v>0</v>
      </c>
      <c r="AB423">
        <v>44458.969459293985</v>
      </c>
      <c r="AC423" t="s">
        <v>325</v>
      </c>
      <c r="AD423">
        <v>5</v>
      </c>
    </row>
    <row r="424" spans="1:30" x14ac:dyDescent="0.25">
      <c r="A424" t="s">
        <v>1051</v>
      </c>
      <c r="B424" t="s">
        <v>1051</v>
      </c>
      <c r="C424" t="s">
        <v>1764</v>
      </c>
      <c r="D424" t="s">
        <v>1765</v>
      </c>
      <c r="E424" t="s">
        <v>1766</v>
      </c>
      <c r="F424" t="s">
        <v>1767</v>
      </c>
      <c r="G424">
        <v>13100148</v>
      </c>
      <c r="H424">
        <v>202105</v>
      </c>
      <c r="I424">
        <v>44334</v>
      </c>
      <c r="J424" t="s">
        <v>1768</v>
      </c>
      <c r="K424" t="s">
        <v>1056</v>
      </c>
      <c r="M424" t="s">
        <v>355</v>
      </c>
      <c r="O424" t="s">
        <v>1769</v>
      </c>
      <c r="P424" t="s">
        <v>1770</v>
      </c>
      <c r="Q424" t="s">
        <v>354</v>
      </c>
      <c r="R424">
        <v>2069120</v>
      </c>
      <c r="S424" t="s">
        <v>1771</v>
      </c>
      <c r="U424" t="s">
        <v>1772</v>
      </c>
      <c r="V424" t="s">
        <v>356</v>
      </c>
      <c r="W424">
        <v>36000</v>
      </c>
      <c r="X424">
        <v>9.9</v>
      </c>
      <c r="Y424">
        <v>83.83</v>
      </c>
      <c r="Z424">
        <v>36000</v>
      </c>
      <c r="AA424">
        <v>0</v>
      </c>
      <c r="AB424">
        <v>44335.799443750002</v>
      </c>
      <c r="AC424" t="s">
        <v>325</v>
      </c>
      <c r="AD424">
        <v>5</v>
      </c>
    </row>
    <row r="425" spans="1:30" x14ac:dyDescent="0.25">
      <c r="A425" t="s">
        <v>1051</v>
      </c>
      <c r="B425" t="s">
        <v>1051</v>
      </c>
      <c r="C425" t="s">
        <v>1764</v>
      </c>
      <c r="D425" t="s">
        <v>1765</v>
      </c>
      <c r="E425" t="s">
        <v>1766</v>
      </c>
      <c r="F425" t="s">
        <v>1767</v>
      </c>
      <c r="G425">
        <v>13100148</v>
      </c>
      <c r="H425">
        <v>202105</v>
      </c>
      <c r="I425">
        <v>44334</v>
      </c>
      <c r="J425" t="s">
        <v>1768</v>
      </c>
      <c r="K425" t="s">
        <v>1056</v>
      </c>
      <c r="M425" t="s">
        <v>355</v>
      </c>
      <c r="O425" t="s">
        <v>1773</v>
      </c>
      <c r="P425" t="s">
        <v>1774</v>
      </c>
      <c r="Q425" t="s">
        <v>354</v>
      </c>
      <c r="R425">
        <v>2069120</v>
      </c>
      <c r="S425" t="s">
        <v>1775</v>
      </c>
      <c r="U425" t="s">
        <v>1776</v>
      </c>
      <c r="V425" t="s">
        <v>356</v>
      </c>
      <c r="W425">
        <v>31500</v>
      </c>
      <c r="X425">
        <v>8.66</v>
      </c>
      <c r="Y425">
        <v>73.349999999999994</v>
      </c>
      <c r="Z425">
        <v>31500</v>
      </c>
      <c r="AA425">
        <v>0</v>
      </c>
      <c r="AB425">
        <v>44335.799443750002</v>
      </c>
      <c r="AC425" t="s">
        <v>325</v>
      </c>
      <c r="AD425">
        <v>5</v>
      </c>
    </row>
    <row r="426" spans="1:30" x14ac:dyDescent="0.25">
      <c r="A426" t="s">
        <v>1051</v>
      </c>
      <c r="B426" t="s">
        <v>1051</v>
      </c>
      <c r="C426" t="s">
        <v>1764</v>
      </c>
      <c r="D426" t="s">
        <v>1765</v>
      </c>
      <c r="E426" t="s">
        <v>1766</v>
      </c>
      <c r="F426" t="s">
        <v>1767</v>
      </c>
      <c r="G426">
        <v>13100148</v>
      </c>
      <c r="H426">
        <v>202105</v>
      </c>
      <c r="I426">
        <v>44334</v>
      </c>
      <c r="J426" t="s">
        <v>1768</v>
      </c>
      <c r="K426" t="s">
        <v>1056</v>
      </c>
      <c r="M426" t="s">
        <v>355</v>
      </c>
      <c r="O426" t="s">
        <v>1777</v>
      </c>
      <c r="P426" t="s">
        <v>1778</v>
      </c>
      <c r="Q426" t="s">
        <v>354</v>
      </c>
      <c r="R426">
        <v>2069120</v>
      </c>
      <c r="S426" t="s">
        <v>1779</v>
      </c>
      <c r="U426" t="s">
        <v>1780</v>
      </c>
      <c r="V426" t="s">
        <v>356</v>
      </c>
      <c r="W426">
        <v>23400</v>
      </c>
      <c r="X426">
        <v>6.44</v>
      </c>
      <c r="Y426">
        <v>54.49</v>
      </c>
      <c r="Z426">
        <v>23400</v>
      </c>
      <c r="AA426">
        <v>0</v>
      </c>
      <c r="AB426">
        <v>44335.799443750002</v>
      </c>
      <c r="AC426" t="s">
        <v>325</v>
      </c>
      <c r="AD426">
        <v>5</v>
      </c>
    </row>
    <row r="427" spans="1:30" x14ac:dyDescent="0.25">
      <c r="A427" t="s">
        <v>1051</v>
      </c>
      <c r="B427" t="s">
        <v>1051</v>
      </c>
      <c r="C427" t="s">
        <v>1764</v>
      </c>
      <c r="D427" t="s">
        <v>1765</v>
      </c>
      <c r="E427" t="s">
        <v>1766</v>
      </c>
      <c r="F427" t="s">
        <v>1767</v>
      </c>
      <c r="G427">
        <v>13100148</v>
      </c>
      <c r="H427">
        <v>202105</v>
      </c>
      <c r="I427">
        <v>44334</v>
      </c>
      <c r="J427" t="s">
        <v>1768</v>
      </c>
      <c r="K427" t="s">
        <v>1056</v>
      </c>
      <c r="M427" t="s">
        <v>355</v>
      </c>
      <c r="O427" t="s">
        <v>1307</v>
      </c>
      <c r="P427" t="s">
        <v>1308</v>
      </c>
      <c r="Q427" t="s">
        <v>354</v>
      </c>
      <c r="R427">
        <v>2069120</v>
      </c>
      <c r="S427" t="s">
        <v>1781</v>
      </c>
      <c r="U427" t="s">
        <v>1782</v>
      </c>
      <c r="V427" t="s">
        <v>356</v>
      </c>
      <c r="W427">
        <v>36000</v>
      </c>
      <c r="X427">
        <v>9.9</v>
      </c>
      <c r="Y427">
        <v>83.83</v>
      </c>
      <c r="Z427">
        <v>36000</v>
      </c>
      <c r="AA427">
        <v>0</v>
      </c>
      <c r="AB427">
        <v>44335.799443946758</v>
      </c>
      <c r="AC427" t="s">
        <v>325</v>
      </c>
      <c r="AD427">
        <v>5</v>
      </c>
    </row>
    <row r="428" spans="1:30" x14ac:dyDescent="0.25">
      <c r="A428" t="s">
        <v>1051</v>
      </c>
      <c r="B428" t="s">
        <v>1051</v>
      </c>
      <c r="C428" t="s">
        <v>1764</v>
      </c>
      <c r="D428" t="s">
        <v>1765</v>
      </c>
      <c r="E428" t="s">
        <v>1766</v>
      </c>
      <c r="F428" t="s">
        <v>1767</v>
      </c>
      <c r="G428">
        <v>13100148</v>
      </c>
      <c r="H428">
        <v>202105</v>
      </c>
      <c r="I428">
        <v>44334</v>
      </c>
      <c r="J428" t="s">
        <v>1768</v>
      </c>
      <c r="K428" t="s">
        <v>1056</v>
      </c>
      <c r="M428" t="s">
        <v>355</v>
      </c>
      <c r="O428" t="s">
        <v>1307</v>
      </c>
      <c r="P428" t="s">
        <v>1308</v>
      </c>
      <c r="Q428" t="s">
        <v>354</v>
      </c>
      <c r="R428">
        <v>2069120</v>
      </c>
      <c r="S428" t="s">
        <v>1781</v>
      </c>
      <c r="U428" t="s">
        <v>1783</v>
      </c>
      <c r="V428" t="s">
        <v>356</v>
      </c>
      <c r="W428">
        <v>27400</v>
      </c>
      <c r="X428">
        <v>7.54</v>
      </c>
      <c r="Y428">
        <v>63.81</v>
      </c>
      <c r="Z428">
        <v>27400</v>
      </c>
      <c r="AA428">
        <v>0</v>
      </c>
      <c r="AB428">
        <v>44335.799443946758</v>
      </c>
      <c r="AC428" t="s">
        <v>325</v>
      </c>
      <c r="AD428">
        <v>5</v>
      </c>
    </row>
    <row r="429" spans="1:30" x14ac:dyDescent="0.25">
      <c r="A429" t="s">
        <v>1051</v>
      </c>
      <c r="B429" t="s">
        <v>1051</v>
      </c>
      <c r="C429" t="s">
        <v>1764</v>
      </c>
      <c r="D429" t="s">
        <v>1765</v>
      </c>
      <c r="E429" t="s">
        <v>1766</v>
      </c>
      <c r="F429" t="s">
        <v>1767</v>
      </c>
      <c r="G429">
        <v>13100148</v>
      </c>
      <c r="H429">
        <v>202105</v>
      </c>
      <c r="I429">
        <v>44334</v>
      </c>
      <c r="J429" t="s">
        <v>1768</v>
      </c>
      <c r="K429" t="s">
        <v>1056</v>
      </c>
      <c r="M429" t="s">
        <v>355</v>
      </c>
      <c r="O429" t="s">
        <v>1784</v>
      </c>
      <c r="P429" t="s">
        <v>1785</v>
      </c>
      <c r="Q429" t="s">
        <v>354</v>
      </c>
      <c r="R429">
        <v>2069120</v>
      </c>
      <c r="S429" t="s">
        <v>1786</v>
      </c>
      <c r="U429" t="s">
        <v>1787</v>
      </c>
      <c r="V429" t="s">
        <v>356</v>
      </c>
      <c r="W429">
        <v>36000</v>
      </c>
      <c r="X429">
        <v>9.9</v>
      </c>
      <c r="Y429">
        <v>83.83</v>
      </c>
      <c r="Z429">
        <v>36000</v>
      </c>
      <c r="AA429">
        <v>0</v>
      </c>
      <c r="AB429">
        <v>44335.799443946758</v>
      </c>
      <c r="AC429" t="s">
        <v>325</v>
      </c>
      <c r="AD429">
        <v>5</v>
      </c>
    </row>
    <row r="430" spans="1:30" x14ac:dyDescent="0.25">
      <c r="A430" t="s">
        <v>1051</v>
      </c>
      <c r="B430" t="s">
        <v>1051</v>
      </c>
      <c r="C430" t="s">
        <v>1764</v>
      </c>
      <c r="D430" t="s">
        <v>1765</v>
      </c>
      <c r="E430" t="s">
        <v>1766</v>
      </c>
      <c r="F430" t="s">
        <v>1767</v>
      </c>
      <c r="G430">
        <v>13100148</v>
      </c>
      <c r="H430">
        <v>202105</v>
      </c>
      <c r="I430">
        <v>44334</v>
      </c>
      <c r="J430" t="s">
        <v>1768</v>
      </c>
      <c r="K430" t="s">
        <v>1056</v>
      </c>
      <c r="M430" t="s">
        <v>355</v>
      </c>
      <c r="O430" t="s">
        <v>1252</v>
      </c>
      <c r="P430" t="s">
        <v>1253</v>
      </c>
      <c r="Q430" t="s">
        <v>354</v>
      </c>
      <c r="R430">
        <v>2069120</v>
      </c>
      <c r="S430" t="s">
        <v>1788</v>
      </c>
      <c r="U430" t="s">
        <v>1789</v>
      </c>
      <c r="V430" t="s">
        <v>356</v>
      </c>
      <c r="W430">
        <v>196000</v>
      </c>
      <c r="X430">
        <v>53.9</v>
      </c>
      <c r="Y430">
        <v>456.43</v>
      </c>
      <c r="Z430">
        <v>196000</v>
      </c>
      <c r="AA430">
        <v>0</v>
      </c>
      <c r="AB430">
        <v>44335.799443946758</v>
      </c>
      <c r="AC430" t="s">
        <v>325</v>
      </c>
      <c r="AD430">
        <v>5</v>
      </c>
    </row>
    <row r="431" spans="1:30" x14ac:dyDescent="0.25">
      <c r="A431" t="s">
        <v>1051</v>
      </c>
      <c r="B431" t="s">
        <v>1051</v>
      </c>
      <c r="C431" t="s">
        <v>1764</v>
      </c>
      <c r="D431" t="s">
        <v>1765</v>
      </c>
      <c r="E431" t="s">
        <v>1766</v>
      </c>
      <c r="F431" t="s">
        <v>1767</v>
      </c>
      <c r="G431">
        <v>13100148</v>
      </c>
      <c r="H431">
        <v>202105</v>
      </c>
      <c r="I431">
        <v>44334</v>
      </c>
      <c r="J431" t="s">
        <v>1768</v>
      </c>
      <c r="K431" t="s">
        <v>1056</v>
      </c>
      <c r="M431" t="s">
        <v>355</v>
      </c>
      <c r="O431" t="s">
        <v>1790</v>
      </c>
      <c r="P431" t="s">
        <v>1791</v>
      </c>
      <c r="Q431" t="s">
        <v>354</v>
      </c>
      <c r="R431">
        <v>2069120</v>
      </c>
      <c r="S431" t="s">
        <v>1792</v>
      </c>
      <c r="U431" t="s">
        <v>1793</v>
      </c>
      <c r="V431" t="s">
        <v>356</v>
      </c>
      <c r="W431">
        <v>5000</v>
      </c>
      <c r="X431">
        <v>1.38</v>
      </c>
      <c r="Y431">
        <v>11.64</v>
      </c>
      <c r="Z431">
        <v>5000</v>
      </c>
      <c r="AA431">
        <v>0</v>
      </c>
      <c r="AB431">
        <v>44335.799443946758</v>
      </c>
      <c r="AC431" t="s">
        <v>325</v>
      </c>
      <c r="AD431">
        <v>5</v>
      </c>
    </row>
    <row r="432" spans="1:30" x14ac:dyDescent="0.25">
      <c r="A432" t="s">
        <v>1051</v>
      </c>
      <c r="B432" t="s">
        <v>1051</v>
      </c>
      <c r="C432" t="s">
        <v>1764</v>
      </c>
      <c r="D432" t="s">
        <v>1765</v>
      </c>
      <c r="E432" t="s">
        <v>1766</v>
      </c>
      <c r="F432" t="s">
        <v>1767</v>
      </c>
      <c r="G432">
        <v>13100148</v>
      </c>
      <c r="H432">
        <v>202105</v>
      </c>
      <c r="I432">
        <v>44334</v>
      </c>
      <c r="J432" t="s">
        <v>1768</v>
      </c>
      <c r="K432" t="s">
        <v>1056</v>
      </c>
      <c r="M432" t="s">
        <v>355</v>
      </c>
      <c r="O432" t="s">
        <v>1307</v>
      </c>
      <c r="P432" t="s">
        <v>1308</v>
      </c>
      <c r="Q432" t="s">
        <v>354</v>
      </c>
      <c r="R432">
        <v>2069120</v>
      </c>
      <c r="S432" t="s">
        <v>1781</v>
      </c>
      <c r="U432" t="s">
        <v>1794</v>
      </c>
      <c r="V432" t="s">
        <v>356</v>
      </c>
      <c r="W432">
        <v>28900</v>
      </c>
      <c r="X432">
        <v>7.95</v>
      </c>
      <c r="Y432">
        <v>67.3</v>
      </c>
      <c r="Z432">
        <v>28900</v>
      </c>
      <c r="AA432">
        <v>0</v>
      </c>
      <c r="AB432">
        <v>44335.799443946758</v>
      </c>
      <c r="AC432" t="s">
        <v>325</v>
      </c>
      <c r="AD432">
        <v>5</v>
      </c>
    </row>
    <row r="433" spans="1:30" x14ac:dyDescent="0.25">
      <c r="A433" t="s">
        <v>1051</v>
      </c>
      <c r="B433" t="s">
        <v>1051</v>
      </c>
      <c r="C433" t="s">
        <v>1764</v>
      </c>
      <c r="D433" t="s">
        <v>1765</v>
      </c>
      <c r="E433" t="s">
        <v>1766</v>
      </c>
      <c r="F433" t="s">
        <v>1767</v>
      </c>
      <c r="G433">
        <v>13100148</v>
      </c>
      <c r="H433">
        <v>202105</v>
      </c>
      <c r="I433">
        <v>44334</v>
      </c>
      <c r="J433" t="s">
        <v>1768</v>
      </c>
      <c r="K433" t="s">
        <v>1056</v>
      </c>
      <c r="M433" t="s">
        <v>355</v>
      </c>
      <c r="O433" t="s">
        <v>1307</v>
      </c>
      <c r="P433" t="s">
        <v>1308</v>
      </c>
      <c r="Q433" t="s">
        <v>354</v>
      </c>
      <c r="R433">
        <v>2069120</v>
      </c>
      <c r="S433" t="s">
        <v>1781</v>
      </c>
      <c r="U433" t="s">
        <v>1795</v>
      </c>
      <c r="V433" t="s">
        <v>356</v>
      </c>
      <c r="W433">
        <v>34900</v>
      </c>
      <c r="X433">
        <v>9.6</v>
      </c>
      <c r="Y433">
        <v>81.27</v>
      </c>
      <c r="Z433">
        <v>34900</v>
      </c>
      <c r="AA433">
        <v>0</v>
      </c>
      <c r="AB433">
        <v>44335.799443946758</v>
      </c>
      <c r="AC433" t="s">
        <v>325</v>
      </c>
      <c r="AD433">
        <v>5</v>
      </c>
    </row>
    <row r="434" spans="1:30" x14ac:dyDescent="0.25">
      <c r="A434" t="s">
        <v>1051</v>
      </c>
      <c r="B434" t="s">
        <v>1051</v>
      </c>
      <c r="C434" t="s">
        <v>1764</v>
      </c>
      <c r="D434" t="s">
        <v>1765</v>
      </c>
      <c r="E434" t="s">
        <v>1796</v>
      </c>
      <c r="F434" t="s">
        <v>1797</v>
      </c>
      <c r="G434">
        <v>13100231</v>
      </c>
      <c r="H434">
        <v>202106</v>
      </c>
      <c r="I434">
        <v>44377</v>
      </c>
      <c r="J434" t="s">
        <v>1768</v>
      </c>
      <c r="K434" t="s">
        <v>1056</v>
      </c>
      <c r="M434" t="s">
        <v>355</v>
      </c>
      <c r="O434" t="s">
        <v>1769</v>
      </c>
      <c r="P434" t="s">
        <v>1770</v>
      </c>
      <c r="Q434" t="s">
        <v>354</v>
      </c>
      <c r="R434">
        <v>2069120</v>
      </c>
      <c r="S434" t="s">
        <v>1771</v>
      </c>
      <c r="U434" t="s">
        <v>1798</v>
      </c>
      <c r="V434" t="s">
        <v>356</v>
      </c>
      <c r="W434">
        <v>-36000</v>
      </c>
      <c r="X434">
        <v>-9.9</v>
      </c>
      <c r="Y434">
        <v>-83.83</v>
      </c>
      <c r="Z434">
        <v>-36000</v>
      </c>
      <c r="AA434">
        <v>0</v>
      </c>
      <c r="AB434">
        <v>44384.935162499998</v>
      </c>
      <c r="AC434" t="s">
        <v>325</v>
      </c>
      <c r="AD434">
        <v>5</v>
      </c>
    </row>
    <row r="435" spans="1:30" x14ac:dyDescent="0.25">
      <c r="A435" t="s">
        <v>1051</v>
      </c>
      <c r="B435" t="s">
        <v>1051</v>
      </c>
      <c r="C435" t="s">
        <v>1764</v>
      </c>
      <c r="D435" t="s">
        <v>1765</v>
      </c>
      <c r="E435" t="s">
        <v>1796</v>
      </c>
      <c r="F435" t="s">
        <v>1797</v>
      </c>
      <c r="G435">
        <v>13100231</v>
      </c>
      <c r="H435">
        <v>202106</v>
      </c>
      <c r="I435">
        <v>44377</v>
      </c>
      <c r="J435" t="s">
        <v>1768</v>
      </c>
      <c r="K435" t="s">
        <v>1056</v>
      </c>
      <c r="M435" t="s">
        <v>355</v>
      </c>
      <c r="O435" t="s">
        <v>1773</v>
      </c>
      <c r="P435" t="s">
        <v>1774</v>
      </c>
      <c r="Q435" t="s">
        <v>354</v>
      </c>
      <c r="R435">
        <v>2069120</v>
      </c>
      <c r="S435" t="s">
        <v>1775</v>
      </c>
      <c r="U435" t="s">
        <v>1799</v>
      </c>
      <c r="V435" t="s">
        <v>356</v>
      </c>
      <c r="W435">
        <v>-31500</v>
      </c>
      <c r="X435">
        <v>-8.66</v>
      </c>
      <c r="Y435">
        <v>-73.349999999999994</v>
      </c>
      <c r="Z435">
        <v>-31500</v>
      </c>
      <c r="AA435">
        <v>0</v>
      </c>
      <c r="AB435">
        <v>44384.935162499998</v>
      </c>
      <c r="AC435" t="s">
        <v>325</v>
      </c>
      <c r="AD435">
        <v>5</v>
      </c>
    </row>
    <row r="436" spans="1:30" x14ac:dyDescent="0.25">
      <c r="A436" t="s">
        <v>1051</v>
      </c>
      <c r="B436" t="s">
        <v>1051</v>
      </c>
      <c r="C436" t="s">
        <v>1764</v>
      </c>
      <c r="D436" t="s">
        <v>1765</v>
      </c>
      <c r="E436" t="s">
        <v>1796</v>
      </c>
      <c r="F436" t="s">
        <v>1797</v>
      </c>
      <c r="G436">
        <v>13100231</v>
      </c>
      <c r="H436">
        <v>202106</v>
      </c>
      <c r="I436">
        <v>44377</v>
      </c>
      <c r="J436" t="s">
        <v>1768</v>
      </c>
      <c r="K436" t="s">
        <v>1056</v>
      </c>
      <c r="M436" t="s">
        <v>355</v>
      </c>
      <c r="O436" t="s">
        <v>1777</v>
      </c>
      <c r="P436" t="s">
        <v>1778</v>
      </c>
      <c r="Q436" t="s">
        <v>354</v>
      </c>
      <c r="R436">
        <v>2069120</v>
      </c>
      <c r="S436" t="s">
        <v>1779</v>
      </c>
      <c r="U436" t="s">
        <v>1800</v>
      </c>
      <c r="V436" t="s">
        <v>356</v>
      </c>
      <c r="W436">
        <v>-23400</v>
      </c>
      <c r="X436">
        <v>-6.44</v>
      </c>
      <c r="Y436">
        <v>-54.49</v>
      </c>
      <c r="Z436">
        <v>-23400</v>
      </c>
      <c r="AA436">
        <v>0</v>
      </c>
      <c r="AB436">
        <v>44384.935162499998</v>
      </c>
      <c r="AC436" t="s">
        <v>325</v>
      </c>
      <c r="AD436">
        <v>5</v>
      </c>
    </row>
    <row r="437" spans="1:30" x14ac:dyDescent="0.25">
      <c r="A437" t="s">
        <v>1051</v>
      </c>
      <c r="B437" t="s">
        <v>1051</v>
      </c>
      <c r="C437" t="s">
        <v>1764</v>
      </c>
      <c r="D437" t="s">
        <v>1765</v>
      </c>
      <c r="E437" t="s">
        <v>1796</v>
      </c>
      <c r="F437" t="s">
        <v>1797</v>
      </c>
      <c r="G437">
        <v>13100231</v>
      </c>
      <c r="H437">
        <v>202106</v>
      </c>
      <c r="I437">
        <v>44377</v>
      </c>
      <c r="J437" t="s">
        <v>1768</v>
      </c>
      <c r="K437" t="s">
        <v>1056</v>
      </c>
      <c r="M437" t="s">
        <v>355</v>
      </c>
      <c r="O437" t="s">
        <v>1307</v>
      </c>
      <c r="P437" t="s">
        <v>1308</v>
      </c>
      <c r="Q437" t="s">
        <v>354</v>
      </c>
      <c r="R437">
        <v>2069120</v>
      </c>
      <c r="S437" t="s">
        <v>1781</v>
      </c>
      <c r="U437" t="s">
        <v>1801</v>
      </c>
      <c r="V437" t="s">
        <v>356</v>
      </c>
      <c r="W437">
        <v>-36000</v>
      </c>
      <c r="X437">
        <v>-9.9</v>
      </c>
      <c r="Y437">
        <v>-83.83</v>
      </c>
      <c r="Z437">
        <v>-36000</v>
      </c>
      <c r="AA437">
        <v>0</v>
      </c>
      <c r="AB437">
        <v>44384.935162499998</v>
      </c>
      <c r="AC437" t="s">
        <v>325</v>
      </c>
      <c r="AD437">
        <v>5</v>
      </c>
    </row>
    <row r="438" spans="1:30" x14ac:dyDescent="0.25">
      <c r="A438" t="s">
        <v>1051</v>
      </c>
      <c r="B438" t="s">
        <v>1051</v>
      </c>
      <c r="C438" t="s">
        <v>1764</v>
      </c>
      <c r="D438" t="s">
        <v>1765</v>
      </c>
      <c r="E438" t="s">
        <v>1796</v>
      </c>
      <c r="F438" t="s">
        <v>1797</v>
      </c>
      <c r="G438">
        <v>13100231</v>
      </c>
      <c r="H438">
        <v>202106</v>
      </c>
      <c r="I438">
        <v>44377</v>
      </c>
      <c r="J438" t="s">
        <v>1768</v>
      </c>
      <c r="K438" t="s">
        <v>1056</v>
      </c>
      <c r="M438" t="s">
        <v>355</v>
      </c>
      <c r="O438" t="s">
        <v>1307</v>
      </c>
      <c r="P438" t="s">
        <v>1308</v>
      </c>
      <c r="Q438" t="s">
        <v>354</v>
      </c>
      <c r="R438">
        <v>2069120</v>
      </c>
      <c r="S438" t="s">
        <v>1781</v>
      </c>
      <c r="U438" t="s">
        <v>1802</v>
      </c>
      <c r="V438" t="s">
        <v>356</v>
      </c>
      <c r="W438">
        <v>-27400</v>
      </c>
      <c r="X438">
        <v>-7.54</v>
      </c>
      <c r="Y438">
        <v>-63.81</v>
      </c>
      <c r="Z438">
        <v>-27400</v>
      </c>
      <c r="AA438">
        <v>0</v>
      </c>
      <c r="AB438">
        <v>44384.935162499998</v>
      </c>
      <c r="AC438" t="s">
        <v>325</v>
      </c>
      <c r="AD438">
        <v>5</v>
      </c>
    </row>
    <row r="439" spans="1:30" x14ac:dyDescent="0.25">
      <c r="A439" t="s">
        <v>1051</v>
      </c>
      <c r="B439" t="s">
        <v>1051</v>
      </c>
      <c r="C439" t="s">
        <v>1764</v>
      </c>
      <c r="D439" t="s">
        <v>1765</v>
      </c>
      <c r="E439" t="s">
        <v>1796</v>
      </c>
      <c r="F439" t="s">
        <v>1797</v>
      </c>
      <c r="G439">
        <v>13100231</v>
      </c>
      <c r="H439">
        <v>202106</v>
      </c>
      <c r="I439">
        <v>44377</v>
      </c>
      <c r="J439" t="s">
        <v>1768</v>
      </c>
      <c r="K439" t="s">
        <v>1056</v>
      </c>
      <c r="M439" t="s">
        <v>355</v>
      </c>
      <c r="O439" t="s">
        <v>1784</v>
      </c>
      <c r="P439" t="s">
        <v>1785</v>
      </c>
      <c r="Q439" t="s">
        <v>354</v>
      </c>
      <c r="R439">
        <v>2069120</v>
      </c>
      <c r="S439" t="s">
        <v>1786</v>
      </c>
      <c r="U439" t="s">
        <v>1803</v>
      </c>
      <c r="V439" t="s">
        <v>356</v>
      </c>
      <c r="W439">
        <v>-36000</v>
      </c>
      <c r="X439">
        <v>-9.9</v>
      </c>
      <c r="Y439">
        <v>-83.83</v>
      </c>
      <c r="Z439">
        <v>-36000</v>
      </c>
      <c r="AA439">
        <v>0</v>
      </c>
      <c r="AB439">
        <v>44384.935162499998</v>
      </c>
      <c r="AC439" t="s">
        <v>325</v>
      </c>
      <c r="AD439">
        <v>5</v>
      </c>
    </row>
    <row r="440" spans="1:30" x14ac:dyDescent="0.25">
      <c r="A440" t="s">
        <v>1051</v>
      </c>
      <c r="B440" t="s">
        <v>1051</v>
      </c>
      <c r="C440" t="s">
        <v>1764</v>
      </c>
      <c r="D440" t="s">
        <v>1765</v>
      </c>
      <c r="E440" t="s">
        <v>1796</v>
      </c>
      <c r="F440" t="s">
        <v>1797</v>
      </c>
      <c r="G440">
        <v>13100231</v>
      </c>
      <c r="H440">
        <v>202106</v>
      </c>
      <c r="I440">
        <v>44377</v>
      </c>
      <c r="J440" t="s">
        <v>1768</v>
      </c>
      <c r="K440" t="s">
        <v>1056</v>
      </c>
      <c r="M440" t="s">
        <v>355</v>
      </c>
      <c r="O440" t="s">
        <v>1252</v>
      </c>
      <c r="P440" t="s">
        <v>1253</v>
      </c>
      <c r="Q440" t="s">
        <v>354</v>
      </c>
      <c r="R440">
        <v>2069120</v>
      </c>
      <c r="S440" t="s">
        <v>1788</v>
      </c>
      <c r="U440" t="s">
        <v>1804</v>
      </c>
      <c r="V440" t="s">
        <v>356</v>
      </c>
      <c r="W440">
        <v>-196000</v>
      </c>
      <c r="X440">
        <v>-53.9</v>
      </c>
      <c r="Y440">
        <v>-456.43</v>
      </c>
      <c r="Z440">
        <v>-196000</v>
      </c>
      <c r="AA440">
        <v>0</v>
      </c>
      <c r="AB440">
        <v>44384.935162499998</v>
      </c>
      <c r="AC440" t="s">
        <v>325</v>
      </c>
      <c r="AD440">
        <v>5</v>
      </c>
    </row>
    <row r="441" spans="1:30" x14ac:dyDescent="0.25">
      <c r="A441" t="s">
        <v>1051</v>
      </c>
      <c r="B441" t="s">
        <v>1051</v>
      </c>
      <c r="C441" t="s">
        <v>1764</v>
      </c>
      <c r="D441" t="s">
        <v>1765</v>
      </c>
      <c r="E441" t="s">
        <v>1796</v>
      </c>
      <c r="F441" t="s">
        <v>1797</v>
      </c>
      <c r="G441">
        <v>13100231</v>
      </c>
      <c r="H441">
        <v>202106</v>
      </c>
      <c r="I441">
        <v>44377</v>
      </c>
      <c r="J441" t="s">
        <v>1768</v>
      </c>
      <c r="K441" t="s">
        <v>1056</v>
      </c>
      <c r="M441" t="s">
        <v>355</v>
      </c>
      <c r="O441" t="s">
        <v>1790</v>
      </c>
      <c r="P441" t="s">
        <v>1791</v>
      </c>
      <c r="Q441" t="s">
        <v>354</v>
      </c>
      <c r="R441">
        <v>2069120</v>
      </c>
      <c r="S441" t="s">
        <v>1792</v>
      </c>
      <c r="U441" t="s">
        <v>1805</v>
      </c>
      <c r="V441" t="s">
        <v>356</v>
      </c>
      <c r="W441">
        <v>-5000</v>
      </c>
      <c r="X441">
        <v>-1.38</v>
      </c>
      <c r="Y441">
        <v>-11.64</v>
      </c>
      <c r="Z441">
        <v>-5000</v>
      </c>
      <c r="AA441">
        <v>0</v>
      </c>
      <c r="AB441">
        <v>44384.935162499998</v>
      </c>
      <c r="AC441" t="s">
        <v>325</v>
      </c>
      <c r="AD441">
        <v>5</v>
      </c>
    </row>
    <row r="442" spans="1:30" x14ac:dyDescent="0.25">
      <c r="A442" t="s">
        <v>1051</v>
      </c>
      <c r="B442" t="s">
        <v>1051</v>
      </c>
      <c r="C442" t="s">
        <v>1764</v>
      </c>
      <c r="D442" t="s">
        <v>1765</v>
      </c>
      <c r="E442" t="s">
        <v>1796</v>
      </c>
      <c r="F442" t="s">
        <v>1797</v>
      </c>
      <c r="G442">
        <v>13100231</v>
      </c>
      <c r="H442">
        <v>202106</v>
      </c>
      <c r="I442">
        <v>44377</v>
      </c>
      <c r="J442" t="s">
        <v>1768</v>
      </c>
      <c r="K442" t="s">
        <v>1056</v>
      </c>
      <c r="M442" t="s">
        <v>355</v>
      </c>
      <c r="O442" t="s">
        <v>1307</v>
      </c>
      <c r="P442" t="s">
        <v>1308</v>
      </c>
      <c r="Q442" t="s">
        <v>354</v>
      </c>
      <c r="R442">
        <v>2069120</v>
      </c>
      <c r="S442" t="s">
        <v>1781</v>
      </c>
      <c r="U442" t="s">
        <v>1806</v>
      </c>
      <c r="V442" t="s">
        <v>356</v>
      </c>
      <c r="W442">
        <v>-28900</v>
      </c>
      <c r="X442">
        <v>-7.95</v>
      </c>
      <c r="Y442">
        <v>-67.3</v>
      </c>
      <c r="Z442">
        <v>-28900</v>
      </c>
      <c r="AA442">
        <v>0</v>
      </c>
      <c r="AB442">
        <v>44384.935162499998</v>
      </c>
      <c r="AC442" t="s">
        <v>325</v>
      </c>
      <c r="AD442">
        <v>5</v>
      </c>
    </row>
    <row r="443" spans="1:30" x14ac:dyDescent="0.25">
      <c r="A443" t="s">
        <v>1051</v>
      </c>
      <c r="B443" t="s">
        <v>1051</v>
      </c>
      <c r="C443" t="s">
        <v>1764</v>
      </c>
      <c r="D443" t="s">
        <v>1765</v>
      </c>
      <c r="E443" t="s">
        <v>1796</v>
      </c>
      <c r="F443" t="s">
        <v>1797</v>
      </c>
      <c r="G443">
        <v>13100231</v>
      </c>
      <c r="H443">
        <v>202106</v>
      </c>
      <c r="I443">
        <v>44377</v>
      </c>
      <c r="J443" t="s">
        <v>1768</v>
      </c>
      <c r="K443" t="s">
        <v>1056</v>
      </c>
      <c r="M443" t="s">
        <v>355</v>
      </c>
      <c r="O443" t="s">
        <v>1307</v>
      </c>
      <c r="P443" t="s">
        <v>1308</v>
      </c>
      <c r="Q443" t="s">
        <v>354</v>
      </c>
      <c r="R443">
        <v>2069120</v>
      </c>
      <c r="S443" t="s">
        <v>1781</v>
      </c>
      <c r="U443" t="s">
        <v>1807</v>
      </c>
      <c r="V443" t="s">
        <v>356</v>
      </c>
      <c r="W443">
        <v>-34900</v>
      </c>
      <c r="X443">
        <v>-9.6</v>
      </c>
      <c r="Y443">
        <v>-81.27</v>
      </c>
      <c r="Z443">
        <v>-34900</v>
      </c>
      <c r="AA443">
        <v>0</v>
      </c>
      <c r="AB443">
        <v>44384.935162499998</v>
      </c>
      <c r="AC443" t="s">
        <v>325</v>
      </c>
      <c r="AD443">
        <v>5</v>
      </c>
    </row>
    <row r="444" spans="1:30" x14ac:dyDescent="0.25">
      <c r="A444" t="s">
        <v>1051</v>
      </c>
      <c r="B444" t="s">
        <v>1106</v>
      </c>
      <c r="C444" t="s">
        <v>1808</v>
      </c>
      <c r="D444" t="s">
        <v>1809</v>
      </c>
      <c r="E444" t="s">
        <v>1060</v>
      </c>
      <c r="F444" t="s">
        <v>1061</v>
      </c>
      <c r="G444">
        <v>6100856</v>
      </c>
      <c r="H444">
        <v>202105</v>
      </c>
      <c r="I444">
        <v>44337</v>
      </c>
      <c r="J444" t="s">
        <v>1117</v>
      </c>
      <c r="K444" t="s">
        <v>1056</v>
      </c>
      <c r="M444" t="s">
        <v>355</v>
      </c>
      <c r="O444" t="s">
        <v>1810</v>
      </c>
      <c r="P444" t="s">
        <v>1811</v>
      </c>
      <c r="Q444" t="s">
        <v>357</v>
      </c>
      <c r="R444">
        <v>2069118</v>
      </c>
      <c r="S444" t="s">
        <v>355</v>
      </c>
      <c r="U444" t="s">
        <v>1812</v>
      </c>
      <c r="V444" t="s">
        <v>356</v>
      </c>
      <c r="W444">
        <v>81500</v>
      </c>
      <c r="X444">
        <v>21.19</v>
      </c>
      <c r="Y444">
        <v>173.84</v>
      </c>
      <c r="Z444">
        <v>81500</v>
      </c>
      <c r="AA444">
        <v>310</v>
      </c>
      <c r="AB444">
        <v>44338.102782175927</v>
      </c>
      <c r="AC444" t="s">
        <v>323</v>
      </c>
      <c r="AD444">
        <v>7</v>
      </c>
    </row>
    <row r="445" spans="1:30" x14ac:dyDescent="0.25">
      <c r="A445" t="s">
        <v>1051</v>
      </c>
      <c r="B445" t="s">
        <v>1106</v>
      </c>
      <c r="C445" t="s">
        <v>1808</v>
      </c>
      <c r="D445" t="s">
        <v>1809</v>
      </c>
      <c r="E445" t="s">
        <v>1060</v>
      </c>
      <c r="F445" t="s">
        <v>1061</v>
      </c>
      <c r="G445">
        <v>6100856</v>
      </c>
      <c r="H445">
        <v>202105</v>
      </c>
      <c r="I445">
        <v>44337</v>
      </c>
      <c r="J445" t="s">
        <v>1117</v>
      </c>
      <c r="K445" t="s">
        <v>1056</v>
      </c>
      <c r="M445" t="s">
        <v>355</v>
      </c>
      <c r="O445" t="s">
        <v>1810</v>
      </c>
      <c r="P445" t="s">
        <v>1811</v>
      </c>
      <c r="Q445" t="s">
        <v>357</v>
      </c>
      <c r="R445">
        <v>2069118</v>
      </c>
      <c r="S445" t="s">
        <v>355</v>
      </c>
      <c r="U445" t="s">
        <v>1813</v>
      </c>
      <c r="V445" t="s">
        <v>356</v>
      </c>
      <c r="W445">
        <v>81500</v>
      </c>
      <c r="X445">
        <v>21.19</v>
      </c>
      <c r="Y445">
        <v>173.84</v>
      </c>
      <c r="Z445">
        <v>81500</v>
      </c>
      <c r="AA445">
        <v>310</v>
      </c>
      <c r="AB445">
        <v>44338.102782175927</v>
      </c>
      <c r="AC445" t="s">
        <v>323</v>
      </c>
      <c r="AD445">
        <v>7</v>
      </c>
    </row>
    <row r="446" spans="1:30" x14ac:dyDescent="0.25">
      <c r="A446" t="s">
        <v>1051</v>
      </c>
      <c r="B446" t="s">
        <v>1106</v>
      </c>
      <c r="C446" t="s">
        <v>1808</v>
      </c>
      <c r="D446" t="s">
        <v>1809</v>
      </c>
      <c r="E446" t="s">
        <v>1060</v>
      </c>
      <c r="F446" t="s">
        <v>1061</v>
      </c>
      <c r="G446">
        <v>6101292</v>
      </c>
      <c r="H446">
        <v>202107</v>
      </c>
      <c r="I446">
        <v>44396</v>
      </c>
      <c r="J446" t="s">
        <v>1117</v>
      </c>
      <c r="K446" t="s">
        <v>1056</v>
      </c>
      <c r="M446" t="s">
        <v>355</v>
      </c>
      <c r="O446" t="s">
        <v>1810</v>
      </c>
      <c r="P446" t="s">
        <v>1811</v>
      </c>
      <c r="Q446" t="s">
        <v>357</v>
      </c>
      <c r="R446">
        <v>2069118</v>
      </c>
      <c r="S446" t="s">
        <v>355</v>
      </c>
      <c r="U446" t="s">
        <v>1814</v>
      </c>
      <c r="V446" t="s">
        <v>356</v>
      </c>
      <c r="W446">
        <v>112100</v>
      </c>
      <c r="X446">
        <v>29.48</v>
      </c>
      <c r="Y446">
        <v>253.79</v>
      </c>
      <c r="Z446">
        <v>112100</v>
      </c>
      <c r="AA446">
        <v>310</v>
      </c>
      <c r="AB446">
        <v>44398.649982870367</v>
      </c>
      <c r="AC446" t="s">
        <v>323</v>
      </c>
      <c r="AD446">
        <v>7</v>
      </c>
    </row>
    <row r="447" spans="1:30" x14ac:dyDescent="0.25">
      <c r="A447" t="s">
        <v>1051</v>
      </c>
      <c r="B447" t="s">
        <v>1106</v>
      </c>
      <c r="C447" t="s">
        <v>1815</v>
      </c>
      <c r="D447" t="s">
        <v>1816</v>
      </c>
      <c r="E447" t="s">
        <v>1095</v>
      </c>
      <c r="F447" t="s">
        <v>1096</v>
      </c>
      <c r="G447">
        <v>1100273</v>
      </c>
      <c r="H447">
        <v>202102</v>
      </c>
      <c r="I447">
        <v>44255</v>
      </c>
      <c r="J447" t="s">
        <v>1817</v>
      </c>
      <c r="K447" t="s">
        <v>1056</v>
      </c>
      <c r="L447">
        <v>123780</v>
      </c>
      <c r="M447" t="s">
        <v>1818</v>
      </c>
      <c r="O447" t="s">
        <v>1819</v>
      </c>
      <c r="P447" t="s">
        <v>1820</v>
      </c>
      <c r="Q447" t="s">
        <v>354</v>
      </c>
      <c r="R447">
        <v>2069201</v>
      </c>
      <c r="S447" t="s">
        <v>1821</v>
      </c>
      <c r="U447" t="s">
        <v>1821</v>
      </c>
      <c r="V447" t="s">
        <v>356</v>
      </c>
      <c r="W447">
        <v>2351912.94</v>
      </c>
      <c r="X447">
        <v>667.94</v>
      </c>
      <c r="Y447">
        <v>5646.94</v>
      </c>
      <c r="Z447">
        <v>2351912.94</v>
      </c>
      <c r="AA447">
        <v>0</v>
      </c>
      <c r="AB447">
        <v>44266.71182109954</v>
      </c>
      <c r="AC447" t="s">
        <v>25</v>
      </c>
      <c r="AD447">
        <v>1</v>
      </c>
    </row>
    <row r="448" spans="1:30" x14ac:dyDescent="0.25">
      <c r="A448" t="s">
        <v>1051</v>
      </c>
      <c r="B448" t="s">
        <v>1822</v>
      </c>
      <c r="C448" t="s">
        <v>1815</v>
      </c>
      <c r="D448" t="s">
        <v>1816</v>
      </c>
      <c r="E448" t="s">
        <v>1095</v>
      </c>
      <c r="F448" t="s">
        <v>1096</v>
      </c>
      <c r="G448">
        <v>1100439</v>
      </c>
      <c r="H448">
        <v>202103</v>
      </c>
      <c r="I448">
        <v>44285</v>
      </c>
      <c r="J448" t="s">
        <v>1817</v>
      </c>
      <c r="K448" t="s">
        <v>1056</v>
      </c>
      <c r="L448">
        <v>119010</v>
      </c>
      <c r="M448" t="s">
        <v>1823</v>
      </c>
      <c r="O448" t="s">
        <v>1824</v>
      </c>
      <c r="P448" t="s">
        <v>1825</v>
      </c>
      <c r="Q448" t="s">
        <v>357</v>
      </c>
      <c r="R448">
        <v>2069162</v>
      </c>
      <c r="S448" t="s">
        <v>1826</v>
      </c>
      <c r="U448" t="s">
        <v>1826</v>
      </c>
      <c r="V448" t="s">
        <v>356</v>
      </c>
      <c r="W448">
        <v>6390132.0700000003</v>
      </c>
      <c r="X448">
        <v>1782.85</v>
      </c>
      <c r="Y448">
        <v>15336.32</v>
      </c>
      <c r="Z448">
        <v>6390132.0700000003</v>
      </c>
      <c r="AA448">
        <v>0</v>
      </c>
      <c r="AB448">
        <v>44299.734865590275</v>
      </c>
      <c r="AC448" t="s">
        <v>320</v>
      </c>
      <c r="AD448">
        <v>1</v>
      </c>
    </row>
    <row r="449" spans="1:30" x14ac:dyDescent="0.25">
      <c r="A449" t="s">
        <v>1051</v>
      </c>
      <c r="B449" t="s">
        <v>1106</v>
      </c>
      <c r="C449" t="s">
        <v>1815</v>
      </c>
      <c r="D449" t="s">
        <v>1816</v>
      </c>
      <c r="E449" t="s">
        <v>1095</v>
      </c>
      <c r="F449" t="s">
        <v>1096</v>
      </c>
      <c r="G449">
        <v>1100439</v>
      </c>
      <c r="H449">
        <v>202103</v>
      </c>
      <c r="I449">
        <v>44285</v>
      </c>
      <c r="J449" t="s">
        <v>1817</v>
      </c>
      <c r="K449" t="s">
        <v>1056</v>
      </c>
      <c r="L449">
        <v>123780</v>
      </c>
      <c r="M449" t="s">
        <v>1818</v>
      </c>
      <c r="O449" t="s">
        <v>1819</v>
      </c>
      <c r="P449" t="s">
        <v>1820</v>
      </c>
      <c r="Q449" t="s">
        <v>354</v>
      </c>
      <c r="R449">
        <v>2069201</v>
      </c>
      <c r="S449" t="s">
        <v>1826</v>
      </c>
      <c r="U449" t="s">
        <v>1826</v>
      </c>
      <c r="V449" t="s">
        <v>356</v>
      </c>
      <c r="W449">
        <v>4339379.07</v>
      </c>
      <c r="X449">
        <v>1210.69</v>
      </c>
      <c r="Y449">
        <v>10414.51</v>
      </c>
      <c r="Z449">
        <v>4339379.07</v>
      </c>
      <c r="AA449">
        <v>0</v>
      </c>
      <c r="AB449">
        <v>44299.734865590275</v>
      </c>
      <c r="AC449" t="s">
        <v>25</v>
      </c>
      <c r="AD449">
        <v>1</v>
      </c>
    </row>
    <row r="450" spans="1:30" x14ac:dyDescent="0.25">
      <c r="A450" t="s">
        <v>1051</v>
      </c>
      <c r="B450" t="s">
        <v>1106</v>
      </c>
      <c r="C450" t="s">
        <v>1815</v>
      </c>
      <c r="D450" t="s">
        <v>1816</v>
      </c>
      <c r="E450" t="s">
        <v>1095</v>
      </c>
      <c r="F450" t="s">
        <v>1096</v>
      </c>
      <c r="G450">
        <v>1100439</v>
      </c>
      <c r="H450">
        <v>202103</v>
      </c>
      <c r="I450">
        <v>44285</v>
      </c>
      <c r="J450" t="s">
        <v>1817</v>
      </c>
      <c r="K450" t="s">
        <v>1056</v>
      </c>
      <c r="L450" t="s">
        <v>358</v>
      </c>
      <c r="M450" t="s">
        <v>1827</v>
      </c>
      <c r="O450" t="s">
        <v>1387</v>
      </c>
      <c r="P450" t="s">
        <v>1388</v>
      </c>
      <c r="Q450" t="s">
        <v>354</v>
      </c>
      <c r="R450">
        <v>2069198</v>
      </c>
      <c r="S450" t="s">
        <v>1826</v>
      </c>
      <c r="U450" t="s">
        <v>1826</v>
      </c>
      <c r="V450" t="s">
        <v>356</v>
      </c>
      <c r="W450">
        <v>2446453.2200000002</v>
      </c>
      <c r="X450">
        <v>682.56</v>
      </c>
      <c r="Y450">
        <v>5871.49</v>
      </c>
      <c r="Z450">
        <v>2446453.2200000002</v>
      </c>
      <c r="AA450">
        <v>0</v>
      </c>
      <c r="AB450">
        <v>44299.734865590275</v>
      </c>
      <c r="AC450" t="s">
        <v>25</v>
      </c>
      <c r="AD450">
        <v>1</v>
      </c>
    </row>
    <row r="451" spans="1:30" x14ac:dyDescent="0.25">
      <c r="A451" t="s">
        <v>1051</v>
      </c>
      <c r="B451" t="s">
        <v>1822</v>
      </c>
      <c r="C451" t="s">
        <v>1815</v>
      </c>
      <c r="D451" t="s">
        <v>1816</v>
      </c>
      <c r="E451" t="s">
        <v>1095</v>
      </c>
      <c r="F451" t="s">
        <v>1096</v>
      </c>
      <c r="G451">
        <v>1100588</v>
      </c>
      <c r="H451">
        <v>202104</v>
      </c>
      <c r="I451">
        <v>44316</v>
      </c>
      <c r="J451" t="s">
        <v>1817</v>
      </c>
      <c r="K451" t="s">
        <v>1056</v>
      </c>
      <c r="L451">
        <v>119010</v>
      </c>
      <c r="M451" t="s">
        <v>1823</v>
      </c>
      <c r="O451" t="s">
        <v>1824</v>
      </c>
      <c r="P451" t="s">
        <v>1825</v>
      </c>
      <c r="Q451" t="s">
        <v>357</v>
      </c>
      <c r="R451">
        <v>2069162</v>
      </c>
      <c r="S451" t="s">
        <v>1828</v>
      </c>
      <c r="U451" t="s">
        <v>1828</v>
      </c>
      <c r="V451" t="s">
        <v>356</v>
      </c>
      <c r="W451">
        <v>6165658.8700000001</v>
      </c>
      <c r="X451">
        <v>1664.73</v>
      </c>
      <c r="Y451">
        <v>13792.58</v>
      </c>
      <c r="Z451">
        <v>6165658.8700000001</v>
      </c>
      <c r="AA451">
        <v>0</v>
      </c>
      <c r="AB451">
        <v>44327.926140277777</v>
      </c>
      <c r="AC451" t="s">
        <v>320</v>
      </c>
      <c r="AD451">
        <v>1</v>
      </c>
    </row>
    <row r="452" spans="1:30" x14ac:dyDescent="0.25">
      <c r="A452" t="s">
        <v>1051</v>
      </c>
      <c r="B452" t="s">
        <v>1106</v>
      </c>
      <c r="C452" t="s">
        <v>1815</v>
      </c>
      <c r="D452" t="s">
        <v>1816</v>
      </c>
      <c r="E452" t="s">
        <v>1095</v>
      </c>
      <c r="F452" t="s">
        <v>1096</v>
      </c>
      <c r="G452">
        <v>1100588</v>
      </c>
      <c r="H452">
        <v>202104</v>
      </c>
      <c r="I452">
        <v>44316</v>
      </c>
      <c r="J452" t="s">
        <v>1817</v>
      </c>
      <c r="K452" t="s">
        <v>1056</v>
      </c>
      <c r="L452">
        <v>123780</v>
      </c>
      <c r="M452" t="s">
        <v>1818</v>
      </c>
      <c r="O452" t="s">
        <v>1819</v>
      </c>
      <c r="P452" t="s">
        <v>1820</v>
      </c>
      <c r="Q452" t="s">
        <v>354</v>
      </c>
      <c r="R452">
        <v>2069201</v>
      </c>
      <c r="S452" t="s">
        <v>1828</v>
      </c>
      <c r="U452" t="s">
        <v>1828</v>
      </c>
      <c r="V452" t="s">
        <v>356</v>
      </c>
      <c r="W452">
        <v>4343903.87</v>
      </c>
      <c r="X452">
        <v>1172.8499999999999</v>
      </c>
      <c r="Y452">
        <v>9717.31</v>
      </c>
      <c r="Z452">
        <v>4343903.87</v>
      </c>
      <c r="AA452">
        <v>0</v>
      </c>
      <c r="AB452">
        <v>44327.926140277777</v>
      </c>
      <c r="AC452" t="s">
        <v>19</v>
      </c>
      <c r="AD452">
        <v>1</v>
      </c>
    </row>
    <row r="453" spans="1:30" x14ac:dyDescent="0.25">
      <c r="A453" t="s">
        <v>1051</v>
      </c>
      <c r="B453" t="s">
        <v>1106</v>
      </c>
      <c r="C453" t="s">
        <v>1815</v>
      </c>
      <c r="D453" t="s">
        <v>1816</v>
      </c>
      <c r="E453" t="s">
        <v>1095</v>
      </c>
      <c r="F453" t="s">
        <v>1096</v>
      </c>
      <c r="G453">
        <v>1100588</v>
      </c>
      <c r="H453">
        <v>202104</v>
      </c>
      <c r="I453">
        <v>44316</v>
      </c>
      <c r="J453" t="s">
        <v>1817</v>
      </c>
      <c r="K453" t="s">
        <v>1056</v>
      </c>
      <c r="L453">
        <v>124474</v>
      </c>
      <c r="M453" t="s">
        <v>1829</v>
      </c>
      <c r="O453" t="s">
        <v>1830</v>
      </c>
      <c r="P453" t="s">
        <v>1831</v>
      </c>
      <c r="Q453" t="s">
        <v>354</v>
      </c>
      <c r="R453">
        <v>2069151</v>
      </c>
      <c r="S453" t="s">
        <v>1828</v>
      </c>
      <c r="U453" t="s">
        <v>1828</v>
      </c>
      <c r="V453" t="s">
        <v>356</v>
      </c>
      <c r="W453">
        <v>2777499.87</v>
      </c>
      <c r="X453">
        <v>749.92</v>
      </c>
      <c r="Y453">
        <v>6213.27</v>
      </c>
      <c r="Z453">
        <v>2777499.87</v>
      </c>
      <c r="AA453">
        <v>0</v>
      </c>
      <c r="AB453">
        <v>44327.926140277777</v>
      </c>
      <c r="AC453" t="s">
        <v>320</v>
      </c>
      <c r="AD453">
        <v>1</v>
      </c>
    </row>
    <row r="454" spans="1:30" x14ac:dyDescent="0.25">
      <c r="A454" t="s">
        <v>1051</v>
      </c>
      <c r="B454" t="s">
        <v>1106</v>
      </c>
      <c r="C454" t="s">
        <v>1815</v>
      </c>
      <c r="D454" t="s">
        <v>1816</v>
      </c>
      <c r="E454" t="s">
        <v>1095</v>
      </c>
      <c r="F454" t="s">
        <v>1096</v>
      </c>
      <c r="G454">
        <v>1100588</v>
      </c>
      <c r="H454">
        <v>202104</v>
      </c>
      <c r="I454">
        <v>44316</v>
      </c>
      <c r="J454" t="s">
        <v>1817</v>
      </c>
      <c r="K454" t="s">
        <v>1056</v>
      </c>
      <c r="L454" t="s">
        <v>358</v>
      </c>
      <c r="M454" t="s">
        <v>1827</v>
      </c>
      <c r="O454" t="s">
        <v>1387</v>
      </c>
      <c r="P454" t="s">
        <v>1388</v>
      </c>
      <c r="Q454" t="s">
        <v>354</v>
      </c>
      <c r="R454">
        <v>2069198</v>
      </c>
      <c r="S454" t="s">
        <v>1828</v>
      </c>
      <c r="U454" t="s">
        <v>1828</v>
      </c>
      <c r="V454" t="s">
        <v>356</v>
      </c>
      <c r="W454">
        <v>2500564.7599999998</v>
      </c>
      <c r="X454">
        <v>675.15</v>
      </c>
      <c r="Y454">
        <v>5593.76</v>
      </c>
      <c r="Z454">
        <v>2500564.7599999998</v>
      </c>
      <c r="AA454">
        <v>0</v>
      </c>
      <c r="AB454">
        <v>44327.926140277777</v>
      </c>
      <c r="AC454" t="s">
        <v>19</v>
      </c>
      <c r="AD454">
        <v>1</v>
      </c>
    </row>
    <row r="455" spans="1:30" x14ac:dyDescent="0.25">
      <c r="A455" t="s">
        <v>1051</v>
      </c>
      <c r="B455" t="s">
        <v>1106</v>
      </c>
      <c r="C455" t="s">
        <v>1815</v>
      </c>
      <c r="D455" t="s">
        <v>1816</v>
      </c>
      <c r="E455" t="s">
        <v>1095</v>
      </c>
      <c r="F455" t="s">
        <v>1096</v>
      </c>
      <c r="G455">
        <v>1100598</v>
      </c>
      <c r="H455">
        <v>202104</v>
      </c>
      <c r="I455">
        <v>44300</v>
      </c>
      <c r="J455" t="s">
        <v>1817</v>
      </c>
      <c r="K455" t="s">
        <v>1056</v>
      </c>
      <c r="L455" t="s">
        <v>358</v>
      </c>
      <c r="M455" t="s">
        <v>1827</v>
      </c>
      <c r="O455" t="s">
        <v>1387</v>
      </c>
      <c r="P455" t="s">
        <v>1388</v>
      </c>
      <c r="Q455" t="s">
        <v>354</v>
      </c>
      <c r="R455">
        <v>2069198</v>
      </c>
      <c r="S455" t="s">
        <v>1832</v>
      </c>
      <c r="U455" t="s">
        <v>1833</v>
      </c>
      <c r="V455" t="s">
        <v>356</v>
      </c>
      <c r="W455">
        <v>132345</v>
      </c>
      <c r="X455">
        <v>36.39</v>
      </c>
      <c r="Y455">
        <v>311.41000000000003</v>
      </c>
      <c r="Z455">
        <v>132345</v>
      </c>
      <c r="AA455">
        <v>0</v>
      </c>
      <c r="AB455">
        <v>44328.927733067132</v>
      </c>
      <c r="AC455" t="s">
        <v>19</v>
      </c>
      <c r="AD455">
        <v>1</v>
      </c>
    </row>
    <row r="456" spans="1:30" x14ac:dyDescent="0.25">
      <c r="A456" t="s">
        <v>1051</v>
      </c>
      <c r="B456" t="s">
        <v>1106</v>
      </c>
      <c r="C456" t="s">
        <v>1815</v>
      </c>
      <c r="D456" t="s">
        <v>1816</v>
      </c>
      <c r="E456" t="s">
        <v>1095</v>
      </c>
      <c r="F456" t="s">
        <v>1096</v>
      </c>
      <c r="G456">
        <v>1100598</v>
      </c>
      <c r="H456">
        <v>202104</v>
      </c>
      <c r="I456">
        <v>44300</v>
      </c>
      <c r="J456" t="s">
        <v>1817</v>
      </c>
      <c r="K456" t="s">
        <v>1056</v>
      </c>
      <c r="L456" t="s">
        <v>359</v>
      </c>
      <c r="M456" t="s">
        <v>1834</v>
      </c>
      <c r="O456" t="s">
        <v>1835</v>
      </c>
      <c r="P456" t="s">
        <v>1836</v>
      </c>
      <c r="Q456" t="s">
        <v>357</v>
      </c>
      <c r="R456">
        <v>2069177</v>
      </c>
      <c r="S456" t="s">
        <v>1832</v>
      </c>
      <c r="U456" t="s">
        <v>1833</v>
      </c>
      <c r="V456" t="s">
        <v>356</v>
      </c>
      <c r="W456">
        <v>129281.25</v>
      </c>
      <c r="X456">
        <v>35.549999999999997</v>
      </c>
      <c r="Y456">
        <v>304.2</v>
      </c>
      <c r="Z456">
        <v>129281.25</v>
      </c>
      <c r="AA456">
        <v>0</v>
      </c>
      <c r="AB456">
        <v>44328.927733067132</v>
      </c>
      <c r="AC456" t="s">
        <v>320</v>
      </c>
      <c r="AD456">
        <v>1</v>
      </c>
    </row>
    <row r="457" spans="1:30" x14ac:dyDescent="0.25">
      <c r="A457" t="s">
        <v>1051</v>
      </c>
      <c r="B457" t="s">
        <v>1106</v>
      </c>
      <c r="C457" t="s">
        <v>1815</v>
      </c>
      <c r="D457" t="s">
        <v>1816</v>
      </c>
      <c r="E457" t="s">
        <v>1095</v>
      </c>
      <c r="F457" t="s">
        <v>1096</v>
      </c>
      <c r="G457">
        <v>1100589</v>
      </c>
      <c r="H457">
        <v>202104</v>
      </c>
      <c r="I457">
        <v>44316</v>
      </c>
      <c r="J457" t="s">
        <v>1817</v>
      </c>
      <c r="K457" t="s">
        <v>1056</v>
      </c>
      <c r="L457" t="s">
        <v>359</v>
      </c>
      <c r="M457" t="s">
        <v>1834</v>
      </c>
      <c r="O457" t="s">
        <v>1835</v>
      </c>
      <c r="P457" t="s">
        <v>1836</v>
      </c>
      <c r="Q457" t="s">
        <v>357</v>
      </c>
      <c r="R457">
        <v>2069177</v>
      </c>
      <c r="S457" t="s">
        <v>1828</v>
      </c>
      <c r="U457" t="s">
        <v>1828</v>
      </c>
      <c r="V457" t="s">
        <v>356</v>
      </c>
      <c r="W457">
        <v>2213954.35</v>
      </c>
      <c r="X457">
        <v>597.77</v>
      </c>
      <c r="Y457">
        <v>4952.62</v>
      </c>
      <c r="Z457">
        <v>2213954.35</v>
      </c>
      <c r="AA457">
        <v>0</v>
      </c>
      <c r="AB457">
        <v>44327.92694070602</v>
      </c>
      <c r="AC457" t="s">
        <v>320</v>
      </c>
      <c r="AD457">
        <v>1</v>
      </c>
    </row>
    <row r="458" spans="1:30" x14ac:dyDescent="0.25">
      <c r="A458" t="s">
        <v>1051</v>
      </c>
      <c r="B458" t="s">
        <v>1822</v>
      </c>
      <c r="C458" t="s">
        <v>1815</v>
      </c>
      <c r="D458" t="s">
        <v>1816</v>
      </c>
      <c r="E458" t="s">
        <v>1095</v>
      </c>
      <c r="F458" t="s">
        <v>1096</v>
      </c>
      <c r="G458">
        <v>1100734</v>
      </c>
      <c r="H458">
        <v>202105</v>
      </c>
      <c r="I458">
        <v>44346</v>
      </c>
      <c r="J458" t="s">
        <v>1817</v>
      </c>
      <c r="K458" t="s">
        <v>1056</v>
      </c>
      <c r="L458">
        <v>119010</v>
      </c>
      <c r="M458" t="s">
        <v>1823</v>
      </c>
      <c r="O458" t="s">
        <v>1824</v>
      </c>
      <c r="P458" t="s">
        <v>1825</v>
      </c>
      <c r="Q458" t="s">
        <v>357</v>
      </c>
      <c r="R458">
        <v>2069162</v>
      </c>
      <c r="S458" t="s">
        <v>1837</v>
      </c>
      <c r="U458" t="s">
        <v>1837</v>
      </c>
      <c r="V458" t="s">
        <v>356</v>
      </c>
      <c r="W458">
        <v>6378727.1299999999</v>
      </c>
      <c r="X458">
        <v>1703.12</v>
      </c>
      <c r="Y458">
        <v>13982.17</v>
      </c>
      <c r="Z458">
        <v>6378727.1299999999</v>
      </c>
      <c r="AA458">
        <v>0</v>
      </c>
      <c r="AB458">
        <v>44358.680950543981</v>
      </c>
      <c r="AC458" t="s">
        <v>320</v>
      </c>
      <c r="AD458">
        <v>1</v>
      </c>
    </row>
    <row r="459" spans="1:30" x14ac:dyDescent="0.25">
      <c r="A459" t="s">
        <v>1051</v>
      </c>
      <c r="B459" t="s">
        <v>1106</v>
      </c>
      <c r="C459" t="s">
        <v>1815</v>
      </c>
      <c r="D459" t="s">
        <v>1816</v>
      </c>
      <c r="E459" t="s">
        <v>1095</v>
      </c>
      <c r="F459" t="s">
        <v>1096</v>
      </c>
      <c r="G459">
        <v>1100734</v>
      </c>
      <c r="H459">
        <v>202105</v>
      </c>
      <c r="I459">
        <v>44346</v>
      </c>
      <c r="J459" t="s">
        <v>1817</v>
      </c>
      <c r="K459" t="s">
        <v>1056</v>
      </c>
      <c r="L459">
        <v>123780</v>
      </c>
      <c r="M459" t="s">
        <v>1818</v>
      </c>
      <c r="O459" t="s">
        <v>1819</v>
      </c>
      <c r="P459" t="s">
        <v>1820</v>
      </c>
      <c r="Q459" t="s">
        <v>354</v>
      </c>
      <c r="R459">
        <v>2069199</v>
      </c>
      <c r="S459" t="s">
        <v>1837</v>
      </c>
      <c r="U459" t="s">
        <v>1837</v>
      </c>
      <c r="V459" t="s">
        <v>356</v>
      </c>
      <c r="W459">
        <v>4349111.13</v>
      </c>
      <c r="X459">
        <v>1161.21</v>
      </c>
      <c r="Y459">
        <v>9533.25</v>
      </c>
      <c r="Z459">
        <v>4349111.13</v>
      </c>
      <c r="AA459">
        <v>0</v>
      </c>
      <c r="AB459">
        <v>44358.680950543981</v>
      </c>
      <c r="AC459" t="s">
        <v>19</v>
      </c>
      <c r="AD459">
        <v>1</v>
      </c>
    </row>
    <row r="460" spans="1:30" x14ac:dyDescent="0.25">
      <c r="A460" t="s">
        <v>1051</v>
      </c>
      <c r="B460" t="s">
        <v>1106</v>
      </c>
      <c r="C460" t="s">
        <v>1815</v>
      </c>
      <c r="D460" t="s">
        <v>1816</v>
      </c>
      <c r="E460" t="s">
        <v>1095</v>
      </c>
      <c r="F460" t="s">
        <v>1096</v>
      </c>
      <c r="G460">
        <v>1100734</v>
      </c>
      <c r="H460">
        <v>202105</v>
      </c>
      <c r="I460">
        <v>44346</v>
      </c>
      <c r="J460" t="s">
        <v>1817</v>
      </c>
      <c r="K460" t="s">
        <v>1056</v>
      </c>
      <c r="L460">
        <v>124474</v>
      </c>
      <c r="M460" t="s">
        <v>1829</v>
      </c>
      <c r="O460" t="s">
        <v>1830</v>
      </c>
      <c r="P460" t="s">
        <v>1831</v>
      </c>
      <c r="Q460" t="s">
        <v>357</v>
      </c>
      <c r="R460">
        <v>2069171</v>
      </c>
      <c r="S460" t="s">
        <v>1837</v>
      </c>
      <c r="U460" t="s">
        <v>1837</v>
      </c>
      <c r="V460" t="s">
        <v>356</v>
      </c>
      <c r="W460">
        <v>4339457.13</v>
      </c>
      <c r="X460">
        <v>1158.6400000000001</v>
      </c>
      <c r="Y460">
        <v>9512.09</v>
      </c>
      <c r="Z460">
        <v>4339457.13</v>
      </c>
      <c r="AA460">
        <v>0</v>
      </c>
      <c r="AB460">
        <v>44358.680950543981</v>
      </c>
      <c r="AC460" t="s">
        <v>320</v>
      </c>
      <c r="AD460">
        <v>1</v>
      </c>
    </row>
    <row r="461" spans="1:30" x14ac:dyDescent="0.25">
      <c r="A461" t="s">
        <v>1051</v>
      </c>
      <c r="B461" t="s">
        <v>1822</v>
      </c>
      <c r="C461" t="s">
        <v>1815</v>
      </c>
      <c r="D461" t="s">
        <v>1816</v>
      </c>
      <c r="E461" t="s">
        <v>1095</v>
      </c>
      <c r="F461" t="s">
        <v>1096</v>
      </c>
      <c r="G461">
        <v>1100735</v>
      </c>
      <c r="H461">
        <v>202105</v>
      </c>
      <c r="I461">
        <v>44346</v>
      </c>
      <c r="J461" t="s">
        <v>1817</v>
      </c>
      <c r="K461" t="s">
        <v>1056</v>
      </c>
      <c r="L461" t="s">
        <v>360</v>
      </c>
      <c r="M461" t="s">
        <v>1838</v>
      </c>
      <c r="O461" t="s">
        <v>1839</v>
      </c>
      <c r="P461" t="s">
        <v>1840</v>
      </c>
      <c r="Q461" t="s">
        <v>357</v>
      </c>
      <c r="R461">
        <v>2069175</v>
      </c>
      <c r="S461" t="s">
        <v>1837</v>
      </c>
      <c r="U461" t="s">
        <v>1837</v>
      </c>
      <c r="V461" t="s">
        <v>356</v>
      </c>
      <c r="W461">
        <v>1559761.43</v>
      </c>
      <c r="X461">
        <v>416.46</v>
      </c>
      <c r="Y461">
        <v>3419</v>
      </c>
      <c r="Z461">
        <v>1559761.43</v>
      </c>
      <c r="AA461">
        <v>0</v>
      </c>
      <c r="AB461">
        <v>44358.684403090279</v>
      </c>
      <c r="AC461" t="s">
        <v>320</v>
      </c>
      <c r="AD461">
        <v>1</v>
      </c>
    </row>
    <row r="462" spans="1:30" x14ac:dyDescent="0.25">
      <c r="A462" t="s">
        <v>1051</v>
      </c>
      <c r="B462" t="s">
        <v>1106</v>
      </c>
      <c r="C462" t="s">
        <v>1815</v>
      </c>
      <c r="D462" t="s">
        <v>1816</v>
      </c>
      <c r="E462" t="s">
        <v>1095</v>
      </c>
      <c r="F462" t="s">
        <v>1096</v>
      </c>
      <c r="G462">
        <v>1100735</v>
      </c>
      <c r="H462">
        <v>202105</v>
      </c>
      <c r="I462">
        <v>44346</v>
      </c>
      <c r="J462" t="s">
        <v>1817</v>
      </c>
      <c r="K462" t="s">
        <v>1056</v>
      </c>
      <c r="L462" t="s">
        <v>361</v>
      </c>
      <c r="M462" t="s">
        <v>1841</v>
      </c>
      <c r="O462" t="s">
        <v>1842</v>
      </c>
      <c r="P462" t="s">
        <v>1843</v>
      </c>
      <c r="Q462" t="s">
        <v>357</v>
      </c>
      <c r="R462">
        <v>2069170</v>
      </c>
      <c r="S462" t="s">
        <v>1837</v>
      </c>
      <c r="U462" t="s">
        <v>1837</v>
      </c>
      <c r="V462" t="s">
        <v>356</v>
      </c>
      <c r="W462">
        <v>750737.83</v>
      </c>
      <c r="X462">
        <v>200.45</v>
      </c>
      <c r="Y462">
        <v>1645.62</v>
      </c>
      <c r="Z462">
        <v>750737.83</v>
      </c>
      <c r="AA462">
        <v>0</v>
      </c>
      <c r="AB462">
        <v>44358.684403090279</v>
      </c>
      <c r="AC462" t="s">
        <v>320</v>
      </c>
      <c r="AD462">
        <v>1</v>
      </c>
    </row>
    <row r="463" spans="1:30" x14ac:dyDescent="0.25">
      <c r="A463" t="s">
        <v>1051</v>
      </c>
      <c r="B463" t="s">
        <v>1106</v>
      </c>
      <c r="C463" t="s">
        <v>1815</v>
      </c>
      <c r="D463" t="s">
        <v>1816</v>
      </c>
      <c r="E463" t="s">
        <v>1095</v>
      </c>
      <c r="F463" t="s">
        <v>1096</v>
      </c>
      <c r="G463">
        <v>1100735</v>
      </c>
      <c r="H463">
        <v>202105</v>
      </c>
      <c r="I463">
        <v>44346</v>
      </c>
      <c r="J463" t="s">
        <v>1817</v>
      </c>
      <c r="K463" t="s">
        <v>1056</v>
      </c>
      <c r="L463" t="s">
        <v>358</v>
      </c>
      <c r="M463" t="s">
        <v>1827</v>
      </c>
      <c r="O463" t="s">
        <v>1387</v>
      </c>
      <c r="P463" t="s">
        <v>1388</v>
      </c>
      <c r="Q463" t="s">
        <v>354</v>
      </c>
      <c r="R463">
        <v>2069201</v>
      </c>
      <c r="S463" t="s">
        <v>1837</v>
      </c>
      <c r="U463" t="s">
        <v>1837</v>
      </c>
      <c r="V463" t="s">
        <v>356</v>
      </c>
      <c r="W463">
        <v>4164288.57</v>
      </c>
      <c r="X463">
        <v>1111.8699999999999</v>
      </c>
      <c r="Y463">
        <v>9128.1200000000008</v>
      </c>
      <c r="Z463">
        <v>4164288.57</v>
      </c>
      <c r="AA463">
        <v>0</v>
      </c>
      <c r="AB463">
        <v>44358.684403090279</v>
      </c>
      <c r="AC463" t="s">
        <v>19</v>
      </c>
      <c r="AD463">
        <v>1</v>
      </c>
    </row>
    <row r="464" spans="1:30" x14ac:dyDescent="0.25">
      <c r="A464" t="s">
        <v>1051</v>
      </c>
      <c r="B464" t="s">
        <v>1106</v>
      </c>
      <c r="C464" t="s">
        <v>1815</v>
      </c>
      <c r="D464" t="s">
        <v>1816</v>
      </c>
      <c r="E464" t="s">
        <v>1095</v>
      </c>
      <c r="F464" t="s">
        <v>1096</v>
      </c>
      <c r="G464">
        <v>1100735</v>
      </c>
      <c r="H464">
        <v>202105</v>
      </c>
      <c r="I464">
        <v>44346</v>
      </c>
      <c r="J464" t="s">
        <v>1817</v>
      </c>
      <c r="K464" t="s">
        <v>1056</v>
      </c>
      <c r="L464" t="s">
        <v>362</v>
      </c>
      <c r="M464" t="s">
        <v>1844</v>
      </c>
      <c r="O464" t="s">
        <v>1845</v>
      </c>
      <c r="P464" t="s">
        <v>1846</v>
      </c>
      <c r="Q464" t="s">
        <v>357</v>
      </c>
      <c r="R464">
        <v>2069194</v>
      </c>
      <c r="S464" t="s">
        <v>1837</v>
      </c>
      <c r="U464" t="s">
        <v>1837</v>
      </c>
      <c r="V464" t="s">
        <v>356</v>
      </c>
      <c r="W464">
        <v>2662074.5699999998</v>
      </c>
      <c r="X464">
        <v>710.77</v>
      </c>
      <c r="Y464">
        <v>5835.27</v>
      </c>
      <c r="Z464">
        <v>2662074.5699999998</v>
      </c>
      <c r="AA464">
        <v>0</v>
      </c>
      <c r="AB464">
        <v>44358.684403090279</v>
      </c>
      <c r="AC464" t="s">
        <v>320</v>
      </c>
      <c r="AD464">
        <v>1</v>
      </c>
    </row>
    <row r="465" spans="1:30" x14ac:dyDescent="0.25">
      <c r="A465" t="s">
        <v>1051</v>
      </c>
      <c r="B465" t="s">
        <v>1106</v>
      </c>
      <c r="C465" t="s">
        <v>1815</v>
      </c>
      <c r="D465" t="s">
        <v>1816</v>
      </c>
      <c r="E465" t="s">
        <v>1095</v>
      </c>
      <c r="F465" t="s">
        <v>1096</v>
      </c>
      <c r="G465">
        <v>1100735</v>
      </c>
      <c r="H465">
        <v>202105</v>
      </c>
      <c r="I465">
        <v>44346</v>
      </c>
      <c r="J465" t="s">
        <v>1817</v>
      </c>
      <c r="K465" t="s">
        <v>1056</v>
      </c>
      <c r="L465" t="s">
        <v>363</v>
      </c>
      <c r="M465" t="s">
        <v>1847</v>
      </c>
      <c r="O465" t="s">
        <v>1848</v>
      </c>
      <c r="P465" t="s">
        <v>1849</v>
      </c>
      <c r="Q465" t="s">
        <v>357</v>
      </c>
      <c r="R465">
        <v>2069173</v>
      </c>
      <c r="S465" t="s">
        <v>1837</v>
      </c>
      <c r="U465" t="s">
        <v>1837</v>
      </c>
      <c r="V465" t="s">
        <v>356</v>
      </c>
      <c r="W465">
        <v>1728392.05</v>
      </c>
      <c r="X465">
        <v>461.48</v>
      </c>
      <c r="Y465">
        <v>3788.64</v>
      </c>
      <c r="Z465">
        <v>1728392.05</v>
      </c>
      <c r="AA465">
        <v>0</v>
      </c>
      <c r="AB465">
        <v>44358.684403090279</v>
      </c>
      <c r="AC465" t="s">
        <v>320</v>
      </c>
      <c r="AD465">
        <v>1</v>
      </c>
    </row>
    <row r="466" spans="1:30" x14ac:dyDescent="0.25">
      <c r="A466" t="s">
        <v>1051</v>
      </c>
      <c r="B466" t="s">
        <v>1106</v>
      </c>
      <c r="C466" t="s">
        <v>1815</v>
      </c>
      <c r="D466" t="s">
        <v>1816</v>
      </c>
      <c r="E466" t="s">
        <v>1095</v>
      </c>
      <c r="F466" t="s">
        <v>1096</v>
      </c>
      <c r="G466">
        <v>1100735</v>
      </c>
      <c r="H466">
        <v>202105</v>
      </c>
      <c r="I466">
        <v>44346</v>
      </c>
      <c r="J466" t="s">
        <v>1817</v>
      </c>
      <c r="K466" t="s">
        <v>1056</v>
      </c>
      <c r="L466" t="s">
        <v>364</v>
      </c>
      <c r="M466" t="s">
        <v>1850</v>
      </c>
      <c r="O466" t="s">
        <v>1851</v>
      </c>
      <c r="P466" t="s">
        <v>1852</v>
      </c>
      <c r="Q466" t="s">
        <v>357</v>
      </c>
      <c r="R466">
        <v>2069166</v>
      </c>
      <c r="S466" t="s">
        <v>1837</v>
      </c>
      <c r="U466" t="s">
        <v>1837</v>
      </c>
      <c r="V466" t="s">
        <v>356</v>
      </c>
      <c r="W466">
        <v>3299144.23</v>
      </c>
      <c r="X466">
        <v>880.87</v>
      </c>
      <c r="Y466">
        <v>7231.72</v>
      </c>
      <c r="Z466">
        <v>3299144.23</v>
      </c>
      <c r="AA466">
        <v>0</v>
      </c>
      <c r="AB466">
        <v>44358.684403090279</v>
      </c>
      <c r="AC466" t="s">
        <v>320</v>
      </c>
      <c r="AD466">
        <v>1</v>
      </c>
    </row>
    <row r="467" spans="1:30" x14ac:dyDescent="0.25">
      <c r="A467" t="s">
        <v>1051</v>
      </c>
      <c r="B467" t="s">
        <v>1106</v>
      </c>
      <c r="C467" t="s">
        <v>1815</v>
      </c>
      <c r="D467" t="s">
        <v>1816</v>
      </c>
      <c r="E467" t="s">
        <v>1095</v>
      </c>
      <c r="F467" t="s">
        <v>1096</v>
      </c>
      <c r="G467">
        <v>1100735</v>
      </c>
      <c r="H467">
        <v>202105</v>
      </c>
      <c r="I467">
        <v>44346</v>
      </c>
      <c r="J467" t="s">
        <v>1817</v>
      </c>
      <c r="K467" t="s">
        <v>1056</v>
      </c>
      <c r="L467" t="s">
        <v>365</v>
      </c>
      <c r="M467" t="s">
        <v>1853</v>
      </c>
      <c r="O467" t="s">
        <v>1854</v>
      </c>
      <c r="P467" t="s">
        <v>1855</v>
      </c>
      <c r="Q467" t="s">
        <v>357</v>
      </c>
      <c r="R467">
        <v>2069187</v>
      </c>
      <c r="S467" t="s">
        <v>1837</v>
      </c>
      <c r="U467" t="s">
        <v>1837</v>
      </c>
      <c r="V467" t="s">
        <v>356</v>
      </c>
      <c r="W467">
        <v>1471176.63</v>
      </c>
      <c r="X467">
        <v>392.8</v>
      </c>
      <c r="Y467">
        <v>3224.82</v>
      </c>
      <c r="Z467">
        <v>1471176.63</v>
      </c>
      <c r="AA467">
        <v>0</v>
      </c>
      <c r="AB467">
        <v>44358.684403090279</v>
      </c>
      <c r="AC467" t="s">
        <v>320</v>
      </c>
      <c r="AD467">
        <v>1</v>
      </c>
    </row>
    <row r="468" spans="1:30" x14ac:dyDescent="0.25">
      <c r="A468" t="s">
        <v>1051</v>
      </c>
      <c r="B468" t="s">
        <v>1106</v>
      </c>
      <c r="C468" t="s">
        <v>1815</v>
      </c>
      <c r="D468" t="s">
        <v>1816</v>
      </c>
      <c r="E468" t="s">
        <v>1095</v>
      </c>
      <c r="F468" t="s">
        <v>1096</v>
      </c>
      <c r="G468">
        <v>1100735</v>
      </c>
      <c r="H468">
        <v>202105</v>
      </c>
      <c r="I468">
        <v>44346</v>
      </c>
      <c r="J468" t="s">
        <v>1817</v>
      </c>
      <c r="K468" t="s">
        <v>1056</v>
      </c>
      <c r="L468" t="s">
        <v>366</v>
      </c>
      <c r="M468" t="s">
        <v>1856</v>
      </c>
      <c r="O468" t="s">
        <v>1857</v>
      </c>
      <c r="P468" t="s">
        <v>1858</v>
      </c>
      <c r="Q468" t="s">
        <v>357</v>
      </c>
      <c r="R468">
        <v>2069156</v>
      </c>
      <c r="S468" t="s">
        <v>1837</v>
      </c>
      <c r="U468" t="s">
        <v>1837</v>
      </c>
      <c r="V468" t="s">
        <v>356</v>
      </c>
      <c r="W468">
        <v>2177467.0699999998</v>
      </c>
      <c r="X468">
        <v>581.38</v>
      </c>
      <c r="Y468">
        <v>4773.01</v>
      </c>
      <c r="Z468">
        <v>2177467.0699999998</v>
      </c>
      <c r="AA468">
        <v>0</v>
      </c>
      <c r="AB468">
        <v>44358.684403090279</v>
      </c>
      <c r="AC468" t="s">
        <v>320</v>
      </c>
      <c r="AD468">
        <v>1</v>
      </c>
    </row>
    <row r="469" spans="1:30" x14ac:dyDescent="0.25">
      <c r="A469" t="s">
        <v>1051</v>
      </c>
      <c r="B469" t="s">
        <v>1822</v>
      </c>
      <c r="C469" t="s">
        <v>1815</v>
      </c>
      <c r="D469" t="s">
        <v>1816</v>
      </c>
      <c r="E469" t="s">
        <v>1095</v>
      </c>
      <c r="F469" t="s">
        <v>1096</v>
      </c>
      <c r="G469">
        <v>1100897</v>
      </c>
      <c r="H469">
        <v>202106</v>
      </c>
      <c r="I469">
        <v>44377</v>
      </c>
      <c r="J469" t="s">
        <v>1327</v>
      </c>
      <c r="K469" t="s">
        <v>1056</v>
      </c>
      <c r="L469">
        <v>119010</v>
      </c>
      <c r="M469" t="s">
        <v>1823</v>
      </c>
      <c r="O469" t="s">
        <v>1824</v>
      </c>
      <c r="P469" t="s">
        <v>1825</v>
      </c>
      <c r="Q469" t="s">
        <v>357</v>
      </c>
      <c r="R469">
        <v>2069162</v>
      </c>
      <c r="S469" t="s">
        <v>1859</v>
      </c>
      <c r="U469" t="s">
        <v>1860</v>
      </c>
      <c r="V469" t="s">
        <v>356</v>
      </c>
      <c r="W469">
        <v>6177831.5999999996</v>
      </c>
      <c r="X469">
        <v>1637.13</v>
      </c>
      <c r="Y469">
        <v>13906.3</v>
      </c>
      <c r="Z469">
        <v>6177831.5999999996</v>
      </c>
      <c r="AA469">
        <v>0</v>
      </c>
      <c r="AB469">
        <v>44392.288362037034</v>
      </c>
      <c r="AC469" t="s">
        <v>320</v>
      </c>
      <c r="AD469">
        <v>1</v>
      </c>
    </row>
    <row r="470" spans="1:30" x14ac:dyDescent="0.25">
      <c r="A470" t="s">
        <v>1051</v>
      </c>
      <c r="B470" t="s">
        <v>1106</v>
      </c>
      <c r="C470" t="s">
        <v>1815</v>
      </c>
      <c r="D470" t="s">
        <v>1816</v>
      </c>
      <c r="E470" t="s">
        <v>1095</v>
      </c>
      <c r="F470" t="s">
        <v>1096</v>
      </c>
      <c r="G470">
        <v>1100897</v>
      </c>
      <c r="H470">
        <v>202106</v>
      </c>
      <c r="I470">
        <v>44377</v>
      </c>
      <c r="J470" t="s">
        <v>1327</v>
      </c>
      <c r="K470" t="s">
        <v>1056</v>
      </c>
      <c r="L470">
        <v>123780</v>
      </c>
      <c r="M470" t="s">
        <v>1818</v>
      </c>
      <c r="O470" t="s">
        <v>1819</v>
      </c>
      <c r="P470" t="s">
        <v>1820</v>
      </c>
      <c r="Q470" t="s">
        <v>354</v>
      </c>
      <c r="R470">
        <v>2069199</v>
      </c>
      <c r="S470" t="s">
        <v>1859</v>
      </c>
      <c r="U470" t="s">
        <v>1860</v>
      </c>
      <c r="V470" t="s">
        <v>356</v>
      </c>
      <c r="W470">
        <v>4349815.5999999996</v>
      </c>
      <c r="X470">
        <v>1152.7</v>
      </c>
      <c r="Y470">
        <v>9791.43</v>
      </c>
      <c r="Z470">
        <v>4349815.5999999996</v>
      </c>
      <c r="AA470">
        <v>0</v>
      </c>
      <c r="AB470">
        <v>44392.288362037034</v>
      </c>
      <c r="AC470" t="s">
        <v>22</v>
      </c>
      <c r="AD470">
        <v>1</v>
      </c>
    </row>
    <row r="471" spans="1:30" x14ac:dyDescent="0.25">
      <c r="A471" t="s">
        <v>1051</v>
      </c>
      <c r="B471" t="s">
        <v>1106</v>
      </c>
      <c r="C471" t="s">
        <v>1815</v>
      </c>
      <c r="D471" t="s">
        <v>1816</v>
      </c>
      <c r="E471" t="s">
        <v>1095</v>
      </c>
      <c r="F471" t="s">
        <v>1096</v>
      </c>
      <c r="G471">
        <v>1100897</v>
      </c>
      <c r="H471">
        <v>202106</v>
      </c>
      <c r="I471">
        <v>44377</v>
      </c>
      <c r="J471" t="s">
        <v>1327</v>
      </c>
      <c r="K471" t="s">
        <v>1056</v>
      </c>
      <c r="L471">
        <v>124124</v>
      </c>
      <c r="M471" t="s">
        <v>1861</v>
      </c>
      <c r="O471" t="s">
        <v>1862</v>
      </c>
      <c r="P471" t="s">
        <v>1863</v>
      </c>
      <c r="Q471" t="s">
        <v>357</v>
      </c>
      <c r="R471">
        <v>2069183</v>
      </c>
      <c r="S471" t="s">
        <v>1859</v>
      </c>
      <c r="U471" t="s">
        <v>1860</v>
      </c>
      <c r="V471" t="s">
        <v>356</v>
      </c>
      <c r="W471">
        <v>3080831.3</v>
      </c>
      <c r="X471">
        <v>816.42</v>
      </c>
      <c r="Y471">
        <v>6934.95</v>
      </c>
      <c r="Z471">
        <v>3080831.3</v>
      </c>
      <c r="AA471">
        <v>0</v>
      </c>
      <c r="AB471">
        <v>44392.288362037034</v>
      </c>
      <c r="AC471" t="s">
        <v>320</v>
      </c>
      <c r="AD471">
        <v>1</v>
      </c>
    </row>
    <row r="472" spans="1:30" x14ac:dyDescent="0.25">
      <c r="A472" t="s">
        <v>1051</v>
      </c>
      <c r="B472" t="s">
        <v>1106</v>
      </c>
      <c r="C472" t="s">
        <v>1815</v>
      </c>
      <c r="D472" t="s">
        <v>1816</v>
      </c>
      <c r="E472" t="s">
        <v>1095</v>
      </c>
      <c r="F472" t="s">
        <v>1096</v>
      </c>
      <c r="G472">
        <v>1100897</v>
      </c>
      <c r="H472">
        <v>202106</v>
      </c>
      <c r="I472">
        <v>44377</v>
      </c>
      <c r="J472" t="s">
        <v>1327</v>
      </c>
      <c r="K472" t="s">
        <v>1056</v>
      </c>
      <c r="L472">
        <v>124474</v>
      </c>
      <c r="M472" t="s">
        <v>1829</v>
      </c>
      <c r="O472" t="s">
        <v>1830</v>
      </c>
      <c r="P472" t="s">
        <v>1831</v>
      </c>
      <c r="Q472" t="s">
        <v>354</v>
      </c>
      <c r="R472">
        <v>2069151</v>
      </c>
      <c r="S472" t="s">
        <v>1859</v>
      </c>
      <c r="U472" t="s">
        <v>1860</v>
      </c>
      <c r="V472" t="s">
        <v>356</v>
      </c>
      <c r="W472">
        <v>4341079.5999999996</v>
      </c>
      <c r="X472">
        <v>1150.3900000000001</v>
      </c>
      <c r="Y472">
        <v>9771.77</v>
      </c>
      <c r="Z472">
        <v>4341079.5999999996</v>
      </c>
      <c r="AA472">
        <v>0</v>
      </c>
      <c r="AB472">
        <v>44392.288362037034</v>
      </c>
      <c r="AC472" t="s">
        <v>320</v>
      </c>
      <c r="AD472">
        <v>1</v>
      </c>
    </row>
    <row r="473" spans="1:30" x14ac:dyDescent="0.25">
      <c r="A473" t="s">
        <v>1051</v>
      </c>
      <c r="B473" t="s">
        <v>1106</v>
      </c>
      <c r="C473" t="s">
        <v>1815</v>
      </c>
      <c r="D473" t="s">
        <v>1816</v>
      </c>
      <c r="E473" t="s">
        <v>1095</v>
      </c>
      <c r="F473" t="s">
        <v>1096</v>
      </c>
      <c r="G473">
        <v>1100897</v>
      </c>
      <c r="H473">
        <v>202106</v>
      </c>
      <c r="I473">
        <v>44377</v>
      </c>
      <c r="J473" t="s">
        <v>1327</v>
      </c>
      <c r="K473" t="s">
        <v>1056</v>
      </c>
      <c r="L473">
        <v>124475</v>
      </c>
      <c r="M473" t="s">
        <v>1864</v>
      </c>
      <c r="O473" t="s">
        <v>1865</v>
      </c>
      <c r="P473" t="s">
        <v>1866</v>
      </c>
      <c r="Q473" t="s">
        <v>357</v>
      </c>
      <c r="R473">
        <v>2069171</v>
      </c>
      <c r="S473" t="s">
        <v>1859</v>
      </c>
      <c r="U473" t="s">
        <v>1860</v>
      </c>
      <c r="V473" t="s">
        <v>356</v>
      </c>
      <c r="W473">
        <v>4341079.5999999996</v>
      </c>
      <c r="X473">
        <v>1150.3900000000001</v>
      </c>
      <c r="Y473">
        <v>9771.77</v>
      </c>
      <c r="Z473">
        <v>4341079.5999999996</v>
      </c>
      <c r="AA473">
        <v>0</v>
      </c>
      <c r="AB473">
        <v>44392.288362037034</v>
      </c>
      <c r="AC473" t="s">
        <v>320</v>
      </c>
      <c r="AD473">
        <v>1</v>
      </c>
    </row>
    <row r="474" spans="1:30" x14ac:dyDescent="0.25">
      <c r="A474" t="s">
        <v>1051</v>
      </c>
      <c r="B474" t="s">
        <v>1822</v>
      </c>
      <c r="C474" t="s">
        <v>1815</v>
      </c>
      <c r="D474" t="s">
        <v>1816</v>
      </c>
      <c r="E474" t="s">
        <v>1095</v>
      </c>
      <c r="F474" t="s">
        <v>1096</v>
      </c>
      <c r="G474">
        <v>1100897</v>
      </c>
      <c r="H474">
        <v>202106</v>
      </c>
      <c r="I474">
        <v>44377</v>
      </c>
      <c r="J474" t="s">
        <v>1327</v>
      </c>
      <c r="K474" t="s">
        <v>1056</v>
      </c>
      <c r="L474">
        <v>125154</v>
      </c>
      <c r="M474" t="s">
        <v>1867</v>
      </c>
      <c r="O474" t="s">
        <v>1868</v>
      </c>
      <c r="P474" t="s">
        <v>1869</v>
      </c>
      <c r="Q474" t="s">
        <v>354</v>
      </c>
      <c r="R474">
        <v>2069198</v>
      </c>
      <c r="S474" t="s">
        <v>1859</v>
      </c>
      <c r="U474" t="s">
        <v>1860</v>
      </c>
      <c r="V474" t="s">
        <v>356</v>
      </c>
      <c r="W474">
        <v>2694589.3</v>
      </c>
      <c r="X474">
        <v>714.07</v>
      </c>
      <c r="Y474">
        <v>6065.52</v>
      </c>
      <c r="Z474">
        <v>2694589.3</v>
      </c>
      <c r="AA474">
        <v>0</v>
      </c>
      <c r="AB474">
        <v>44392.288362037034</v>
      </c>
      <c r="AC474" t="s">
        <v>22</v>
      </c>
      <c r="AD474">
        <v>1</v>
      </c>
    </row>
    <row r="475" spans="1:30" x14ac:dyDescent="0.25">
      <c r="A475" t="s">
        <v>1051</v>
      </c>
      <c r="B475" t="s">
        <v>1106</v>
      </c>
      <c r="C475" t="s">
        <v>1815</v>
      </c>
      <c r="D475" t="s">
        <v>1816</v>
      </c>
      <c r="E475" t="s">
        <v>1095</v>
      </c>
      <c r="F475" t="s">
        <v>1096</v>
      </c>
      <c r="G475">
        <v>1100897</v>
      </c>
      <c r="H475">
        <v>202106</v>
      </c>
      <c r="I475">
        <v>44377</v>
      </c>
      <c r="J475" t="s">
        <v>1327</v>
      </c>
      <c r="K475" t="s">
        <v>1056</v>
      </c>
      <c r="L475" t="s">
        <v>358</v>
      </c>
      <c r="M475" t="s">
        <v>1827</v>
      </c>
      <c r="O475" t="s">
        <v>1387</v>
      </c>
      <c r="P475" t="s">
        <v>1388</v>
      </c>
      <c r="Q475" t="s">
        <v>354</v>
      </c>
      <c r="R475">
        <v>2069201</v>
      </c>
      <c r="S475" t="s">
        <v>1859</v>
      </c>
      <c r="U475" t="s">
        <v>1860</v>
      </c>
      <c r="V475" t="s">
        <v>356</v>
      </c>
      <c r="W475">
        <v>2530503.7799999998</v>
      </c>
      <c r="X475">
        <v>670.58</v>
      </c>
      <c r="Y475">
        <v>5696.16</v>
      </c>
      <c r="Z475">
        <v>2530503.7799999998</v>
      </c>
      <c r="AA475">
        <v>0</v>
      </c>
      <c r="AB475">
        <v>44392.288362037034</v>
      </c>
      <c r="AC475" t="s">
        <v>22</v>
      </c>
      <c r="AD475">
        <v>1</v>
      </c>
    </row>
    <row r="476" spans="1:30" x14ac:dyDescent="0.25">
      <c r="A476" t="s">
        <v>1051</v>
      </c>
      <c r="B476" t="s">
        <v>1870</v>
      </c>
      <c r="C476" t="s">
        <v>1815</v>
      </c>
      <c r="D476" t="s">
        <v>1816</v>
      </c>
      <c r="E476" t="s">
        <v>1095</v>
      </c>
      <c r="F476" t="s">
        <v>1096</v>
      </c>
      <c r="G476">
        <v>1100898</v>
      </c>
      <c r="H476">
        <v>202106</v>
      </c>
      <c r="I476">
        <v>44377</v>
      </c>
      <c r="J476" t="s">
        <v>1327</v>
      </c>
      <c r="K476" t="s">
        <v>1056</v>
      </c>
      <c r="L476" t="s">
        <v>370</v>
      </c>
      <c r="M476" t="s">
        <v>1871</v>
      </c>
      <c r="O476" t="s">
        <v>1872</v>
      </c>
      <c r="P476" t="s">
        <v>1873</v>
      </c>
      <c r="Q476" t="s">
        <v>357</v>
      </c>
      <c r="R476">
        <v>2069189</v>
      </c>
      <c r="S476" t="s">
        <v>1859</v>
      </c>
      <c r="U476" t="s">
        <v>1860</v>
      </c>
      <c r="V476" t="s">
        <v>356</v>
      </c>
      <c r="W476">
        <v>2181400.3199999998</v>
      </c>
      <c r="X476">
        <v>578.07000000000005</v>
      </c>
      <c r="Y476">
        <v>4910.33</v>
      </c>
      <c r="Z476">
        <v>2181400.3199999998</v>
      </c>
      <c r="AA476">
        <v>0</v>
      </c>
      <c r="AB476">
        <v>44392.295339085649</v>
      </c>
      <c r="AC476" t="s">
        <v>320</v>
      </c>
      <c r="AD476">
        <v>1</v>
      </c>
    </row>
    <row r="477" spans="1:30" x14ac:dyDescent="0.25">
      <c r="A477" t="s">
        <v>1051</v>
      </c>
      <c r="B477" t="s">
        <v>1822</v>
      </c>
      <c r="C477" t="s">
        <v>1815</v>
      </c>
      <c r="D477" t="s">
        <v>1816</v>
      </c>
      <c r="E477" t="s">
        <v>1095</v>
      </c>
      <c r="F477" t="s">
        <v>1096</v>
      </c>
      <c r="G477">
        <v>1100898</v>
      </c>
      <c r="H477">
        <v>202106</v>
      </c>
      <c r="I477">
        <v>44377</v>
      </c>
      <c r="J477" t="s">
        <v>1327</v>
      </c>
      <c r="K477" t="s">
        <v>1056</v>
      </c>
      <c r="L477" t="s">
        <v>1874</v>
      </c>
      <c r="M477" t="s">
        <v>1875</v>
      </c>
      <c r="O477" t="s">
        <v>1876</v>
      </c>
      <c r="P477" t="s">
        <v>1877</v>
      </c>
      <c r="Q477" t="s">
        <v>354</v>
      </c>
      <c r="R477">
        <v>2069151</v>
      </c>
      <c r="S477" t="s">
        <v>1859</v>
      </c>
      <c r="U477" t="s">
        <v>1860</v>
      </c>
      <c r="V477" t="s">
        <v>356</v>
      </c>
      <c r="W477">
        <v>2140443.7999999998</v>
      </c>
      <c r="X477">
        <v>567.22</v>
      </c>
      <c r="Y477">
        <v>4818.1400000000003</v>
      </c>
      <c r="Z477">
        <v>2140443.7999999998</v>
      </c>
      <c r="AA477">
        <v>0</v>
      </c>
      <c r="AB477">
        <v>44392.295339085649</v>
      </c>
      <c r="AC477" t="s">
        <v>22</v>
      </c>
      <c r="AD477">
        <v>1</v>
      </c>
    </row>
    <row r="478" spans="1:30" x14ac:dyDescent="0.25">
      <c r="A478" t="s">
        <v>1051</v>
      </c>
      <c r="B478" t="s">
        <v>1822</v>
      </c>
      <c r="C478" t="s">
        <v>1815</v>
      </c>
      <c r="D478" t="s">
        <v>1816</v>
      </c>
      <c r="E478" t="s">
        <v>1095</v>
      </c>
      <c r="F478" t="s">
        <v>1096</v>
      </c>
      <c r="G478">
        <v>1101098</v>
      </c>
      <c r="H478">
        <v>202107</v>
      </c>
      <c r="I478">
        <v>44408</v>
      </c>
      <c r="J478" t="s">
        <v>1817</v>
      </c>
      <c r="K478" t="s">
        <v>1056</v>
      </c>
      <c r="L478">
        <v>119010</v>
      </c>
      <c r="M478" t="s">
        <v>1823</v>
      </c>
      <c r="O478" t="s">
        <v>1824</v>
      </c>
      <c r="P478" t="s">
        <v>1825</v>
      </c>
      <c r="Q478" t="s">
        <v>357</v>
      </c>
      <c r="R478">
        <v>2069162</v>
      </c>
      <c r="S478" t="s">
        <v>1860</v>
      </c>
      <c r="U478" t="s">
        <v>1878</v>
      </c>
      <c r="V478" t="s">
        <v>356</v>
      </c>
      <c r="W478">
        <v>-6104455.4299999997</v>
      </c>
      <c r="X478">
        <v>-1562.74</v>
      </c>
      <c r="Y478">
        <v>-13503.06</v>
      </c>
      <c r="Z478">
        <v>-6104455.4299999997</v>
      </c>
      <c r="AA478">
        <v>0</v>
      </c>
      <c r="AB478">
        <v>44421.911056215278</v>
      </c>
      <c r="AC478" t="s">
        <v>320</v>
      </c>
      <c r="AD478">
        <v>1</v>
      </c>
    </row>
    <row r="479" spans="1:30" x14ac:dyDescent="0.25">
      <c r="A479" t="s">
        <v>1051</v>
      </c>
      <c r="B479" t="s">
        <v>1822</v>
      </c>
      <c r="C479" t="s">
        <v>1815</v>
      </c>
      <c r="D479" t="s">
        <v>1816</v>
      </c>
      <c r="E479" t="s">
        <v>1095</v>
      </c>
      <c r="F479" t="s">
        <v>1096</v>
      </c>
      <c r="G479">
        <v>1101100</v>
      </c>
      <c r="H479">
        <v>202107</v>
      </c>
      <c r="I479">
        <v>44407</v>
      </c>
      <c r="J479" t="s">
        <v>1817</v>
      </c>
      <c r="K479" t="s">
        <v>1056</v>
      </c>
      <c r="L479">
        <v>119010</v>
      </c>
      <c r="M479" t="s">
        <v>1823</v>
      </c>
      <c r="O479" t="s">
        <v>1824</v>
      </c>
      <c r="P479" t="s">
        <v>1825</v>
      </c>
      <c r="Q479" t="s">
        <v>357</v>
      </c>
      <c r="R479">
        <v>2069162</v>
      </c>
      <c r="S479" t="s">
        <v>1879</v>
      </c>
      <c r="U479" t="s">
        <v>1879</v>
      </c>
      <c r="V479" t="s">
        <v>356</v>
      </c>
      <c r="W479">
        <v>6104455.4299999997</v>
      </c>
      <c r="X479">
        <v>1562.74</v>
      </c>
      <c r="Y479">
        <v>13503.06</v>
      </c>
      <c r="Z479">
        <v>6104455.4299999997</v>
      </c>
      <c r="AA479">
        <v>0</v>
      </c>
      <c r="AB479">
        <v>44421.919517164351</v>
      </c>
      <c r="AC479" t="s">
        <v>320</v>
      </c>
      <c r="AD479">
        <v>1</v>
      </c>
    </row>
    <row r="480" spans="1:30" x14ac:dyDescent="0.25">
      <c r="A480" t="s">
        <v>1051</v>
      </c>
      <c r="B480" t="s">
        <v>1822</v>
      </c>
      <c r="C480" t="s">
        <v>1815</v>
      </c>
      <c r="D480" t="s">
        <v>1816</v>
      </c>
      <c r="E480" t="s">
        <v>1095</v>
      </c>
      <c r="F480" t="s">
        <v>1096</v>
      </c>
      <c r="G480">
        <v>1101079</v>
      </c>
      <c r="H480">
        <v>202107</v>
      </c>
      <c r="I480">
        <v>44408</v>
      </c>
      <c r="J480" t="s">
        <v>1327</v>
      </c>
      <c r="K480" t="s">
        <v>1056</v>
      </c>
      <c r="L480">
        <v>119010</v>
      </c>
      <c r="M480" t="s">
        <v>1823</v>
      </c>
      <c r="O480" t="s">
        <v>1824</v>
      </c>
      <c r="P480" t="s">
        <v>1825</v>
      </c>
      <c r="Q480" t="s">
        <v>357</v>
      </c>
      <c r="R480">
        <v>2069162</v>
      </c>
      <c r="S480" t="s">
        <v>1860</v>
      </c>
      <c r="U480" t="s">
        <v>1860</v>
      </c>
      <c r="V480" t="s">
        <v>356</v>
      </c>
      <c r="W480">
        <v>6104455.4299999997</v>
      </c>
      <c r="X480">
        <v>1562.74</v>
      </c>
      <c r="Y480">
        <v>13503.06</v>
      </c>
      <c r="Z480">
        <v>6104455.4299999997</v>
      </c>
      <c r="AA480">
        <v>0</v>
      </c>
      <c r="AB480">
        <v>44420.361900810189</v>
      </c>
      <c r="AC480" t="s">
        <v>320</v>
      </c>
      <c r="AD480">
        <v>1</v>
      </c>
    </row>
    <row r="481" spans="1:30" x14ac:dyDescent="0.25">
      <c r="A481" t="s">
        <v>1051</v>
      </c>
      <c r="B481" t="s">
        <v>1106</v>
      </c>
      <c r="C481" t="s">
        <v>1815</v>
      </c>
      <c r="D481" t="s">
        <v>1816</v>
      </c>
      <c r="E481" t="s">
        <v>1095</v>
      </c>
      <c r="F481" t="s">
        <v>1096</v>
      </c>
      <c r="G481">
        <v>1101100</v>
      </c>
      <c r="H481">
        <v>202107</v>
      </c>
      <c r="I481">
        <v>44407</v>
      </c>
      <c r="J481" t="s">
        <v>1817</v>
      </c>
      <c r="K481" t="s">
        <v>1056</v>
      </c>
      <c r="L481">
        <v>123780</v>
      </c>
      <c r="M481" t="s">
        <v>1818</v>
      </c>
      <c r="O481" t="s">
        <v>1819</v>
      </c>
      <c r="P481" t="s">
        <v>1820</v>
      </c>
      <c r="Q481" t="s">
        <v>354</v>
      </c>
      <c r="R481">
        <v>2069199</v>
      </c>
      <c r="S481" t="s">
        <v>1879</v>
      </c>
      <c r="U481" t="s">
        <v>1879</v>
      </c>
      <c r="V481" t="s">
        <v>356</v>
      </c>
      <c r="W481">
        <v>4274872.43</v>
      </c>
      <c r="X481">
        <v>1094.3699999999999</v>
      </c>
      <c r="Y481">
        <v>9456.02</v>
      </c>
      <c r="Z481">
        <v>4274872.43</v>
      </c>
      <c r="AA481">
        <v>0</v>
      </c>
      <c r="AB481">
        <v>44421.919517164351</v>
      </c>
      <c r="AC481" t="s">
        <v>22</v>
      </c>
      <c r="AD481">
        <v>1</v>
      </c>
    </row>
    <row r="482" spans="1:30" x14ac:dyDescent="0.25">
      <c r="A482" t="s">
        <v>1051</v>
      </c>
      <c r="B482" t="s">
        <v>1106</v>
      </c>
      <c r="C482" t="s">
        <v>1815</v>
      </c>
      <c r="D482" t="s">
        <v>1816</v>
      </c>
      <c r="E482" t="s">
        <v>1095</v>
      </c>
      <c r="F482" t="s">
        <v>1096</v>
      </c>
      <c r="G482">
        <v>1101079</v>
      </c>
      <c r="H482">
        <v>202107</v>
      </c>
      <c r="I482">
        <v>44408</v>
      </c>
      <c r="J482" t="s">
        <v>1327</v>
      </c>
      <c r="K482" t="s">
        <v>1056</v>
      </c>
      <c r="L482">
        <v>123780</v>
      </c>
      <c r="M482" t="s">
        <v>1818</v>
      </c>
      <c r="O482" t="s">
        <v>1819</v>
      </c>
      <c r="P482" t="s">
        <v>1820</v>
      </c>
      <c r="Q482" t="s">
        <v>354</v>
      </c>
      <c r="R482">
        <v>2069199</v>
      </c>
      <c r="S482" t="s">
        <v>1860</v>
      </c>
      <c r="U482" t="s">
        <v>1860</v>
      </c>
      <c r="V482" t="s">
        <v>356</v>
      </c>
      <c r="W482">
        <v>4274872.43</v>
      </c>
      <c r="X482">
        <v>1094.3699999999999</v>
      </c>
      <c r="Y482">
        <v>9456.02</v>
      </c>
      <c r="Z482">
        <v>4274872.43</v>
      </c>
      <c r="AA482">
        <v>0</v>
      </c>
      <c r="AB482">
        <v>44420.361900810189</v>
      </c>
      <c r="AC482" t="s">
        <v>22</v>
      </c>
      <c r="AD482">
        <v>1</v>
      </c>
    </row>
    <row r="483" spans="1:30" x14ac:dyDescent="0.25">
      <c r="A483" t="s">
        <v>1051</v>
      </c>
      <c r="B483" t="s">
        <v>1106</v>
      </c>
      <c r="C483" t="s">
        <v>1815</v>
      </c>
      <c r="D483" t="s">
        <v>1816</v>
      </c>
      <c r="E483" t="s">
        <v>1095</v>
      </c>
      <c r="F483" t="s">
        <v>1096</v>
      </c>
      <c r="G483">
        <v>1101098</v>
      </c>
      <c r="H483">
        <v>202107</v>
      </c>
      <c r="I483">
        <v>44408</v>
      </c>
      <c r="J483" t="s">
        <v>1817</v>
      </c>
      <c r="K483" t="s">
        <v>1056</v>
      </c>
      <c r="L483">
        <v>123780</v>
      </c>
      <c r="M483" t="s">
        <v>1818</v>
      </c>
      <c r="O483" t="s">
        <v>1819</v>
      </c>
      <c r="P483" t="s">
        <v>1820</v>
      </c>
      <c r="Q483" t="s">
        <v>354</v>
      </c>
      <c r="R483">
        <v>2069199</v>
      </c>
      <c r="S483" t="s">
        <v>1860</v>
      </c>
      <c r="U483" t="s">
        <v>1878</v>
      </c>
      <c r="V483" t="s">
        <v>356</v>
      </c>
      <c r="W483">
        <v>-4274872.43</v>
      </c>
      <c r="X483">
        <v>-1094.3699999999999</v>
      </c>
      <c r="Y483">
        <v>-9456.02</v>
      </c>
      <c r="Z483">
        <v>-4274872.43</v>
      </c>
      <c r="AA483">
        <v>0</v>
      </c>
      <c r="AB483">
        <v>44421.911056215278</v>
      </c>
      <c r="AC483" t="s">
        <v>22</v>
      </c>
      <c r="AD483">
        <v>1</v>
      </c>
    </row>
    <row r="484" spans="1:30" x14ac:dyDescent="0.25">
      <c r="A484" t="s">
        <v>1051</v>
      </c>
      <c r="B484" t="s">
        <v>1106</v>
      </c>
      <c r="C484" t="s">
        <v>1815</v>
      </c>
      <c r="D484" t="s">
        <v>1816</v>
      </c>
      <c r="E484" t="s">
        <v>1095</v>
      </c>
      <c r="F484" t="s">
        <v>1096</v>
      </c>
      <c r="G484">
        <v>1101098</v>
      </c>
      <c r="H484">
        <v>202107</v>
      </c>
      <c r="I484">
        <v>44408</v>
      </c>
      <c r="J484" t="s">
        <v>1817</v>
      </c>
      <c r="K484" t="s">
        <v>1056</v>
      </c>
      <c r="L484">
        <v>124474</v>
      </c>
      <c r="M484" t="s">
        <v>1829</v>
      </c>
      <c r="O484" t="s">
        <v>1830</v>
      </c>
      <c r="P484" t="s">
        <v>1831</v>
      </c>
      <c r="Q484" t="s">
        <v>354</v>
      </c>
      <c r="R484">
        <v>2069151</v>
      </c>
      <c r="S484" t="s">
        <v>1860</v>
      </c>
      <c r="U484" t="s">
        <v>1878</v>
      </c>
      <c r="V484" t="s">
        <v>356</v>
      </c>
      <c r="W484">
        <v>-4267059.43</v>
      </c>
      <c r="X484">
        <v>-1092.3699999999999</v>
      </c>
      <c r="Y484">
        <v>-9438.74</v>
      </c>
      <c r="Z484">
        <v>-4267059.43</v>
      </c>
      <c r="AA484">
        <v>0</v>
      </c>
      <c r="AB484">
        <v>44421.911056215278</v>
      </c>
      <c r="AC484" t="s">
        <v>320</v>
      </c>
      <c r="AD484">
        <v>1</v>
      </c>
    </row>
    <row r="485" spans="1:30" x14ac:dyDescent="0.25">
      <c r="A485" t="s">
        <v>1051</v>
      </c>
      <c r="B485" t="s">
        <v>1106</v>
      </c>
      <c r="C485" t="s">
        <v>1815</v>
      </c>
      <c r="D485" t="s">
        <v>1816</v>
      </c>
      <c r="E485" t="s">
        <v>1095</v>
      </c>
      <c r="F485" t="s">
        <v>1096</v>
      </c>
      <c r="G485">
        <v>1101100</v>
      </c>
      <c r="H485">
        <v>202107</v>
      </c>
      <c r="I485">
        <v>44407</v>
      </c>
      <c r="J485" t="s">
        <v>1817</v>
      </c>
      <c r="K485" t="s">
        <v>1056</v>
      </c>
      <c r="L485">
        <v>124474</v>
      </c>
      <c r="M485" t="s">
        <v>1829</v>
      </c>
      <c r="O485" t="s">
        <v>1830</v>
      </c>
      <c r="P485" t="s">
        <v>1831</v>
      </c>
      <c r="Q485" t="s">
        <v>354</v>
      </c>
      <c r="R485">
        <v>2069151</v>
      </c>
      <c r="S485" t="s">
        <v>1879</v>
      </c>
      <c r="U485" t="s">
        <v>1879</v>
      </c>
      <c r="V485" t="s">
        <v>356</v>
      </c>
      <c r="W485">
        <v>4267059.43</v>
      </c>
      <c r="X485">
        <v>1092.3699999999999</v>
      </c>
      <c r="Y485">
        <v>9438.74</v>
      </c>
      <c r="Z485">
        <v>4267059.43</v>
      </c>
      <c r="AA485">
        <v>0</v>
      </c>
      <c r="AB485">
        <v>44421.919517164351</v>
      </c>
      <c r="AC485" t="s">
        <v>320</v>
      </c>
      <c r="AD485">
        <v>1</v>
      </c>
    </row>
    <row r="486" spans="1:30" x14ac:dyDescent="0.25">
      <c r="A486" t="s">
        <v>1051</v>
      </c>
      <c r="B486" t="s">
        <v>1106</v>
      </c>
      <c r="C486" t="s">
        <v>1815</v>
      </c>
      <c r="D486" t="s">
        <v>1816</v>
      </c>
      <c r="E486" t="s">
        <v>1095</v>
      </c>
      <c r="F486" t="s">
        <v>1096</v>
      </c>
      <c r="G486">
        <v>1101079</v>
      </c>
      <c r="H486">
        <v>202107</v>
      </c>
      <c r="I486">
        <v>44408</v>
      </c>
      <c r="J486" t="s">
        <v>1327</v>
      </c>
      <c r="K486" t="s">
        <v>1056</v>
      </c>
      <c r="L486">
        <v>124474</v>
      </c>
      <c r="M486" t="s">
        <v>1829</v>
      </c>
      <c r="O486" t="s">
        <v>1830</v>
      </c>
      <c r="P486" t="s">
        <v>1831</v>
      </c>
      <c r="Q486" t="s">
        <v>354</v>
      </c>
      <c r="R486">
        <v>2069151</v>
      </c>
      <c r="S486" t="s">
        <v>1860</v>
      </c>
      <c r="U486" t="s">
        <v>1860</v>
      </c>
      <c r="V486" t="s">
        <v>356</v>
      </c>
      <c r="W486">
        <v>4267059.43</v>
      </c>
      <c r="X486">
        <v>1092.3699999999999</v>
      </c>
      <c r="Y486">
        <v>9438.74</v>
      </c>
      <c r="Z486">
        <v>4267059.43</v>
      </c>
      <c r="AA486">
        <v>0</v>
      </c>
      <c r="AB486">
        <v>44420.361900810189</v>
      </c>
      <c r="AC486" t="s">
        <v>320</v>
      </c>
      <c r="AD486">
        <v>1</v>
      </c>
    </row>
    <row r="487" spans="1:30" x14ac:dyDescent="0.25">
      <c r="A487" t="s">
        <v>1051</v>
      </c>
      <c r="B487" t="s">
        <v>1106</v>
      </c>
      <c r="C487" t="s">
        <v>1815</v>
      </c>
      <c r="D487" t="s">
        <v>1816</v>
      </c>
      <c r="E487" t="s">
        <v>1095</v>
      </c>
      <c r="F487" t="s">
        <v>1096</v>
      </c>
      <c r="G487">
        <v>1101098</v>
      </c>
      <c r="H487">
        <v>202107</v>
      </c>
      <c r="I487">
        <v>44408</v>
      </c>
      <c r="J487" t="s">
        <v>1817</v>
      </c>
      <c r="K487" t="s">
        <v>1056</v>
      </c>
      <c r="L487">
        <v>124475</v>
      </c>
      <c r="M487" t="s">
        <v>1864</v>
      </c>
      <c r="O487" t="s">
        <v>1865</v>
      </c>
      <c r="P487" t="s">
        <v>1866</v>
      </c>
      <c r="Q487" t="s">
        <v>357</v>
      </c>
      <c r="R487">
        <v>2069171</v>
      </c>
      <c r="S487" t="s">
        <v>1860</v>
      </c>
      <c r="U487" t="s">
        <v>1878</v>
      </c>
      <c r="V487" t="s">
        <v>356</v>
      </c>
      <c r="W487">
        <v>-4267059.43</v>
      </c>
      <c r="X487">
        <v>-1092.3699999999999</v>
      </c>
      <c r="Y487">
        <v>-9438.74</v>
      </c>
      <c r="Z487">
        <v>-4267059.43</v>
      </c>
      <c r="AA487">
        <v>0</v>
      </c>
      <c r="AB487">
        <v>44421.911056215278</v>
      </c>
      <c r="AC487" t="s">
        <v>320</v>
      </c>
      <c r="AD487">
        <v>1</v>
      </c>
    </row>
    <row r="488" spans="1:30" x14ac:dyDescent="0.25">
      <c r="A488" t="s">
        <v>1051</v>
      </c>
      <c r="B488" t="s">
        <v>1106</v>
      </c>
      <c r="C488" t="s">
        <v>1815</v>
      </c>
      <c r="D488" t="s">
        <v>1816</v>
      </c>
      <c r="E488" t="s">
        <v>1095</v>
      </c>
      <c r="F488" t="s">
        <v>1096</v>
      </c>
      <c r="G488">
        <v>1101079</v>
      </c>
      <c r="H488">
        <v>202107</v>
      </c>
      <c r="I488">
        <v>44408</v>
      </c>
      <c r="J488" t="s">
        <v>1327</v>
      </c>
      <c r="K488" t="s">
        <v>1056</v>
      </c>
      <c r="L488">
        <v>124475</v>
      </c>
      <c r="M488" t="s">
        <v>1864</v>
      </c>
      <c r="O488" t="s">
        <v>1865</v>
      </c>
      <c r="P488" t="s">
        <v>1866</v>
      </c>
      <c r="Q488" t="s">
        <v>357</v>
      </c>
      <c r="R488">
        <v>2069171</v>
      </c>
      <c r="S488" t="s">
        <v>1860</v>
      </c>
      <c r="U488" t="s">
        <v>1860</v>
      </c>
      <c r="V488" t="s">
        <v>356</v>
      </c>
      <c r="W488">
        <v>4267059.43</v>
      </c>
      <c r="X488">
        <v>1092.3699999999999</v>
      </c>
      <c r="Y488">
        <v>9438.74</v>
      </c>
      <c r="Z488">
        <v>4267059.43</v>
      </c>
      <c r="AA488">
        <v>0</v>
      </c>
      <c r="AB488">
        <v>44420.361900810189</v>
      </c>
      <c r="AC488" t="s">
        <v>320</v>
      </c>
      <c r="AD488">
        <v>1</v>
      </c>
    </row>
    <row r="489" spans="1:30" x14ac:dyDescent="0.25">
      <c r="A489" t="s">
        <v>1051</v>
      </c>
      <c r="B489" t="s">
        <v>1106</v>
      </c>
      <c r="C489" t="s">
        <v>1815</v>
      </c>
      <c r="D489" t="s">
        <v>1816</v>
      </c>
      <c r="E489" t="s">
        <v>1095</v>
      </c>
      <c r="F489" t="s">
        <v>1096</v>
      </c>
      <c r="G489">
        <v>1101100</v>
      </c>
      <c r="H489">
        <v>202107</v>
      </c>
      <c r="I489">
        <v>44407</v>
      </c>
      <c r="J489" t="s">
        <v>1817</v>
      </c>
      <c r="K489" t="s">
        <v>1056</v>
      </c>
      <c r="L489">
        <v>124475</v>
      </c>
      <c r="M489" t="s">
        <v>1864</v>
      </c>
      <c r="O489" t="s">
        <v>1865</v>
      </c>
      <c r="P489" t="s">
        <v>1866</v>
      </c>
      <c r="Q489" t="s">
        <v>357</v>
      </c>
      <c r="R489">
        <v>2069171</v>
      </c>
      <c r="S489" t="s">
        <v>1879</v>
      </c>
      <c r="U489" t="s">
        <v>1879</v>
      </c>
      <c r="V489" t="s">
        <v>356</v>
      </c>
      <c r="W489">
        <v>4267059.43</v>
      </c>
      <c r="X489">
        <v>1092.3699999999999</v>
      </c>
      <c r="Y489">
        <v>9438.74</v>
      </c>
      <c r="Z489">
        <v>4267059.43</v>
      </c>
      <c r="AA489">
        <v>0</v>
      </c>
      <c r="AB489">
        <v>44421.919517164351</v>
      </c>
      <c r="AC489" t="s">
        <v>320</v>
      </c>
      <c r="AD489">
        <v>1</v>
      </c>
    </row>
    <row r="490" spans="1:30" x14ac:dyDescent="0.25">
      <c r="A490" t="s">
        <v>1051</v>
      </c>
      <c r="B490" t="s">
        <v>1822</v>
      </c>
      <c r="C490" t="s">
        <v>1815</v>
      </c>
      <c r="D490" t="s">
        <v>1816</v>
      </c>
      <c r="E490" t="s">
        <v>1060</v>
      </c>
      <c r="F490" t="s">
        <v>1061</v>
      </c>
      <c r="G490">
        <v>6101316</v>
      </c>
      <c r="H490">
        <v>202107</v>
      </c>
      <c r="I490">
        <v>44400</v>
      </c>
      <c r="J490">
        <v>122536</v>
      </c>
      <c r="K490" t="s">
        <v>1056</v>
      </c>
      <c r="L490">
        <v>125154</v>
      </c>
      <c r="M490" t="s">
        <v>1867</v>
      </c>
      <c r="O490" t="s">
        <v>1868</v>
      </c>
      <c r="P490" t="s">
        <v>1869</v>
      </c>
      <c r="Q490" t="s">
        <v>354</v>
      </c>
      <c r="R490">
        <v>2069198</v>
      </c>
      <c r="S490" t="s">
        <v>355</v>
      </c>
      <c r="U490" t="s">
        <v>1880</v>
      </c>
      <c r="V490" t="s">
        <v>356</v>
      </c>
      <c r="W490">
        <v>-2694589.3</v>
      </c>
      <c r="X490">
        <v>-714.07</v>
      </c>
      <c r="Y490">
        <v>-6065.52</v>
      </c>
      <c r="Z490">
        <v>-2694589.3</v>
      </c>
      <c r="AA490">
        <v>0</v>
      </c>
      <c r="AB490">
        <v>44400.790367905094</v>
      </c>
      <c r="AC490" t="s">
        <v>22</v>
      </c>
      <c r="AD490">
        <v>1</v>
      </c>
    </row>
    <row r="491" spans="1:30" x14ac:dyDescent="0.25">
      <c r="A491" t="s">
        <v>1051</v>
      </c>
      <c r="B491" t="s">
        <v>1106</v>
      </c>
      <c r="C491" t="s">
        <v>1815</v>
      </c>
      <c r="D491" t="s">
        <v>1816</v>
      </c>
      <c r="E491" t="s">
        <v>1095</v>
      </c>
      <c r="F491" t="s">
        <v>1096</v>
      </c>
      <c r="G491">
        <v>1101079</v>
      </c>
      <c r="H491">
        <v>202107</v>
      </c>
      <c r="I491">
        <v>44408</v>
      </c>
      <c r="J491" t="s">
        <v>1327</v>
      </c>
      <c r="K491" t="s">
        <v>1056</v>
      </c>
      <c r="L491" t="s">
        <v>358</v>
      </c>
      <c r="M491" t="s">
        <v>1827</v>
      </c>
      <c r="O491" t="s">
        <v>1387</v>
      </c>
      <c r="P491" t="s">
        <v>1388</v>
      </c>
      <c r="Q491" t="s">
        <v>354</v>
      </c>
      <c r="R491">
        <v>2069201</v>
      </c>
      <c r="S491" t="s">
        <v>1860</v>
      </c>
      <c r="U491" t="s">
        <v>1860</v>
      </c>
      <c r="V491" t="s">
        <v>356</v>
      </c>
      <c r="W491">
        <v>2484039.4300000002</v>
      </c>
      <c r="X491">
        <v>635.91</v>
      </c>
      <c r="Y491">
        <v>5494.7</v>
      </c>
      <c r="Z491">
        <v>2484039.4300000002</v>
      </c>
      <c r="AA491">
        <v>0</v>
      </c>
      <c r="AB491">
        <v>44420.361900810189</v>
      </c>
      <c r="AC491" t="s">
        <v>22</v>
      </c>
      <c r="AD491">
        <v>1</v>
      </c>
    </row>
    <row r="492" spans="1:30" x14ac:dyDescent="0.25">
      <c r="A492" t="s">
        <v>1051</v>
      </c>
      <c r="B492" t="s">
        <v>1106</v>
      </c>
      <c r="C492" t="s">
        <v>1815</v>
      </c>
      <c r="D492" t="s">
        <v>1816</v>
      </c>
      <c r="E492" t="s">
        <v>1095</v>
      </c>
      <c r="F492" t="s">
        <v>1096</v>
      </c>
      <c r="G492">
        <v>1101100</v>
      </c>
      <c r="H492">
        <v>202107</v>
      </c>
      <c r="I492">
        <v>44407</v>
      </c>
      <c r="J492" t="s">
        <v>1817</v>
      </c>
      <c r="K492" t="s">
        <v>1056</v>
      </c>
      <c r="L492" t="s">
        <v>358</v>
      </c>
      <c r="M492" t="s">
        <v>1827</v>
      </c>
      <c r="O492" t="s">
        <v>1387</v>
      </c>
      <c r="P492" t="s">
        <v>1388</v>
      </c>
      <c r="Q492" t="s">
        <v>354</v>
      </c>
      <c r="R492">
        <v>2069201</v>
      </c>
      <c r="S492" t="s">
        <v>1879</v>
      </c>
      <c r="U492" t="s">
        <v>1879</v>
      </c>
      <c r="V492" t="s">
        <v>356</v>
      </c>
      <c r="W492">
        <v>2484039.4300000002</v>
      </c>
      <c r="X492">
        <v>635.91</v>
      </c>
      <c r="Y492">
        <v>5494.7</v>
      </c>
      <c r="Z492">
        <v>2484039.4300000002</v>
      </c>
      <c r="AA492">
        <v>0</v>
      </c>
      <c r="AB492">
        <v>44421.919517164351</v>
      </c>
      <c r="AC492" t="s">
        <v>22</v>
      </c>
      <c r="AD492">
        <v>1</v>
      </c>
    </row>
    <row r="493" spans="1:30" x14ac:dyDescent="0.25">
      <c r="A493" t="s">
        <v>1051</v>
      </c>
      <c r="B493" t="s">
        <v>1106</v>
      </c>
      <c r="C493" t="s">
        <v>1815</v>
      </c>
      <c r="D493" t="s">
        <v>1816</v>
      </c>
      <c r="E493" t="s">
        <v>1095</v>
      </c>
      <c r="F493" t="s">
        <v>1096</v>
      </c>
      <c r="G493">
        <v>1101098</v>
      </c>
      <c r="H493">
        <v>202107</v>
      </c>
      <c r="I493">
        <v>44408</v>
      </c>
      <c r="J493" t="s">
        <v>1817</v>
      </c>
      <c r="K493" t="s">
        <v>1056</v>
      </c>
      <c r="L493" t="s">
        <v>358</v>
      </c>
      <c r="M493" t="s">
        <v>1827</v>
      </c>
      <c r="O493" t="s">
        <v>1387</v>
      </c>
      <c r="P493" t="s">
        <v>1388</v>
      </c>
      <c r="Q493" t="s">
        <v>354</v>
      </c>
      <c r="R493">
        <v>2069201</v>
      </c>
      <c r="S493" t="s">
        <v>1860</v>
      </c>
      <c r="U493" t="s">
        <v>1878</v>
      </c>
      <c r="V493" t="s">
        <v>356</v>
      </c>
      <c r="W493">
        <v>-2484039.4300000002</v>
      </c>
      <c r="X493">
        <v>-635.91</v>
      </c>
      <c r="Y493">
        <v>-5494.7</v>
      </c>
      <c r="Z493">
        <v>-2484039.4300000002</v>
      </c>
      <c r="AA493">
        <v>0</v>
      </c>
      <c r="AB493">
        <v>44421.911056215278</v>
      </c>
      <c r="AC493" t="s">
        <v>22</v>
      </c>
      <c r="AD493">
        <v>1</v>
      </c>
    </row>
    <row r="494" spans="1:30" x14ac:dyDescent="0.25">
      <c r="A494" t="s">
        <v>1051</v>
      </c>
      <c r="B494" t="s">
        <v>1106</v>
      </c>
      <c r="C494" t="s">
        <v>1815</v>
      </c>
      <c r="D494" t="s">
        <v>1816</v>
      </c>
      <c r="E494" t="s">
        <v>1095</v>
      </c>
      <c r="F494" t="s">
        <v>1096</v>
      </c>
      <c r="G494">
        <v>1101101</v>
      </c>
      <c r="H494">
        <v>202107</v>
      </c>
      <c r="I494">
        <v>44407</v>
      </c>
      <c r="J494" t="s">
        <v>1817</v>
      </c>
      <c r="K494" t="s">
        <v>1056</v>
      </c>
      <c r="L494" t="s">
        <v>365</v>
      </c>
      <c r="M494" t="s">
        <v>1853</v>
      </c>
      <c r="O494" t="s">
        <v>1854</v>
      </c>
      <c r="P494" t="s">
        <v>1855</v>
      </c>
      <c r="Q494" t="s">
        <v>357</v>
      </c>
      <c r="R494">
        <v>2069187</v>
      </c>
      <c r="S494" t="s">
        <v>1879</v>
      </c>
      <c r="U494" t="s">
        <v>1879</v>
      </c>
      <c r="V494" t="s">
        <v>356</v>
      </c>
      <c r="W494">
        <v>3385855.22</v>
      </c>
      <c r="X494">
        <v>866.78</v>
      </c>
      <c r="Y494">
        <v>7489.51</v>
      </c>
      <c r="Z494">
        <v>3385855.22</v>
      </c>
      <c r="AA494">
        <v>0</v>
      </c>
      <c r="AB494">
        <v>44421.920988229169</v>
      </c>
      <c r="AC494" t="s">
        <v>320</v>
      </c>
      <c r="AD494">
        <v>1</v>
      </c>
    </row>
    <row r="495" spans="1:30" x14ac:dyDescent="0.25">
      <c r="A495" t="s">
        <v>1051</v>
      </c>
      <c r="B495" t="s">
        <v>1106</v>
      </c>
      <c r="C495" t="s">
        <v>1815</v>
      </c>
      <c r="D495" t="s">
        <v>1816</v>
      </c>
      <c r="E495" t="s">
        <v>1095</v>
      </c>
      <c r="F495" t="s">
        <v>1096</v>
      </c>
      <c r="G495">
        <v>1101099</v>
      </c>
      <c r="H495">
        <v>202107</v>
      </c>
      <c r="I495">
        <v>44408</v>
      </c>
      <c r="J495" t="s">
        <v>1817</v>
      </c>
      <c r="K495" t="s">
        <v>1056</v>
      </c>
      <c r="L495" t="s">
        <v>365</v>
      </c>
      <c r="M495" t="s">
        <v>1853</v>
      </c>
      <c r="O495" t="s">
        <v>1854</v>
      </c>
      <c r="P495" t="s">
        <v>1855</v>
      </c>
      <c r="Q495" t="s">
        <v>357</v>
      </c>
      <c r="R495">
        <v>2069187</v>
      </c>
      <c r="S495" t="s">
        <v>1860</v>
      </c>
      <c r="U495" t="s">
        <v>1881</v>
      </c>
      <c r="V495" t="s">
        <v>356</v>
      </c>
      <c r="W495">
        <v>-3385855.22</v>
      </c>
      <c r="X495">
        <v>-866.78</v>
      </c>
      <c r="Y495">
        <v>-7489.51</v>
      </c>
      <c r="Z495">
        <v>-3385855.22</v>
      </c>
      <c r="AA495">
        <v>0</v>
      </c>
      <c r="AB495">
        <v>44421.916622141202</v>
      </c>
      <c r="AC495" t="s">
        <v>320</v>
      </c>
      <c r="AD495">
        <v>1</v>
      </c>
    </row>
    <row r="496" spans="1:30" x14ac:dyDescent="0.25">
      <c r="A496" t="s">
        <v>1051</v>
      </c>
      <c r="B496" t="s">
        <v>1106</v>
      </c>
      <c r="C496" t="s">
        <v>1815</v>
      </c>
      <c r="D496" t="s">
        <v>1816</v>
      </c>
      <c r="E496" t="s">
        <v>1095</v>
      </c>
      <c r="F496" t="s">
        <v>1096</v>
      </c>
      <c r="G496">
        <v>1101080</v>
      </c>
      <c r="H496">
        <v>202107</v>
      </c>
      <c r="I496">
        <v>44408</v>
      </c>
      <c r="J496" t="s">
        <v>1327</v>
      </c>
      <c r="K496" t="s">
        <v>1056</v>
      </c>
      <c r="L496" t="s">
        <v>365</v>
      </c>
      <c r="M496" t="s">
        <v>1853</v>
      </c>
      <c r="O496" t="s">
        <v>1854</v>
      </c>
      <c r="P496" t="s">
        <v>1855</v>
      </c>
      <c r="Q496" t="s">
        <v>357</v>
      </c>
      <c r="R496">
        <v>2069187</v>
      </c>
      <c r="S496" t="s">
        <v>1860</v>
      </c>
      <c r="U496" t="s">
        <v>1860</v>
      </c>
      <c r="V496" t="s">
        <v>356</v>
      </c>
      <c r="W496">
        <v>3385855.22</v>
      </c>
      <c r="X496">
        <v>866.78</v>
      </c>
      <c r="Y496">
        <v>7489.51</v>
      </c>
      <c r="Z496">
        <v>3385855.22</v>
      </c>
      <c r="AA496">
        <v>0</v>
      </c>
      <c r="AB496">
        <v>44420.364329201388</v>
      </c>
      <c r="AC496" t="s">
        <v>320</v>
      </c>
      <c r="AD496">
        <v>1</v>
      </c>
    </row>
    <row r="497" spans="1:30" x14ac:dyDescent="0.25">
      <c r="A497" t="s">
        <v>1051</v>
      </c>
      <c r="B497" t="s">
        <v>1822</v>
      </c>
      <c r="C497" t="s">
        <v>1815</v>
      </c>
      <c r="D497" t="s">
        <v>1816</v>
      </c>
      <c r="E497" t="s">
        <v>1095</v>
      </c>
      <c r="F497" t="s">
        <v>1096</v>
      </c>
      <c r="G497">
        <v>1101258</v>
      </c>
      <c r="H497">
        <v>202108</v>
      </c>
      <c r="I497">
        <v>44438</v>
      </c>
      <c r="J497" t="s">
        <v>1817</v>
      </c>
      <c r="K497" t="s">
        <v>1056</v>
      </c>
      <c r="L497">
        <v>119010</v>
      </c>
      <c r="M497" t="s">
        <v>1823</v>
      </c>
      <c r="O497" t="s">
        <v>1824</v>
      </c>
      <c r="P497" t="s">
        <v>1825</v>
      </c>
      <c r="Q497" t="s">
        <v>357</v>
      </c>
      <c r="R497">
        <v>2069162</v>
      </c>
      <c r="S497" t="s">
        <v>1882</v>
      </c>
      <c r="U497" t="s">
        <v>1882</v>
      </c>
      <c r="V497" t="s">
        <v>356</v>
      </c>
      <c r="W497">
        <v>5910092.3899999997</v>
      </c>
      <c r="X497">
        <v>1529.12</v>
      </c>
      <c r="Y497">
        <v>13316.15</v>
      </c>
      <c r="Z497">
        <v>5910092.3899999997</v>
      </c>
      <c r="AA497">
        <v>0</v>
      </c>
      <c r="AB497">
        <v>44449.169700925922</v>
      </c>
      <c r="AC497" t="s">
        <v>320</v>
      </c>
      <c r="AD497">
        <v>1</v>
      </c>
    </row>
    <row r="498" spans="1:30" x14ac:dyDescent="0.25">
      <c r="A498" t="s">
        <v>1051</v>
      </c>
      <c r="B498" t="s">
        <v>1106</v>
      </c>
      <c r="C498" t="s">
        <v>1815</v>
      </c>
      <c r="D498" t="s">
        <v>1816</v>
      </c>
      <c r="E498" t="s">
        <v>1095</v>
      </c>
      <c r="F498" t="s">
        <v>1096</v>
      </c>
      <c r="G498">
        <v>1101259</v>
      </c>
      <c r="H498">
        <v>202108</v>
      </c>
      <c r="I498">
        <v>44438</v>
      </c>
      <c r="J498" t="s">
        <v>1817</v>
      </c>
      <c r="K498" t="s">
        <v>1056</v>
      </c>
      <c r="L498">
        <v>122377</v>
      </c>
      <c r="M498" t="s">
        <v>1883</v>
      </c>
      <c r="O498" t="s">
        <v>1884</v>
      </c>
      <c r="P498" t="s">
        <v>1885</v>
      </c>
      <c r="Q498" t="s">
        <v>357</v>
      </c>
      <c r="R498">
        <v>2069155</v>
      </c>
      <c r="S498" t="s">
        <v>1882</v>
      </c>
      <c r="U498" t="s">
        <v>1882</v>
      </c>
      <c r="V498" t="s">
        <v>356</v>
      </c>
      <c r="W498">
        <v>3617252.2</v>
      </c>
      <c r="X498">
        <v>935.89</v>
      </c>
      <c r="Y498">
        <v>8150.1</v>
      </c>
      <c r="Z498">
        <v>3617252.2</v>
      </c>
      <c r="AA498">
        <v>0</v>
      </c>
      <c r="AB498">
        <v>44449.170853321761</v>
      </c>
      <c r="AC498" t="s">
        <v>320</v>
      </c>
      <c r="AD498">
        <v>1</v>
      </c>
    </row>
    <row r="499" spans="1:30" x14ac:dyDescent="0.25">
      <c r="A499" t="s">
        <v>1051</v>
      </c>
      <c r="B499" t="s">
        <v>1106</v>
      </c>
      <c r="C499" t="s">
        <v>1815</v>
      </c>
      <c r="D499" t="s">
        <v>1816</v>
      </c>
      <c r="E499" t="s">
        <v>1095</v>
      </c>
      <c r="F499" t="s">
        <v>1096</v>
      </c>
      <c r="G499">
        <v>1101258</v>
      </c>
      <c r="H499">
        <v>202108</v>
      </c>
      <c r="I499">
        <v>44438</v>
      </c>
      <c r="J499" t="s">
        <v>1817</v>
      </c>
      <c r="K499" t="s">
        <v>1056</v>
      </c>
      <c r="L499">
        <v>123780</v>
      </c>
      <c r="M499" t="s">
        <v>1818</v>
      </c>
      <c r="O499" t="s">
        <v>1819</v>
      </c>
      <c r="P499" t="s">
        <v>1820</v>
      </c>
      <c r="Q499" t="s">
        <v>354</v>
      </c>
      <c r="R499">
        <v>2069199</v>
      </c>
      <c r="S499" t="s">
        <v>1882</v>
      </c>
      <c r="U499" t="s">
        <v>1882</v>
      </c>
      <c r="V499" t="s">
        <v>356</v>
      </c>
      <c r="W499">
        <v>4359234.3899999997</v>
      </c>
      <c r="X499">
        <v>1127.8599999999999</v>
      </c>
      <c r="Y499">
        <v>9821.8799999999992</v>
      </c>
      <c r="Z499">
        <v>4359234.3899999997</v>
      </c>
      <c r="AA499">
        <v>0</v>
      </c>
      <c r="AB499">
        <v>44449.169700925922</v>
      </c>
      <c r="AC499" t="s">
        <v>22</v>
      </c>
      <c r="AD499">
        <v>1</v>
      </c>
    </row>
    <row r="500" spans="1:30" x14ac:dyDescent="0.25">
      <c r="A500" t="s">
        <v>1051</v>
      </c>
      <c r="B500" t="s">
        <v>1106</v>
      </c>
      <c r="C500" t="s">
        <v>1815</v>
      </c>
      <c r="D500" t="s">
        <v>1816</v>
      </c>
      <c r="E500" t="s">
        <v>1095</v>
      </c>
      <c r="F500" t="s">
        <v>1096</v>
      </c>
      <c r="G500">
        <v>1101258</v>
      </c>
      <c r="H500">
        <v>202108</v>
      </c>
      <c r="I500">
        <v>44438</v>
      </c>
      <c r="J500" t="s">
        <v>1817</v>
      </c>
      <c r="K500" t="s">
        <v>1056</v>
      </c>
      <c r="L500">
        <v>124474</v>
      </c>
      <c r="M500" t="s">
        <v>1829</v>
      </c>
      <c r="O500" t="s">
        <v>1830</v>
      </c>
      <c r="P500" t="s">
        <v>1831</v>
      </c>
      <c r="Q500" t="s">
        <v>354</v>
      </c>
      <c r="R500">
        <v>2069151</v>
      </c>
      <c r="S500" t="s">
        <v>1882</v>
      </c>
      <c r="U500" t="s">
        <v>1882</v>
      </c>
      <c r="V500" t="s">
        <v>356</v>
      </c>
      <c r="W500">
        <v>4349580.3899999997</v>
      </c>
      <c r="X500">
        <v>1125.3699999999999</v>
      </c>
      <c r="Y500">
        <v>9800.1299999999992</v>
      </c>
      <c r="Z500">
        <v>4349580.3899999997</v>
      </c>
      <c r="AA500">
        <v>0</v>
      </c>
      <c r="AB500">
        <v>44449.169700925922</v>
      </c>
      <c r="AC500" t="s">
        <v>320</v>
      </c>
      <c r="AD500">
        <v>1</v>
      </c>
    </row>
    <row r="501" spans="1:30" x14ac:dyDescent="0.25">
      <c r="A501" t="s">
        <v>1051</v>
      </c>
      <c r="B501" t="s">
        <v>1106</v>
      </c>
      <c r="C501" t="s">
        <v>1815</v>
      </c>
      <c r="D501" t="s">
        <v>1816</v>
      </c>
      <c r="E501" t="s">
        <v>1095</v>
      </c>
      <c r="F501" t="s">
        <v>1096</v>
      </c>
      <c r="G501">
        <v>1101258</v>
      </c>
      <c r="H501">
        <v>202108</v>
      </c>
      <c r="I501">
        <v>44438</v>
      </c>
      <c r="J501" t="s">
        <v>1817</v>
      </c>
      <c r="K501" t="s">
        <v>1056</v>
      </c>
      <c r="L501">
        <v>126111</v>
      </c>
      <c r="M501" t="s">
        <v>1886</v>
      </c>
      <c r="O501" t="s">
        <v>1887</v>
      </c>
      <c r="P501" t="s">
        <v>1888</v>
      </c>
      <c r="Q501" t="s">
        <v>357</v>
      </c>
      <c r="R501">
        <v>2069179</v>
      </c>
      <c r="S501" t="s">
        <v>1882</v>
      </c>
      <c r="U501" t="s">
        <v>1882</v>
      </c>
      <c r="V501" t="s">
        <v>356</v>
      </c>
      <c r="W501">
        <v>3422901.39</v>
      </c>
      <c r="X501">
        <v>885.61</v>
      </c>
      <c r="Y501">
        <v>7712.21</v>
      </c>
      <c r="Z501">
        <v>3422901.39</v>
      </c>
      <c r="AA501">
        <v>0</v>
      </c>
      <c r="AB501">
        <v>44449.169700925922</v>
      </c>
      <c r="AC501" t="s">
        <v>320</v>
      </c>
      <c r="AD501">
        <v>1</v>
      </c>
    </row>
    <row r="502" spans="1:30" x14ac:dyDescent="0.25">
      <c r="A502" t="s">
        <v>1051</v>
      </c>
      <c r="B502" t="s">
        <v>1822</v>
      </c>
      <c r="C502" t="s">
        <v>1815</v>
      </c>
      <c r="D502" t="s">
        <v>1816</v>
      </c>
      <c r="E502" t="s">
        <v>1095</v>
      </c>
      <c r="F502" t="s">
        <v>1096</v>
      </c>
      <c r="G502">
        <v>1101259</v>
      </c>
      <c r="H502">
        <v>202108</v>
      </c>
      <c r="I502">
        <v>44438</v>
      </c>
      <c r="J502" t="s">
        <v>1817</v>
      </c>
      <c r="K502" t="s">
        <v>1056</v>
      </c>
      <c r="L502" t="s">
        <v>360</v>
      </c>
      <c r="M502" t="s">
        <v>1838</v>
      </c>
      <c r="O502" t="s">
        <v>1839</v>
      </c>
      <c r="P502" t="s">
        <v>1840</v>
      </c>
      <c r="Q502" t="s">
        <v>357</v>
      </c>
      <c r="R502">
        <v>2069175</v>
      </c>
      <c r="S502" t="s">
        <v>1882</v>
      </c>
      <c r="U502" t="s">
        <v>1882</v>
      </c>
      <c r="V502" t="s">
        <v>356</v>
      </c>
      <c r="W502">
        <v>4072163.2</v>
      </c>
      <c r="X502">
        <v>1053.5899999999999</v>
      </c>
      <c r="Y502">
        <v>9175.07</v>
      </c>
      <c r="Z502">
        <v>4072163.2</v>
      </c>
      <c r="AA502">
        <v>0</v>
      </c>
      <c r="AB502">
        <v>44449.170853321761</v>
      </c>
      <c r="AC502" t="s">
        <v>320</v>
      </c>
      <c r="AD502">
        <v>1</v>
      </c>
    </row>
    <row r="503" spans="1:30" x14ac:dyDescent="0.25">
      <c r="A503" t="s">
        <v>1051</v>
      </c>
      <c r="B503" t="s">
        <v>1106</v>
      </c>
      <c r="C503" t="s">
        <v>1815</v>
      </c>
      <c r="D503" t="s">
        <v>1816</v>
      </c>
      <c r="E503" t="s">
        <v>1095</v>
      </c>
      <c r="F503" t="s">
        <v>1096</v>
      </c>
      <c r="G503">
        <v>1101258</v>
      </c>
      <c r="H503">
        <v>202108</v>
      </c>
      <c r="I503">
        <v>44438</v>
      </c>
      <c r="J503" t="s">
        <v>1817</v>
      </c>
      <c r="K503" t="s">
        <v>1056</v>
      </c>
      <c r="L503" t="s">
        <v>367</v>
      </c>
      <c r="M503" t="s">
        <v>1889</v>
      </c>
      <c r="O503" t="s">
        <v>1890</v>
      </c>
      <c r="P503" t="s">
        <v>1891</v>
      </c>
      <c r="Q503" t="s">
        <v>357</v>
      </c>
      <c r="R503">
        <v>2069155</v>
      </c>
      <c r="S503" t="s">
        <v>1882</v>
      </c>
      <c r="U503" t="s">
        <v>1882</v>
      </c>
      <c r="V503" t="s">
        <v>356</v>
      </c>
      <c r="W503">
        <v>1245789.28</v>
      </c>
      <c r="X503">
        <v>322.32</v>
      </c>
      <c r="Y503">
        <v>2806.91</v>
      </c>
      <c r="Z503">
        <v>1245789.28</v>
      </c>
      <c r="AA503">
        <v>0</v>
      </c>
      <c r="AB503">
        <v>44449.169700925922</v>
      </c>
      <c r="AC503" t="s">
        <v>320</v>
      </c>
      <c r="AD503">
        <v>1</v>
      </c>
    </row>
    <row r="504" spans="1:30" x14ac:dyDescent="0.25">
      <c r="A504" t="s">
        <v>1051</v>
      </c>
      <c r="B504" t="s">
        <v>1106</v>
      </c>
      <c r="C504" t="s">
        <v>1815</v>
      </c>
      <c r="D504" t="s">
        <v>1816</v>
      </c>
      <c r="E504" t="s">
        <v>1095</v>
      </c>
      <c r="F504" t="s">
        <v>1096</v>
      </c>
      <c r="G504">
        <v>1101259</v>
      </c>
      <c r="H504">
        <v>202108</v>
      </c>
      <c r="I504">
        <v>44438</v>
      </c>
      <c r="J504" t="s">
        <v>1817</v>
      </c>
      <c r="K504" t="s">
        <v>1056</v>
      </c>
      <c r="L504" t="s">
        <v>361</v>
      </c>
      <c r="M504" t="s">
        <v>1841</v>
      </c>
      <c r="O504" t="s">
        <v>1842</v>
      </c>
      <c r="P504" t="s">
        <v>1843</v>
      </c>
      <c r="Q504" t="s">
        <v>357</v>
      </c>
      <c r="R504">
        <v>2069170</v>
      </c>
      <c r="S504" t="s">
        <v>1882</v>
      </c>
      <c r="U504" t="s">
        <v>1882</v>
      </c>
      <c r="V504" t="s">
        <v>356</v>
      </c>
      <c r="W504">
        <v>3947292.2</v>
      </c>
      <c r="X504">
        <v>1021.28</v>
      </c>
      <c r="Y504">
        <v>8893.7199999999993</v>
      </c>
      <c r="Z504">
        <v>3947292.2</v>
      </c>
      <c r="AA504">
        <v>0</v>
      </c>
      <c r="AB504">
        <v>44449.170853321761</v>
      </c>
      <c r="AC504" t="s">
        <v>320</v>
      </c>
      <c r="AD504">
        <v>1</v>
      </c>
    </row>
    <row r="505" spans="1:30" x14ac:dyDescent="0.25">
      <c r="A505" t="s">
        <v>1051</v>
      </c>
      <c r="B505" t="s">
        <v>1106</v>
      </c>
      <c r="C505" t="s">
        <v>1815</v>
      </c>
      <c r="D505" t="s">
        <v>1816</v>
      </c>
      <c r="E505" t="s">
        <v>1095</v>
      </c>
      <c r="F505" t="s">
        <v>1096</v>
      </c>
      <c r="G505">
        <v>1101258</v>
      </c>
      <c r="H505">
        <v>202108</v>
      </c>
      <c r="I505">
        <v>44438</v>
      </c>
      <c r="J505" t="s">
        <v>1817</v>
      </c>
      <c r="K505" t="s">
        <v>1056</v>
      </c>
      <c r="L505" t="s">
        <v>358</v>
      </c>
      <c r="M505" t="s">
        <v>1827</v>
      </c>
      <c r="O505" t="s">
        <v>1387</v>
      </c>
      <c r="P505" t="s">
        <v>1388</v>
      </c>
      <c r="Q505" t="s">
        <v>354</v>
      </c>
      <c r="R505">
        <v>2069201</v>
      </c>
      <c r="S505" t="s">
        <v>1882</v>
      </c>
      <c r="U505" t="s">
        <v>1882</v>
      </c>
      <c r="V505" t="s">
        <v>356</v>
      </c>
      <c r="W505">
        <v>2510893.3199999998</v>
      </c>
      <c r="X505">
        <v>649.64</v>
      </c>
      <c r="Y505">
        <v>5657.34</v>
      </c>
      <c r="Z505">
        <v>2510893.3199999998</v>
      </c>
      <c r="AA505">
        <v>0</v>
      </c>
      <c r="AB505">
        <v>44449.169700925922</v>
      </c>
      <c r="AC505" t="s">
        <v>22</v>
      </c>
      <c r="AD505">
        <v>1</v>
      </c>
    </row>
    <row r="506" spans="1:30" x14ac:dyDescent="0.25">
      <c r="A506" t="s">
        <v>1051</v>
      </c>
      <c r="B506" t="s">
        <v>1106</v>
      </c>
      <c r="C506" t="s">
        <v>1815</v>
      </c>
      <c r="D506" t="s">
        <v>1816</v>
      </c>
      <c r="E506" t="s">
        <v>1095</v>
      </c>
      <c r="F506" t="s">
        <v>1096</v>
      </c>
      <c r="G506">
        <v>1101259</v>
      </c>
      <c r="H506">
        <v>202108</v>
      </c>
      <c r="I506">
        <v>44438</v>
      </c>
      <c r="J506" t="s">
        <v>1817</v>
      </c>
      <c r="K506" t="s">
        <v>1056</v>
      </c>
      <c r="L506" t="s">
        <v>362</v>
      </c>
      <c r="M506" t="s">
        <v>1844</v>
      </c>
      <c r="O506" t="s">
        <v>1845</v>
      </c>
      <c r="P506" t="s">
        <v>1846</v>
      </c>
      <c r="Q506" t="s">
        <v>357</v>
      </c>
      <c r="R506">
        <v>2069194</v>
      </c>
      <c r="S506" t="s">
        <v>1882</v>
      </c>
      <c r="U506" t="s">
        <v>1882</v>
      </c>
      <c r="V506" t="s">
        <v>356</v>
      </c>
      <c r="W506">
        <v>1912383.42</v>
      </c>
      <c r="X506">
        <v>494.79</v>
      </c>
      <c r="Y506">
        <v>4308.83</v>
      </c>
      <c r="Z506">
        <v>1912383.42</v>
      </c>
      <c r="AA506">
        <v>0</v>
      </c>
      <c r="AB506">
        <v>44449.170853321761</v>
      </c>
      <c r="AC506" t="s">
        <v>320</v>
      </c>
      <c r="AD506">
        <v>1</v>
      </c>
    </row>
    <row r="507" spans="1:30" x14ac:dyDescent="0.25">
      <c r="A507" t="s">
        <v>1051</v>
      </c>
      <c r="B507" t="s">
        <v>1106</v>
      </c>
      <c r="C507" t="s">
        <v>1815</v>
      </c>
      <c r="D507" t="s">
        <v>1816</v>
      </c>
      <c r="E507" t="s">
        <v>1095</v>
      </c>
      <c r="F507" t="s">
        <v>1096</v>
      </c>
      <c r="G507">
        <v>1101259</v>
      </c>
      <c r="H507">
        <v>202108</v>
      </c>
      <c r="I507">
        <v>44438</v>
      </c>
      <c r="J507" t="s">
        <v>1817</v>
      </c>
      <c r="K507" t="s">
        <v>1056</v>
      </c>
      <c r="L507" t="s">
        <v>364</v>
      </c>
      <c r="M507" t="s">
        <v>1850</v>
      </c>
      <c r="O507" t="s">
        <v>1851</v>
      </c>
      <c r="P507" t="s">
        <v>1852</v>
      </c>
      <c r="Q507" t="s">
        <v>357</v>
      </c>
      <c r="R507">
        <v>2069166</v>
      </c>
      <c r="S507" t="s">
        <v>1882</v>
      </c>
      <c r="U507" t="s">
        <v>1882</v>
      </c>
      <c r="V507" t="s">
        <v>356</v>
      </c>
      <c r="W507">
        <v>3094491.08</v>
      </c>
      <c r="X507">
        <v>800.64</v>
      </c>
      <c r="Y507">
        <v>6972.26</v>
      </c>
      <c r="Z507">
        <v>3094491.08</v>
      </c>
      <c r="AA507">
        <v>0</v>
      </c>
      <c r="AB507">
        <v>44449.170853321761</v>
      </c>
      <c r="AC507" t="s">
        <v>320</v>
      </c>
      <c r="AD507">
        <v>1</v>
      </c>
    </row>
    <row r="508" spans="1:30" x14ac:dyDescent="0.25">
      <c r="A508" t="s">
        <v>1051</v>
      </c>
      <c r="B508" t="s">
        <v>1822</v>
      </c>
      <c r="C508" t="s">
        <v>1815</v>
      </c>
      <c r="D508" t="s">
        <v>1816</v>
      </c>
      <c r="E508" t="s">
        <v>1095</v>
      </c>
      <c r="F508" t="s">
        <v>1096</v>
      </c>
      <c r="G508">
        <v>1101447</v>
      </c>
      <c r="H508">
        <v>202109</v>
      </c>
      <c r="I508">
        <v>44469</v>
      </c>
      <c r="J508" t="s">
        <v>1817</v>
      </c>
      <c r="K508" t="s">
        <v>1056</v>
      </c>
      <c r="L508">
        <v>119010</v>
      </c>
      <c r="M508" t="s">
        <v>1823</v>
      </c>
      <c r="O508" t="s">
        <v>1824</v>
      </c>
      <c r="P508" t="s">
        <v>1825</v>
      </c>
      <c r="Q508" t="s">
        <v>357</v>
      </c>
      <c r="R508">
        <v>2069162</v>
      </c>
      <c r="S508" t="s">
        <v>1892</v>
      </c>
      <c r="U508" t="s">
        <v>1892</v>
      </c>
      <c r="V508" t="s">
        <v>356</v>
      </c>
      <c r="W508">
        <v>6118875.0300000003</v>
      </c>
      <c r="X508">
        <v>1595.68</v>
      </c>
      <c r="Y508">
        <v>13874.92</v>
      </c>
      <c r="Z508">
        <v>6118875.0300000003</v>
      </c>
      <c r="AA508">
        <v>0</v>
      </c>
      <c r="AB508">
        <v>44477.120554629633</v>
      </c>
      <c r="AC508" t="s">
        <v>320</v>
      </c>
      <c r="AD508">
        <v>1</v>
      </c>
    </row>
    <row r="509" spans="1:30" x14ac:dyDescent="0.25">
      <c r="A509" t="s">
        <v>1051</v>
      </c>
      <c r="B509" t="s">
        <v>1822</v>
      </c>
      <c r="C509" t="s">
        <v>1815</v>
      </c>
      <c r="D509" t="s">
        <v>1816</v>
      </c>
      <c r="E509" t="s">
        <v>1095</v>
      </c>
      <c r="F509" t="s">
        <v>1096</v>
      </c>
      <c r="G509">
        <v>1101439</v>
      </c>
      <c r="H509">
        <v>202109</v>
      </c>
      <c r="I509">
        <v>44469</v>
      </c>
      <c r="J509" t="s">
        <v>1817</v>
      </c>
      <c r="K509" t="s">
        <v>1056</v>
      </c>
      <c r="L509">
        <v>119010</v>
      </c>
      <c r="M509" t="s">
        <v>1823</v>
      </c>
      <c r="O509" t="s">
        <v>1824</v>
      </c>
      <c r="P509" t="s">
        <v>1825</v>
      </c>
      <c r="Q509" t="s">
        <v>357</v>
      </c>
      <c r="R509">
        <v>2069162</v>
      </c>
      <c r="S509" t="s">
        <v>1892</v>
      </c>
      <c r="U509" t="s">
        <v>1892</v>
      </c>
      <c r="V509" t="s">
        <v>356</v>
      </c>
      <c r="W509">
        <v>6118390.7999999998</v>
      </c>
      <c r="X509">
        <v>1595.55</v>
      </c>
      <c r="Y509">
        <v>13873.82</v>
      </c>
      <c r="Z509">
        <v>6118390.7999999998</v>
      </c>
      <c r="AA509">
        <v>0</v>
      </c>
      <c r="AB509">
        <v>44476.964070983799</v>
      </c>
      <c r="AC509" t="s">
        <v>320</v>
      </c>
      <c r="AD509">
        <v>1</v>
      </c>
    </row>
    <row r="510" spans="1:30" x14ac:dyDescent="0.25">
      <c r="A510" t="s">
        <v>1051</v>
      </c>
      <c r="B510" t="s">
        <v>1822</v>
      </c>
      <c r="C510" t="s">
        <v>1815</v>
      </c>
      <c r="D510" t="s">
        <v>1816</v>
      </c>
      <c r="E510" t="s">
        <v>1095</v>
      </c>
      <c r="F510" t="s">
        <v>1096</v>
      </c>
      <c r="G510">
        <v>1101443</v>
      </c>
      <c r="H510">
        <v>202109</v>
      </c>
      <c r="I510">
        <v>44469</v>
      </c>
      <c r="J510" t="s">
        <v>1817</v>
      </c>
      <c r="K510" t="s">
        <v>1056</v>
      </c>
      <c r="L510">
        <v>119010</v>
      </c>
      <c r="M510" t="s">
        <v>1823</v>
      </c>
      <c r="O510" t="s">
        <v>1824</v>
      </c>
      <c r="P510" t="s">
        <v>1825</v>
      </c>
      <c r="Q510" t="s">
        <v>357</v>
      </c>
      <c r="R510">
        <v>2069162</v>
      </c>
      <c r="S510" t="s">
        <v>1892</v>
      </c>
      <c r="U510" t="s">
        <v>1893</v>
      </c>
      <c r="V510" t="s">
        <v>356</v>
      </c>
      <c r="W510">
        <v>-6118390.7999999998</v>
      </c>
      <c r="X510">
        <v>-1595.55</v>
      </c>
      <c r="Y510">
        <v>-13873.82</v>
      </c>
      <c r="Z510">
        <v>-6118390.7999999998</v>
      </c>
      <c r="AA510">
        <v>0</v>
      </c>
      <c r="AB510">
        <v>44477.012322337963</v>
      </c>
      <c r="AC510" t="s">
        <v>320</v>
      </c>
      <c r="AD510">
        <v>1</v>
      </c>
    </row>
    <row r="511" spans="1:30" x14ac:dyDescent="0.25">
      <c r="A511" t="s">
        <v>1051</v>
      </c>
      <c r="B511" t="s">
        <v>1106</v>
      </c>
      <c r="C511" t="s">
        <v>1815</v>
      </c>
      <c r="D511" t="s">
        <v>1816</v>
      </c>
      <c r="E511" t="s">
        <v>1095</v>
      </c>
      <c r="F511" t="s">
        <v>1096</v>
      </c>
      <c r="G511">
        <v>1101439</v>
      </c>
      <c r="H511">
        <v>202109</v>
      </c>
      <c r="I511">
        <v>44469</v>
      </c>
      <c r="J511" t="s">
        <v>1817</v>
      </c>
      <c r="K511" t="s">
        <v>1056</v>
      </c>
      <c r="L511">
        <v>122377</v>
      </c>
      <c r="M511" t="s">
        <v>1883</v>
      </c>
      <c r="O511" t="s">
        <v>1884</v>
      </c>
      <c r="P511" t="s">
        <v>1885</v>
      </c>
      <c r="Q511" t="s">
        <v>357</v>
      </c>
      <c r="R511">
        <v>2069155</v>
      </c>
      <c r="S511" t="s">
        <v>1892</v>
      </c>
      <c r="U511" t="s">
        <v>1892</v>
      </c>
      <c r="V511" t="s">
        <v>356</v>
      </c>
      <c r="W511">
        <v>2188654.14</v>
      </c>
      <c r="X511">
        <v>570.76</v>
      </c>
      <c r="Y511">
        <v>4962.8999999999996</v>
      </c>
      <c r="Z511">
        <v>2188654.14</v>
      </c>
      <c r="AA511">
        <v>0</v>
      </c>
      <c r="AB511">
        <v>44476.964070983799</v>
      </c>
      <c r="AC511" t="s">
        <v>320</v>
      </c>
      <c r="AD511">
        <v>1</v>
      </c>
    </row>
    <row r="512" spans="1:30" x14ac:dyDescent="0.25">
      <c r="A512" t="s">
        <v>1051</v>
      </c>
      <c r="B512" t="s">
        <v>1106</v>
      </c>
      <c r="C512" t="s">
        <v>1815</v>
      </c>
      <c r="D512" t="s">
        <v>1816</v>
      </c>
      <c r="E512" t="s">
        <v>1095</v>
      </c>
      <c r="F512" t="s">
        <v>1096</v>
      </c>
      <c r="G512">
        <v>1101443</v>
      </c>
      <c r="H512">
        <v>202109</v>
      </c>
      <c r="I512">
        <v>44469</v>
      </c>
      <c r="J512" t="s">
        <v>1817</v>
      </c>
      <c r="K512" t="s">
        <v>1056</v>
      </c>
      <c r="L512">
        <v>122377</v>
      </c>
      <c r="M512" t="s">
        <v>1883</v>
      </c>
      <c r="O512" t="s">
        <v>1884</v>
      </c>
      <c r="P512" t="s">
        <v>1885</v>
      </c>
      <c r="Q512" t="s">
        <v>357</v>
      </c>
      <c r="R512">
        <v>2069155</v>
      </c>
      <c r="S512" t="s">
        <v>1892</v>
      </c>
      <c r="U512" t="s">
        <v>1893</v>
      </c>
      <c r="V512" t="s">
        <v>356</v>
      </c>
      <c r="W512">
        <v>-2188654.14</v>
      </c>
      <c r="X512">
        <v>-570.76</v>
      </c>
      <c r="Y512">
        <v>-4962.8999999999996</v>
      </c>
      <c r="Z512">
        <v>-2188654.14</v>
      </c>
      <c r="AA512">
        <v>0</v>
      </c>
      <c r="AB512">
        <v>44477.012322337963</v>
      </c>
      <c r="AC512" t="s">
        <v>320</v>
      </c>
      <c r="AD512">
        <v>1</v>
      </c>
    </row>
    <row r="513" spans="1:30" x14ac:dyDescent="0.25">
      <c r="A513" t="s">
        <v>1051</v>
      </c>
      <c r="B513" t="s">
        <v>1106</v>
      </c>
      <c r="C513" t="s">
        <v>1815</v>
      </c>
      <c r="D513" t="s">
        <v>1816</v>
      </c>
      <c r="E513" t="s">
        <v>1095</v>
      </c>
      <c r="F513" t="s">
        <v>1096</v>
      </c>
      <c r="G513">
        <v>1101447</v>
      </c>
      <c r="H513">
        <v>202109</v>
      </c>
      <c r="I513">
        <v>44469</v>
      </c>
      <c r="J513" t="s">
        <v>1817</v>
      </c>
      <c r="K513" t="s">
        <v>1056</v>
      </c>
      <c r="L513">
        <v>122377</v>
      </c>
      <c r="M513" t="s">
        <v>1883</v>
      </c>
      <c r="O513" t="s">
        <v>1884</v>
      </c>
      <c r="P513" t="s">
        <v>1885</v>
      </c>
      <c r="Q513" t="s">
        <v>357</v>
      </c>
      <c r="R513">
        <v>2069155</v>
      </c>
      <c r="S513" t="s">
        <v>1892</v>
      </c>
      <c r="U513" t="s">
        <v>1892</v>
      </c>
      <c r="V513" t="s">
        <v>356</v>
      </c>
      <c r="W513">
        <v>2188799.41</v>
      </c>
      <c r="X513">
        <v>570.79999999999995</v>
      </c>
      <c r="Y513">
        <v>4963.2299999999996</v>
      </c>
      <c r="Z513">
        <v>2188799.41</v>
      </c>
      <c r="AA513">
        <v>0</v>
      </c>
      <c r="AB513">
        <v>44477.120554629633</v>
      </c>
      <c r="AC513" t="s">
        <v>320</v>
      </c>
      <c r="AD513">
        <v>1</v>
      </c>
    </row>
    <row r="514" spans="1:30" x14ac:dyDescent="0.25">
      <c r="A514" t="s">
        <v>1051</v>
      </c>
      <c r="B514" t="s">
        <v>1106</v>
      </c>
      <c r="C514" t="s">
        <v>1815</v>
      </c>
      <c r="D514" t="s">
        <v>1816</v>
      </c>
      <c r="E514" t="s">
        <v>1095</v>
      </c>
      <c r="F514" t="s">
        <v>1096</v>
      </c>
      <c r="G514">
        <v>1101447</v>
      </c>
      <c r="H514">
        <v>202109</v>
      </c>
      <c r="I514">
        <v>44469</v>
      </c>
      <c r="J514" t="s">
        <v>1817</v>
      </c>
      <c r="K514" t="s">
        <v>1056</v>
      </c>
      <c r="L514">
        <v>122536</v>
      </c>
      <c r="M514" t="s">
        <v>1894</v>
      </c>
      <c r="O514" t="s">
        <v>1895</v>
      </c>
      <c r="P514" t="s">
        <v>1896</v>
      </c>
      <c r="Q514" t="s">
        <v>357</v>
      </c>
      <c r="R514">
        <v>2069164</v>
      </c>
      <c r="S514" t="s">
        <v>1892</v>
      </c>
      <c r="U514" t="s">
        <v>1892</v>
      </c>
      <c r="V514" t="s">
        <v>356</v>
      </c>
      <c r="W514">
        <v>429081</v>
      </c>
      <c r="X514">
        <v>111.9</v>
      </c>
      <c r="Y514">
        <v>972.97</v>
      </c>
      <c r="Z514">
        <v>429081</v>
      </c>
      <c r="AA514">
        <v>0</v>
      </c>
      <c r="AB514">
        <v>44477.120554629633</v>
      </c>
      <c r="AC514" t="s">
        <v>320</v>
      </c>
      <c r="AD514">
        <v>1</v>
      </c>
    </row>
    <row r="515" spans="1:30" x14ac:dyDescent="0.25">
      <c r="A515" t="s">
        <v>1051</v>
      </c>
      <c r="B515" t="s">
        <v>1106</v>
      </c>
      <c r="C515" t="s">
        <v>1815</v>
      </c>
      <c r="D515" t="s">
        <v>1816</v>
      </c>
      <c r="E515" t="s">
        <v>1095</v>
      </c>
      <c r="F515" t="s">
        <v>1096</v>
      </c>
      <c r="G515">
        <v>1101443</v>
      </c>
      <c r="H515">
        <v>202109</v>
      </c>
      <c r="I515">
        <v>44469</v>
      </c>
      <c r="J515" t="s">
        <v>1817</v>
      </c>
      <c r="K515" t="s">
        <v>1056</v>
      </c>
      <c r="L515">
        <v>122536</v>
      </c>
      <c r="M515" t="s">
        <v>1894</v>
      </c>
      <c r="O515" t="s">
        <v>1895</v>
      </c>
      <c r="P515" t="s">
        <v>1896</v>
      </c>
      <c r="Q515" t="s">
        <v>357</v>
      </c>
      <c r="R515">
        <v>2069164</v>
      </c>
      <c r="S515" t="s">
        <v>1892</v>
      </c>
      <c r="U515" t="s">
        <v>1893</v>
      </c>
      <c r="V515" t="s">
        <v>356</v>
      </c>
      <c r="W515">
        <v>-429032.58</v>
      </c>
      <c r="X515">
        <v>-111.88</v>
      </c>
      <c r="Y515">
        <v>-972.86</v>
      </c>
      <c r="Z515">
        <v>-429032.58</v>
      </c>
      <c r="AA515">
        <v>0</v>
      </c>
      <c r="AB515">
        <v>44477.012322337963</v>
      </c>
      <c r="AC515" t="s">
        <v>320</v>
      </c>
      <c r="AD515">
        <v>1</v>
      </c>
    </row>
    <row r="516" spans="1:30" x14ac:dyDescent="0.25">
      <c r="A516" t="s">
        <v>1051</v>
      </c>
      <c r="B516" t="s">
        <v>1106</v>
      </c>
      <c r="C516" t="s">
        <v>1815</v>
      </c>
      <c r="D516" t="s">
        <v>1816</v>
      </c>
      <c r="E516" t="s">
        <v>1095</v>
      </c>
      <c r="F516" t="s">
        <v>1096</v>
      </c>
      <c r="G516">
        <v>1101439</v>
      </c>
      <c r="H516">
        <v>202109</v>
      </c>
      <c r="I516">
        <v>44469</v>
      </c>
      <c r="J516" t="s">
        <v>1817</v>
      </c>
      <c r="K516" t="s">
        <v>1056</v>
      </c>
      <c r="L516">
        <v>122536</v>
      </c>
      <c r="M516" t="s">
        <v>1894</v>
      </c>
      <c r="O516" t="s">
        <v>1895</v>
      </c>
      <c r="P516" t="s">
        <v>1896</v>
      </c>
      <c r="Q516" t="s">
        <v>357</v>
      </c>
      <c r="R516">
        <v>2069164</v>
      </c>
      <c r="S516" t="s">
        <v>1892</v>
      </c>
      <c r="U516" t="s">
        <v>1892</v>
      </c>
      <c r="V516" t="s">
        <v>356</v>
      </c>
      <c r="W516">
        <v>429032.58</v>
      </c>
      <c r="X516">
        <v>111.88</v>
      </c>
      <c r="Y516">
        <v>972.86</v>
      </c>
      <c r="Z516">
        <v>429032.58</v>
      </c>
      <c r="AA516">
        <v>0</v>
      </c>
      <c r="AB516">
        <v>44476.964070983799</v>
      </c>
      <c r="AC516" t="s">
        <v>320</v>
      </c>
      <c r="AD516">
        <v>1</v>
      </c>
    </row>
    <row r="517" spans="1:30" x14ac:dyDescent="0.25">
      <c r="A517" t="s">
        <v>1051</v>
      </c>
      <c r="B517" t="s">
        <v>1106</v>
      </c>
      <c r="C517" t="s">
        <v>1815</v>
      </c>
      <c r="D517" t="s">
        <v>1816</v>
      </c>
      <c r="E517" t="s">
        <v>1095</v>
      </c>
      <c r="F517" t="s">
        <v>1096</v>
      </c>
      <c r="G517">
        <v>1101439</v>
      </c>
      <c r="H517">
        <v>202109</v>
      </c>
      <c r="I517">
        <v>44469</v>
      </c>
      <c r="J517" t="s">
        <v>1817</v>
      </c>
      <c r="K517" t="s">
        <v>1056</v>
      </c>
      <c r="L517">
        <v>123780</v>
      </c>
      <c r="M517" t="s">
        <v>1818</v>
      </c>
      <c r="O517" t="s">
        <v>1819</v>
      </c>
      <c r="P517" t="s">
        <v>1820</v>
      </c>
      <c r="Q517" t="s">
        <v>354</v>
      </c>
      <c r="R517">
        <v>2069199</v>
      </c>
      <c r="S517" t="s">
        <v>1892</v>
      </c>
      <c r="U517" t="s">
        <v>1892</v>
      </c>
      <c r="V517" t="s">
        <v>356</v>
      </c>
      <c r="W517">
        <v>4284503.8</v>
      </c>
      <c r="X517">
        <v>1117.31</v>
      </c>
      <c r="Y517">
        <v>9715.3700000000008</v>
      </c>
      <c r="Z517">
        <v>4284503.8</v>
      </c>
      <c r="AA517">
        <v>0</v>
      </c>
      <c r="AB517">
        <v>44476.964070983799</v>
      </c>
      <c r="AC517" t="s">
        <v>22</v>
      </c>
      <c r="AD517">
        <v>1</v>
      </c>
    </row>
    <row r="518" spans="1:30" x14ac:dyDescent="0.25">
      <c r="A518" t="s">
        <v>1051</v>
      </c>
      <c r="B518" t="s">
        <v>1106</v>
      </c>
      <c r="C518" t="s">
        <v>1815</v>
      </c>
      <c r="D518" t="s">
        <v>1816</v>
      </c>
      <c r="E518" t="s">
        <v>1095</v>
      </c>
      <c r="F518" t="s">
        <v>1096</v>
      </c>
      <c r="G518">
        <v>1101443</v>
      </c>
      <c r="H518">
        <v>202109</v>
      </c>
      <c r="I518">
        <v>44469</v>
      </c>
      <c r="J518" t="s">
        <v>1817</v>
      </c>
      <c r="K518" t="s">
        <v>1056</v>
      </c>
      <c r="L518">
        <v>123780</v>
      </c>
      <c r="M518" t="s">
        <v>1818</v>
      </c>
      <c r="O518" t="s">
        <v>1819</v>
      </c>
      <c r="P518" t="s">
        <v>1820</v>
      </c>
      <c r="Q518" t="s">
        <v>354</v>
      </c>
      <c r="R518">
        <v>2069199</v>
      </c>
      <c r="S518" t="s">
        <v>1892</v>
      </c>
      <c r="U518" t="s">
        <v>1893</v>
      </c>
      <c r="V518" t="s">
        <v>356</v>
      </c>
      <c r="W518">
        <v>-4284503.8</v>
      </c>
      <c r="X518">
        <v>-1117.31</v>
      </c>
      <c r="Y518">
        <v>-9715.3700000000008</v>
      </c>
      <c r="Z518">
        <v>-4284503.8</v>
      </c>
      <c r="AA518">
        <v>0</v>
      </c>
      <c r="AB518">
        <v>44477.012322337963</v>
      </c>
      <c r="AC518" t="s">
        <v>22</v>
      </c>
      <c r="AD518">
        <v>1</v>
      </c>
    </row>
    <row r="519" spans="1:30" x14ac:dyDescent="0.25">
      <c r="A519" t="s">
        <v>1051</v>
      </c>
      <c r="B519" t="s">
        <v>1106</v>
      </c>
      <c r="C519" t="s">
        <v>1815</v>
      </c>
      <c r="D519" t="s">
        <v>1816</v>
      </c>
      <c r="E519" t="s">
        <v>1095</v>
      </c>
      <c r="F519" t="s">
        <v>1096</v>
      </c>
      <c r="G519">
        <v>1101447</v>
      </c>
      <c r="H519">
        <v>202109</v>
      </c>
      <c r="I519">
        <v>44469</v>
      </c>
      <c r="J519" t="s">
        <v>1817</v>
      </c>
      <c r="K519" t="s">
        <v>1056</v>
      </c>
      <c r="L519">
        <v>123780</v>
      </c>
      <c r="M519" t="s">
        <v>1818</v>
      </c>
      <c r="O519" t="s">
        <v>1819</v>
      </c>
      <c r="P519" t="s">
        <v>1820</v>
      </c>
      <c r="Q519" t="s">
        <v>354</v>
      </c>
      <c r="R519">
        <v>2069199</v>
      </c>
      <c r="S519" t="s">
        <v>1892</v>
      </c>
      <c r="U519" t="s">
        <v>1892</v>
      </c>
      <c r="V519" t="s">
        <v>356</v>
      </c>
      <c r="W519">
        <v>4284988.03</v>
      </c>
      <c r="X519">
        <v>1117.44</v>
      </c>
      <c r="Y519">
        <v>9716.4699999999993</v>
      </c>
      <c r="Z519">
        <v>4284988.03</v>
      </c>
      <c r="AA519">
        <v>0</v>
      </c>
      <c r="AB519">
        <v>44477.120554629633</v>
      </c>
      <c r="AC519" t="s">
        <v>22</v>
      </c>
      <c r="AD519">
        <v>1</v>
      </c>
    </row>
    <row r="520" spans="1:30" x14ac:dyDescent="0.25">
      <c r="A520" t="s">
        <v>1051</v>
      </c>
      <c r="B520" t="s">
        <v>1106</v>
      </c>
      <c r="C520" t="s">
        <v>1815</v>
      </c>
      <c r="D520" t="s">
        <v>1816</v>
      </c>
      <c r="E520" t="s">
        <v>1095</v>
      </c>
      <c r="F520" t="s">
        <v>1096</v>
      </c>
      <c r="G520">
        <v>1101447</v>
      </c>
      <c r="H520">
        <v>202109</v>
      </c>
      <c r="I520">
        <v>44469</v>
      </c>
      <c r="J520" t="s">
        <v>1817</v>
      </c>
      <c r="K520" t="s">
        <v>1056</v>
      </c>
      <c r="L520">
        <v>124124</v>
      </c>
      <c r="M520" t="s">
        <v>1861</v>
      </c>
      <c r="O520" t="s">
        <v>1862</v>
      </c>
      <c r="P520" t="s">
        <v>1863</v>
      </c>
      <c r="Q520" t="s">
        <v>357</v>
      </c>
      <c r="R520">
        <v>2069183</v>
      </c>
      <c r="S520" t="s">
        <v>1892</v>
      </c>
      <c r="U520" t="s">
        <v>1892</v>
      </c>
      <c r="V520" t="s">
        <v>356</v>
      </c>
      <c r="W520">
        <v>1830812.41</v>
      </c>
      <c r="X520">
        <v>477.44</v>
      </c>
      <c r="Y520">
        <v>4151.4799999999996</v>
      </c>
      <c r="Z520">
        <v>1830812.41</v>
      </c>
      <c r="AA520">
        <v>0</v>
      </c>
      <c r="AB520">
        <v>44477.120554629633</v>
      </c>
      <c r="AC520" t="s">
        <v>320</v>
      </c>
      <c r="AD520">
        <v>1</v>
      </c>
    </row>
    <row r="521" spans="1:30" x14ac:dyDescent="0.25">
      <c r="A521" t="s">
        <v>1051</v>
      </c>
      <c r="B521" t="s">
        <v>1106</v>
      </c>
      <c r="C521" t="s">
        <v>1815</v>
      </c>
      <c r="D521" t="s">
        <v>1816</v>
      </c>
      <c r="E521" t="s">
        <v>1095</v>
      </c>
      <c r="F521" t="s">
        <v>1096</v>
      </c>
      <c r="G521">
        <v>1101443</v>
      </c>
      <c r="H521">
        <v>202109</v>
      </c>
      <c r="I521">
        <v>44469</v>
      </c>
      <c r="J521" t="s">
        <v>1817</v>
      </c>
      <c r="K521" t="s">
        <v>1056</v>
      </c>
      <c r="L521">
        <v>124124</v>
      </c>
      <c r="M521" t="s">
        <v>1861</v>
      </c>
      <c r="O521" t="s">
        <v>1862</v>
      </c>
      <c r="P521" t="s">
        <v>1863</v>
      </c>
      <c r="Q521" t="s">
        <v>357</v>
      </c>
      <c r="R521">
        <v>2069183</v>
      </c>
      <c r="S521" t="s">
        <v>1892</v>
      </c>
      <c r="U521" t="s">
        <v>1893</v>
      </c>
      <c r="V521" t="s">
        <v>356</v>
      </c>
      <c r="W521">
        <v>-1830667.14</v>
      </c>
      <c r="X521">
        <v>-477.4</v>
      </c>
      <c r="Y521">
        <v>-4151.1499999999996</v>
      </c>
      <c r="Z521">
        <v>-1830667.14</v>
      </c>
      <c r="AA521">
        <v>0</v>
      </c>
      <c r="AB521">
        <v>44477.012322337963</v>
      </c>
      <c r="AC521" t="s">
        <v>320</v>
      </c>
      <c r="AD521">
        <v>1</v>
      </c>
    </row>
    <row r="522" spans="1:30" x14ac:dyDescent="0.25">
      <c r="A522" t="s">
        <v>1051</v>
      </c>
      <c r="B522" t="s">
        <v>1106</v>
      </c>
      <c r="C522" t="s">
        <v>1815</v>
      </c>
      <c r="D522" t="s">
        <v>1816</v>
      </c>
      <c r="E522" t="s">
        <v>1095</v>
      </c>
      <c r="F522" t="s">
        <v>1096</v>
      </c>
      <c r="G522">
        <v>1101439</v>
      </c>
      <c r="H522">
        <v>202109</v>
      </c>
      <c r="I522">
        <v>44469</v>
      </c>
      <c r="J522" t="s">
        <v>1817</v>
      </c>
      <c r="K522" t="s">
        <v>1056</v>
      </c>
      <c r="L522">
        <v>124124</v>
      </c>
      <c r="M522" t="s">
        <v>1861</v>
      </c>
      <c r="O522" t="s">
        <v>1862</v>
      </c>
      <c r="P522" t="s">
        <v>1863</v>
      </c>
      <c r="Q522" t="s">
        <v>357</v>
      </c>
      <c r="R522">
        <v>2069183</v>
      </c>
      <c r="S522" t="s">
        <v>1892</v>
      </c>
      <c r="U522" t="s">
        <v>1892</v>
      </c>
      <c r="V522" t="s">
        <v>356</v>
      </c>
      <c r="W522">
        <v>1830667.14</v>
      </c>
      <c r="X522">
        <v>477.4</v>
      </c>
      <c r="Y522">
        <v>4151.1499999999996</v>
      </c>
      <c r="Z522">
        <v>1830667.14</v>
      </c>
      <c r="AA522">
        <v>0</v>
      </c>
      <c r="AB522">
        <v>44476.964070983799</v>
      </c>
      <c r="AC522" t="s">
        <v>320</v>
      </c>
      <c r="AD522">
        <v>1</v>
      </c>
    </row>
    <row r="523" spans="1:30" x14ac:dyDescent="0.25">
      <c r="A523" t="s">
        <v>1051</v>
      </c>
      <c r="B523" t="s">
        <v>1106</v>
      </c>
      <c r="C523" t="s">
        <v>1815</v>
      </c>
      <c r="D523" t="s">
        <v>1816</v>
      </c>
      <c r="E523" t="s">
        <v>1095</v>
      </c>
      <c r="F523" t="s">
        <v>1096</v>
      </c>
      <c r="G523">
        <v>1101443</v>
      </c>
      <c r="H523">
        <v>202109</v>
      </c>
      <c r="I523">
        <v>44469</v>
      </c>
      <c r="J523" t="s">
        <v>1817</v>
      </c>
      <c r="K523" t="s">
        <v>1056</v>
      </c>
      <c r="L523">
        <v>124474</v>
      </c>
      <c r="M523" t="s">
        <v>1829</v>
      </c>
      <c r="O523" t="s">
        <v>1830</v>
      </c>
      <c r="P523" t="s">
        <v>1831</v>
      </c>
      <c r="Q523" t="s">
        <v>354</v>
      </c>
      <c r="R523">
        <v>2069151</v>
      </c>
      <c r="S523" t="s">
        <v>1892</v>
      </c>
      <c r="U523" t="s">
        <v>1893</v>
      </c>
      <c r="V523" t="s">
        <v>356</v>
      </c>
      <c r="W523">
        <v>-4275767.8</v>
      </c>
      <c r="X523">
        <v>-1115.03</v>
      </c>
      <c r="Y523">
        <v>-9695.56</v>
      </c>
      <c r="Z523">
        <v>-4275767.8</v>
      </c>
      <c r="AA523">
        <v>0</v>
      </c>
      <c r="AB523">
        <v>44477.012322337963</v>
      </c>
      <c r="AC523" t="s">
        <v>320</v>
      </c>
      <c r="AD523">
        <v>1</v>
      </c>
    </row>
    <row r="524" spans="1:30" x14ac:dyDescent="0.25">
      <c r="A524" t="s">
        <v>1051</v>
      </c>
      <c r="B524" t="s">
        <v>1106</v>
      </c>
      <c r="C524" t="s">
        <v>1815</v>
      </c>
      <c r="D524" t="s">
        <v>1816</v>
      </c>
      <c r="E524" t="s">
        <v>1095</v>
      </c>
      <c r="F524" t="s">
        <v>1096</v>
      </c>
      <c r="G524">
        <v>1101447</v>
      </c>
      <c r="H524">
        <v>202109</v>
      </c>
      <c r="I524">
        <v>44469</v>
      </c>
      <c r="J524" t="s">
        <v>1817</v>
      </c>
      <c r="K524" t="s">
        <v>1056</v>
      </c>
      <c r="L524">
        <v>124474</v>
      </c>
      <c r="M524" t="s">
        <v>1829</v>
      </c>
      <c r="O524" t="s">
        <v>1830</v>
      </c>
      <c r="P524" t="s">
        <v>1831</v>
      </c>
      <c r="Q524" t="s">
        <v>354</v>
      </c>
      <c r="R524">
        <v>2069151</v>
      </c>
      <c r="S524" t="s">
        <v>1892</v>
      </c>
      <c r="U524" t="s">
        <v>1892</v>
      </c>
      <c r="V524" t="s">
        <v>356</v>
      </c>
      <c r="W524">
        <v>4276252.03</v>
      </c>
      <c r="X524">
        <v>1115.1600000000001</v>
      </c>
      <c r="Y524">
        <v>9696.66</v>
      </c>
      <c r="Z524">
        <v>4276252.03</v>
      </c>
      <c r="AA524">
        <v>0</v>
      </c>
      <c r="AB524">
        <v>44477.120554629633</v>
      </c>
      <c r="AC524" t="s">
        <v>320</v>
      </c>
      <c r="AD524">
        <v>1</v>
      </c>
    </row>
    <row r="525" spans="1:30" x14ac:dyDescent="0.25">
      <c r="A525" t="s">
        <v>1051</v>
      </c>
      <c r="B525" t="s">
        <v>1106</v>
      </c>
      <c r="C525" t="s">
        <v>1815</v>
      </c>
      <c r="D525" t="s">
        <v>1816</v>
      </c>
      <c r="E525" t="s">
        <v>1095</v>
      </c>
      <c r="F525" t="s">
        <v>1096</v>
      </c>
      <c r="G525">
        <v>1101439</v>
      </c>
      <c r="H525">
        <v>202109</v>
      </c>
      <c r="I525">
        <v>44469</v>
      </c>
      <c r="J525" t="s">
        <v>1817</v>
      </c>
      <c r="K525" t="s">
        <v>1056</v>
      </c>
      <c r="L525">
        <v>124474</v>
      </c>
      <c r="M525" t="s">
        <v>1829</v>
      </c>
      <c r="O525" t="s">
        <v>1830</v>
      </c>
      <c r="P525" t="s">
        <v>1831</v>
      </c>
      <c r="Q525" t="s">
        <v>354</v>
      </c>
      <c r="R525">
        <v>2069151</v>
      </c>
      <c r="S525" t="s">
        <v>1892</v>
      </c>
      <c r="U525" t="s">
        <v>1892</v>
      </c>
      <c r="V525" t="s">
        <v>356</v>
      </c>
      <c r="W525">
        <v>4275767.8</v>
      </c>
      <c r="X525">
        <v>1115.03</v>
      </c>
      <c r="Y525">
        <v>9695.56</v>
      </c>
      <c r="Z525">
        <v>4275767.8</v>
      </c>
      <c r="AA525">
        <v>0</v>
      </c>
      <c r="AB525">
        <v>44476.964070983799</v>
      </c>
      <c r="AC525" t="s">
        <v>320</v>
      </c>
      <c r="AD525">
        <v>1</v>
      </c>
    </row>
    <row r="526" spans="1:30" x14ac:dyDescent="0.25">
      <c r="A526" t="s">
        <v>1051</v>
      </c>
      <c r="B526" t="s">
        <v>1106</v>
      </c>
      <c r="C526" t="s">
        <v>1815</v>
      </c>
      <c r="D526" t="s">
        <v>1816</v>
      </c>
      <c r="E526" t="s">
        <v>1095</v>
      </c>
      <c r="F526" t="s">
        <v>1096</v>
      </c>
      <c r="G526">
        <v>1101439</v>
      </c>
      <c r="H526">
        <v>202109</v>
      </c>
      <c r="I526">
        <v>44469</v>
      </c>
      <c r="J526" t="s">
        <v>1817</v>
      </c>
      <c r="K526" t="s">
        <v>1056</v>
      </c>
      <c r="L526">
        <v>124475</v>
      </c>
      <c r="M526" t="s">
        <v>1864</v>
      </c>
      <c r="O526" t="s">
        <v>1865</v>
      </c>
      <c r="P526" t="s">
        <v>1866</v>
      </c>
      <c r="Q526" t="s">
        <v>357</v>
      </c>
      <c r="R526">
        <v>2069171</v>
      </c>
      <c r="S526" t="s">
        <v>1892</v>
      </c>
      <c r="U526" t="s">
        <v>1892</v>
      </c>
      <c r="V526" t="s">
        <v>356</v>
      </c>
      <c r="W526">
        <v>1282730.3400000001</v>
      </c>
      <c r="X526">
        <v>334.51</v>
      </c>
      <c r="Y526">
        <v>2908.67</v>
      </c>
      <c r="Z526">
        <v>1282730.3400000001</v>
      </c>
      <c r="AA526">
        <v>0</v>
      </c>
      <c r="AB526">
        <v>44476.964070983799</v>
      </c>
      <c r="AC526" t="s">
        <v>320</v>
      </c>
      <c r="AD526">
        <v>1</v>
      </c>
    </row>
    <row r="527" spans="1:30" x14ac:dyDescent="0.25">
      <c r="A527" t="s">
        <v>1051</v>
      </c>
      <c r="B527" t="s">
        <v>1106</v>
      </c>
      <c r="C527" t="s">
        <v>1815</v>
      </c>
      <c r="D527" t="s">
        <v>1816</v>
      </c>
      <c r="E527" t="s">
        <v>1095</v>
      </c>
      <c r="F527" t="s">
        <v>1096</v>
      </c>
      <c r="G527">
        <v>1101447</v>
      </c>
      <c r="H527">
        <v>202109</v>
      </c>
      <c r="I527">
        <v>44469</v>
      </c>
      <c r="J527" t="s">
        <v>1817</v>
      </c>
      <c r="K527" t="s">
        <v>1056</v>
      </c>
      <c r="L527">
        <v>124475</v>
      </c>
      <c r="M527" t="s">
        <v>1864</v>
      </c>
      <c r="O527" t="s">
        <v>1865</v>
      </c>
      <c r="P527" t="s">
        <v>1866</v>
      </c>
      <c r="Q527" t="s">
        <v>357</v>
      </c>
      <c r="R527">
        <v>2069171</v>
      </c>
      <c r="S527" t="s">
        <v>1892</v>
      </c>
      <c r="U527" t="s">
        <v>1892</v>
      </c>
      <c r="V527" t="s">
        <v>356</v>
      </c>
      <c r="W527">
        <v>1282875.6100000001</v>
      </c>
      <c r="X527">
        <v>334.55</v>
      </c>
      <c r="Y527">
        <v>2909</v>
      </c>
      <c r="Z527">
        <v>1282875.6100000001</v>
      </c>
      <c r="AA527">
        <v>0</v>
      </c>
      <c r="AB527">
        <v>44477.120554629633</v>
      </c>
      <c r="AC527" t="s">
        <v>320</v>
      </c>
      <c r="AD527">
        <v>1</v>
      </c>
    </row>
    <row r="528" spans="1:30" x14ac:dyDescent="0.25">
      <c r="A528" t="s">
        <v>1051</v>
      </c>
      <c r="B528" t="s">
        <v>1106</v>
      </c>
      <c r="C528" t="s">
        <v>1815</v>
      </c>
      <c r="D528" t="s">
        <v>1816</v>
      </c>
      <c r="E528" t="s">
        <v>1095</v>
      </c>
      <c r="F528" t="s">
        <v>1096</v>
      </c>
      <c r="G528">
        <v>1101443</v>
      </c>
      <c r="H528">
        <v>202109</v>
      </c>
      <c r="I528">
        <v>44469</v>
      </c>
      <c r="J528" t="s">
        <v>1817</v>
      </c>
      <c r="K528" t="s">
        <v>1056</v>
      </c>
      <c r="L528">
        <v>124475</v>
      </c>
      <c r="M528" t="s">
        <v>1864</v>
      </c>
      <c r="O528" t="s">
        <v>1865</v>
      </c>
      <c r="P528" t="s">
        <v>1866</v>
      </c>
      <c r="Q528" t="s">
        <v>357</v>
      </c>
      <c r="R528">
        <v>2069171</v>
      </c>
      <c r="S528" t="s">
        <v>1892</v>
      </c>
      <c r="U528" t="s">
        <v>1893</v>
      </c>
      <c r="V528" t="s">
        <v>356</v>
      </c>
      <c r="W528">
        <v>-1282730.3400000001</v>
      </c>
      <c r="X528">
        <v>-334.51</v>
      </c>
      <c r="Y528">
        <v>-2908.67</v>
      </c>
      <c r="Z528">
        <v>-1282730.3400000001</v>
      </c>
      <c r="AA528">
        <v>0</v>
      </c>
      <c r="AB528">
        <v>44477.012322337963</v>
      </c>
      <c r="AC528" t="s">
        <v>320</v>
      </c>
      <c r="AD528">
        <v>1</v>
      </c>
    </row>
    <row r="529" spans="1:30" x14ac:dyDescent="0.25">
      <c r="A529" t="s">
        <v>1051</v>
      </c>
      <c r="B529" t="s">
        <v>1106</v>
      </c>
      <c r="C529" t="s">
        <v>1815</v>
      </c>
      <c r="D529" t="s">
        <v>1816</v>
      </c>
      <c r="E529" t="s">
        <v>1095</v>
      </c>
      <c r="F529" t="s">
        <v>1096</v>
      </c>
      <c r="G529">
        <v>1101447</v>
      </c>
      <c r="H529">
        <v>202109</v>
      </c>
      <c r="I529">
        <v>44469</v>
      </c>
      <c r="J529" t="s">
        <v>1817</v>
      </c>
      <c r="K529" t="s">
        <v>1056</v>
      </c>
      <c r="L529">
        <v>125062</v>
      </c>
      <c r="M529" t="s">
        <v>1897</v>
      </c>
      <c r="O529" t="s">
        <v>1898</v>
      </c>
      <c r="P529" t="s">
        <v>1899</v>
      </c>
      <c r="Q529" t="s">
        <v>357</v>
      </c>
      <c r="R529">
        <v>2069195</v>
      </c>
      <c r="S529" t="s">
        <v>1892</v>
      </c>
      <c r="U529" t="s">
        <v>1892</v>
      </c>
      <c r="V529" t="s">
        <v>356</v>
      </c>
      <c r="W529">
        <v>347101.6</v>
      </c>
      <c r="X529">
        <v>90.52</v>
      </c>
      <c r="Y529">
        <v>787.07</v>
      </c>
      <c r="Z529">
        <v>347101.6</v>
      </c>
      <c r="AA529">
        <v>0</v>
      </c>
      <c r="AB529">
        <v>44477.120554629633</v>
      </c>
      <c r="AC529" t="s">
        <v>320</v>
      </c>
      <c r="AD529">
        <v>1</v>
      </c>
    </row>
    <row r="530" spans="1:30" x14ac:dyDescent="0.25">
      <c r="A530" t="s">
        <v>1051</v>
      </c>
      <c r="B530" t="s">
        <v>1106</v>
      </c>
      <c r="C530" t="s">
        <v>1815</v>
      </c>
      <c r="D530" t="s">
        <v>1816</v>
      </c>
      <c r="E530" t="s">
        <v>1095</v>
      </c>
      <c r="F530" t="s">
        <v>1096</v>
      </c>
      <c r="G530">
        <v>1101443</v>
      </c>
      <c r="H530">
        <v>202109</v>
      </c>
      <c r="I530">
        <v>44469</v>
      </c>
      <c r="J530" t="s">
        <v>1817</v>
      </c>
      <c r="K530" t="s">
        <v>1056</v>
      </c>
      <c r="L530">
        <v>125062</v>
      </c>
      <c r="M530" t="s">
        <v>1897</v>
      </c>
      <c r="O530" t="s">
        <v>1898</v>
      </c>
      <c r="P530" t="s">
        <v>1899</v>
      </c>
      <c r="Q530" t="s">
        <v>357</v>
      </c>
      <c r="R530">
        <v>2069195</v>
      </c>
      <c r="S530" t="s">
        <v>1892</v>
      </c>
      <c r="U530" t="s">
        <v>1893</v>
      </c>
      <c r="V530" t="s">
        <v>356</v>
      </c>
      <c r="W530">
        <v>-347053.18</v>
      </c>
      <c r="X530">
        <v>-90.5</v>
      </c>
      <c r="Y530">
        <v>-786.96</v>
      </c>
      <c r="Z530">
        <v>-347053.18</v>
      </c>
      <c r="AA530">
        <v>0</v>
      </c>
      <c r="AB530">
        <v>44477.012322337963</v>
      </c>
      <c r="AC530" t="s">
        <v>320</v>
      </c>
      <c r="AD530">
        <v>1</v>
      </c>
    </row>
    <row r="531" spans="1:30" x14ac:dyDescent="0.25">
      <c r="A531" t="s">
        <v>1051</v>
      </c>
      <c r="B531" t="s">
        <v>1106</v>
      </c>
      <c r="C531" t="s">
        <v>1815</v>
      </c>
      <c r="D531" t="s">
        <v>1816</v>
      </c>
      <c r="E531" t="s">
        <v>1095</v>
      </c>
      <c r="F531" t="s">
        <v>1096</v>
      </c>
      <c r="G531">
        <v>1101439</v>
      </c>
      <c r="H531">
        <v>202109</v>
      </c>
      <c r="I531">
        <v>44469</v>
      </c>
      <c r="J531" t="s">
        <v>1817</v>
      </c>
      <c r="K531" t="s">
        <v>1056</v>
      </c>
      <c r="L531">
        <v>125062</v>
      </c>
      <c r="M531" t="s">
        <v>1897</v>
      </c>
      <c r="O531" t="s">
        <v>1898</v>
      </c>
      <c r="P531" t="s">
        <v>1899</v>
      </c>
      <c r="Q531" t="s">
        <v>357</v>
      </c>
      <c r="R531">
        <v>2069195</v>
      </c>
      <c r="S531" t="s">
        <v>1892</v>
      </c>
      <c r="U531" t="s">
        <v>1892</v>
      </c>
      <c r="V531" t="s">
        <v>356</v>
      </c>
      <c r="W531">
        <v>347053.18</v>
      </c>
      <c r="X531">
        <v>90.5</v>
      </c>
      <c r="Y531">
        <v>786.96</v>
      </c>
      <c r="Z531">
        <v>347053.18</v>
      </c>
      <c r="AA531">
        <v>0</v>
      </c>
      <c r="AB531">
        <v>44476.964070983799</v>
      </c>
      <c r="AC531" t="s">
        <v>320</v>
      </c>
      <c r="AD531">
        <v>1</v>
      </c>
    </row>
    <row r="532" spans="1:30" x14ac:dyDescent="0.25">
      <c r="A532" t="s">
        <v>1051</v>
      </c>
      <c r="B532" t="s">
        <v>1106</v>
      </c>
      <c r="C532" t="s">
        <v>1815</v>
      </c>
      <c r="D532" t="s">
        <v>1816</v>
      </c>
      <c r="E532" t="s">
        <v>1095</v>
      </c>
      <c r="F532" t="s">
        <v>1096</v>
      </c>
      <c r="G532">
        <v>1101440</v>
      </c>
      <c r="H532">
        <v>202109</v>
      </c>
      <c r="I532">
        <v>44469</v>
      </c>
      <c r="J532" t="s">
        <v>1817</v>
      </c>
      <c r="K532" t="s">
        <v>1056</v>
      </c>
      <c r="L532" t="s">
        <v>367</v>
      </c>
      <c r="M532" t="s">
        <v>1889</v>
      </c>
      <c r="O532" t="s">
        <v>1890</v>
      </c>
      <c r="P532" t="s">
        <v>1891</v>
      </c>
      <c r="Q532" t="s">
        <v>357</v>
      </c>
      <c r="R532">
        <v>2069155</v>
      </c>
      <c r="S532" t="s">
        <v>1892</v>
      </c>
      <c r="U532" t="s">
        <v>1892</v>
      </c>
      <c r="V532" t="s">
        <v>356</v>
      </c>
      <c r="W532">
        <v>752413.58</v>
      </c>
      <c r="X532">
        <v>196.21</v>
      </c>
      <c r="Y532">
        <v>1706.14</v>
      </c>
      <c r="Z532">
        <v>752413.58</v>
      </c>
      <c r="AA532">
        <v>0</v>
      </c>
      <c r="AB532">
        <v>44476.971625659724</v>
      </c>
      <c r="AC532" t="s">
        <v>320</v>
      </c>
      <c r="AD532">
        <v>1</v>
      </c>
    </row>
    <row r="533" spans="1:30" x14ac:dyDescent="0.25">
      <c r="A533" t="s">
        <v>1051</v>
      </c>
      <c r="B533" t="s">
        <v>1106</v>
      </c>
      <c r="C533" t="s">
        <v>1815</v>
      </c>
      <c r="D533" t="s">
        <v>1816</v>
      </c>
      <c r="E533" t="s">
        <v>1095</v>
      </c>
      <c r="F533" t="s">
        <v>1096</v>
      </c>
      <c r="G533">
        <v>1101448</v>
      </c>
      <c r="H533">
        <v>202109</v>
      </c>
      <c r="I533">
        <v>44469</v>
      </c>
      <c r="J533" t="s">
        <v>1817</v>
      </c>
      <c r="K533" t="s">
        <v>1056</v>
      </c>
      <c r="L533" t="s">
        <v>367</v>
      </c>
      <c r="M533" t="s">
        <v>1889</v>
      </c>
      <c r="O533" t="s">
        <v>1890</v>
      </c>
      <c r="P533" t="s">
        <v>1891</v>
      </c>
      <c r="Q533" t="s">
        <v>357</v>
      </c>
      <c r="R533">
        <v>2069155</v>
      </c>
      <c r="S533" t="s">
        <v>1892</v>
      </c>
      <c r="U533" t="s">
        <v>1892</v>
      </c>
      <c r="V533" t="s">
        <v>356</v>
      </c>
      <c r="W533">
        <v>752462</v>
      </c>
      <c r="X533">
        <v>196.23</v>
      </c>
      <c r="Y533">
        <v>1706.25</v>
      </c>
      <c r="Z533">
        <v>752462</v>
      </c>
      <c r="AA533">
        <v>0</v>
      </c>
      <c r="AB533">
        <v>44477.121614039352</v>
      </c>
      <c r="AC533" t="s">
        <v>320</v>
      </c>
      <c r="AD533">
        <v>1</v>
      </c>
    </row>
    <row r="534" spans="1:30" x14ac:dyDescent="0.25">
      <c r="A534" t="s">
        <v>1051</v>
      </c>
      <c r="B534" t="s">
        <v>1106</v>
      </c>
      <c r="C534" t="s">
        <v>1815</v>
      </c>
      <c r="D534" t="s">
        <v>1816</v>
      </c>
      <c r="E534" t="s">
        <v>1095</v>
      </c>
      <c r="F534" t="s">
        <v>1096</v>
      </c>
      <c r="G534">
        <v>1101444</v>
      </c>
      <c r="H534">
        <v>202109</v>
      </c>
      <c r="I534">
        <v>44469</v>
      </c>
      <c r="J534" t="s">
        <v>1817</v>
      </c>
      <c r="K534" t="s">
        <v>1056</v>
      </c>
      <c r="L534" t="s">
        <v>367</v>
      </c>
      <c r="M534" t="s">
        <v>1889</v>
      </c>
      <c r="O534" t="s">
        <v>1890</v>
      </c>
      <c r="P534" t="s">
        <v>1891</v>
      </c>
      <c r="Q534" t="s">
        <v>357</v>
      </c>
      <c r="R534">
        <v>2069155</v>
      </c>
      <c r="S534" t="s">
        <v>1892</v>
      </c>
      <c r="U534" t="s">
        <v>1900</v>
      </c>
      <c r="V534" t="s">
        <v>356</v>
      </c>
      <c r="W534">
        <v>-752413.58</v>
      </c>
      <c r="X534">
        <v>-196.21</v>
      </c>
      <c r="Y534">
        <v>-1706.14</v>
      </c>
      <c r="Z534">
        <v>-752413.58</v>
      </c>
      <c r="AA534">
        <v>0</v>
      </c>
      <c r="AB534">
        <v>44477.014695335645</v>
      </c>
      <c r="AC534" t="s">
        <v>320</v>
      </c>
      <c r="AD534">
        <v>1</v>
      </c>
    </row>
    <row r="535" spans="1:30" x14ac:dyDescent="0.25">
      <c r="A535" t="s">
        <v>1051</v>
      </c>
      <c r="B535" t="s">
        <v>1106</v>
      </c>
      <c r="C535" t="s">
        <v>1815</v>
      </c>
      <c r="D535" t="s">
        <v>1816</v>
      </c>
      <c r="E535" t="s">
        <v>1095</v>
      </c>
      <c r="F535" t="s">
        <v>1096</v>
      </c>
      <c r="G535">
        <v>1101444</v>
      </c>
      <c r="H535">
        <v>202109</v>
      </c>
      <c r="I535">
        <v>44469</v>
      </c>
      <c r="J535" t="s">
        <v>1817</v>
      </c>
      <c r="K535" t="s">
        <v>1056</v>
      </c>
      <c r="L535" t="s">
        <v>361</v>
      </c>
      <c r="M535" t="s">
        <v>1841</v>
      </c>
      <c r="O535" t="s">
        <v>1842</v>
      </c>
      <c r="P535" t="s">
        <v>1843</v>
      </c>
      <c r="Q535" t="s">
        <v>357</v>
      </c>
      <c r="R535">
        <v>2069170</v>
      </c>
      <c r="S535" t="s">
        <v>1892</v>
      </c>
      <c r="U535" t="s">
        <v>1900</v>
      </c>
      <c r="V535" t="s">
        <v>356</v>
      </c>
      <c r="W535">
        <v>-850646.48</v>
      </c>
      <c r="X535">
        <v>-221.83</v>
      </c>
      <c r="Y535">
        <v>-1928.89</v>
      </c>
      <c r="Z535">
        <v>-850646.48</v>
      </c>
      <c r="AA535">
        <v>0</v>
      </c>
      <c r="AB535">
        <v>44477.014695335645</v>
      </c>
      <c r="AC535" t="s">
        <v>320</v>
      </c>
      <c r="AD535">
        <v>1</v>
      </c>
    </row>
    <row r="536" spans="1:30" x14ac:dyDescent="0.25">
      <c r="A536" t="s">
        <v>1051</v>
      </c>
      <c r="B536" t="s">
        <v>1106</v>
      </c>
      <c r="C536" t="s">
        <v>1815</v>
      </c>
      <c r="D536" t="s">
        <v>1816</v>
      </c>
      <c r="E536" t="s">
        <v>1095</v>
      </c>
      <c r="F536" t="s">
        <v>1096</v>
      </c>
      <c r="G536">
        <v>1101448</v>
      </c>
      <c r="H536">
        <v>202109</v>
      </c>
      <c r="I536">
        <v>44469</v>
      </c>
      <c r="J536" t="s">
        <v>1817</v>
      </c>
      <c r="K536" t="s">
        <v>1056</v>
      </c>
      <c r="L536" t="s">
        <v>361</v>
      </c>
      <c r="M536" t="s">
        <v>1841</v>
      </c>
      <c r="O536" t="s">
        <v>1842</v>
      </c>
      <c r="P536" t="s">
        <v>1843</v>
      </c>
      <c r="Q536" t="s">
        <v>357</v>
      </c>
      <c r="R536">
        <v>2069170</v>
      </c>
      <c r="S536" t="s">
        <v>1892</v>
      </c>
      <c r="U536" t="s">
        <v>1892</v>
      </c>
      <c r="V536" t="s">
        <v>356</v>
      </c>
      <c r="W536">
        <v>850694.9</v>
      </c>
      <c r="X536">
        <v>221.84</v>
      </c>
      <c r="Y536">
        <v>1929</v>
      </c>
      <c r="Z536">
        <v>850694.9</v>
      </c>
      <c r="AA536">
        <v>0</v>
      </c>
      <c r="AB536">
        <v>44477.121614039352</v>
      </c>
      <c r="AC536" t="s">
        <v>320</v>
      </c>
      <c r="AD536">
        <v>1</v>
      </c>
    </row>
    <row r="537" spans="1:30" x14ac:dyDescent="0.25">
      <c r="A537" t="s">
        <v>1051</v>
      </c>
      <c r="B537" t="s">
        <v>1106</v>
      </c>
      <c r="C537" t="s">
        <v>1815</v>
      </c>
      <c r="D537" t="s">
        <v>1816</v>
      </c>
      <c r="E537" t="s">
        <v>1095</v>
      </c>
      <c r="F537" t="s">
        <v>1096</v>
      </c>
      <c r="G537">
        <v>1101440</v>
      </c>
      <c r="H537">
        <v>202109</v>
      </c>
      <c r="I537">
        <v>44469</v>
      </c>
      <c r="J537" t="s">
        <v>1817</v>
      </c>
      <c r="K537" t="s">
        <v>1056</v>
      </c>
      <c r="L537" t="s">
        <v>361</v>
      </c>
      <c r="M537" t="s">
        <v>1841</v>
      </c>
      <c r="O537" t="s">
        <v>1842</v>
      </c>
      <c r="P537" t="s">
        <v>1843</v>
      </c>
      <c r="Q537" t="s">
        <v>357</v>
      </c>
      <c r="R537">
        <v>2069170</v>
      </c>
      <c r="S537" t="s">
        <v>1892</v>
      </c>
      <c r="U537" t="s">
        <v>1892</v>
      </c>
      <c r="V537" t="s">
        <v>356</v>
      </c>
      <c r="W537">
        <v>850646.48</v>
      </c>
      <c r="X537">
        <v>221.83</v>
      </c>
      <c r="Y537">
        <v>1928.89</v>
      </c>
      <c r="Z537">
        <v>850646.48</v>
      </c>
      <c r="AA537">
        <v>0</v>
      </c>
      <c r="AB537">
        <v>44476.971625659724</v>
      </c>
      <c r="AC537" t="s">
        <v>320</v>
      </c>
      <c r="AD537">
        <v>1</v>
      </c>
    </row>
    <row r="538" spans="1:30" x14ac:dyDescent="0.25">
      <c r="A538" t="s">
        <v>1051</v>
      </c>
      <c r="B538" t="s">
        <v>1106</v>
      </c>
      <c r="C538" t="s">
        <v>1815</v>
      </c>
      <c r="D538" t="s">
        <v>1816</v>
      </c>
      <c r="E538" t="s">
        <v>1095</v>
      </c>
      <c r="F538" t="s">
        <v>1096</v>
      </c>
      <c r="G538">
        <v>1101440</v>
      </c>
      <c r="H538">
        <v>202109</v>
      </c>
      <c r="I538">
        <v>44469</v>
      </c>
      <c r="J538" t="s">
        <v>1817</v>
      </c>
      <c r="K538" t="s">
        <v>1056</v>
      </c>
      <c r="L538" t="s">
        <v>358</v>
      </c>
      <c r="M538" t="s">
        <v>1827</v>
      </c>
      <c r="O538" t="s">
        <v>1387</v>
      </c>
      <c r="P538" t="s">
        <v>1388</v>
      </c>
      <c r="Q538" t="s">
        <v>354</v>
      </c>
      <c r="R538">
        <v>2069201</v>
      </c>
      <c r="S538" t="s">
        <v>1892</v>
      </c>
      <c r="U538" t="s">
        <v>1892</v>
      </c>
      <c r="V538" t="s">
        <v>356</v>
      </c>
      <c r="W538">
        <v>4321217.28</v>
      </c>
      <c r="X538">
        <v>1126.8900000000001</v>
      </c>
      <c r="Y538">
        <v>9798.6200000000008</v>
      </c>
      <c r="Z538">
        <v>4321217.28</v>
      </c>
      <c r="AA538">
        <v>0</v>
      </c>
      <c r="AB538">
        <v>44476.971625659724</v>
      </c>
      <c r="AC538" t="s">
        <v>22</v>
      </c>
      <c r="AD538">
        <v>1</v>
      </c>
    </row>
    <row r="539" spans="1:30" x14ac:dyDescent="0.25">
      <c r="A539" t="s">
        <v>1051</v>
      </c>
      <c r="B539" t="s">
        <v>1106</v>
      </c>
      <c r="C539" t="s">
        <v>1815</v>
      </c>
      <c r="D539" t="s">
        <v>1816</v>
      </c>
      <c r="E539" t="s">
        <v>1095</v>
      </c>
      <c r="F539" t="s">
        <v>1096</v>
      </c>
      <c r="G539">
        <v>1101444</v>
      </c>
      <c r="H539">
        <v>202109</v>
      </c>
      <c r="I539">
        <v>44469</v>
      </c>
      <c r="J539" t="s">
        <v>1817</v>
      </c>
      <c r="K539" t="s">
        <v>1056</v>
      </c>
      <c r="L539" t="s">
        <v>358</v>
      </c>
      <c r="M539" t="s">
        <v>1827</v>
      </c>
      <c r="O539" t="s">
        <v>1387</v>
      </c>
      <c r="P539" t="s">
        <v>1388</v>
      </c>
      <c r="Q539" t="s">
        <v>354</v>
      </c>
      <c r="R539">
        <v>2069201</v>
      </c>
      <c r="S539" t="s">
        <v>1892</v>
      </c>
      <c r="U539" t="s">
        <v>1900</v>
      </c>
      <c r="V539" t="s">
        <v>356</v>
      </c>
      <c r="W539">
        <v>-4321217.28</v>
      </c>
      <c r="X539">
        <v>-1126.8900000000001</v>
      </c>
      <c r="Y539">
        <v>-9798.6200000000008</v>
      </c>
      <c r="Z539">
        <v>-4321217.28</v>
      </c>
      <c r="AA539">
        <v>0</v>
      </c>
      <c r="AB539">
        <v>44477.014695335645</v>
      </c>
      <c r="AC539" t="s">
        <v>22</v>
      </c>
      <c r="AD539">
        <v>1</v>
      </c>
    </row>
    <row r="540" spans="1:30" x14ac:dyDescent="0.25">
      <c r="A540" t="s">
        <v>1051</v>
      </c>
      <c r="B540" t="s">
        <v>1106</v>
      </c>
      <c r="C540" t="s">
        <v>1815</v>
      </c>
      <c r="D540" t="s">
        <v>1816</v>
      </c>
      <c r="E540" t="s">
        <v>1095</v>
      </c>
      <c r="F540" t="s">
        <v>1096</v>
      </c>
      <c r="G540">
        <v>1101448</v>
      </c>
      <c r="H540">
        <v>202109</v>
      </c>
      <c r="I540">
        <v>44469</v>
      </c>
      <c r="J540" t="s">
        <v>1817</v>
      </c>
      <c r="K540" t="s">
        <v>1056</v>
      </c>
      <c r="L540" t="s">
        <v>358</v>
      </c>
      <c r="M540" t="s">
        <v>1827</v>
      </c>
      <c r="O540" t="s">
        <v>1387</v>
      </c>
      <c r="P540" t="s">
        <v>1388</v>
      </c>
      <c r="Q540" t="s">
        <v>354</v>
      </c>
      <c r="R540">
        <v>2069201</v>
      </c>
      <c r="S540" t="s">
        <v>1892</v>
      </c>
      <c r="U540" t="s">
        <v>1892</v>
      </c>
      <c r="V540" t="s">
        <v>356</v>
      </c>
      <c r="W540">
        <v>4321507.82</v>
      </c>
      <c r="X540">
        <v>1126.96</v>
      </c>
      <c r="Y540">
        <v>9799.2800000000007</v>
      </c>
      <c r="Z540">
        <v>4321507.82</v>
      </c>
      <c r="AA540">
        <v>0</v>
      </c>
      <c r="AB540">
        <v>44477.121614039352</v>
      </c>
      <c r="AC540" t="s">
        <v>22</v>
      </c>
      <c r="AD540">
        <v>1</v>
      </c>
    </row>
    <row r="541" spans="1:30" x14ac:dyDescent="0.25">
      <c r="A541" t="s">
        <v>1051</v>
      </c>
      <c r="B541" t="s">
        <v>1106</v>
      </c>
      <c r="C541" t="s">
        <v>1815</v>
      </c>
      <c r="D541" t="s">
        <v>1816</v>
      </c>
      <c r="E541" t="s">
        <v>1095</v>
      </c>
      <c r="F541" t="s">
        <v>1096</v>
      </c>
      <c r="G541">
        <v>1101444</v>
      </c>
      <c r="H541">
        <v>202109</v>
      </c>
      <c r="I541">
        <v>44469</v>
      </c>
      <c r="J541" t="s">
        <v>1817</v>
      </c>
      <c r="K541" t="s">
        <v>1056</v>
      </c>
      <c r="L541" t="s">
        <v>472</v>
      </c>
      <c r="M541" t="s">
        <v>1901</v>
      </c>
      <c r="O541" t="s">
        <v>1902</v>
      </c>
      <c r="P541" t="s">
        <v>1903</v>
      </c>
      <c r="Q541" t="s">
        <v>357</v>
      </c>
      <c r="R541">
        <v>2069193</v>
      </c>
      <c r="S541" t="s">
        <v>1892</v>
      </c>
      <c r="U541" t="s">
        <v>1900</v>
      </c>
      <c r="V541" t="s">
        <v>356</v>
      </c>
      <c r="W541">
        <v>-778900.28</v>
      </c>
      <c r="X541">
        <v>-203.12</v>
      </c>
      <c r="Y541">
        <v>-1766.2</v>
      </c>
      <c r="Z541">
        <v>-778900.28</v>
      </c>
      <c r="AA541">
        <v>0</v>
      </c>
      <c r="AB541">
        <v>44477.014695335645</v>
      </c>
      <c r="AC541" t="s">
        <v>320</v>
      </c>
      <c r="AD541">
        <v>1</v>
      </c>
    </row>
    <row r="542" spans="1:30" x14ac:dyDescent="0.25">
      <c r="A542" t="s">
        <v>1051</v>
      </c>
      <c r="B542" t="s">
        <v>1106</v>
      </c>
      <c r="C542" t="s">
        <v>1815</v>
      </c>
      <c r="D542" t="s">
        <v>1816</v>
      </c>
      <c r="E542" t="s">
        <v>1095</v>
      </c>
      <c r="F542" t="s">
        <v>1096</v>
      </c>
      <c r="G542">
        <v>1101440</v>
      </c>
      <c r="H542">
        <v>202109</v>
      </c>
      <c r="I542">
        <v>44469</v>
      </c>
      <c r="J542" t="s">
        <v>1817</v>
      </c>
      <c r="K542" t="s">
        <v>1056</v>
      </c>
      <c r="L542" t="s">
        <v>472</v>
      </c>
      <c r="M542" t="s">
        <v>1901</v>
      </c>
      <c r="O542" t="s">
        <v>1902</v>
      </c>
      <c r="P542" t="s">
        <v>1903</v>
      </c>
      <c r="Q542" t="s">
        <v>357</v>
      </c>
      <c r="R542">
        <v>2069193</v>
      </c>
      <c r="S542" t="s">
        <v>1892</v>
      </c>
      <c r="U542" t="s">
        <v>1892</v>
      </c>
      <c r="V542" t="s">
        <v>356</v>
      </c>
      <c r="W542">
        <v>778900.28</v>
      </c>
      <c r="X542">
        <v>203.12</v>
      </c>
      <c r="Y542">
        <v>1766.2</v>
      </c>
      <c r="Z542">
        <v>778900.28</v>
      </c>
      <c r="AA542">
        <v>0</v>
      </c>
      <c r="AB542">
        <v>44476.971625659724</v>
      </c>
      <c r="AC542" t="s">
        <v>320</v>
      </c>
      <c r="AD542">
        <v>1</v>
      </c>
    </row>
    <row r="543" spans="1:30" x14ac:dyDescent="0.25">
      <c r="A543" t="s">
        <v>1051</v>
      </c>
      <c r="B543" t="s">
        <v>1106</v>
      </c>
      <c r="C543" t="s">
        <v>1815</v>
      </c>
      <c r="D543" t="s">
        <v>1816</v>
      </c>
      <c r="E543" t="s">
        <v>1095</v>
      </c>
      <c r="F543" t="s">
        <v>1096</v>
      </c>
      <c r="G543">
        <v>1101448</v>
      </c>
      <c r="H543">
        <v>202109</v>
      </c>
      <c r="I543">
        <v>44469</v>
      </c>
      <c r="J543" t="s">
        <v>1817</v>
      </c>
      <c r="K543" t="s">
        <v>1056</v>
      </c>
      <c r="L543" t="s">
        <v>472</v>
      </c>
      <c r="M543" t="s">
        <v>1901</v>
      </c>
      <c r="O543" t="s">
        <v>1902</v>
      </c>
      <c r="P543" t="s">
        <v>1903</v>
      </c>
      <c r="Q543" t="s">
        <v>357</v>
      </c>
      <c r="R543">
        <v>2069193</v>
      </c>
      <c r="S543" t="s">
        <v>1892</v>
      </c>
      <c r="U543" t="s">
        <v>1892</v>
      </c>
      <c r="V543" t="s">
        <v>356</v>
      </c>
      <c r="W543">
        <v>778948.7</v>
      </c>
      <c r="X543">
        <v>203.13</v>
      </c>
      <c r="Y543">
        <v>1766.31</v>
      </c>
      <c r="Z543">
        <v>778948.7</v>
      </c>
      <c r="AA543">
        <v>0</v>
      </c>
      <c r="AB543">
        <v>44477.121614039352</v>
      </c>
      <c r="AC543" t="s">
        <v>320</v>
      </c>
      <c r="AD543">
        <v>1</v>
      </c>
    </row>
    <row r="544" spans="1:30" x14ac:dyDescent="0.25">
      <c r="A544" t="s">
        <v>1051</v>
      </c>
      <c r="B544" t="s">
        <v>1870</v>
      </c>
      <c r="C544" t="s">
        <v>1815</v>
      </c>
      <c r="D544" t="s">
        <v>1816</v>
      </c>
      <c r="E544" t="s">
        <v>1095</v>
      </c>
      <c r="F544" t="s">
        <v>1096</v>
      </c>
      <c r="G544">
        <v>1101448</v>
      </c>
      <c r="H544">
        <v>202109</v>
      </c>
      <c r="I544">
        <v>44469</v>
      </c>
      <c r="J544" t="s">
        <v>1817</v>
      </c>
      <c r="K544" t="s">
        <v>1056</v>
      </c>
      <c r="L544" t="s">
        <v>370</v>
      </c>
      <c r="M544" t="s">
        <v>1871</v>
      </c>
      <c r="O544" t="s">
        <v>1872</v>
      </c>
      <c r="P544" t="s">
        <v>1873</v>
      </c>
      <c r="Q544" t="s">
        <v>357</v>
      </c>
      <c r="R544">
        <v>2069189</v>
      </c>
      <c r="S544" t="s">
        <v>1892</v>
      </c>
      <c r="U544" t="s">
        <v>1892</v>
      </c>
      <c r="V544" t="s">
        <v>356</v>
      </c>
      <c r="W544">
        <v>2016290.21</v>
      </c>
      <c r="X544">
        <v>525.80999999999995</v>
      </c>
      <c r="Y544">
        <v>4572.0600000000004</v>
      </c>
      <c r="Z544">
        <v>2016290.21</v>
      </c>
      <c r="AA544">
        <v>0</v>
      </c>
      <c r="AB544">
        <v>44477.121614039352</v>
      </c>
      <c r="AC544" t="s">
        <v>320</v>
      </c>
      <c r="AD544">
        <v>1</v>
      </c>
    </row>
    <row r="545" spans="1:30" x14ac:dyDescent="0.25">
      <c r="A545" t="s">
        <v>1051</v>
      </c>
      <c r="B545" t="s">
        <v>1870</v>
      </c>
      <c r="C545" t="s">
        <v>1815</v>
      </c>
      <c r="D545" t="s">
        <v>1816</v>
      </c>
      <c r="E545" t="s">
        <v>1095</v>
      </c>
      <c r="F545" t="s">
        <v>1096</v>
      </c>
      <c r="G545">
        <v>1101444</v>
      </c>
      <c r="H545">
        <v>202109</v>
      </c>
      <c r="I545">
        <v>44469</v>
      </c>
      <c r="J545" t="s">
        <v>1817</v>
      </c>
      <c r="K545" t="s">
        <v>1056</v>
      </c>
      <c r="L545" t="s">
        <v>370</v>
      </c>
      <c r="M545" t="s">
        <v>1871</v>
      </c>
      <c r="O545" t="s">
        <v>1872</v>
      </c>
      <c r="P545" t="s">
        <v>1873</v>
      </c>
      <c r="Q545" t="s">
        <v>357</v>
      </c>
      <c r="R545">
        <v>2069189</v>
      </c>
      <c r="S545" t="s">
        <v>1892</v>
      </c>
      <c r="U545" t="s">
        <v>1900</v>
      </c>
      <c r="V545" t="s">
        <v>356</v>
      </c>
      <c r="W545">
        <v>-2016193.36</v>
      </c>
      <c r="X545">
        <v>-525.78</v>
      </c>
      <c r="Y545">
        <v>-4571.84</v>
      </c>
      <c r="Z545">
        <v>-2016193.36</v>
      </c>
      <c r="AA545">
        <v>0</v>
      </c>
      <c r="AB545">
        <v>44477.014695335645</v>
      </c>
      <c r="AC545" t="s">
        <v>320</v>
      </c>
      <c r="AD545">
        <v>1</v>
      </c>
    </row>
    <row r="546" spans="1:30" x14ac:dyDescent="0.25">
      <c r="A546" t="s">
        <v>1051</v>
      </c>
      <c r="B546" t="s">
        <v>1870</v>
      </c>
      <c r="C546" t="s">
        <v>1815</v>
      </c>
      <c r="D546" t="s">
        <v>1816</v>
      </c>
      <c r="E546" t="s">
        <v>1095</v>
      </c>
      <c r="F546" t="s">
        <v>1096</v>
      </c>
      <c r="G546">
        <v>1101440</v>
      </c>
      <c r="H546">
        <v>202109</v>
      </c>
      <c r="I546">
        <v>44469</v>
      </c>
      <c r="J546" t="s">
        <v>1817</v>
      </c>
      <c r="K546" t="s">
        <v>1056</v>
      </c>
      <c r="L546" t="s">
        <v>370</v>
      </c>
      <c r="M546" t="s">
        <v>1871</v>
      </c>
      <c r="O546" t="s">
        <v>1872</v>
      </c>
      <c r="P546" t="s">
        <v>1873</v>
      </c>
      <c r="Q546" t="s">
        <v>357</v>
      </c>
      <c r="R546">
        <v>2069189</v>
      </c>
      <c r="S546" t="s">
        <v>1892</v>
      </c>
      <c r="U546" t="s">
        <v>1892</v>
      </c>
      <c r="V546" t="s">
        <v>356</v>
      </c>
      <c r="W546">
        <v>2016193.36</v>
      </c>
      <c r="X546">
        <v>525.78</v>
      </c>
      <c r="Y546">
        <v>4571.84</v>
      </c>
      <c r="Z546">
        <v>2016193.36</v>
      </c>
      <c r="AA546">
        <v>0</v>
      </c>
      <c r="AB546">
        <v>44476.971625659724</v>
      </c>
      <c r="AC546" t="s">
        <v>320</v>
      </c>
      <c r="AD546">
        <v>1</v>
      </c>
    </row>
    <row r="547" spans="1:30" x14ac:dyDescent="0.25">
      <c r="A547" t="s">
        <v>1051</v>
      </c>
      <c r="B547" t="s">
        <v>1106</v>
      </c>
      <c r="C547" t="s">
        <v>1815</v>
      </c>
      <c r="D547" t="s">
        <v>1816</v>
      </c>
      <c r="E547" t="s">
        <v>1095</v>
      </c>
      <c r="F547" t="s">
        <v>1096</v>
      </c>
      <c r="G547">
        <v>1101440</v>
      </c>
      <c r="H547">
        <v>202109</v>
      </c>
      <c r="I547">
        <v>44469</v>
      </c>
      <c r="J547" t="s">
        <v>1817</v>
      </c>
      <c r="K547" t="s">
        <v>1056</v>
      </c>
      <c r="L547" t="s">
        <v>365</v>
      </c>
      <c r="M547" t="s">
        <v>1853</v>
      </c>
      <c r="O547" t="s">
        <v>1854</v>
      </c>
      <c r="P547" t="s">
        <v>1855</v>
      </c>
      <c r="Q547" t="s">
        <v>357</v>
      </c>
      <c r="R547">
        <v>2069187</v>
      </c>
      <c r="S547" t="s">
        <v>1892</v>
      </c>
      <c r="U547" t="s">
        <v>1892</v>
      </c>
      <c r="V547" t="s">
        <v>356</v>
      </c>
      <c r="W547">
        <v>1461150.96</v>
      </c>
      <c r="X547">
        <v>381.04</v>
      </c>
      <c r="Y547">
        <v>3313.25</v>
      </c>
      <c r="Z547">
        <v>1461150.96</v>
      </c>
      <c r="AA547">
        <v>0</v>
      </c>
      <c r="AB547">
        <v>44476.971625659724</v>
      </c>
      <c r="AC547" t="s">
        <v>320</v>
      </c>
      <c r="AD547">
        <v>1</v>
      </c>
    </row>
    <row r="548" spans="1:30" x14ac:dyDescent="0.25">
      <c r="A548" t="s">
        <v>1051</v>
      </c>
      <c r="B548" t="s">
        <v>1106</v>
      </c>
      <c r="C548" t="s">
        <v>1815</v>
      </c>
      <c r="D548" t="s">
        <v>1816</v>
      </c>
      <c r="E548" t="s">
        <v>1095</v>
      </c>
      <c r="F548" t="s">
        <v>1096</v>
      </c>
      <c r="G548">
        <v>1101444</v>
      </c>
      <c r="H548">
        <v>202109</v>
      </c>
      <c r="I548">
        <v>44469</v>
      </c>
      <c r="J548" t="s">
        <v>1817</v>
      </c>
      <c r="K548" t="s">
        <v>1056</v>
      </c>
      <c r="L548" t="s">
        <v>365</v>
      </c>
      <c r="M548" t="s">
        <v>1853</v>
      </c>
      <c r="O548" t="s">
        <v>1854</v>
      </c>
      <c r="P548" t="s">
        <v>1855</v>
      </c>
      <c r="Q548" t="s">
        <v>357</v>
      </c>
      <c r="R548">
        <v>2069187</v>
      </c>
      <c r="S548" t="s">
        <v>1892</v>
      </c>
      <c r="U548" t="s">
        <v>1900</v>
      </c>
      <c r="V548" t="s">
        <v>356</v>
      </c>
      <c r="W548">
        <v>-1461150.96</v>
      </c>
      <c r="X548">
        <v>-381.04</v>
      </c>
      <c r="Y548">
        <v>-3313.25</v>
      </c>
      <c r="Z548">
        <v>-1461150.96</v>
      </c>
      <c r="AA548">
        <v>0</v>
      </c>
      <c r="AB548">
        <v>44477.014695335645</v>
      </c>
      <c r="AC548" t="s">
        <v>320</v>
      </c>
      <c r="AD548">
        <v>1</v>
      </c>
    </row>
    <row r="549" spans="1:30" x14ac:dyDescent="0.25">
      <c r="A549" t="s">
        <v>1051</v>
      </c>
      <c r="B549" t="s">
        <v>1106</v>
      </c>
      <c r="C549" t="s">
        <v>1815</v>
      </c>
      <c r="D549" t="s">
        <v>1816</v>
      </c>
      <c r="E549" t="s">
        <v>1095</v>
      </c>
      <c r="F549" t="s">
        <v>1096</v>
      </c>
      <c r="G549">
        <v>1101448</v>
      </c>
      <c r="H549">
        <v>202109</v>
      </c>
      <c r="I549">
        <v>44469</v>
      </c>
      <c r="J549" t="s">
        <v>1817</v>
      </c>
      <c r="K549" t="s">
        <v>1056</v>
      </c>
      <c r="L549" t="s">
        <v>365</v>
      </c>
      <c r="M549" t="s">
        <v>1853</v>
      </c>
      <c r="O549" t="s">
        <v>1854</v>
      </c>
      <c r="P549" t="s">
        <v>1855</v>
      </c>
      <c r="Q549" t="s">
        <v>357</v>
      </c>
      <c r="R549">
        <v>2069187</v>
      </c>
      <c r="S549" t="s">
        <v>1892</v>
      </c>
      <c r="U549" t="s">
        <v>1892</v>
      </c>
      <c r="V549" t="s">
        <v>356</v>
      </c>
      <c r="W549">
        <v>1461247.81</v>
      </c>
      <c r="X549">
        <v>381.06</v>
      </c>
      <c r="Y549">
        <v>3313.47</v>
      </c>
      <c r="Z549">
        <v>1461247.81</v>
      </c>
      <c r="AA549">
        <v>0</v>
      </c>
      <c r="AB549">
        <v>44477.121614039352</v>
      </c>
      <c r="AC549" t="s">
        <v>320</v>
      </c>
      <c r="AD549">
        <v>1</v>
      </c>
    </row>
    <row r="550" spans="1:30" x14ac:dyDescent="0.25">
      <c r="A550" t="s">
        <v>1051</v>
      </c>
      <c r="B550" t="s">
        <v>1106</v>
      </c>
      <c r="C550" t="s">
        <v>1815</v>
      </c>
      <c r="D550" t="s">
        <v>1816</v>
      </c>
      <c r="E550" t="s">
        <v>1095</v>
      </c>
      <c r="F550" t="s">
        <v>1096</v>
      </c>
      <c r="G550">
        <v>1101440</v>
      </c>
      <c r="H550">
        <v>202109</v>
      </c>
      <c r="I550">
        <v>44469</v>
      </c>
      <c r="J550" t="s">
        <v>1817</v>
      </c>
      <c r="K550" t="s">
        <v>1056</v>
      </c>
      <c r="L550" t="s">
        <v>359</v>
      </c>
      <c r="M550" t="s">
        <v>1834</v>
      </c>
      <c r="O550" t="s">
        <v>1835</v>
      </c>
      <c r="P550" t="s">
        <v>1836</v>
      </c>
      <c r="Q550" t="s">
        <v>357</v>
      </c>
      <c r="R550">
        <v>2069177</v>
      </c>
      <c r="S550" t="s">
        <v>1892</v>
      </c>
      <c r="U550" t="s">
        <v>1892</v>
      </c>
      <c r="V550" t="s">
        <v>356</v>
      </c>
      <c r="W550">
        <v>630203.28</v>
      </c>
      <c r="X550">
        <v>164.34</v>
      </c>
      <c r="Y550">
        <v>1429.02</v>
      </c>
      <c r="Z550">
        <v>630203.28</v>
      </c>
      <c r="AA550">
        <v>0</v>
      </c>
      <c r="AB550">
        <v>44476.971625659724</v>
      </c>
      <c r="AC550" t="s">
        <v>320</v>
      </c>
      <c r="AD550">
        <v>1</v>
      </c>
    </row>
    <row r="551" spans="1:30" x14ac:dyDescent="0.25">
      <c r="A551" t="s">
        <v>1051</v>
      </c>
      <c r="B551" t="s">
        <v>1106</v>
      </c>
      <c r="C551" t="s">
        <v>1815</v>
      </c>
      <c r="D551" t="s">
        <v>1816</v>
      </c>
      <c r="E551" t="s">
        <v>1095</v>
      </c>
      <c r="F551" t="s">
        <v>1096</v>
      </c>
      <c r="G551">
        <v>1101444</v>
      </c>
      <c r="H551">
        <v>202109</v>
      </c>
      <c r="I551">
        <v>44469</v>
      </c>
      <c r="J551" t="s">
        <v>1817</v>
      </c>
      <c r="K551" t="s">
        <v>1056</v>
      </c>
      <c r="L551" t="s">
        <v>359</v>
      </c>
      <c r="M551" t="s">
        <v>1834</v>
      </c>
      <c r="O551" t="s">
        <v>1835</v>
      </c>
      <c r="P551" t="s">
        <v>1836</v>
      </c>
      <c r="Q551" t="s">
        <v>357</v>
      </c>
      <c r="R551">
        <v>2069177</v>
      </c>
      <c r="S551" t="s">
        <v>1892</v>
      </c>
      <c r="U551" t="s">
        <v>1900</v>
      </c>
      <c r="V551" t="s">
        <v>356</v>
      </c>
      <c r="W551">
        <v>-630203.28</v>
      </c>
      <c r="X551">
        <v>-164.34</v>
      </c>
      <c r="Y551">
        <v>-1429.02</v>
      </c>
      <c r="Z551">
        <v>-630203.28</v>
      </c>
      <c r="AA551">
        <v>0</v>
      </c>
      <c r="AB551">
        <v>44477.014695335645</v>
      </c>
      <c r="AC551" t="s">
        <v>320</v>
      </c>
      <c r="AD551">
        <v>1</v>
      </c>
    </row>
    <row r="552" spans="1:30" x14ac:dyDescent="0.25">
      <c r="A552" t="s">
        <v>1051</v>
      </c>
      <c r="B552" t="s">
        <v>1106</v>
      </c>
      <c r="C552" t="s">
        <v>1815</v>
      </c>
      <c r="D552" t="s">
        <v>1816</v>
      </c>
      <c r="E552" t="s">
        <v>1095</v>
      </c>
      <c r="F552" t="s">
        <v>1096</v>
      </c>
      <c r="G552">
        <v>1101448</v>
      </c>
      <c r="H552">
        <v>202109</v>
      </c>
      <c r="I552">
        <v>44469</v>
      </c>
      <c r="J552" t="s">
        <v>1817</v>
      </c>
      <c r="K552" t="s">
        <v>1056</v>
      </c>
      <c r="L552" t="s">
        <v>359</v>
      </c>
      <c r="M552" t="s">
        <v>1834</v>
      </c>
      <c r="O552" t="s">
        <v>1835</v>
      </c>
      <c r="P552" t="s">
        <v>1836</v>
      </c>
      <c r="Q552" t="s">
        <v>357</v>
      </c>
      <c r="R552">
        <v>2069177</v>
      </c>
      <c r="S552" t="s">
        <v>1892</v>
      </c>
      <c r="U552" t="s">
        <v>1892</v>
      </c>
      <c r="V552" t="s">
        <v>356</v>
      </c>
      <c r="W552">
        <v>630251.69999999995</v>
      </c>
      <c r="X552">
        <v>164.36</v>
      </c>
      <c r="Y552">
        <v>1429.13</v>
      </c>
      <c r="Z552">
        <v>630251.69999999995</v>
      </c>
      <c r="AA552">
        <v>0</v>
      </c>
      <c r="AB552">
        <v>44477.121614039352</v>
      </c>
      <c r="AC552" t="s">
        <v>320</v>
      </c>
      <c r="AD552">
        <v>1</v>
      </c>
    </row>
    <row r="553" spans="1:30" x14ac:dyDescent="0.25">
      <c r="A553" t="s">
        <v>1051</v>
      </c>
      <c r="B553" t="s">
        <v>1904</v>
      </c>
      <c r="C553" t="s">
        <v>1905</v>
      </c>
      <c r="D553" t="s">
        <v>1906</v>
      </c>
      <c r="E553" t="s">
        <v>1907</v>
      </c>
      <c r="F553" t="s">
        <v>1908</v>
      </c>
      <c r="G553">
        <v>5100155</v>
      </c>
      <c r="H553">
        <v>202108</v>
      </c>
      <c r="I553">
        <v>44435</v>
      </c>
      <c r="J553" t="s">
        <v>1714</v>
      </c>
      <c r="K553" t="s">
        <v>1056</v>
      </c>
      <c r="M553" t="s">
        <v>355</v>
      </c>
      <c r="O553" t="s">
        <v>1909</v>
      </c>
      <c r="P553" t="s">
        <v>1910</v>
      </c>
      <c r="Q553" t="s">
        <v>357</v>
      </c>
      <c r="R553">
        <v>2069109</v>
      </c>
      <c r="S553" t="s">
        <v>355</v>
      </c>
      <c r="U553" t="s">
        <v>1911</v>
      </c>
      <c r="V553" t="s">
        <v>356</v>
      </c>
      <c r="W553">
        <v>168605</v>
      </c>
      <c r="X553">
        <v>43.62</v>
      </c>
      <c r="Y553">
        <v>379.89</v>
      </c>
      <c r="Z553">
        <v>168605</v>
      </c>
      <c r="AA553">
        <v>0</v>
      </c>
      <c r="AB553">
        <v>44441.774477430554</v>
      </c>
      <c r="AC553" t="s">
        <v>323</v>
      </c>
      <c r="AD553">
        <v>7</v>
      </c>
    </row>
    <row r="554" spans="1:30" x14ac:dyDescent="0.25">
      <c r="A554" t="s">
        <v>1051</v>
      </c>
      <c r="B554" t="s">
        <v>1904</v>
      </c>
      <c r="C554" t="s">
        <v>1905</v>
      </c>
      <c r="D554" t="s">
        <v>1906</v>
      </c>
      <c r="E554" t="s">
        <v>1907</v>
      </c>
      <c r="F554" t="s">
        <v>1908</v>
      </c>
      <c r="G554">
        <v>5100155</v>
      </c>
      <c r="H554">
        <v>202108</v>
      </c>
      <c r="I554">
        <v>44435</v>
      </c>
      <c r="J554" t="s">
        <v>1714</v>
      </c>
      <c r="K554" t="s">
        <v>1056</v>
      </c>
      <c r="M554" t="s">
        <v>355</v>
      </c>
      <c r="O554" t="s">
        <v>1909</v>
      </c>
      <c r="P554" t="s">
        <v>1910</v>
      </c>
      <c r="Q554" t="s">
        <v>357</v>
      </c>
      <c r="R554">
        <v>2069109</v>
      </c>
      <c r="S554" t="s">
        <v>355</v>
      </c>
      <c r="U554" t="s">
        <v>1912</v>
      </c>
      <c r="V554" t="s">
        <v>356</v>
      </c>
      <c r="W554">
        <v>95000</v>
      </c>
      <c r="X554">
        <v>24.58</v>
      </c>
      <c r="Y554">
        <v>214.05</v>
      </c>
      <c r="Z554">
        <v>95000</v>
      </c>
      <c r="AA554">
        <v>0</v>
      </c>
      <c r="AB554">
        <v>44441.774477627318</v>
      </c>
      <c r="AC554" t="s">
        <v>323</v>
      </c>
      <c r="AD554">
        <v>7</v>
      </c>
    </row>
    <row r="555" spans="1:30" x14ac:dyDescent="0.25">
      <c r="A555" t="s">
        <v>1051</v>
      </c>
      <c r="B555" t="s">
        <v>1904</v>
      </c>
      <c r="C555" t="s">
        <v>1905</v>
      </c>
      <c r="D555" t="s">
        <v>1906</v>
      </c>
      <c r="E555" t="s">
        <v>1907</v>
      </c>
      <c r="F555" t="s">
        <v>1908</v>
      </c>
      <c r="G555">
        <v>5100155</v>
      </c>
      <c r="H555">
        <v>202108</v>
      </c>
      <c r="I555">
        <v>44435</v>
      </c>
      <c r="J555" t="s">
        <v>1714</v>
      </c>
      <c r="K555" t="s">
        <v>1056</v>
      </c>
      <c r="M555" t="s">
        <v>355</v>
      </c>
      <c r="O555" t="s">
        <v>1909</v>
      </c>
      <c r="P555" t="s">
        <v>1910</v>
      </c>
      <c r="Q555" t="s">
        <v>357</v>
      </c>
      <c r="R555">
        <v>2069109</v>
      </c>
      <c r="S555" t="s">
        <v>355</v>
      </c>
      <c r="U555" t="s">
        <v>1913</v>
      </c>
      <c r="V555" t="s">
        <v>356</v>
      </c>
      <c r="W555">
        <v>51092</v>
      </c>
      <c r="X555">
        <v>13.22</v>
      </c>
      <c r="Y555">
        <v>115.12</v>
      </c>
      <c r="Z555">
        <v>51092</v>
      </c>
      <c r="AA555">
        <v>0</v>
      </c>
      <c r="AB555">
        <v>44441.774477627318</v>
      </c>
      <c r="AC555" t="s">
        <v>323</v>
      </c>
      <c r="AD555">
        <v>7</v>
      </c>
    </row>
    <row r="556" spans="1:30" x14ac:dyDescent="0.25">
      <c r="A556" t="s">
        <v>1051</v>
      </c>
      <c r="B556" t="s">
        <v>1904</v>
      </c>
      <c r="C556" t="s">
        <v>1905</v>
      </c>
      <c r="D556" t="s">
        <v>1906</v>
      </c>
      <c r="E556" t="s">
        <v>1907</v>
      </c>
      <c r="F556" t="s">
        <v>1908</v>
      </c>
      <c r="G556">
        <v>5100155</v>
      </c>
      <c r="H556">
        <v>202108</v>
      </c>
      <c r="I556">
        <v>44435</v>
      </c>
      <c r="J556" t="s">
        <v>1714</v>
      </c>
      <c r="K556" t="s">
        <v>1056</v>
      </c>
      <c r="M556" t="s">
        <v>355</v>
      </c>
      <c r="O556" t="s">
        <v>1909</v>
      </c>
      <c r="P556" t="s">
        <v>1910</v>
      </c>
      <c r="Q556" t="s">
        <v>357</v>
      </c>
      <c r="R556">
        <v>2069109</v>
      </c>
      <c r="S556" t="s">
        <v>355</v>
      </c>
      <c r="U556" t="s">
        <v>1914</v>
      </c>
      <c r="V556" t="s">
        <v>356</v>
      </c>
      <c r="W556">
        <v>31933</v>
      </c>
      <c r="X556">
        <v>8.26</v>
      </c>
      <c r="Y556">
        <v>71.95</v>
      </c>
      <c r="Z556">
        <v>31933</v>
      </c>
      <c r="AA556">
        <v>0</v>
      </c>
      <c r="AB556">
        <v>44441.774477627318</v>
      </c>
      <c r="AC556" t="s">
        <v>323</v>
      </c>
      <c r="AD556">
        <v>7</v>
      </c>
    </row>
    <row r="557" spans="1:30" x14ac:dyDescent="0.25">
      <c r="A557" t="s">
        <v>1051</v>
      </c>
      <c r="B557" t="s">
        <v>1904</v>
      </c>
      <c r="C557" t="s">
        <v>1905</v>
      </c>
      <c r="D557" t="s">
        <v>1906</v>
      </c>
      <c r="E557" t="s">
        <v>1907</v>
      </c>
      <c r="F557" t="s">
        <v>1908</v>
      </c>
      <c r="G557">
        <v>5100155</v>
      </c>
      <c r="H557">
        <v>202108</v>
      </c>
      <c r="I557">
        <v>44435</v>
      </c>
      <c r="J557" t="s">
        <v>1714</v>
      </c>
      <c r="K557" t="s">
        <v>1056</v>
      </c>
      <c r="M557" t="s">
        <v>355</v>
      </c>
      <c r="O557" t="s">
        <v>1909</v>
      </c>
      <c r="P557" t="s">
        <v>1910</v>
      </c>
      <c r="Q557" t="s">
        <v>357</v>
      </c>
      <c r="R557">
        <v>2069109</v>
      </c>
      <c r="S557" t="s">
        <v>355</v>
      </c>
      <c r="U557" t="s">
        <v>1915</v>
      </c>
      <c r="V557" t="s">
        <v>356</v>
      </c>
      <c r="W557">
        <v>399160</v>
      </c>
      <c r="X557">
        <v>103.27</v>
      </c>
      <c r="Y557">
        <v>899.36</v>
      </c>
      <c r="Z557">
        <v>399160</v>
      </c>
      <c r="AA557">
        <v>0</v>
      </c>
      <c r="AB557">
        <v>44441.774477777777</v>
      </c>
      <c r="AC557" t="s">
        <v>323</v>
      </c>
      <c r="AD557">
        <v>7</v>
      </c>
    </row>
    <row r="558" spans="1:30" x14ac:dyDescent="0.25">
      <c r="A558" t="s">
        <v>1051</v>
      </c>
      <c r="B558" t="s">
        <v>1904</v>
      </c>
      <c r="C558" t="s">
        <v>1905</v>
      </c>
      <c r="D558" t="s">
        <v>1906</v>
      </c>
      <c r="E558" t="s">
        <v>1907</v>
      </c>
      <c r="F558" t="s">
        <v>1908</v>
      </c>
      <c r="G558">
        <v>5100155</v>
      </c>
      <c r="H558">
        <v>202108</v>
      </c>
      <c r="I558">
        <v>44435</v>
      </c>
      <c r="J558" t="s">
        <v>1714</v>
      </c>
      <c r="K558" t="s">
        <v>1056</v>
      </c>
      <c r="M558" t="s">
        <v>355</v>
      </c>
      <c r="O558" t="s">
        <v>1909</v>
      </c>
      <c r="P558" t="s">
        <v>1910</v>
      </c>
      <c r="Q558" t="s">
        <v>357</v>
      </c>
      <c r="R558">
        <v>2069109</v>
      </c>
      <c r="S558" t="s">
        <v>355</v>
      </c>
      <c r="U558" t="s">
        <v>1916</v>
      </c>
      <c r="V558" t="s">
        <v>356</v>
      </c>
      <c r="W558">
        <v>359244</v>
      </c>
      <c r="X558">
        <v>92.95</v>
      </c>
      <c r="Y558">
        <v>809.42</v>
      </c>
      <c r="Z558">
        <v>359244</v>
      </c>
      <c r="AA558">
        <v>0</v>
      </c>
      <c r="AB558">
        <v>44441.774477777777</v>
      </c>
      <c r="AC558" t="s">
        <v>323</v>
      </c>
      <c r="AD558">
        <v>7</v>
      </c>
    </row>
    <row r="559" spans="1:30" x14ac:dyDescent="0.25">
      <c r="A559" t="s">
        <v>1051</v>
      </c>
      <c r="B559" t="s">
        <v>1904</v>
      </c>
      <c r="C559" t="s">
        <v>1905</v>
      </c>
      <c r="D559" t="s">
        <v>1906</v>
      </c>
      <c r="E559" t="s">
        <v>1907</v>
      </c>
      <c r="F559" t="s">
        <v>1908</v>
      </c>
      <c r="G559">
        <v>5100155</v>
      </c>
      <c r="H559">
        <v>202108</v>
      </c>
      <c r="I559">
        <v>44435</v>
      </c>
      <c r="J559" t="s">
        <v>1714</v>
      </c>
      <c r="K559" t="s">
        <v>1056</v>
      </c>
      <c r="M559" t="s">
        <v>355</v>
      </c>
      <c r="O559" t="s">
        <v>1909</v>
      </c>
      <c r="P559" t="s">
        <v>1910</v>
      </c>
      <c r="Q559" t="s">
        <v>357</v>
      </c>
      <c r="R559">
        <v>2069109</v>
      </c>
      <c r="S559" t="s">
        <v>355</v>
      </c>
      <c r="U559" t="s">
        <v>1917</v>
      </c>
      <c r="V559" t="s">
        <v>356</v>
      </c>
      <c r="W559">
        <v>586765</v>
      </c>
      <c r="X559">
        <v>151.81</v>
      </c>
      <c r="Y559">
        <v>1322.05</v>
      </c>
      <c r="Z559">
        <v>586765</v>
      </c>
      <c r="AA559">
        <v>0</v>
      </c>
      <c r="AB559">
        <v>44441.774477430554</v>
      </c>
      <c r="AC559" t="s">
        <v>323</v>
      </c>
      <c r="AD559">
        <v>7</v>
      </c>
    </row>
    <row r="560" spans="1:30" x14ac:dyDescent="0.25">
      <c r="A560" t="s">
        <v>1051</v>
      </c>
      <c r="B560" t="s">
        <v>1904</v>
      </c>
      <c r="C560" t="s">
        <v>1905</v>
      </c>
      <c r="D560" t="s">
        <v>1906</v>
      </c>
      <c r="E560" t="s">
        <v>1907</v>
      </c>
      <c r="F560" t="s">
        <v>1908</v>
      </c>
      <c r="G560">
        <v>5100155</v>
      </c>
      <c r="H560">
        <v>202108</v>
      </c>
      <c r="I560">
        <v>44435</v>
      </c>
      <c r="J560" t="s">
        <v>1714</v>
      </c>
      <c r="K560" t="s">
        <v>1056</v>
      </c>
      <c r="M560" t="s">
        <v>355</v>
      </c>
      <c r="O560" t="s">
        <v>1909</v>
      </c>
      <c r="P560" t="s">
        <v>1910</v>
      </c>
      <c r="Q560" t="s">
        <v>357</v>
      </c>
      <c r="R560">
        <v>2069109</v>
      </c>
      <c r="S560" t="s">
        <v>1918</v>
      </c>
      <c r="U560" t="s">
        <v>1919</v>
      </c>
      <c r="V560" t="s">
        <v>356</v>
      </c>
      <c r="W560">
        <v>2013241</v>
      </c>
      <c r="X560">
        <v>520.89</v>
      </c>
      <c r="Y560">
        <v>4536.07</v>
      </c>
      <c r="Z560">
        <v>2013241</v>
      </c>
      <c r="AA560">
        <v>0</v>
      </c>
      <c r="AB560">
        <v>44441.774477083331</v>
      </c>
      <c r="AC560" t="s">
        <v>323</v>
      </c>
      <c r="AD560">
        <v>7</v>
      </c>
    </row>
    <row r="561" spans="1:30" x14ac:dyDescent="0.25">
      <c r="A561" t="s">
        <v>1051</v>
      </c>
      <c r="B561" t="s">
        <v>1106</v>
      </c>
      <c r="C561" t="s">
        <v>1905</v>
      </c>
      <c r="D561" t="s">
        <v>1906</v>
      </c>
      <c r="E561" t="s">
        <v>1060</v>
      </c>
      <c r="F561" t="s">
        <v>1061</v>
      </c>
      <c r="G561">
        <v>6101615</v>
      </c>
      <c r="H561">
        <v>202108</v>
      </c>
      <c r="I561">
        <v>44428</v>
      </c>
      <c r="J561" t="s">
        <v>1117</v>
      </c>
      <c r="K561" t="s">
        <v>1056</v>
      </c>
      <c r="M561" t="s">
        <v>355</v>
      </c>
      <c r="O561" t="s">
        <v>1920</v>
      </c>
      <c r="P561" t="s">
        <v>1921</v>
      </c>
      <c r="Q561" t="s">
        <v>357</v>
      </c>
      <c r="R561">
        <v>2069109</v>
      </c>
      <c r="S561" t="s">
        <v>355</v>
      </c>
      <c r="U561" t="s">
        <v>1922</v>
      </c>
      <c r="V561" t="s">
        <v>356</v>
      </c>
      <c r="W561">
        <v>175370</v>
      </c>
      <c r="X561">
        <v>44.84</v>
      </c>
      <c r="Y561">
        <v>387.33</v>
      </c>
      <c r="Z561">
        <v>175370</v>
      </c>
      <c r="AA561">
        <v>0</v>
      </c>
      <c r="AB561">
        <v>44433.83512152778</v>
      </c>
      <c r="AC561" t="s">
        <v>323</v>
      </c>
      <c r="AD561">
        <v>7</v>
      </c>
    </row>
    <row r="562" spans="1:30" x14ac:dyDescent="0.25">
      <c r="A562" t="s">
        <v>1051</v>
      </c>
      <c r="B562" t="s">
        <v>1904</v>
      </c>
      <c r="C562" t="s">
        <v>1905</v>
      </c>
      <c r="D562" t="s">
        <v>1906</v>
      </c>
      <c r="E562" t="s">
        <v>1907</v>
      </c>
      <c r="F562" t="s">
        <v>1908</v>
      </c>
      <c r="G562">
        <v>5100165</v>
      </c>
      <c r="H562">
        <v>202108</v>
      </c>
      <c r="I562">
        <v>44439</v>
      </c>
      <c r="J562" t="s">
        <v>1701</v>
      </c>
      <c r="K562" t="s">
        <v>1056</v>
      </c>
      <c r="M562" t="s">
        <v>355</v>
      </c>
      <c r="O562" t="s">
        <v>1909</v>
      </c>
      <c r="P562" t="s">
        <v>1910</v>
      </c>
      <c r="Q562" t="s">
        <v>357</v>
      </c>
      <c r="R562">
        <v>2069109</v>
      </c>
      <c r="S562" t="s">
        <v>355</v>
      </c>
      <c r="U562" t="s">
        <v>1923</v>
      </c>
      <c r="V562" t="s">
        <v>356</v>
      </c>
      <c r="W562">
        <v>168605</v>
      </c>
      <c r="X562">
        <v>43.62</v>
      </c>
      <c r="Y562">
        <v>379.89</v>
      </c>
      <c r="Z562">
        <v>168605</v>
      </c>
      <c r="AA562">
        <v>0</v>
      </c>
      <c r="AB562">
        <v>44447.817461423612</v>
      </c>
      <c r="AC562" t="s">
        <v>323</v>
      </c>
      <c r="AD562">
        <v>7</v>
      </c>
    </row>
    <row r="563" spans="1:30" x14ac:dyDescent="0.25">
      <c r="A563" t="s">
        <v>1051</v>
      </c>
      <c r="B563" t="s">
        <v>1904</v>
      </c>
      <c r="C563" t="s">
        <v>1905</v>
      </c>
      <c r="D563" t="s">
        <v>1906</v>
      </c>
      <c r="E563" t="s">
        <v>1907</v>
      </c>
      <c r="F563" t="s">
        <v>1908</v>
      </c>
      <c r="G563">
        <v>5100165</v>
      </c>
      <c r="H563">
        <v>202108</v>
      </c>
      <c r="I563">
        <v>44439</v>
      </c>
      <c r="J563" t="s">
        <v>1701</v>
      </c>
      <c r="K563" t="s">
        <v>1056</v>
      </c>
      <c r="M563" t="s">
        <v>355</v>
      </c>
      <c r="O563" t="s">
        <v>1909</v>
      </c>
      <c r="P563" t="s">
        <v>1910</v>
      </c>
      <c r="Q563" t="s">
        <v>357</v>
      </c>
      <c r="R563">
        <v>2069109</v>
      </c>
      <c r="S563" t="s">
        <v>355</v>
      </c>
      <c r="U563" t="s">
        <v>1923</v>
      </c>
      <c r="V563" t="s">
        <v>356</v>
      </c>
      <c r="W563">
        <v>-95000</v>
      </c>
      <c r="X563">
        <v>-24.58</v>
      </c>
      <c r="Y563">
        <v>-214.05</v>
      </c>
      <c r="Z563">
        <v>-95000</v>
      </c>
      <c r="AA563">
        <v>0</v>
      </c>
      <c r="AB563">
        <v>44447.817461574072</v>
      </c>
      <c r="AC563" t="s">
        <v>323</v>
      </c>
      <c r="AD563">
        <v>7</v>
      </c>
    </row>
    <row r="564" spans="1:30" x14ac:dyDescent="0.25">
      <c r="A564" t="s">
        <v>1051</v>
      </c>
      <c r="B564" t="s">
        <v>1904</v>
      </c>
      <c r="C564" t="s">
        <v>1905</v>
      </c>
      <c r="D564" t="s">
        <v>1906</v>
      </c>
      <c r="E564" t="s">
        <v>1907</v>
      </c>
      <c r="F564" t="s">
        <v>1908</v>
      </c>
      <c r="G564">
        <v>5100165</v>
      </c>
      <c r="H564">
        <v>202108</v>
      </c>
      <c r="I564">
        <v>44439</v>
      </c>
      <c r="J564" t="s">
        <v>1701</v>
      </c>
      <c r="K564" t="s">
        <v>1056</v>
      </c>
      <c r="M564" t="s">
        <v>355</v>
      </c>
      <c r="O564" t="s">
        <v>1909</v>
      </c>
      <c r="P564" t="s">
        <v>1910</v>
      </c>
      <c r="Q564" t="s">
        <v>357</v>
      </c>
      <c r="R564">
        <v>2069109</v>
      </c>
      <c r="S564" t="s">
        <v>355</v>
      </c>
      <c r="U564" t="s">
        <v>1923</v>
      </c>
      <c r="V564" t="s">
        <v>356</v>
      </c>
      <c r="W564">
        <v>95000</v>
      </c>
      <c r="X564">
        <v>24.58</v>
      </c>
      <c r="Y564">
        <v>214.05</v>
      </c>
      <c r="Z564">
        <v>95000</v>
      </c>
      <c r="AA564">
        <v>0</v>
      </c>
      <c r="AB564">
        <v>44447.817461574072</v>
      </c>
      <c r="AC564" t="s">
        <v>323</v>
      </c>
      <c r="AD564">
        <v>7</v>
      </c>
    </row>
    <row r="565" spans="1:30" x14ac:dyDescent="0.25">
      <c r="A565" t="s">
        <v>1051</v>
      </c>
      <c r="B565" t="s">
        <v>1904</v>
      </c>
      <c r="C565" t="s">
        <v>1905</v>
      </c>
      <c r="D565" t="s">
        <v>1906</v>
      </c>
      <c r="E565" t="s">
        <v>1907</v>
      </c>
      <c r="F565" t="s">
        <v>1908</v>
      </c>
      <c r="G565">
        <v>5100165</v>
      </c>
      <c r="H565">
        <v>202108</v>
      </c>
      <c r="I565">
        <v>44439</v>
      </c>
      <c r="J565" t="s">
        <v>1701</v>
      </c>
      <c r="K565" t="s">
        <v>1056</v>
      </c>
      <c r="M565" t="s">
        <v>355</v>
      </c>
      <c r="O565" t="s">
        <v>1909</v>
      </c>
      <c r="P565" t="s">
        <v>1910</v>
      </c>
      <c r="Q565" t="s">
        <v>357</v>
      </c>
      <c r="R565">
        <v>2069109</v>
      </c>
      <c r="S565" t="s">
        <v>355</v>
      </c>
      <c r="U565" t="s">
        <v>1923</v>
      </c>
      <c r="V565" t="s">
        <v>356</v>
      </c>
      <c r="W565">
        <v>-51092</v>
      </c>
      <c r="X565">
        <v>-13.22</v>
      </c>
      <c r="Y565">
        <v>-115.12</v>
      </c>
      <c r="Z565">
        <v>-51092</v>
      </c>
      <c r="AA565">
        <v>0</v>
      </c>
      <c r="AB565">
        <v>44447.817461574072</v>
      </c>
      <c r="AC565" t="s">
        <v>323</v>
      </c>
      <c r="AD565">
        <v>7</v>
      </c>
    </row>
    <row r="566" spans="1:30" x14ac:dyDescent="0.25">
      <c r="A566" t="s">
        <v>1051</v>
      </c>
      <c r="B566" t="s">
        <v>1904</v>
      </c>
      <c r="C566" t="s">
        <v>1905</v>
      </c>
      <c r="D566" t="s">
        <v>1906</v>
      </c>
      <c r="E566" t="s">
        <v>1907</v>
      </c>
      <c r="F566" t="s">
        <v>1908</v>
      </c>
      <c r="G566">
        <v>5100165</v>
      </c>
      <c r="H566">
        <v>202108</v>
      </c>
      <c r="I566">
        <v>44439</v>
      </c>
      <c r="J566" t="s">
        <v>1701</v>
      </c>
      <c r="K566" t="s">
        <v>1056</v>
      </c>
      <c r="M566" t="s">
        <v>355</v>
      </c>
      <c r="O566" t="s">
        <v>1909</v>
      </c>
      <c r="P566" t="s">
        <v>1910</v>
      </c>
      <c r="Q566" t="s">
        <v>357</v>
      </c>
      <c r="R566">
        <v>2069109</v>
      </c>
      <c r="S566" t="s">
        <v>355</v>
      </c>
      <c r="U566" t="s">
        <v>1923</v>
      </c>
      <c r="V566" t="s">
        <v>356</v>
      </c>
      <c r="W566">
        <v>51092</v>
      </c>
      <c r="X566">
        <v>13.22</v>
      </c>
      <c r="Y566">
        <v>115.12</v>
      </c>
      <c r="Z566">
        <v>51092</v>
      </c>
      <c r="AA566">
        <v>0</v>
      </c>
      <c r="AB566">
        <v>44447.817461770836</v>
      </c>
      <c r="AC566" t="s">
        <v>323</v>
      </c>
      <c r="AD566">
        <v>7</v>
      </c>
    </row>
    <row r="567" spans="1:30" x14ac:dyDescent="0.25">
      <c r="A567" t="s">
        <v>1051</v>
      </c>
      <c r="B567" t="s">
        <v>1904</v>
      </c>
      <c r="C567" t="s">
        <v>1905</v>
      </c>
      <c r="D567" t="s">
        <v>1906</v>
      </c>
      <c r="E567" t="s">
        <v>1907</v>
      </c>
      <c r="F567" t="s">
        <v>1908</v>
      </c>
      <c r="G567">
        <v>5100165</v>
      </c>
      <c r="H567">
        <v>202108</v>
      </c>
      <c r="I567">
        <v>44439</v>
      </c>
      <c r="J567" t="s">
        <v>1701</v>
      </c>
      <c r="K567" t="s">
        <v>1056</v>
      </c>
      <c r="M567" t="s">
        <v>355</v>
      </c>
      <c r="O567" t="s">
        <v>1909</v>
      </c>
      <c r="P567" t="s">
        <v>1910</v>
      </c>
      <c r="Q567" t="s">
        <v>357</v>
      </c>
      <c r="R567">
        <v>2069109</v>
      </c>
      <c r="S567" t="s">
        <v>355</v>
      </c>
      <c r="U567" t="s">
        <v>1923</v>
      </c>
      <c r="V567" t="s">
        <v>356</v>
      </c>
      <c r="W567">
        <v>-586765</v>
      </c>
      <c r="X567">
        <v>-151.81</v>
      </c>
      <c r="Y567">
        <v>-1322.05</v>
      </c>
      <c r="Z567">
        <v>-586765</v>
      </c>
      <c r="AA567">
        <v>0</v>
      </c>
      <c r="AB567">
        <v>44447.817461226849</v>
      </c>
      <c r="AC567" t="s">
        <v>323</v>
      </c>
      <c r="AD567">
        <v>7</v>
      </c>
    </row>
    <row r="568" spans="1:30" x14ac:dyDescent="0.25">
      <c r="A568" t="s">
        <v>1051</v>
      </c>
      <c r="B568" t="s">
        <v>1904</v>
      </c>
      <c r="C568" t="s">
        <v>1905</v>
      </c>
      <c r="D568" t="s">
        <v>1906</v>
      </c>
      <c r="E568" t="s">
        <v>1907</v>
      </c>
      <c r="F568" t="s">
        <v>1908</v>
      </c>
      <c r="G568">
        <v>5100165</v>
      </c>
      <c r="H568">
        <v>202108</v>
      </c>
      <c r="I568">
        <v>44439</v>
      </c>
      <c r="J568" t="s">
        <v>1701</v>
      </c>
      <c r="K568" t="s">
        <v>1056</v>
      </c>
      <c r="M568" t="s">
        <v>355</v>
      </c>
      <c r="O568" t="s">
        <v>1909</v>
      </c>
      <c r="P568" t="s">
        <v>1910</v>
      </c>
      <c r="Q568" t="s">
        <v>357</v>
      </c>
      <c r="R568">
        <v>2069109</v>
      </c>
      <c r="S568" t="s">
        <v>355</v>
      </c>
      <c r="U568" t="s">
        <v>1923</v>
      </c>
      <c r="V568" t="s">
        <v>356</v>
      </c>
      <c r="W568">
        <v>586765</v>
      </c>
      <c r="X568">
        <v>151.81</v>
      </c>
      <c r="Y568">
        <v>1322.05</v>
      </c>
      <c r="Z568">
        <v>586765</v>
      </c>
      <c r="AA568">
        <v>0</v>
      </c>
      <c r="AB568">
        <v>44447.817461423612</v>
      </c>
      <c r="AC568" t="s">
        <v>323</v>
      </c>
      <c r="AD568">
        <v>7</v>
      </c>
    </row>
    <row r="569" spans="1:30" x14ac:dyDescent="0.25">
      <c r="A569" t="s">
        <v>1051</v>
      </c>
      <c r="B569" t="s">
        <v>1904</v>
      </c>
      <c r="C569" t="s">
        <v>1905</v>
      </c>
      <c r="D569" t="s">
        <v>1906</v>
      </c>
      <c r="E569" t="s">
        <v>1907</v>
      </c>
      <c r="F569" t="s">
        <v>1908</v>
      </c>
      <c r="G569">
        <v>5100165</v>
      </c>
      <c r="H569">
        <v>202108</v>
      </c>
      <c r="I569">
        <v>44439</v>
      </c>
      <c r="J569" t="s">
        <v>1701</v>
      </c>
      <c r="K569" t="s">
        <v>1056</v>
      </c>
      <c r="M569" t="s">
        <v>355</v>
      </c>
      <c r="O569" t="s">
        <v>1909</v>
      </c>
      <c r="P569" t="s">
        <v>1910</v>
      </c>
      <c r="Q569" t="s">
        <v>357</v>
      </c>
      <c r="R569">
        <v>2069109</v>
      </c>
      <c r="S569" t="s">
        <v>355</v>
      </c>
      <c r="U569" t="s">
        <v>1923</v>
      </c>
      <c r="V569" t="s">
        <v>356</v>
      </c>
      <c r="W569">
        <v>-168605</v>
      </c>
      <c r="X569">
        <v>-43.62</v>
      </c>
      <c r="Y569">
        <v>-379.89</v>
      </c>
      <c r="Z569">
        <v>-168605</v>
      </c>
      <c r="AA569">
        <v>0</v>
      </c>
      <c r="AB569">
        <v>44447.817461423612</v>
      </c>
      <c r="AC569" t="s">
        <v>323</v>
      </c>
      <c r="AD569">
        <v>7</v>
      </c>
    </row>
    <row r="570" spans="1:30" x14ac:dyDescent="0.25">
      <c r="A570" t="s">
        <v>1051</v>
      </c>
      <c r="B570" t="s">
        <v>1904</v>
      </c>
      <c r="C570" t="s">
        <v>1905</v>
      </c>
      <c r="D570" t="s">
        <v>1906</v>
      </c>
      <c r="E570" t="s">
        <v>1907</v>
      </c>
      <c r="F570" t="s">
        <v>1908</v>
      </c>
      <c r="G570">
        <v>5100165</v>
      </c>
      <c r="H570">
        <v>202108</v>
      </c>
      <c r="I570">
        <v>44439</v>
      </c>
      <c r="J570" t="s">
        <v>1701</v>
      </c>
      <c r="K570" t="s">
        <v>1056</v>
      </c>
      <c r="M570" t="s">
        <v>355</v>
      </c>
      <c r="O570" t="s">
        <v>1909</v>
      </c>
      <c r="P570" t="s">
        <v>1910</v>
      </c>
      <c r="Q570" t="s">
        <v>357</v>
      </c>
      <c r="R570">
        <v>2069109</v>
      </c>
      <c r="S570" t="s">
        <v>355</v>
      </c>
      <c r="U570" t="s">
        <v>1923</v>
      </c>
      <c r="V570" t="s">
        <v>356</v>
      </c>
      <c r="W570">
        <v>-31933</v>
      </c>
      <c r="X570">
        <v>-8.26</v>
      </c>
      <c r="Y570">
        <v>-71.95</v>
      </c>
      <c r="Z570">
        <v>-31933</v>
      </c>
      <c r="AA570">
        <v>0</v>
      </c>
      <c r="AB570">
        <v>44447.817461770836</v>
      </c>
      <c r="AC570" t="s">
        <v>323</v>
      </c>
      <c r="AD570">
        <v>7</v>
      </c>
    </row>
    <row r="571" spans="1:30" x14ac:dyDescent="0.25">
      <c r="A571" t="s">
        <v>1051</v>
      </c>
      <c r="B571" t="s">
        <v>1904</v>
      </c>
      <c r="C571" t="s">
        <v>1905</v>
      </c>
      <c r="D571" t="s">
        <v>1906</v>
      </c>
      <c r="E571" t="s">
        <v>1907</v>
      </c>
      <c r="F571" t="s">
        <v>1908</v>
      </c>
      <c r="G571">
        <v>5100165</v>
      </c>
      <c r="H571">
        <v>202108</v>
      </c>
      <c r="I571">
        <v>44439</v>
      </c>
      <c r="J571" t="s">
        <v>1701</v>
      </c>
      <c r="K571" t="s">
        <v>1056</v>
      </c>
      <c r="M571" t="s">
        <v>355</v>
      </c>
      <c r="O571" t="s">
        <v>1909</v>
      </c>
      <c r="P571" t="s">
        <v>1910</v>
      </c>
      <c r="Q571" t="s">
        <v>357</v>
      </c>
      <c r="R571">
        <v>2069109</v>
      </c>
      <c r="S571" t="s">
        <v>355</v>
      </c>
      <c r="U571" t="s">
        <v>1923</v>
      </c>
      <c r="V571" t="s">
        <v>356</v>
      </c>
      <c r="W571">
        <v>31933</v>
      </c>
      <c r="X571">
        <v>8.26</v>
      </c>
      <c r="Y571">
        <v>71.95</v>
      </c>
      <c r="Z571">
        <v>31933</v>
      </c>
      <c r="AA571">
        <v>0</v>
      </c>
      <c r="AB571">
        <v>44447.817461770836</v>
      </c>
      <c r="AC571" t="s">
        <v>323</v>
      </c>
      <c r="AD571">
        <v>7</v>
      </c>
    </row>
    <row r="572" spans="1:30" x14ac:dyDescent="0.25">
      <c r="A572" t="s">
        <v>1051</v>
      </c>
      <c r="B572" t="s">
        <v>1904</v>
      </c>
      <c r="C572" t="s">
        <v>1905</v>
      </c>
      <c r="D572" t="s">
        <v>1906</v>
      </c>
      <c r="E572" t="s">
        <v>1907</v>
      </c>
      <c r="F572" t="s">
        <v>1908</v>
      </c>
      <c r="G572">
        <v>5100165</v>
      </c>
      <c r="H572">
        <v>202108</v>
      </c>
      <c r="I572">
        <v>44439</v>
      </c>
      <c r="J572" t="s">
        <v>1701</v>
      </c>
      <c r="K572" t="s">
        <v>1056</v>
      </c>
      <c r="M572" t="s">
        <v>355</v>
      </c>
      <c r="O572" t="s">
        <v>1909</v>
      </c>
      <c r="P572" t="s">
        <v>1910</v>
      </c>
      <c r="Q572" t="s">
        <v>357</v>
      </c>
      <c r="R572">
        <v>2069109</v>
      </c>
      <c r="S572" t="s">
        <v>355</v>
      </c>
      <c r="U572" t="s">
        <v>1923</v>
      </c>
      <c r="V572" t="s">
        <v>356</v>
      </c>
      <c r="W572">
        <v>-399160</v>
      </c>
      <c r="X572">
        <v>-103.27</v>
      </c>
      <c r="Y572">
        <v>-899.36</v>
      </c>
      <c r="Z572">
        <v>-399160</v>
      </c>
      <c r="AA572">
        <v>0</v>
      </c>
      <c r="AB572">
        <v>44447.817461956016</v>
      </c>
      <c r="AC572" t="s">
        <v>323</v>
      </c>
      <c r="AD572">
        <v>7</v>
      </c>
    </row>
    <row r="573" spans="1:30" x14ac:dyDescent="0.25">
      <c r="A573" t="s">
        <v>1051</v>
      </c>
      <c r="B573" t="s">
        <v>1904</v>
      </c>
      <c r="C573" t="s">
        <v>1905</v>
      </c>
      <c r="D573" t="s">
        <v>1906</v>
      </c>
      <c r="E573" t="s">
        <v>1907</v>
      </c>
      <c r="F573" t="s">
        <v>1908</v>
      </c>
      <c r="G573">
        <v>5100165</v>
      </c>
      <c r="H573">
        <v>202108</v>
      </c>
      <c r="I573">
        <v>44439</v>
      </c>
      <c r="J573" t="s">
        <v>1701</v>
      </c>
      <c r="K573" t="s">
        <v>1056</v>
      </c>
      <c r="M573" t="s">
        <v>355</v>
      </c>
      <c r="O573" t="s">
        <v>1909</v>
      </c>
      <c r="P573" t="s">
        <v>1910</v>
      </c>
      <c r="Q573" t="s">
        <v>357</v>
      </c>
      <c r="R573">
        <v>2069109</v>
      </c>
      <c r="S573" t="s">
        <v>355</v>
      </c>
      <c r="U573" t="s">
        <v>1923</v>
      </c>
      <c r="V573" t="s">
        <v>356</v>
      </c>
      <c r="W573">
        <v>399160</v>
      </c>
      <c r="X573">
        <v>103.27</v>
      </c>
      <c r="Y573">
        <v>899.36</v>
      </c>
      <c r="Z573">
        <v>399160</v>
      </c>
      <c r="AA573">
        <v>0</v>
      </c>
      <c r="AB573">
        <v>44447.817461956016</v>
      </c>
      <c r="AC573" t="s">
        <v>323</v>
      </c>
      <c r="AD573">
        <v>7</v>
      </c>
    </row>
    <row r="574" spans="1:30" x14ac:dyDescent="0.25">
      <c r="A574" t="s">
        <v>1051</v>
      </c>
      <c r="B574" t="s">
        <v>1904</v>
      </c>
      <c r="C574" t="s">
        <v>1905</v>
      </c>
      <c r="D574" t="s">
        <v>1906</v>
      </c>
      <c r="E574" t="s">
        <v>1907</v>
      </c>
      <c r="F574" t="s">
        <v>1908</v>
      </c>
      <c r="G574">
        <v>5100165</v>
      </c>
      <c r="H574">
        <v>202108</v>
      </c>
      <c r="I574">
        <v>44439</v>
      </c>
      <c r="J574" t="s">
        <v>1701</v>
      </c>
      <c r="K574" t="s">
        <v>1056</v>
      </c>
      <c r="M574" t="s">
        <v>355</v>
      </c>
      <c r="O574" t="s">
        <v>1909</v>
      </c>
      <c r="P574" t="s">
        <v>1910</v>
      </c>
      <c r="Q574" t="s">
        <v>357</v>
      </c>
      <c r="R574">
        <v>2069109</v>
      </c>
      <c r="S574" t="s">
        <v>355</v>
      </c>
      <c r="U574" t="s">
        <v>1923</v>
      </c>
      <c r="V574" t="s">
        <v>356</v>
      </c>
      <c r="W574">
        <v>-359244</v>
      </c>
      <c r="X574">
        <v>-92.95</v>
      </c>
      <c r="Y574">
        <v>-809.42</v>
      </c>
      <c r="Z574">
        <v>-359244</v>
      </c>
      <c r="AA574">
        <v>0</v>
      </c>
      <c r="AB574">
        <v>44447.817461956016</v>
      </c>
      <c r="AC574" t="s">
        <v>323</v>
      </c>
      <c r="AD574">
        <v>7</v>
      </c>
    </row>
    <row r="575" spans="1:30" x14ac:dyDescent="0.25">
      <c r="A575" t="s">
        <v>1051</v>
      </c>
      <c r="B575" t="s">
        <v>1904</v>
      </c>
      <c r="C575" t="s">
        <v>1905</v>
      </c>
      <c r="D575" t="s">
        <v>1906</v>
      </c>
      <c r="E575" t="s">
        <v>1907</v>
      </c>
      <c r="F575" t="s">
        <v>1908</v>
      </c>
      <c r="G575">
        <v>5100165</v>
      </c>
      <c r="H575">
        <v>202108</v>
      </c>
      <c r="I575">
        <v>44439</v>
      </c>
      <c r="J575" t="s">
        <v>1701</v>
      </c>
      <c r="K575" t="s">
        <v>1056</v>
      </c>
      <c r="M575" t="s">
        <v>355</v>
      </c>
      <c r="O575" t="s">
        <v>1909</v>
      </c>
      <c r="P575" t="s">
        <v>1910</v>
      </c>
      <c r="Q575" t="s">
        <v>357</v>
      </c>
      <c r="R575">
        <v>2069109</v>
      </c>
      <c r="S575" t="s">
        <v>355</v>
      </c>
      <c r="U575" t="s">
        <v>1923</v>
      </c>
      <c r="V575" t="s">
        <v>356</v>
      </c>
      <c r="W575">
        <v>359244</v>
      </c>
      <c r="X575">
        <v>92.95</v>
      </c>
      <c r="Y575">
        <v>809.42</v>
      </c>
      <c r="Z575">
        <v>359244</v>
      </c>
      <c r="AA575">
        <v>0</v>
      </c>
      <c r="AB575">
        <v>44447.817462118059</v>
      </c>
      <c r="AC575" t="s">
        <v>323</v>
      </c>
      <c r="AD575">
        <v>7</v>
      </c>
    </row>
    <row r="576" spans="1:30" x14ac:dyDescent="0.25">
      <c r="A576" t="s">
        <v>1051</v>
      </c>
      <c r="B576" t="s">
        <v>1106</v>
      </c>
      <c r="C576" t="s">
        <v>1905</v>
      </c>
      <c r="D576" t="s">
        <v>1924</v>
      </c>
      <c r="E576" t="s">
        <v>1060</v>
      </c>
      <c r="F576" t="s">
        <v>1061</v>
      </c>
      <c r="G576">
        <v>6101615</v>
      </c>
      <c r="H576">
        <v>202108</v>
      </c>
      <c r="I576">
        <v>44428</v>
      </c>
      <c r="J576" t="s">
        <v>1117</v>
      </c>
      <c r="K576" t="s">
        <v>1056</v>
      </c>
      <c r="M576" t="s">
        <v>355</v>
      </c>
      <c r="O576" t="s">
        <v>1920</v>
      </c>
      <c r="P576" t="s">
        <v>1921</v>
      </c>
      <c r="Q576" t="s">
        <v>357</v>
      </c>
      <c r="R576">
        <v>2069109</v>
      </c>
      <c r="S576" t="s">
        <v>355</v>
      </c>
      <c r="U576" t="s">
        <v>1922</v>
      </c>
      <c r="V576" t="s">
        <v>356</v>
      </c>
      <c r="W576">
        <v>923000</v>
      </c>
      <c r="X576">
        <v>235.98</v>
      </c>
      <c r="Y576">
        <v>2038.56</v>
      </c>
      <c r="Z576">
        <v>923000</v>
      </c>
      <c r="AA576">
        <v>37</v>
      </c>
      <c r="AB576">
        <v>44433.835120254633</v>
      </c>
      <c r="AC576" t="s">
        <v>323</v>
      </c>
      <c r="AD576">
        <v>7</v>
      </c>
    </row>
    <row r="577" spans="1:30" x14ac:dyDescent="0.25">
      <c r="A577" t="s">
        <v>1051</v>
      </c>
      <c r="B577" t="s">
        <v>1904</v>
      </c>
      <c r="C577" t="s">
        <v>1905</v>
      </c>
      <c r="D577" t="s">
        <v>1924</v>
      </c>
      <c r="E577" t="s">
        <v>1907</v>
      </c>
      <c r="F577" t="s">
        <v>1908</v>
      </c>
      <c r="G577">
        <v>5100155</v>
      </c>
      <c r="H577">
        <v>202108</v>
      </c>
      <c r="I577">
        <v>44435</v>
      </c>
      <c r="J577" t="s">
        <v>1714</v>
      </c>
      <c r="K577" t="s">
        <v>1056</v>
      </c>
      <c r="M577" t="s">
        <v>355</v>
      </c>
      <c r="O577" t="s">
        <v>1909</v>
      </c>
      <c r="P577" t="s">
        <v>1910</v>
      </c>
      <c r="Q577" t="s">
        <v>357</v>
      </c>
      <c r="R577">
        <v>2069109</v>
      </c>
      <c r="S577" t="s">
        <v>355</v>
      </c>
      <c r="U577" t="s">
        <v>1917</v>
      </c>
      <c r="V577" t="s">
        <v>356</v>
      </c>
      <c r="W577">
        <v>3088235</v>
      </c>
      <c r="X577">
        <v>799.02</v>
      </c>
      <c r="Y577">
        <v>6958.16</v>
      </c>
      <c r="Z577">
        <v>3088235</v>
      </c>
      <c r="AA577">
        <v>185</v>
      </c>
      <c r="AB577">
        <v>44441.774476354163</v>
      </c>
      <c r="AC577" t="s">
        <v>323</v>
      </c>
      <c r="AD577">
        <v>7</v>
      </c>
    </row>
    <row r="578" spans="1:30" x14ac:dyDescent="0.25">
      <c r="A578" t="s">
        <v>1051</v>
      </c>
      <c r="B578" t="s">
        <v>1904</v>
      </c>
      <c r="C578" t="s">
        <v>1905</v>
      </c>
      <c r="D578" t="s">
        <v>1924</v>
      </c>
      <c r="E578" t="s">
        <v>1907</v>
      </c>
      <c r="F578" t="s">
        <v>1908</v>
      </c>
      <c r="G578">
        <v>5100155</v>
      </c>
      <c r="H578">
        <v>202108</v>
      </c>
      <c r="I578">
        <v>44435</v>
      </c>
      <c r="J578" t="s">
        <v>1714</v>
      </c>
      <c r="K578" t="s">
        <v>1056</v>
      </c>
      <c r="M578" t="s">
        <v>355</v>
      </c>
      <c r="O578" t="s">
        <v>1909</v>
      </c>
      <c r="P578" t="s">
        <v>1910</v>
      </c>
      <c r="Q578" t="s">
        <v>357</v>
      </c>
      <c r="R578">
        <v>2069109</v>
      </c>
      <c r="S578" t="s">
        <v>355</v>
      </c>
      <c r="U578" t="s">
        <v>1911</v>
      </c>
      <c r="V578" t="s">
        <v>356</v>
      </c>
      <c r="W578">
        <v>887395</v>
      </c>
      <c r="X578">
        <v>229.6</v>
      </c>
      <c r="Y578">
        <v>1999.41</v>
      </c>
      <c r="Z578">
        <v>887395</v>
      </c>
      <c r="AA578">
        <v>185</v>
      </c>
      <c r="AB578">
        <v>44441.774476539351</v>
      </c>
      <c r="AC578" t="s">
        <v>323</v>
      </c>
      <c r="AD578">
        <v>7</v>
      </c>
    </row>
    <row r="579" spans="1:30" x14ac:dyDescent="0.25">
      <c r="A579" t="s">
        <v>1051</v>
      </c>
      <c r="B579" t="s">
        <v>1904</v>
      </c>
      <c r="C579" t="s">
        <v>1905</v>
      </c>
      <c r="D579" t="s">
        <v>1924</v>
      </c>
      <c r="E579" t="s">
        <v>1907</v>
      </c>
      <c r="F579" t="s">
        <v>1908</v>
      </c>
      <c r="G579">
        <v>5100155</v>
      </c>
      <c r="H579">
        <v>202108</v>
      </c>
      <c r="I579">
        <v>44435</v>
      </c>
      <c r="J579" t="s">
        <v>1714</v>
      </c>
      <c r="K579" t="s">
        <v>1056</v>
      </c>
      <c r="M579" t="s">
        <v>355</v>
      </c>
      <c r="O579" t="s">
        <v>1909</v>
      </c>
      <c r="P579" t="s">
        <v>1910</v>
      </c>
      <c r="Q579" t="s">
        <v>357</v>
      </c>
      <c r="R579">
        <v>2069109</v>
      </c>
      <c r="S579" t="s">
        <v>355</v>
      </c>
      <c r="U579" t="s">
        <v>1912</v>
      </c>
      <c r="V579" t="s">
        <v>356</v>
      </c>
      <c r="W579">
        <v>500000</v>
      </c>
      <c r="X579">
        <v>129.37</v>
      </c>
      <c r="Y579">
        <v>1126.56</v>
      </c>
      <c r="Z579">
        <v>500000</v>
      </c>
      <c r="AA579">
        <v>185</v>
      </c>
      <c r="AB579">
        <v>44441.774476539351</v>
      </c>
      <c r="AC579" t="s">
        <v>323</v>
      </c>
      <c r="AD579">
        <v>7</v>
      </c>
    </row>
    <row r="580" spans="1:30" x14ac:dyDescent="0.25">
      <c r="A580" t="s">
        <v>1051</v>
      </c>
      <c r="B580" t="s">
        <v>1904</v>
      </c>
      <c r="C580" t="s">
        <v>1905</v>
      </c>
      <c r="D580" t="s">
        <v>1924</v>
      </c>
      <c r="E580" t="s">
        <v>1907</v>
      </c>
      <c r="F580" t="s">
        <v>1908</v>
      </c>
      <c r="G580">
        <v>5100155</v>
      </c>
      <c r="H580">
        <v>202108</v>
      </c>
      <c r="I580">
        <v>44435</v>
      </c>
      <c r="J580" t="s">
        <v>1714</v>
      </c>
      <c r="K580" t="s">
        <v>1056</v>
      </c>
      <c r="M580" t="s">
        <v>355</v>
      </c>
      <c r="O580" t="s">
        <v>1909</v>
      </c>
      <c r="P580" t="s">
        <v>1910</v>
      </c>
      <c r="Q580" t="s">
        <v>357</v>
      </c>
      <c r="R580">
        <v>2069109</v>
      </c>
      <c r="S580" t="s">
        <v>355</v>
      </c>
      <c r="U580" t="s">
        <v>1913</v>
      </c>
      <c r="V580" t="s">
        <v>356</v>
      </c>
      <c r="W580">
        <v>268907</v>
      </c>
      <c r="X580">
        <v>69.569999999999993</v>
      </c>
      <c r="Y580">
        <v>605.88</v>
      </c>
      <c r="Z580">
        <v>268907</v>
      </c>
      <c r="AA580">
        <v>185</v>
      </c>
      <c r="AB580">
        <v>44441.774476539351</v>
      </c>
      <c r="AC580" t="s">
        <v>323</v>
      </c>
      <c r="AD580">
        <v>7</v>
      </c>
    </row>
    <row r="581" spans="1:30" x14ac:dyDescent="0.25">
      <c r="A581" t="s">
        <v>1051</v>
      </c>
      <c r="B581" t="s">
        <v>1904</v>
      </c>
      <c r="C581" t="s">
        <v>1905</v>
      </c>
      <c r="D581" t="s">
        <v>1924</v>
      </c>
      <c r="E581" t="s">
        <v>1907</v>
      </c>
      <c r="F581" t="s">
        <v>1908</v>
      </c>
      <c r="G581">
        <v>5100155</v>
      </c>
      <c r="H581">
        <v>202108</v>
      </c>
      <c r="I581">
        <v>44435</v>
      </c>
      <c r="J581" t="s">
        <v>1714</v>
      </c>
      <c r="K581" t="s">
        <v>1056</v>
      </c>
      <c r="M581" t="s">
        <v>355</v>
      </c>
      <c r="O581" t="s">
        <v>1909</v>
      </c>
      <c r="P581" t="s">
        <v>1910</v>
      </c>
      <c r="Q581" t="s">
        <v>357</v>
      </c>
      <c r="R581">
        <v>2069109</v>
      </c>
      <c r="S581" t="s">
        <v>355</v>
      </c>
      <c r="U581" t="s">
        <v>1914</v>
      </c>
      <c r="V581" t="s">
        <v>356</v>
      </c>
      <c r="W581">
        <v>168067</v>
      </c>
      <c r="X581">
        <v>43.48</v>
      </c>
      <c r="Y581">
        <v>378.68</v>
      </c>
      <c r="Z581">
        <v>168067</v>
      </c>
      <c r="AA581">
        <v>185</v>
      </c>
      <c r="AB581">
        <v>44441.774476539351</v>
      </c>
      <c r="AC581" t="s">
        <v>323</v>
      </c>
      <c r="AD581">
        <v>7</v>
      </c>
    </row>
    <row r="582" spans="1:30" x14ac:dyDescent="0.25">
      <c r="A582" t="s">
        <v>1051</v>
      </c>
      <c r="B582" t="s">
        <v>1904</v>
      </c>
      <c r="C582" t="s">
        <v>1905</v>
      </c>
      <c r="D582" t="s">
        <v>1924</v>
      </c>
      <c r="E582" t="s">
        <v>1907</v>
      </c>
      <c r="F582" t="s">
        <v>1908</v>
      </c>
      <c r="G582">
        <v>5100155</v>
      </c>
      <c r="H582">
        <v>202108</v>
      </c>
      <c r="I582">
        <v>44435</v>
      </c>
      <c r="J582" t="s">
        <v>1714</v>
      </c>
      <c r="K582" t="s">
        <v>1056</v>
      </c>
      <c r="M582" t="s">
        <v>355</v>
      </c>
      <c r="O582" t="s">
        <v>1909</v>
      </c>
      <c r="P582" t="s">
        <v>1910</v>
      </c>
      <c r="Q582" t="s">
        <v>357</v>
      </c>
      <c r="R582">
        <v>2069109</v>
      </c>
      <c r="S582" t="s">
        <v>355</v>
      </c>
      <c r="U582" t="s">
        <v>1915</v>
      </c>
      <c r="V582" t="s">
        <v>356</v>
      </c>
      <c r="W582">
        <v>2100840</v>
      </c>
      <c r="X582">
        <v>543.54999999999995</v>
      </c>
      <c r="Y582">
        <v>4733.4399999999996</v>
      </c>
      <c r="Z582">
        <v>2100840</v>
      </c>
      <c r="AA582">
        <v>185</v>
      </c>
      <c r="AB582">
        <v>44441.774476539351</v>
      </c>
      <c r="AC582" t="s">
        <v>323</v>
      </c>
      <c r="AD582">
        <v>7</v>
      </c>
    </row>
    <row r="583" spans="1:30" x14ac:dyDescent="0.25">
      <c r="A583" t="s">
        <v>1051</v>
      </c>
      <c r="B583" t="s">
        <v>1904</v>
      </c>
      <c r="C583" t="s">
        <v>1905</v>
      </c>
      <c r="D583" t="s">
        <v>1924</v>
      </c>
      <c r="E583" t="s">
        <v>1907</v>
      </c>
      <c r="F583" t="s">
        <v>1908</v>
      </c>
      <c r="G583">
        <v>5100165</v>
      </c>
      <c r="H583">
        <v>202108</v>
      </c>
      <c r="I583">
        <v>44439</v>
      </c>
      <c r="J583" t="s">
        <v>1701</v>
      </c>
      <c r="K583" t="s">
        <v>1056</v>
      </c>
      <c r="M583" t="s">
        <v>355</v>
      </c>
      <c r="O583" t="s">
        <v>1909</v>
      </c>
      <c r="P583" t="s">
        <v>1910</v>
      </c>
      <c r="Q583" t="s">
        <v>357</v>
      </c>
      <c r="R583">
        <v>2069109</v>
      </c>
      <c r="S583" t="s">
        <v>355</v>
      </c>
      <c r="U583" t="s">
        <v>1923</v>
      </c>
      <c r="V583" t="s">
        <v>356</v>
      </c>
      <c r="W583">
        <v>-500000</v>
      </c>
      <c r="X583">
        <v>-129.37</v>
      </c>
      <c r="Y583">
        <v>-1126.56</v>
      </c>
      <c r="Z583">
        <v>-500000</v>
      </c>
      <c r="AA583">
        <v>185</v>
      </c>
      <c r="AB583">
        <v>44447.817460682869</v>
      </c>
      <c r="AC583" t="s">
        <v>323</v>
      </c>
      <c r="AD583">
        <v>7</v>
      </c>
    </row>
    <row r="584" spans="1:30" x14ac:dyDescent="0.25">
      <c r="A584" t="s">
        <v>1051</v>
      </c>
      <c r="B584" t="s">
        <v>1904</v>
      </c>
      <c r="C584" t="s">
        <v>1905</v>
      </c>
      <c r="D584" t="s">
        <v>1924</v>
      </c>
      <c r="E584" t="s">
        <v>1907</v>
      </c>
      <c r="F584" t="s">
        <v>1908</v>
      </c>
      <c r="G584">
        <v>5100165</v>
      </c>
      <c r="H584">
        <v>202108</v>
      </c>
      <c r="I584">
        <v>44439</v>
      </c>
      <c r="J584" t="s">
        <v>1701</v>
      </c>
      <c r="K584" t="s">
        <v>1056</v>
      </c>
      <c r="M584" t="s">
        <v>355</v>
      </c>
      <c r="O584" t="s">
        <v>1909</v>
      </c>
      <c r="P584" t="s">
        <v>1910</v>
      </c>
      <c r="Q584" t="s">
        <v>357</v>
      </c>
      <c r="R584">
        <v>2069109</v>
      </c>
      <c r="S584" t="s">
        <v>355</v>
      </c>
      <c r="U584" t="s">
        <v>1923</v>
      </c>
      <c r="V584" t="s">
        <v>356</v>
      </c>
      <c r="W584">
        <v>500000</v>
      </c>
      <c r="X584">
        <v>129.37</v>
      </c>
      <c r="Y584">
        <v>1126.56</v>
      </c>
      <c r="Z584">
        <v>500000</v>
      </c>
      <c r="AA584">
        <v>37</v>
      </c>
      <c r="AB584">
        <v>44447.817460682869</v>
      </c>
      <c r="AC584" t="s">
        <v>323</v>
      </c>
      <c r="AD584">
        <v>7</v>
      </c>
    </row>
    <row r="585" spans="1:30" x14ac:dyDescent="0.25">
      <c r="A585" t="s">
        <v>1051</v>
      </c>
      <c r="B585" t="s">
        <v>1904</v>
      </c>
      <c r="C585" t="s">
        <v>1905</v>
      </c>
      <c r="D585" t="s">
        <v>1924</v>
      </c>
      <c r="E585" t="s">
        <v>1907</v>
      </c>
      <c r="F585" t="s">
        <v>1908</v>
      </c>
      <c r="G585">
        <v>5100165</v>
      </c>
      <c r="H585">
        <v>202108</v>
      </c>
      <c r="I585">
        <v>44439</v>
      </c>
      <c r="J585" t="s">
        <v>1701</v>
      </c>
      <c r="K585" t="s">
        <v>1056</v>
      </c>
      <c r="M585" t="s">
        <v>355</v>
      </c>
      <c r="O585" t="s">
        <v>1909</v>
      </c>
      <c r="P585" t="s">
        <v>1910</v>
      </c>
      <c r="Q585" t="s">
        <v>357</v>
      </c>
      <c r="R585">
        <v>2069109</v>
      </c>
      <c r="S585" t="s">
        <v>355</v>
      </c>
      <c r="U585" t="s">
        <v>1923</v>
      </c>
      <c r="V585" t="s">
        <v>356</v>
      </c>
      <c r="W585">
        <v>-268907</v>
      </c>
      <c r="X585">
        <v>-69.569999999999993</v>
      </c>
      <c r="Y585">
        <v>-605.88</v>
      </c>
      <c r="Z585">
        <v>-268907</v>
      </c>
      <c r="AA585">
        <v>185</v>
      </c>
      <c r="AB585">
        <v>44447.817460879633</v>
      </c>
      <c r="AC585" t="s">
        <v>323</v>
      </c>
      <c r="AD585">
        <v>7</v>
      </c>
    </row>
    <row r="586" spans="1:30" x14ac:dyDescent="0.25">
      <c r="A586" t="s">
        <v>1051</v>
      </c>
      <c r="B586" t="s">
        <v>1904</v>
      </c>
      <c r="C586" t="s">
        <v>1905</v>
      </c>
      <c r="D586" t="s">
        <v>1924</v>
      </c>
      <c r="E586" t="s">
        <v>1907</v>
      </c>
      <c r="F586" t="s">
        <v>1908</v>
      </c>
      <c r="G586">
        <v>5100165</v>
      </c>
      <c r="H586">
        <v>202108</v>
      </c>
      <c r="I586">
        <v>44439</v>
      </c>
      <c r="J586" t="s">
        <v>1701</v>
      </c>
      <c r="K586" t="s">
        <v>1056</v>
      </c>
      <c r="M586" t="s">
        <v>355</v>
      </c>
      <c r="O586" t="s">
        <v>1909</v>
      </c>
      <c r="P586" t="s">
        <v>1910</v>
      </c>
      <c r="Q586" t="s">
        <v>357</v>
      </c>
      <c r="R586">
        <v>2069109</v>
      </c>
      <c r="S586" t="s">
        <v>355</v>
      </c>
      <c r="U586" t="s">
        <v>1923</v>
      </c>
      <c r="V586" t="s">
        <v>356</v>
      </c>
      <c r="W586">
        <v>268907</v>
      </c>
      <c r="X586">
        <v>69.569999999999993</v>
      </c>
      <c r="Y586">
        <v>605.88</v>
      </c>
      <c r="Z586">
        <v>268907</v>
      </c>
      <c r="AA586">
        <v>37</v>
      </c>
      <c r="AB586">
        <v>44447.817460879633</v>
      </c>
      <c r="AC586" t="s">
        <v>323</v>
      </c>
      <c r="AD586">
        <v>7</v>
      </c>
    </row>
    <row r="587" spans="1:30" x14ac:dyDescent="0.25">
      <c r="A587" t="s">
        <v>1051</v>
      </c>
      <c r="B587" t="s">
        <v>1904</v>
      </c>
      <c r="C587" t="s">
        <v>1905</v>
      </c>
      <c r="D587" t="s">
        <v>1924</v>
      </c>
      <c r="E587" t="s">
        <v>1907</v>
      </c>
      <c r="F587" t="s">
        <v>1908</v>
      </c>
      <c r="G587">
        <v>5100165</v>
      </c>
      <c r="H587">
        <v>202108</v>
      </c>
      <c r="I587">
        <v>44439</v>
      </c>
      <c r="J587" t="s">
        <v>1701</v>
      </c>
      <c r="K587" t="s">
        <v>1056</v>
      </c>
      <c r="M587" t="s">
        <v>355</v>
      </c>
      <c r="O587" t="s">
        <v>1909</v>
      </c>
      <c r="P587" t="s">
        <v>1910</v>
      </c>
      <c r="Q587" t="s">
        <v>357</v>
      </c>
      <c r="R587">
        <v>2069109</v>
      </c>
      <c r="S587" t="s">
        <v>355</v>
      </c>
      <c r="U587" t="s">
        <v>1923</v>
      </c>
      <c r="V587" t="s">
        <v>356</v>
      </c>
      <c r="W587">
        <v>-168067</v>
      </c>
      <c r="X587">
        <v>-43.48</v>
      </c>
      <c r="Y587">
        <v>-378.68</v>
      </c>
      <c r="Z587">
        <v>-168067</v>
      </c>
      <c r="AA587">
        <v>185</v>
      </c>
      <c r="AB587">
        <v>44447.817460879633</v>
      </c>
      <c r="AC587" t="s">
        <v>323</v>
      </c>
      <c r="AD587">
        <v>7</v>
      </c>
    </row>
    <row r="588" spans="1:30" x14ac:dyDescent="0.25">
      <c r="A588" t="s">
        <v>1051</v>
      </c>
      <c r="B588" t="s">
        <v>1904</v>
      </c>
      <c r="C588" t="s">
        <v>1905</v>
      </c>
      <c r="D588" t="s">
        <v>1924</v>
      </c>
      <c r="E588" t="s">
        <v>1907</v>
      </c>
      <c r="F588" t="s">
        <v>1908</v>
      </c>
      <c r="G588">
        <v>5100165</v>
      </c>
      <c r="H588">
        <v>202108</v>
      </c>
      <c r="I588">
        <v>44439</v>
      </c>
      <c r="J588" t="s">
        <v>1701</v>
      </c>
      <c r="K588" t="s">
        <v>1056</v>
      </c>
      <c r="M588" t="s">
        <v>355</v>
      </c>
      <c r="O588" t="s">
        <v>1909</v>
      </c>
      <c r="P588" t="s">
        <v>1910</v>
      </c>
      <c r="Q588" t="s">
        <v>357</v>
      </c>
      <c r="R588">
        <v>2069109</v>
      </c>
      <c r="S588" t="s">
        <v>355</v>
      </c>
      <c r="U588" t="s">
        <v>1923</v>
      </c>
      <c r="V588" t="s">
        <v>356</v>
      </c>
      <c r="W588">
        <v>168067</v>
      </c>
      <c r="X588">
        <v>43.48</v>
      </c>
      <c r="Y588">
        <v>378.68</v>
      </c>
      <c r="Z588">
        <v>168067</v>
      </c>
      <c r="AA588">
        <v>37</v>
      </c>
      <c r="AB588">
        <v>44447.817460879633</v>
      </c>
      <c r="AC588" t="s">
        <v>323</v>
      </c>
      <c r="AD588">
        <v>7</v>
      </c>
    </row>
    <row r="589" spans="1:30" x14ac:dyDescent="0.25">
      <c r="A589" t="s">
        <v>1051</v>
      </c>
      <c r="B589" t="s">
        <v>1904</v>
      </c>
      <c r="C589" t="s">
        <v>1905</v>
      </c>
      <c r="D589" t="s">
        <v>1924</v>
      </c>
      <c r="E589" t="s">
        <v>1907</v>
      </c>
      <c r="F589" t="s">
        <v>1908</v>
      </c>
      <c r="G589">
        <v>5100165</v>
      </c>
      <c r="H589">
        <v>202108</v>
      </c>
      <c r="I589">
        <v>44439</v>
      </c>
      <c r="J589" t="s">
        <v>1701</v>
      </c>
      <c r="K589" t="s">
        <v>1056</v>
      </c>
      <c r="M589" t="s">
        <v>355</v>
      </c>
      <c r="O589" t="s">
        <v>1909</v>
      </c>
      <c r="P589" t="s">
        <v>1910</v>
      </c>
      <c r="Q589" t="s">
        <v>357</v>
      </c>
      <c r="R589">
        <v>2069109</v>
      </c>
      <c r="S589" t="s">
        <v>355</v>
      </c>
      <c r="U589" t="s">
        <v>1923</v>
      </c>
      <c r="V589" t="s">
        <v>356</v>
      </c>
      <c r="W589">
        <v>-2100840</v>
      </c>
      <c r="X589">
        <v>-543.54999999999995</v>
      </c>
      <c r="Y589">
        <v>-4733.4399999999996</v>
      </c>
      <c r="Z589">
        <v>-2100840</v>
      </c>
      <c r="AA589">
        <v>185</v>
      </c>
      <c r="AB589">
        <v>44447.817460879633</v>
      </c>
      <c r="AC589" t="s">
        <v>323</v>
      </c>
      <c r="AD589">
        <v>7</v>
      </c>
    </row>
    <row r="590" spans="1:30" x14ac:dyDescent="0.25">
      <c r="A590" t="s">
        <v>1051</v>
      </c>
      <c r="B590" t="s">
        <v>1904</v>
      </c>
      <c r="C590" t="s">
        <v>1905</v>
      </c>
      <c r="D590" t="s">
        <v>1924</v>
      </c>
      <c r="E590" t="s">
        <v>1907</v>
      </c>
      <c r="F590" t="s">
        <v>1908</v>
      </c>
      <c r="G590">
        <v>5100165</v>
      </c>
      <c r="H590">
        <v>202108</v>
      </c>
      <c r="I590">
        <v>44439</v>
      </c>
      <c r="J590" t="s">
        <v>1701</v>
      </c>
      <c r="K590" t="s">
        <v>1056</v>
      </c>
      <c r="M590" t="s">
        <v>355</v>
      </c>
      <c r="O590" t="s">
        <v>1909</v>
      </c>
      <c r="P590" t="s">
        <v>1910</v>
      </c>
      <c r="Q590" t="s">
        <v>357</v>
      </c>
      <c r="R590">
        <v>2069109</v>
      </c>
      <c r="S590" t="s">
        <v>355</v>
      </c>
      <c r="U590" t="s">
        <v>1923</v>
      </c>
      <c r="V590" t="s">
        <v>356</v>
      </c>
      <c r="W590">
        <v>2100840</v>
      </c>
      <c r="X590">
        <v>543.54999999999995</v>
      </c>
      <c r="Y590">
        <v>4733.4399999999996</v>
      </c>
      <c r="Z590">
        <v>2100840</v>
      </c>
      <c r="AA590">
        <v>37</v>
      </c>
      <c r="AB590">
        <v>44447.817460879633</v>
      </c>
      <c r="AC590" t="s">
        <v>323</v>
      </c>
      <c r="AD590">
        <v>7</v>
      </c>
    </row>
    <row r="591" spans="1:30" x14ac:dyDescent="0.25">
      <c r="A591" t="s">
        <v>1051</v>
      </c>
      <c r="B591" t="s">
        <v>1904</v>
      </c>
      <c r="C591" t="s">
        <v>1905</v>
      </c>
      <c r="D591" t="s">
        <v>1924</v>
      </c>
      <c r="E591" t="s">
        <v>1907</v>
      </c>
      <c r="F591" t="s">
        <v>1908</v>
      </c>
      <c r="G591">
        <v>5100165</v>
      </c>
      <c r="H591">
        <v>202108</v>
      </c>
      <c r="I591">
        <v>44439</v>
      </c>
      <c r="J591" t="s">
        <v>1701</v>
      </c>
      <c r="K591" t="s">
        <v>1056</v>
      </c>
      <c r="M591" t="s">
        <v>355</v>
      </c>
      <c r="O591" t="s">
        <v>1909</v>
      </c>
      <c r="P591" t="s">
        <v>1910</v>
      </c>
      <c r="Q591" t="s">
        <v>357</v>
      </c>
      <c r="R591">
        <v>2069109</v>
      </c>
      <c r="S591" t="s">
        <v>355</v>
      </c>
      <c r="U591" t="s">
        <v>1923</v>
      </c>
      <c r="V591" t="s">
        <v>356</v>
      </c>
      <c r="W591">
        <v>-1890756</v>
      </c>
      <c r="X591">
        <v>-489.2</v>
      </c>
      <c r="Y591">
        <v>-4260.1000000000004</v>
      </c>
      <c r="Z591">
        <v>-1890756</v>
      </c>
      <c r="AA591">
        <v>185</v>
      </c>
      <c r="AB591">
        <v>44447.817460879633</v>
      </c>
      <c r="AC591" t="s">
        <v>323</v>
      </c>
      <c r="AD591">
        <v>7</v>
      </c>
    </row>
    <row r="592" spans="1:30" x14ac:dyDescent="0.25">
      <c r="A592" t="s">
        <v>1051</v>
      </c>
      <c r="B592" t="s">
        <v>1904</v>
      </c>
      <c r="C592" t="s">
        <v>1905</v>
      </c>
      <c r="D592" t="s">
        <v>1924</v>
      </c>
      <c r="E592" t="s">
        <v>1907</v>
      </c>
      <c r="F592" t="s">
        <v>1908</v>
      </c>
      <c r="G592">
        <v>5100165</v>
      </c>
      <c r="H592">
        <v>202108</v>
      </c>
      <c r="I592">
        <v>44439</v>
      </c>
      <c r="J592" t="s">
        <v>1701</v>
      </c>
      <c r="K592" t="s">
        <v>1056</v>
      </c>
      <c r="M592" t="s">
        <v>355</v>
      </c>
      <c r="O592" t="s">
        <v>1909</v>
      </c>
      <c r="P592" t="s">
        <v>1910</v>
      </c>
      <c r="Q592" t="s">
        <v>357</v>
      </c>
      <c r="R592">
        <v>2069109</v>
      </c>
      <c r="S592" t="s">
        <v>355</v>
      </c>
      <c r="U592" t="s">
        <v>1923</v>
      </c>
      <c r="V592" t="s">
        <v>356</v>
      </c>
      <c r="W592">
        <v>1890756</v>
      </c>
      <c r="X592">
        <v>489.2</v>
      </c>
      <c r="Y592">
        <v>4260.1000000000004</v>
      </c>
      <c r="Z592">
        <v>1890756</v>
      </c>
      <c r="AA592">
        <v>37</v>
      </c>
      <c r="AB592">
        <v>44447.817460879633</v>
      </c>
      <c r="AC592" t="s">
        <v>323</v>
      </c>
      <c r="AD592">
        <v>7</v>
      </c>
    </row>
    <row r="593" spans="1:30" x14ac:dyDescent="0.25">
      <c r="A593" t="s">
        <v>1051</v>
      </c>
      <c r="B593" t="s">
        <v>1904</v>
      </c>
      <c r="C593" t="s">
        <v>1905</v>
      </c>
      <c r="D593" t="s">
        <v>1924</v>
      </c>
      <c r="E593" t="s">
        <v>1907</v>
      </c>
      <c r="F593" t="s">
        <v>1908</v>
      </c>
      <c r="G593">
        <v>5100165</v>
      </c>
      <c r="H593">
        <v>202108</v>
      </c>
      <c r="I593">
        <v>44439</v>
      </c>
      <c r="J593" t="s">
        <v>1701</v>
      </c>
      <c r="K593" t="s">
        <v>1056</v>
      </c>
      <c r="M593" t="s">
        <v>355</v>
      </c>
      <c r="O593" t="s">
        <v>1909</v>
      </c>
      <c r="P593" t="s">
        <v>1910</v>
      </c>
      <c r="Q593" t="s">
        <v>357</v>
      </c>
      <c r="R593">
        <v>2069109</v>
      </c>
      <c r="S593" t="s">
        <v>355</v>
      </c>
      <c r="U593" t="s">
        <v>1923</v>
      </c>
      <c r="V593" t="s">
        <v>356</v>
      </c>
      <c r="W593">
        <v>1</v>
      </c>
      <c r="X593">
        <v>0</v>
      </c>
      <c r="Y593">
        <v>0</v>
      </c>
      <c r="Z593">
        <v>1</v>
      </c>
      <c r="AA593">
        <v>314</v>
      </c>
      <c r="AB593">
        <v>44447.817461030092</v>
      </c>
      <c r="AC593" t="s">
        <v>323</v>
      </c>
      <c r="AD593">
        <v>7</v>
      </c>
    </row>
    <row r="594" spans="1:30" x14ac:dyDescent="0.25">
      <c r="A594" t="s">
        <v>1051</v>
      </c>
      <c r="B594" t="s">
        <v>1904</v>
      </c>
      <c r="C594" t="s">
        <v>1905</v>
      </c>
      <c r="D594" t="s">
        <v>1924</v>
      </c>
      <c r="E594" t="s">
        <v>1907</v>
      </c>
      <c r="F594" t="s">
        <v>1908</v>
      </c>
      <c r="G594">
        <v>5100165</v>
      </c>
      <c r="H594">
        <v>202108</v>
      </c>
      <c r="I594">
        <v>44439</v>
      </c>
      <c r="J594" t="s">
        <v>1701</v>
      </c>
      <c r="K594" t="s">
        <v>1056</v>
      </c>
      <c r="M594" t="s">
        <v>355</v>
      </c>
      <c r="O594" t="s">
        <v>1909</v>
      </c>
      <c r="P594" t="s">
        <v>1910</v>
      </c>
      <c r="Q594" t="s">
        <v>357</v>
      </c>
      <c r="R594">
        <v>2069109</v>
      </c>
      <c r="S594" t="s">
        <v>355</v>
      </c>
      <c r="U594" t="s">
        <v>1923</v>
      </c>
      <c r="V594" t="s">
        <v>356</v>
      </c>
      <c r="W594">
        <v>-3088235</v>
      </c>
      <c r="X594">
        <v>-799.02</v>
      </c>
      <c r="Y594">
        <v>-6958.16</v>
      </c>
      <c r="Z594">
        <v>-3088235</v>
      </c>
      <c r="AA594">
        <v>185</v>
      </c>
      <c r="AB594">
        <v>44447.817460682869</v>
      </c>
      <c r="AC594" t="s">
        <v>323</v>
      </c>
      <c r="AD594">
        <v>7</v>
      </c>
    </row>
    <row r="595" spans="1:30" x14ac:dyDescent="0.25">
      <c r="A595" t="s">
        <v>1051</v>
      </c>
      <c r="B595" t="s">
        <v>1904</v>
      </c>
      <c r="C595" t="s">
        <v>1905</v>
      </c>
      <c r="D595" t="s">
        <v>1924</v>
      </c>
      <c r="E595" t="s">
        <v>1907</v>
      </c>
      <c r="F595" t="s">
        <v>1908</v>
      </c>
      <c r="G595">
        <v>5100165</v>
      </c>
      <c r="H595">
        <v>202108</v>
      </c>
      <c r="I595">
        <v>44439</v>
      </c>
      <c r="J595" t="s">
        <v>1701</v>
      </c>
      <c r="K595" t="s">
        <v>1056</v>
      </c>
      <c r="M595" t="s">
        <v>355</v>
      </c>
      <c r="O595" t="s">
        <v>1909</v>
      </c>
      <c r="P595" t="s">
        <v>1910</v>
      </c>
      <c r="Q595" t="s">
        <v>357</v>
      </c>
      <c r="R595">
        <v>2069109</v>
      </c>
      <c r="S595" t="s">
        <v>355</v>
      </c>
      <c r="U595" t="s">
        <v>1923</v>
      </c>
      <c r="V595" t="s">
        <v>356</v>
      </c>
      <c r="W595">
        <v>3088235</v>
      </c>
      <c r="X595">
        <v>799.02</v>
      </c>
      <c r="Y595">
        <v>6958.16</v>
      </c>
      <c r="Z595">
        <v>3088235</v>
      </c>
      <c r="AA595">
        <v>37</v>
      </c>
      <c r="AB595">
        <v>44447.817460682869</v>
      </c>
      <c r="AC595" t="s">
        <v>323</v>
      </c>
      <c r="AD595">
        <v>7</v>
      </c>
    </row>
    <row r="596" spans="1:30" x14ac:dyDescent="0.25">
      <c r="A596" t="s">
        <v>1051</v>
      </c>
      <c r="B596" t="s">
        <v>1904</v>
      </c>
      <c r="C596" t="s">
        <v>1905</v>
      </c>
      <c r="D596" t="s">
        <v>1924</v>
      </c>
      <c r="E596" t="s">
        <v>1907</v>
      </c>
      <c r="F596" t="s">
        <v>1908</v>
      </c>
      <c r="G596">
        <v>5100165</v>
      </c>
      <c r="H596">
        <v>202108</v>
      </c>
      <c r="I596">
        <v>44439</v>
      </c>
      <c r="J596" t="s">
        <v>1701</v>
      </c>
      <c r="K596" t="s">
        <v>1056</v>
      </c>
      <c r="M596" t="s">
        <v>355</v>
      </c>
      <c r="O596" t="s">
        <v>1909</v>
      </c>
      <c r="P596" t="s">
        <v>1910</v>
      </c>
      <c r="Q596" t="s">
        <v>357</v>
      </c>
      <c r="R596">
        <v>2069109</v>
      </c>
      <c r="S596" t="s">
        <v>355</v>
      </c>
      <c r="U596" t="s">
        <v>1923</v>
      </c>
      <c r="V596" t="s">
        <v>356</v>
      </c>
      <c r="W596">
        <v>-887395</v>
      </c>
      <c r="X596">
        <v>-229.6</v>
      </c>
      <c r="Y596">
        <v>-1999.41</v>
      </c>
      <c r="Z596">
        <v>-887395</v>
      </c>
      <c r="AA596">
        <v>185</v>
      </c>
      <c r="AB596">
        <v>44447.817460682869</v>
      </c>
      <c r="AC596" t="s">
        <v>323</v>
      </c>
      <c r="AD596">
        <v>7</v>
      </c>
    </row>
    <row r="597" spans="1:30" x14ac:dyDescent="0.25">
      <c r="A597" t="s">
        <v>1051</v>
      </c>
      <c r="B597" t="s">
        <v>1904</v>
      </c>
      <c r="C597" t="s">
        <v>1905</v>
      </c>
      <c r="D597" t="s">
        <v>1924</v>
      </c>
      <c r="E597" t="s">
        <v>1907</v>
      </c>
      <c r="F597" t="s">
        <v>1908</v>
      </c>
      <c r="G597">
        <v>5100165</v>
      </c>
      <c r="H597">
        <v>202108</v>
      </c>
      <c r="I597">
        <v>44439</v>
      </c>
      <c r="J597" t="s">
        <v>1701</v>
      </c>
      <c r="K597" t="s">
        <v>1056</v>
      </c>
      <c r="M597" t="s">
        <v>355</v>
      </c>
      <c r="O597" t="s">
        <v>1909</v>
      </c>
      <c r="P597" t="s">
        <v>1910</v>
      </c>
      <c r="Q597" t="s">
        <v>357</v>
      </c>
      <c r="R597">
        <v>2069109</v>
      </c>
      <c r="S597" t="s">
        <v>355</v>
      </c>
      <c r="U597" t="s">
        <v>1923</v>
      </c>
      <c r="V597" t="s">
        <v>356</v>
      </c>
      <c r="W597">
        <v>887395</v>
      </c>
      <c r="X597">
        <v>229.6</v>
      </c>
      <c r="Y597">
        <v>1999.41</v>
      </c>
      <c r="Z597">
        <v>887395</v>
      </c>
      <c r="AA597">
        <v>37</v>
      </c>
      <c r="AB597">
        <v>44447.817460682869</v>
      </c>
      <c r="AC597" t="s">
        <v>323</v>
      </c>
      <c r="AD597">
        <v>7</v>
      </c>
    </row>
    <row r="598" spans="1:30" x14ac:dyDescent="0.25">
      <c r="A598" t="s">
        <v>1051</v>
      </c>
      <c r="B598" t="s">
        <v>1904</v>
      </c>
      <c r="C598" t="s">
        <v>1905</v>
      </c>
      <c r="D598" t="s">
        <v>1924</v>
      </c>
      <c r="E598" t="s">
        <v>1907</v>
      </c>
      <c r="F598" t="s">
        <v>1908</v>
      </c>
      <c r="G598">
        <v>5100155</v>
      </c>
      <c r="H598">
        <v>202108</v>
      </c>
      <c r="I598">
        <v>44435</v>
      </c>
      <c r="J598" t="s">
        <v>1714</v>
      </c>
      <c r="K598" t="s">
        <v>1056</v>
      </c>
      <c r="M598" t="s">
        <v>355</v>
      </c>
      <c r="O598" t="s">
        <v>1909</v>
      </c>
      <c r="P598" t="s">
        <v>1910</v>
      </c>
      <c r="Q598" t="s">
        <v>357</v>
      </c>
      <c r="R598">
        <v>2069109</v>
      </c>
      <c r="S598" t="s">
        <v>355</v>
      </c>
      <c r="U598" t="s">
        <v>1916</v>
      </c>
      <c r="V598" t="s">
        <v>356</v>
      </c>
      <c r="W598">
        <v>1890756</v>
      </c>
      <c r="X598">
        <v>489.2</v>
      </c>
      <c r="Y598">
        <v>4260.1000000000004</v>
      </c>
      <c r="Z598">
        <v>1890756</v>
      </c>
      <c r="AA598">
        <v>185</v>
      </c>
      <c r="AB598">
        <v>44441.774476539351</v>
      </c>
      <c r="AC598" t="s">
        <v>323</v>
      </c>
      <c r="AD598">
        <v>7</v>
      </c>
    </row>
    <row r="599" spans="1:30" x14ac:dyDescent="0.25">
      <c r="A599" t="s">
        <v>1051</v>
      </c>
      <c r="B599" t="s">
        <v>1106</v>
      </c>
      <c r="C599" t="s">
        <v>1925</v>
      </c>
      <c r="D599" t="s">
        <v>1926</v>
      </c>
      <c r="E599" t="s">
        <v>1060</v>
      </c>
      <c r="F599" t="s">
        <v>1061</v>
      </c>
      <c r="G599">
        <v>6101473</v>
      </c>
      <c r="H599">
        <v>202107</v>
      </c>
      <c r="I599">
        <v>44396</v>
      </c>
      <c r="J599" t="s">
        <v>1117</v>
      </c>
      <c r="K599" t="s">
        <v>1056</v>
      </c>
      <c r="M599" t="s">
        <v>355</v>
      </c>
      <c r="O599" t="s">
        <v>1927</v>
      </c>
      <c r="P599" t="s">
        <v>1928</v>
      </c>
      <c r="Q599" t="s">
        <v>357</v>
      </c>
      <c r="R599">
        <v>2069107</v>
      </c>
      <c r="S599" t="s">
        <v>355</v>
      </c>
      <c r="U599" t="s">
        <v>1929</v>
      </c>
      <c r="V599" t="s">
        <v>356</v>
      </c>
      <c r="W599">
        <v>66405</v>
      </c>
      <c r="X599">
        <v>17.46</v>
      </c>
      <c r="Y599">
        <v>150.34</v>
      </c>
      <c r="Z599">
        <v>66405</v>
      </c>
      <c r="AA599">
        <v>0</v>
      </c>
      <c r="AB599">
        <v>44412.931741550929</v>
      </c>
      <c r="AC599" t="s">
        <v>323</v>
      </c>
      <c r="AD599">
        <v>7</v>
      </c>
    </row>
    <row r="600" spans="1:30" x14ac:dyDescent="0.25">
      <c r="A600" t="s">
        <v>1051</v>
      </c>
      <c r="B600" t="s">
        <v>1106</v>
      </c>
      <c r="C600" t="s">
        <v>1925</v>
      </c>
      <c r="D600" t="s">
        <v>1926</v>
      </c>
      <c r="E600" t="s">
        <v>1060</v>
      </c>
      <c r="F600" t="s">
        <v>1061</v>
      </c>
      <c r="G600">
        <v>6101280</v>
      </c>
      <c r="H600">
        <v>202107</v>
      </c>
      <c r="I600">
        <v>44396</v>
      </c>
      <c r="J600" t="s">
        <v>1117</v>
      </c>
      <c r="K600" t="s">
        <v>1056</v>
      </c>
      <c r="M600" t="s">
        <v>355</v>
      </c>
      <c r="O600" t="s">
        <v>1930</v>
      </c>
      <c r="P600" t="s">
        <v>1931</v>
      </c>
      <c r="Q600" t="s">
        <v>357</v>
      </c>
      <c r="R600">
        <v>2069107</v>
      </c>
      <c r="S600" t="s">
        <v>355</v>
      </c>
      <c r="U600" t="s">
        <v>1932</v>
      </c>
      <c r="V600" t="s">
        <v>356</v>
      </c>
      <c r="W600">
        <v>34200</v>
      </c>
      <c r="X600">
        <v>8.99</v>
      </c>
      <c r="Y600">
        <v>77.430000000000007</v>
      </c>
      <c r="Z600">
        <v>34200</v>
      </c>
      <c r="AA600">
        <v>0</v>
      </c>
      <c r="AB600">
        <v>44398.025656678241</v>
      </c>
      <c r="AC600" t="s">
        <v>323</v>
      </c>
      <c r="AD600">
        <v>7</v>
      </c>
    </row>
    <row r="601" spans="1:30" x14ac:dyDescent="0.25">
      <c r="A601" t="s">
        <v>1051</v>
      </c>
      <c r="B601" t="s">
        <v>1106</v>
      </c>
      <c r="C601" t="s">
        <v>1925</v>
      </c>
      <c r="D601" t="s">
        <v>1933</v>
      </c>
      <c r="E601" t="s">
        <v>1060</v>
      </c>
      <c r="F601" t="s">
        <v>1061</v>
      </c>
      <c r="G601">
        <v>6101280</v>
      </c>
      <c r="H601">
        <v>202107</v>
      </c>
      <c r="I601">
        <v>44396</v>
      </c>
      <c r="J601" t="s">
        <v>1117</v>
      </c>
      <c r="K601" t="s">
        <v>1056</v>
      </c>
      <c r="M601" t="s">
        <v>355</v>
      </c>
      <c r="O601" t="s">
        <v>1930</v>
      </c>
      <c r="P601" t="s">
        <v>1931</v>
      </c>
      <c r="Q601" t="s">
        <v>357</v>
      </c>
      <c r="R601">
        <v>2069107</v>
      </c>
      <c r="S601" t="s">
        <v>355</v>
      </c>
      <c r="U601" t="s">
        <v>1932</v>
      </c>
      <c r="V601" t="s">
        <v>356</v>
      </c>
      <c r="W601">
        <v>180000</v>
      </c>
      <c r="X601">
        <v>47.34</v>
      </c>
      <c r="Y601">
        <v>407.52</v>
      </c>
      <c r="Z601">
        <v>180000</v>
      </c>
      <c r="AA601">
        <v>116</v>
      </c>
      <c r="AB601">
        <v>44398.025656331018</v>
      </c>
      <c r="AC601" t="s">
        <v>323</v>
      </c>
      <c r="AD601">
        <v>7</v>
      </c>
    </row>
    <row r="602" spans="1:30" x14ac:dyDescent="0.25">
      <c r="A602" t="s">
        <v>1051</v>
      </c>
      <c r="B602" t="s">
        <v>1106</v>
      </c>
      <c r="C602" t="s">
        <v>1925</v>
      </c>
      <c r="D602" t="s">
        <v>1933</v>
      </c>
      <c r="E602" t="s">
        <v>1060</v>
      </c>
      <c r="F602" t="s">
        <v>1061</v>
      </c>
      <c r="G602">
        <v>6101473</v>
      </c>
      <c r="H602">
        <v>202107</v>
      </c>
      <c r="I602">
        <v>44396</v>
      </c>
      <c r="J602" t="s">
        <v>1117</v>
      </c>
      <c r="K602" t="s">
        <v>1056</v>
      </c>
      <c r="M602" t="s">
        <v>355</v>
      </c>
      <c r="O602" t="s">
        <v>1927</v>
      </c>
      <c r="P602" t="s">
        <v>1928</v>
      </c>
      <c r="Q602" t="s">
        <v>357</v>
      </c>
      <c r="R602">
        <v>2069107</v>
      </c>
      <c r="S602" t="s">
        <v>355</v>
      </c>
      <c r="U602" t="s">
        <v>1929</v>
      </c>
      <c r="V602" t="s">
        <v>356</v>
      </c>
      <c r="W602">
        <v>349500</v>
      </c>
      <c r="X602">
        <v>91.92</v>
      </c>
      <c r="Y602">
        <v>791.27</v>
      </c>
      <c r="Z602">
        <v>349500</v>
      </c>
      <c r="AA602">
        <v>186</v>
      </c>
      <c r="AB602">
        <v>44412.931741354165</v>
      </c>
      <c r="AC602" t="s">
        <v>323</v>
      </c>
      <c r="AD602">
        <v>7</v>
      </c>
    </row>
    <row r="603" spans="1:30" x14ac:dyDescent="0.25">
      <c r="A603" t="s">
        <v>1051</v>
      </c>
      <c r="B603" t="s">
        <v>1106</v>
      </c>
      <c r="C603" t="s">
        <v>1925</v>
      </c>
      <c r="D603" t="s">
        <v>1933</v>
      </c>
      <c r="E603" t="s">
        <v>1060</v>
      </c>
      <c r="F603" t="s">
        <v>1061</v>
      </c>
      <c r="G603">
        <v>6102174</v>
      </c>
      <c r="H603">
        <v>202109</v>
      </c>
      <c r="I603">
        <v>44469</v>
      </c>
      <c r="J603">
        <v>122536</v>
      </c>
      <c r="K603" t="s">
        <v>1056</v>
      </c>
      <c r="M603" t="s">
        <v>355</v>
      </c>
      <c r="O603" t="s">
        <v>1934</v>
      </c>
      <c r="P603" t="s">
        <v>1935</v>
      </c>
      <c r="Q603" t="s">
        <v>357</v>
      </c>
      <c r="R603">
        <v>2069107</v>
      </c>
      <c r="S603" t="s">
        <v>355</v>
      </c>
      <c r="U603" t="s">
        <v>1936</v>
      </c>
      <c r="V603" t="s">
        <v>356</v>
      </c>
      <c r="W603">
        <v>626130</v>
      </c>
      <c r="X603">
        <v>163.28</v>
      </c>
      <c r="Y603">
        <v>1419.79</v>
      </c>
      <c r="Z603">
        <v>626130</v>
      </c>
      <c r="AA603">
        <v>317</v>
      </c>
      <c r="AB603">
        <v>44473.81901655093</v>
      </c>
      <c r="AC603" t="s">
        <v>323</v>
      </c>
      <c r="AD603">
        <v>7</v>
      </c>
    </row>
    <row r="604" spans="1:30" x14ac:dyDescent="0.25">
      <c r="A604" t="s">
        <v>1051</v>
      </c>
      <c r="B604" t="s">
        <v>1106</v>
      </c>
      <c r="C604" t="s">
        <v>1925</v>
      </c>
      <c r="D604" t="s">
        <v>1933</v>
      </c>
      <c r="E604" t="s">
        <v>1060</v>
      </c>
      <c r="F604" t="s">
        <v>1061</v>
      </c>
      <c r="G604">
        <v>6102174</v>
      </c>
      <c r="H604">
        <v>202109</v>
      </c>
      <c r="I604">
        <v>44469</v>
      </c>
      <c r="J604">
        <v>122536</v>
      </c>
      <c r="K604" t="s">
        <v>1056</v>
      </c>
      <c r="M604" t="s">
        <v>355</v>
      </c>
      <c r="O604" t="s">
        <v>1934</v>
      </c>
      <c r="P604" t="s">
        <v>1935</v>
      </c>
      <c r="Q604" t="s">
        <v>357</v>
      </c>
      <c r="R604">
        <v>2069107</v>
      </c>
      <c r="S604" t="s">
        <v>355</v>
      </c>
      <c r="U604" t="s">
        <v>1936</v>
      </c>
      <c r="V604" t="s">
        <v>356</v>
      </c>
      <c r="W604">
        <v>3130650</v>
      </c>
      <c r="X604">
        <v>816.41</v>
      </c>
      <c r="Y604">
        <v>7098.94</v>
      </c>
      <c r="Z604">
        <v>3130650</v>
      </c>
      <c r="AA604">
        <v>0</v>
      </c>
      <c r="AB604">
        <v>44473.81901655093</v>
      </c>
      <c r="AC604" t="s">
        <v>323</v>
      </c>
      <c r="AD604">
        <v>7</v>
      </c>
    </row>
    <row r="605" spans="1:30" x14ac:dyDescent="0.25">
      <c r="A605" t="s">
        <v>1051</v>
      </c>
      <c r="B605" t="s">
        <v>1051</v>
      </c>
      <c r="C605" t="s">
        <v>1937</v>
      </c>
      <c r="D605" t="s">
        <v>1938</v>
      </c>
      <c r="E605" t="s">
        <v>1060</v>
      </c>
      <c r="F605" t="s">
        <v>1061</v>
      </c>
      <c r="G605">
        <v>6101096</v>
      </c>
      <c r="H605">
        <v>202106</v>
      </c>
      <c r="I605">
        <v>44376</v>
      </c>
      <c r="J605">
        <v>124932</v>
      </c>
      <c r="K605" t="s">
        <v>1056</v>
      </c>
      <c r="M605" t="s">
        <v>355</v>
      </c>
      <c r="O605" t="s">
        <v>1939</v>
      </c>
      <c r="P605" t="s">
        <v>1940</v>
      </c>
      <c r="Q605" t="s">
        <v>357</v>
      </c>
      <c r="R605">
        <v>2069104</v>
      </c>
      <c r="S605" t="s">
        <v>355</v>
      </c>
      <c r="U605" t="s">
        <v>1941</v>
      </c>
      <c r="V605" t="s">
        <v>356</v>
      </c>
      <c r="W605">
        <v>4279</v>
      </c>
      <c r="X605">
        <v>1.1299999999999999</v>
      </c>
      <c r="Y605">
        <v>9.6300000000000008</v>
      </c>
      <c r="Z605">
        <v>4279</v>
      </c>
      <c r="AA605">
        <v>0</v>
      </c>
      <c r="AB605">
        <v>44380.645140590277</v>
      </c>
      <c r="AC605" t="s">
        <v>323</v>
      </c>
      <c r="AD605">
        <v>7</v>
      </c>
    </row>
    <row r="606" spans="1:30" x14ac:dyDescent="0.25">
      <c r="A606" t="s">
        <v>1051</v>
      </c>
      <c r="B606" t="s">
        <v>1106</v>
      </c>
      <c r="C606" t="s">
        <v>1937</v>
      </c>
      <c r="D606" t="s">
        <v>1938</v>
      </c>
      <c r="E606" t="s">
        <v>1060</v>
      </c>
      <c r="F606" t="s">
        <v>1061</v>
      </c>
      <c r="G606">
        <v>6101473</v>
      </c>
      <c r="H606">
        <v>202107</v>
      </c>
      <c r="I606">
        <v>44396</v>
      </c>
      <c r="J606" t="s">
        <v>1117</v>
      </c>
      <c r="K606" t="s">
        <v>1056</v>
      </c>
      <c r="M606" t="s">
        <v>355</v>
      </c>
      <c r="O606" t="s">
        <v>1927</v>
      </c>
      <c r="P606" t="s">
        <v>1928</v>
      </c>
      <c r="Q606" t="s">
        <v>357</v>
      </c>
      <c r="R606">
        <v>2069107</v>
      </c>
      <c r="S606" t="s">
        <v>355</v>
      </c>
      <c r="U606" t="s">
        <v>1929</v>
      </c>
      <c r="V606" t="s">
        <v>356</v>
      </c>
      <c r="W606">
        <v>-66405</v>
      </c>
      <c r="X606">
        <v>-17.46</v>
      </c>
      <c r="Y606">
        <v>-150.34</v>
      </c>
      <c r="Z606">
        <v>-66405</v>
      </c>
      <c r="AA606">
        <v>0</v>
      </c>
      <c r="AB606">
        <v>44412.931741354165</v>
      </c>
      <c r="AC606" t="s">
        <v>323</v>
      </c>
      <c r="AD606">
        <v>7</v>
      </c>
    </row>
    <row r="607" spans="1:30" x14ac:dyDescent="0.25">
      <c r="A607" t="s">
        <v>1051</v>
      </c>
      <c r="B607" t="s">
        <v>1106</v>
      </c>
      <c r="C607" t="s">
        <v>1937</v>
      </c>
      <c r="D607" t="s">
        <v>1938</v>
      </c>
      <c r="E607" t="s">
        <v>1060</v>
      </c>
      <c r="F607" t="s">
        <v>1061</v>
      </c>
      <c r="G607">
        <v>6101366</v>
      </c>
      <c r="H607">
        <v>202107</v>
      </c>
      <c r="I607">
        <v>44407</v>
      </c>
      <c r="J607" t="s">
        <v>1117</v>
      </c>
      <c r="K607" t="s">
        <v>1056</v>
      </c>
      <c r="M607" t="s">
        <v>355</v>
      </c>
      <c r="O607" t="s">
        <v>1209</v>
      </c>
      <c r="P607" t="s">
        <v>1210</v>
      </c>
      <c r="Q607" t="s">
        <v>357</v>
      </c>
      <c r="R607">
        <v>2069104</v>
      </c>
      <c r="S607" t="s">
        <v>355</v>
      </c>
      <c r="U607" t="s">
        <v>1942</v>
      </c>
      <c r="V607" t="s">
        <v>356</v>
      </c>
      <c r="W607">
        <v>76807.5</v>
      </c>
      <c r="X607">
        <v>19.66</v>
      </c>
      <c r="Y607">
        <v>169.9</v>
      </c>
      <c r="Z607">
        <v>76807.5</v>
      </c>
      <c r="AA607">
        <v>0</v>
      </c>
      <c r="AB607">
        <v>44410.978266631944</v>
      </c>
      <c r="AC607" t="s">
        <v>323</v>
      </c>
      <c r="AD607">
        <v>7</v>
      </c>
    </row>
    <row r="608" spans="1:30" x14ac:dyDescent="0.25">
      <c r="A608" t="s">
        <v>1051</v>
      </c>
      <c r="B608" t="s">
        <v>1106</v>
      </c>
      <c r="C608" t="s">
        <v>1937</v>
      </c>
      <c r="D608" t="s">
        <v>1938</v>
      </c>
      <c r="E608" t="s">
        <v>1060</v>
      </c>
      <c r="F608" t="s">
        <v>1061</v>
      </c>
      <c r="G608">
        <v>6101280</v>
      </c>
      <c r="H608">
        <v>202107</v>
      </c>
      <c r="I608">
        <v>44396</v>
      </c>
      <c r="J608" t="s">
        <v>1117</v>
      </c>
      <c r="K608" t="s">
        <v>1056</v>
      </c>
      <c r="M608" t="s">
        <v>355</v>
      </c>
      <c r="O608" t="s">
        <v>1927</v>
      </c>
      <c r="P608" t="s">
        <v>1928</v>
      </c>
      <c r="Q608" t="s">
        <v>357</v>
      </c>
      <c r="R608">
        <v>2069107</v>
      </c>
      <c r="S608" t="s">
        <v>355</v>
      </c>
      <c r="U608" t="s">
        <v>1943</v>
      </c>
      <c r="V608" t="s">
        <v>356</v>
      </c>
      <c r="W608">
        <v>66405</v>
      </c>
      <c r="X608">
        <v>17.46</v>
      </c>
      <c r="Y608">
        <v>150.34</v>
      </c>
      <c r="Z608">
        <v>66405</v>
      </c>
      <c r="AA608">
        <v>0</v>
      </c>
      <c r="AB608">
        <v>44398.025656678241</v>
      </c>
      <c r="AC608" t="s">
        <v>323</v>
      </c>
      <c r="AD608">
        <v>7</v>
      </c>
    </row>
    <row r="609" spans="1:30" x14ac:dyDescent="0.25">
      <c r="A609" t="s">
        <v>1051</v>
      </c>
      <c r="B609" t="s">
        <v>1106</v>
      </c>
      <c r="C609" t="s">
        <v>1937</v>
      </c>
      <c r="D609" t="s">
        <v>1938</v>
      </c>
      <c r="E609" t="s">
        <v>1060</v>
      </c>
      <c r="F609" t="s">
        <v>1061</v>
      </c>
      <c r="G609">
        <v>6101235</v>
      </c>
      <c r="H609">
        <v>202107</v>
      </c>
      <c r="I609">
        <v>44396</v>
      </c>
      <c r="J609" t="s">
        <v>1117</v>
      </c>
      <c r="K609" t="s">
        <v>1056</v>
      </c>
      <c r="M609" t="s">
        <v>355</v>
      </c>
      <c r="O609" t="s">
        <v>1944</v>
      </c>
      <c r="P609" t="s">
        <v>1945</v>
      </c>
      <c r="Q609" t="s">
        <v>357</v>
      </c>
      <c r="R609">
        <v>2069104</v>
      </c>
      <c r="S609" t="s">
        <v>355</v>
      </c>
      <c r="U609" t="s">
        <v>1946</v>
      </c>
      <c r="V609" t="s">
        <v>356</v>
      </c>
      <c r="W609">
        <v>6566</v>
      </c>
      <c r="X609">
        <v>1.73</v>
      </c>
      <c r="Y609">
        <v>14.87</v>
      </c>
      <c r="Z609">
        <v>6566</v>
      </c>
      <c r="AA609">
        <v>0</v>
      </c>
      <c r="AB609">
        <v>44396.743238807867</v>
      </c>
      <c r="AC609" t="s">
        <v>323</v>
      </c>
      <c r="AD609">
        <v>7</v>
      </c>
    </row>
    <row r="610" spans="1:30" x14ac:dyDescent="0.25">
      <c r="A610" t="s">
        <v>1051</v>
      </c>
      <c r="B610" t="s">
        <v>1106</v>
      </c>
      <c r="C610" t="s">
        <v>1937</v>
      </c>
      <c r="D610" t="s">
        <v>1938</v>
      </c>
      <c r="E610" t="s">
        <v>1060</v>
      </c>
      <c r="F610" t="s">
        <v>1061</v>
      </c>
      <c r="G610">
        <v>6101527</v>
      </c>
      <c r="H610">
        <v>202108</v>
      </c>
      <c r="I610">
        <v>44427</v>
      </c>
      <c r="J610" t="s">
        <v>1117</v>
      </c>
      <c r="K610" t="s">
        <v>1056</v>
      </c>
      <c r="M610" t="s">
        <v>355</v>
      </c>
      <c r="O610" t="s">
        <v>1947</v>
      </c>
      <c r="P610" t="s">
        <v>1948</v>
      </c>
      <c r="Q610" t="s">
        <v>357</v>
      </c>
      <c r="R610">
        <v>2069104</v>
      </c>
      <c r="S610" t="s">
        <v>1949</v>
      </c>
      <c r="U610" t="s">
        <v>1950</v>
      </c>
      <c r="V610" t="s">
        <v>356</v>
      </c>
      <c r="W610">
        <v>19144</v>
      </c>
      <c r="X610">
        <v>4.8899999999999997</v>
      </c>
      <c r="Y610">
        <v>42.28</v>
      </c>
      <c r="Z610">
        <v>19144</v>
      </c>
      <c r="AA610">
        <v>0</v>
      </c>
      <c r="AB610">
        <v>44427.847054050922</v>
      </c>
      <c r="AC610" t="s">
        <v>323</v>
      </c>
      <c r="AD610">
        <v>7</v>
      </c>
    </row>
    <row r="611" spans="1:30" x14ac:dyDescent="0.25">
      <c r="A611" t="s">
        <v>1051</v>
      </c>
      <c r="B611" t="s">
        <v>1106</v>
      </c>
      <c r="C611" t="s">
        <v>1937</v>
      </c>
      <c r="D611" t="s">
        <v>1938</v>
      </c>
      <c r="E611" t="s">
        <v>1060</v>
      </c>
      <c r="F611" t="s">
        <v>1061</v>
      </c>
      <c r="G611">
        <v>6101527</v>
      </c>
      <c r="H611">
        <v>202108</v>
      </c>
      <c r="I611">
        <v>44427</v>
      </c>
      <c r="J611" t="s">
        <v>1117</v>
      </c>
      <c r="K611" t="s">
        <v>1056</v>
      </c>
      <c r="M611" t="s">
        <v>355</v>
      </c>
      <c r="O611" t="s">
        <v>1951</v>
      </c>
      <c r="P611" t="s">
        <v>1952</v>
      </c>
      <c r="Q611" t="s">
        <v>357</v>
      </c>
      <c r="R611">
        <v>2069104</v>
      </c>
      <c r="S611" t="s">
        <v>1953</v>
      </c>
      <c r="U611" t="s">
        <v>1954</v>
      </c>
      <c r="V611" t="s">
        <v>356</v>
      </c>
      <c r="W611">
        <v>10680</v>
      </c>
      <c r="X611">
        <v>2.73</v>
      </c>
      <c r="Y611">
        <v>23.59</v>
      </c>
      <c r="Z611">
        <v>10680</v>
      </c>
      <c r="AA611">
        <v>0</v>
      </c>
      <c r="AB611">
        <v>44427.847054247686</v>
      </c>
      <c r="AC611" t="s">
        <v>323</v>
      </c>
      <c r="AD611">
        <v>7</v>
      </c>
    </row>
    <row r="612" spans="1:30" x14ac:dyDescent="0.25">
      <c r="A612" t="s">
        <v>1051</v>
      </c>
      <c r="B612" t="s">
        <v>1106</v>
      </c>
      <c r="C612" t="s">
        <v>1937</v>
      </c>
      <c r="D612" t="s">
        <v>1955</v>
      </c>
      <c r="E612" t="s">
        <v>1060</v>
      </c>
      <c r="F612" t="s">
        <v>1061</v>
      </c>
      <c r="G612">
        <v>6101289</v>
      </c>
      <c r="H612">
        <v>202107</v>
      </c>
      <c r="I612">
        <v>44396</v>
      </c>
      <c r="J612" t="s">
        <v>1117</v>
      </c>
      <c r="K612" t="s">
        <v>1056</v>
      </c>
      <c r="M612" t="s">
        <v>355</v>
      </c>
      <c r="O612" t="s">
        <v>1944</v>
      </c>
      <c r="P612" t="s">
        <v>1945</v>
      </c>
      <c r="Q612" t="s">
        <v>357</v>
      </c>
      <c r="R612">
        <v>2069104</v>
      </c>
      <c r="S612" t="s">
        <v>355</v>
      </c>
      <c r="U612" t="s">
        <v>1956</v>
      </c>
      <c r="V612" t="s">
        <v>356</v>
      </c>
      <c r="W612">
        <v>4</v>
      </c>
      <c r="X612">
        <v>0</v>
      </c>
      <c r="Y612">
        <v>0.01</v>
      </c>
      <c r="Z612">
        <v>4</v>
      </c>
      <c r="AA612">
        <v>0</v>
      </c>
      <c r="AB612">
        <v>44398.079199155094</v>
      </c>
      <c r="AC612" t="s">
        <v>323</v>
      </c>
      <c r="AD612">
        <v>7</v>
      </c>
    </row>
    <row r="613" spans="1:30" x14ac:dyDescent="0.25">
      <c r="A613" t="s">
        <v>1051</v>
      </c>
      <c r="B613" t="s">
        <v>1106</v>
      </c>
      <c r="C613" t="s">
        <v>1937</v>
      </c>
      <c r="D613" t="s">
        <v>1955</v>
      </c>
      <c r="E613" t="s">
        <v>1060</v>
      </c>
      <c r="F613" t="s">
        <v>1061</v>
      </c>
      <c r="G613">
        <v>6101235</v>
      </c>
      <c r="H613">
        <v>202107</v>
      </c>
      <c r="I613">
        <v>44396</v>
      </c>
      <c r="J613" t="s">
        <v>1117</v>
      </c>
      <c r="K613" t="s">
        <v>1056</v>
      </c>
      <c r="M613" t="s">
        <v>355</v>
      </c>
      <c r="O613" t="s">
        <v>1957</v>
      </c>
      <c r="P613" t="s">
        <v>1958</v>
      </c>
      <c r="Q613" t="s">
        <v>357</v>
      </c>
      <c r="R613">
        <v>2069104</v>
      </c>
      <c r="S613" t="s">
        <v>355</v>
      </c>
      <c r="U613" t="s">
        <v>1959</v>
      </c>
      <c r="V613" t="s">
        <v>356</v>
      </c>
      <c r="W613">
        <v>7000</v>
      </c>
      <c r="X613">
        <v>1.84</v>
      </c>
      <c r="Y613">
        <v>15.85</v>
      </c>
      <c r="Z613">
        <v>7000</v>
      </c>
      <c r="AA613">
        <v>0</v>
      </c>
      <c r="AB613">
        <v>44396.743238460651</v>
      </c>
      <c r="AC613" t="s">
        <v>323</v>
      </c>
      <c r="AD613">
        <v>7</v>
      </c>
    </row>
    <row r="614" spans="1:30" x14ac:dyDescent="0.25">
      <c r="A614" t="s">
        <v>1051</v>
      </c>
      <c r="B614" t="s">
        <v>1106</v>
      </c>
      <c r="C614" t="s">
        <v>1937</v>
      </c>
      <c r="D614" t="s">
        <v>1955</v>
      </c>
      <c r="E614" t="s">
        <v>1060</v>
      </c>
      <c r="F614" t="s">
        <v>1061</v>
      </c>
      <c r="G614">
        <v>6101235</v>
      </c>
      <c r="H614">
        <v>202107</v>
      </c>
      <c r="I614">
        <v>44396</v>
      </c>
      <c r="J614" t="s">
        <v>1117</v>
      </c>
      <c r="K614" t="s">
        <v>1056</v>
      </c>
      <c r="M614" t="s">
        <v>355</v>
      </c>
      <c r="O614" t="s">
        <v>1944</v>
      </c>
      <c r="P614" t="s">
        <v>1945</v>
      </c>
      <c r="Q614" t="s">
        <v>357</v>
      </c>
      <c r="R614">
        <v>2069104</v>
      </c>
      <c r="S614" t="s">
        <v>355</v>
      </c>
      <c r="U614" t="s">
        <v>1946</v>
      </c>
      <c r="V614" t="s">
        <v>356</v>
      </c>
      <c r="W614">
        <v>34560</v>
      </c>
      <c r="X614">
        <v>9.09</v>
      </c>
      <c r="Y614">
        <v>78.239999999999995</v>
      </c>
      <c r="Z614">
        <v>34560</v>
      </c>
      <c r="AA614">
        <v>192</v>
      </c>
      <c r="AB614">
        <v>44396.743238460651</v>
      </c>
      <c r="AC614" t="s">
        <v>323</v>
      </c>
      <c r="AD614">
        <v>7</v>
      </c>
    </row>
    <row r="615" spans="1:30" x14ac:dyDescent="0.25">
      <c r="A615" t="s">
        <v>1051</v>
      </c>
      <c r="B615" t="s">
        <v>1106</v>
      </c>
      <c r="C615" t="s">
        <v>1937</v>
      </c>
      <c r="D615" t="s">
        <v>1960</v>
      </c>
      <c r="E615" t="s">
        <v>1060</v>
      </c>
      <c r="F615" t="s">
        <v>1061</v>
      </c>
      <c r="G615">
        <v>6101366</v>
      </c>
      <c r="H615">
        <v>202107</v>
      </c>
      <c r="I615">
        <v>44407</v>
      </c>
      <c r="J615" t="s">
        <v>1117</v>
      </c>
      <c r="K615" t="s">
        <v>1056</v>
      </c>
      <c r="M615" t="s">
        <v>355</v>
      </c>
      <c r="O615" t="s">
        <v>1209</v>
      </c>
      <c r="P615" t="s">
        <v>1210</v>
      </c>
      <c r="Q615" t="s">
        <v>357</v>
      </c>
      <c r="R615">
        <v>2069104</v>
      </c>
      <c r="S615" t="s">
        <v>355</v>
      </c>
      <c r="U615" t="s">
        <v>1942</v>
      </c>
      <c r="V615" t="s">
        <v>356</v>
      </c>
      <c r="W615">
        <v>404250</v>
      </c>
      <c r="X615">
        <v>103.49</v>
      </c>
      <c r="Y615">
        <v>894.2</v>
      </c>
      <c r="Z615">
        <v>404250</v>
      </c>
      <c r="AA615">
        <v>192</v>
      </c>
      <c r="AB615">
        <v>44410.978266435188</v>
      </c>
      <c r="AC615" t="s">
        <v>323</v>
      </c>
      <c r="AD615">
        <v>7</v>
      </c>
    </row>
    <row r="616" spans="1:30" x14ac:dyDescent="0.25">
      <c r="A616" t="s">
        <v>1051</v>
      </c>
      <c r="B616" t="s">
        <v>1106</v>
      </c>
      <c r="C616" t="s">
        <v>1937</v>
      </c>
      <c r="D616" t="s">
        <v>1960</v>
      </c>
      <c r="E616" t="s">
        <v>1060</v>
      </c>
      <c r="F616" t="s">
        <v>1061</v>
      </c>
      <c r="G616">
        <v>6101366</v>
      </c>
      <c r="H616">
        <v>202107</v>
      </c>
      <c r="I616">
        <v>44407</v>
      </c>
      <c r="J616" t="s">
        <v>1117</v>
      </c>
      <c r="K616" t="s">
        <v>1056</v>
      </c>
      <c r="M616" t="s">
        <v>355</v>
      </c>
      <c r="O616" t="s">
        <v>1209</v>
      </c>
      <c r="P616" t="s">
        <v>1210</v>
      </c>
      <c r="Q616" t="s">
        <v>357</v>
      </c>
      <c r="R616">
        <v>2069104</v>
      </c>
      <c r="S616" t="s">
        <v>355</v>
      </c>
      <c r="U616" t="s">
        <v>1942</v>
      </c>
      <c r="V616" t="s">
        <v>356</v>
      </c>
      <c r="W616">
        <v>-37.5</v>
      </c>
      <c r="X616">
        <v>-0.01</v>
      </c>
      <c r="Y616">
        <v>-0.08</v>
      </c>
      <c r="Z616">
        <v>-37.5</v>
      </c>
      <c r="AA616">
        <v>0</v>
      </c>
      <c r="AB616">
        <v>44410.978266435188</v>
      </c>
      <c r="AC616" t="s">
        <v>323</v>
      </c>
      <c r="AD616">
        <v>7</v>
      </c>
    </row>
    <row r="617" spans="1:30" x14ac:dyDescent="0.25">
      <c r="A617" t="s">
        <v>1051</v>
      </c>
      <c r="B617" t="s">
        <v>1051</v>
      </c>
      <c r="C617" t="s">
        <v>1937</v>
      </c>
      <c r="D617" t="s">
        <v>1961</v>
      </c>
      <c r="E617" t="s">
        <v>1060</v>
      </c>
      <c r="F617" t="s">
        <v>1061</v>
      </c>
      <c r="G617">
        <v>6101096</v>
      </c>
      <c r="H617">
        <v>202106</v>
      </c>
      <c r="I617">
        <v>44376</v>
      </c>
      <c r="J617">
        <v>124932</v>
      </c>
      <c r="K617" t="s">
        <v>1056</v>
      </c>
      <c r="M617" t="s">
        <v>355</v>
      </c>
      <c r="O617" t="s">
        <v>1939</v>
      </c>
      <c r="P617" t="s">
        <v>1940</v>
      </c>
      <c r="Q617" t="s">
        <v>357</v>
      </c>
      <c r="R617">
        <v>2069104</v>
      </c>
      <c r="S617" t="s">
        <v>355</v>
      </c>
      <c r="U617" t="s">
        <v>1941</v>
      </c>
      <c r="V617" t="s">
        <v>356</v>
      </c>
      <c r="W617">
        <v>22521</v>
      </c>
      <c r="X617">
        <v>5.97</v>
      </c>
      <c r="Y617">
        <v>50.69</v>
      </c>
      <c r="Z617">
        <v>22521</v>
      </c>
      <c r="AA617">
        <v>192</v>
      </c>
      <c r="AB617">
        <v>44380.645140393521</v>
      </c>
      <c r="AC617" t="s">
        <v>323</v>
      </c>
      <c r="AD617">
        <v>7</v>
      </c>
    </row>
    <row r="618" spans="1:30" x14ac:dyDescent="0.25">
      <c r="A618" t="s">
        <v>1051</v>
      </c>
      <c r="B618" t="s">
        <v>1106</v>
      </c>
      <c r="C618" t="s">
        <v>1937</v>
      </c>
      <c r="D618" t="s">
        <v>1961</v>
      </c>
      <c r="E618" t="s">
        <v>1060</v>
      </c>
      <c r="F618" t="s">
        <v>1061</v>
      </c>
      <c r="G618">
        <v>6101473</v>
      </c>
      <c r="H618">
        <v>202107</v>
      </c>
      <c r="I618">
        <v>44396</v>
      </c>
      <c r="J618" t="s">
        <v>1117</v>
      </c>
      <c r="K618" t="s">
        <v>1056</v>
      </c>
      <c r="M618" t="s">
        <v>355</v>
      </c>
      <c r="O618" t="s">
        <v>1927</v>
      </c>
      <c r="P618" t="s">
        <v>1928</v>
      </c>
      <c r="Q618" t="s">
        <v>357</v>
      </c>
      <c r="R618">
        <v>2069107</v>
      </c>
      <c r="S618" t="s">
        <v>355</v>
      </c>
      <c r="U618" t="s">
        <v>1929</v>
      </c>
      <c r="V618" t="s">
        <v>356</v>
      </c>
      <c r="W618">
        <v>-349500</v>
      </c>
      <c r="X618">
        <v>-91.92</v>
      </c>
      <c r="Y618">
        <v>-791.27</v>
      </c>
      <c r="Z618">
        <v>-349500</v>
      </c>
      <c r="AA618">
        <v>192</v>
      </c>
      <c r="AB618">
        <v>44412.931741354165</v>
      </c>
      <c r="AC618" t="s">
        <v>323</v>
      </c>
      <c r="AD618">
        <v>7</v>
      </c>
    </row>
    <row r="619" spans="1:30" x14ac:dyDescent="0.25">
      <c r="A619" t="s">
        <v>1051</v>
      </c>
      <c r="B619" t="s">
        <v>1106</v>
      </c>
      <c r="C619" t="s">
        <v>1937</v>
      </c>
      <c r="D619" t="s">
        <v>1961</v>
      </c>
      <c r="E619" t="s">
        <v>1060</v>
      </c>
      <c r="F619" t="s">
        <v>1061</v>
      </c>
      <c r="G619">
        <v>6101280</v>
      </c>
      <c r="H619">
        <v>202107</v>
      </c>
      <c r="I619">
        <v>44396</v>
      </c>
      <c r="J619" t="s">
        <v>1117</v>
      </c>
      <c r="K619" t="s">
        <v>1056</v>
      </c>
      <c r="M619" t="s">
        <v>355</v>
      </c>
      <c r="O619" t="s">
        <v>1927</v>
      </c>
      <c r="P619" t="s">
        <v>1928</v>
      </c>
      <c r="Q619" t="s">
        <v>357</v>
      </c>
      <c r="R619">
        <v>2069107</v>
      </c>
      <c r="S619" t="s">
        <v>355</v>
      </c>
      <c r="U619" t="s">
        <v>1943</v>
      </c>
      <c r="V619" t="s">
        <v>356</v>
      </c>
      <c r="W619">
        <v>349500</v>
      </c>
      <c r="X619">
        <v>91.92</v>
      </c>
      <c r="Y619">
        <v>791.27</v>
      </c>
      <c r="Z619">
        <v>349500</v>
      </c>
      <c r="AA619">
        <v>192</v>
      </c>
      <c r="AB619">
        <v>44398.025656481484</v>
      </c>
      <c r="AC619" t="s">
        <v>323</v>
      </c>
      <c r="AD619">
        <v>7</v>
      </c>
    </row>
    <row r="620" spans="1:30" x14ac:dyDescent="0.25">
      <c r="A620" t="s">
        <v>1051</v>
      </c>
      <c r="B620" t="s">
        <v>1106</v>
      </c>
      <c r="C620" t="s">
        <v>1937</v>
      </c>
      <c r="D620" t="s">
        <v>1961</v>
      </c>
      <c r="E620" t="s">
        <v>1060</v>
      </c>
      <c r="F620" t="s">
        <v>1061</v>
      </c>
      <c r="G620">
        <v>6101527</v>
      </c>
      <c r="H620">
        <v>202108</v>
      </c>
      <c r="I620">
        <v>44427</v>
      </c>
      <c r="J620" t="s">
        <v>1117</v>
      </c>
      <c r="K620" t="s">
        <v>1056</v>
      </c>
      <c r="M620" t="s">
        <v>355</v>
      </c>
      <c r="O620" t="s">
        <v>1947</v>
      </c>
      <c r="P620" t="s">
        <v>1948</v>
      </c>
      <c r="Q620" t="s">
        <v>357</v>
      </c>
      <c r="R620">
        <v>2069104</v>
      </c>
      <c r="S620" t="s">
        <v>1949</v>
      </c>
      <c r="U620" t="s">
        <v>1950</v>
      </c>
      <c r="V620" t="s">
        <v>356</v>
      </c>
      <c r="W620">
        <v>100756</v>
      </c>
      <c r="X620">
        <v>25.76</v>
      </c>
      <c r="Y620">
        <v>222.53</v>
      </c>
      <c r="Z620">
        <v>100756</v>
      </c>
      <c r="AA620">
        <v>192</v>
      </c>
      <c r="AB620">
        <v>44427.847053703706</v>
      </c>
      <c r="AC620" t="s">
        <v>323</v>
      </c>
      <c r="AD620">
        <v>7</v>
      </c>
    </row>
    <row r="621" spans="1:30" x14ac:dyDescent="0.25">
      <c r="A621" t="s">
        <v>1051</v>
      </c>
      <c r="B621" t="s">
        <v>1106</v>
      </c>
      <c r="C621" t="s">
        <v>1937</v>
      </c>
      <c r="D621" t="s">
        <v>1961</v>
      </c>
      <c r="E621" t="s">
        <v>1060</v>
      </c>
      <c r="F621" t="s">
        <v>1061</v>
      </c>
      <c r="G621">
        <v>6101527</v>
      </c>
      <c r="H621">
        <v>202108</v>
      </c>
      <c r="I621">
        <v>44427</v>
      </c>
      <c r="J621" t="s">
        <v>1117</v>
      </c>
      <c r="K621" t="s">
        <v>1056</v>
      </c>
      <c r="M621" t="s">
        <v>355</v>
      </c>
      <c r="O621" t="s">
        <v>1951</v>
      </c>
      <c r="P621" t="s">
        <v>1952</v>
      </c>
      <c r="Q621" t="s">
        <v>357</v>
      </c>
      <c r="R621">
        <v>2069104</v>
      </c>
      <c r="S621" t="s">
        <v>1953</v>
      </c>
      <c r="U621" t="s">
        <v>1954</v>
      </c>
      <c r="V621" t="s">
        <v>356</v>
      </c>
      <c r="W621">
        <v>56211</v>
      </c>
      <c r="X621">
        <v>14.37</v>
      </c>
      <c r="Y621">
        <v>124.15</v>
      </c>
      <c r="Z621">
        <v>56211</v>
      </c>
      <c r="AA621">
        <v>192</v>
      </c>
      <c r="AB621">
        <v>44427.847053703706</v>
      </c>
      <c r="AC621" t="s">
        <v>323</v>
      </c>
      <c r="AD621">
        <v>7</v>
      </c>
    </row>
    <row r="622" spans="1:30" x14ac:dyDescent="0.25">
      <c r="A622" t="s">
        <v>1051</v>
      </c>
      <c r="B622" t="s">
        <v>1106</v>
      </c>
      <c r="C622" t="s">
        <v>1962</v>
      </c>
      <c r="D622" t="s">
        <v>1963</v>
      </c>
      <c r="E622" t="s">
        <v>1060</v>
      </c>
      <c r="F622" t="s">
        <v>1061</v>
      </c>
      <c r="G622">
        <v>6101366</v>
      </c>
      <c r="H622">
        <v>202107</v>
      </c>
      <c r="I622">
        <v>44407</v>
      </c>
      <c r="J622" t="s">
        <v>1117</v>
      </c>
      <c r="K622" t="s">
        <v>1056</v>
      </c>
      <c r="M622" t="s">
        <v>355</v>
      </c>
      <c r="O622" t="s">
        <v>1964</v>
      </c>
      <c r="P622" t="s">
        <v>1965</v>
      </c>
      <c r="Q622" t="s">
        <v>357</v>
      </c>
      <c r="R622">
        <v>2069102</v>
      </c>
      <c r="S622" t="s">
        <v>355</v>
      </c>
      <c r="U622" t="s">
        <v>1966</v>
      </c>
      <c r="V622" t="s">
        <v>356</v>
      </c>
      <c r="W622">
        <v>1391</v>
      </c>
      <c r="X622">
        <v>0.36</v>
      </c>
      <c r="Y622">
        <v>3.08</v>
      </c>
      <c r="Z622">
        <v>1391</v>
      </c>
      <c r="AA622">
        <v>0</v>
      </c>
      <c r="AB622">
        <v>44410.978266435188</v>
      </c>
      <c r="AC622" t="s">
        <v>323</v>
      </c>
      <c r="AD622">
        <v>7</v>
      </c>
    </row>
    <row r="623" spans="1:30" x14ac:dyDescent="0.25">
      <c r="A623" t="s">
        <v>1051</v>
      </c>
      <c r="B623" t="s">
        <v>1106</v>
      </c>
      <c r="C623" t="s">
        <v>1962</v>
      </c>
      <c r="D623" t="s">
        <v>1963</v>
      </c>
      <c r="E623" t="s">
        <v>1060</v>
      </c>
      <c r="F623" t="s">
        <v>1061</v>
      </c>
      <c r="G623">
        <v>6101544</v>
      </c>
      <c r="H623">
        <v>202108</v>
      </c>
      <c r="I623">
        <v>44427</v>
      </c>
      <c r="J623" t="s">
        <v>1117</v>
      </c>
      <c r="K623" t="s">
        <v>1056</v>
      </c>
      <c r="M623" t="s">
        <v>355</v>
      </c>
      <c r="O623" t="s">
        <v>1967</v>
      </c>
      <c r="P623" t="s">
        <v>1968</v>
      </c>
      <c r="Q623" t="s">
        <v>357</v>
      </c>
      <c r="R623">
        <v>2069102</v>
      </c>
      <c r="S623" t="s">
        <v>355</v>
      </c>
      <c r="U623" t="s">
        <v>1969</v>
      </c>
      <c r="V623" t="s">
        <v>356</v>
      </c>
      <c r="W623">
        <v>2427</v>
      </c>
      <c r="X623">
        <v>0.62</v>
      </c>
      <c r="Y623">
        <v>5.36</v>
      </c>
      <c r="Z623">
        <v>2427</v>
      </c>
      <c r="AA623">
        <v>0</v>
      </c>
      <c r="AB623">
        <v>44427.992802395835</v>
      </c>
      <c r="AC623" t="s">
        <v>323</v>
      </c>
      <c r="AD623">
        <v>7</v>
      </c>
    </row>
    <row r="624" spans="1:30" x14ac:dyDescent="0.25">
      <c r="A624" t="s">
        <v>1051</v>
      </c>
      <c r="B624" t="s">
        <v>1106</v>
      </c>
      <c r="C624" t="s">
        <v>1962</v>
      </c>
      <c r="D624" t="s">
        <v>1970</v>
      </c>
      <c r="E624" t="s">
        <v>1060</v>
      </c>
      <c r="F624" t="s">
        <v>1061</v>
      </c>
      <c r="G624">
        <v>6101366</v>
      </c>
      <c r="H624">
        <v>202107</v>
      </c>
      <c r="I624">
        <v>44407</v>
      </c>
      <c r="J624" t="s">
        <v>1117</v>
      </c>
      <c r="K624" t="s">
        <v>1056</v>
      </c>
      <c r="M624" t="s">
        <v>355</v>
      </c>
      <c r="O624" t="s">
        <v>1964</v>
      </c>
      <c r="P624" t="s">
        <v>1965</v>
      </c>
      <c r="Q624" t="s">
        <v>357</v>
      </c>
      <c r="R624">
        <v>2069102</v>
      </c>
      <c r="S624" t="s">
        <v>355</v>
      </c>
      <c r="U624" t="s">
        <v>1971</v>
      </c>
      <c r="V624" t="s">
        <v>356</v>
      </c>
      <c r="W624">
        <v>8000</v>
      </c>
      <c r="X624">
        <v>2.0499999999999998</v>
      </c>
      <c r="Y624">
        <v>17.7</v>
      </c>
      <c r="Z624">
        <v>8000</v>
      </c>
      <c r="AA624">
        <v>0</v>
      </c>
      <c r="AB624">
        <v>44410.978265891201</v>
      </c>
      <c r="AC624" t="s">
        <v>323</v>
      </c>
      <c r="AD624">
        <v>7</v>
      </c>
    </row>
    <row r="625" spans="1:30" x14ac:dyDescent="0.25">
      <c r="A625" t="s">
        <v>1051</v>
      </c>
      <c r="B625" t="s">
        <v>1106</v>
      </c>
      <c r="C625" t="s">
        <v>1962</v>
      </c>
      <c r="D625" t="s">
        <v>1970</v>
      </c>
      <c r="E625" t="s">
        <v>1060</v>
      </c>
      <c r="F625" t="s">
        <v>1061</v>
      </c>
      <c r="G625">
        <v>6101366</v>
      </c>
      <c r="H625">
        <v>202107</v>
      </c>
      <c r="I625">
        <v>44407</v>
      </c>
      <c r="J625" t="s">
        <v>1117</v>
      </c>
      <c r="K625" t="s">
        <v>1056</v>
      </c>
      <c r="M625" t="s">
        <v>355</v>
      </c>
      <c r="O625" t="s">
        <v>1964</v>
      </c>
      <c r="P625" t="s">
        <v>1965</v>
      </c>
      <c r="Q625" t="s">
        <v>357</v>
      </c>
      <c r="R625">
        <v>2069102</v>
      </c>
      <c r="S625" t="s">
        <v>355</v>
      </c>
      <c r="U625" t="s">
        <v>1966</v>
      </c>
      <c r="V625" t="s">
        <v>356</v>
      </c>
      <c r="W625">
        <v>7319</v>
      </c>
      <c r="X625">
        <v>1.87</v>
      </c>
      <c r="Y625">
        <v>16.190000000000001</v>
      </c>
      <c r="Z625">
        <v>7319</v>
      </c>
      <c r="AA625">
        <v>194</v>
      </c>
      <c r="AB625">
        <v>44410.978266087965</v>
      </c>
      <c r="AC625" t="s">
        <v>323</v>
      </c>
      <c r="AD625">
        <v>7</v>
      </c>
    </row>
    <row r="626" spans="1:30" x14ac:dyDescent="0.25">
      <c r="A626" t="s">
        <v>1051</v>
      </c>
      <c r="B626" t="s">
        <v>1106</v>
      </c>
      <c r="C626" t="s">
        <v>1962</v>
      </c>
      <c r="D626" t="s">
        <v>1970</v>
      </c>
      <c r="E626" t="s">
        <v>1060</v>
      </c>
      <c r="F626" t="s">
        <v>1061</v>
      </c>
      <c r="G626">
        <v>6101366</v>
      </c>
      <c r="H626">
        <v>202107</v>
      </c>
      <c r="I626">
        <v>44407</v>
      </c>
      <c r="J626" t="s">
        <v>1117</v>
      </c>
      <c r="K626" t="s">
        <v>1056</v>
      </c>
      <c r="M626" t="s">
        <v>355</v>
      </c>
      <c r="O626" t="s">
        <v>1964</v>
      </c>
      <c r="P626" t="s">
        <v>1965</v>
      </c>
      <c r="Q626" t="s">
        <v>357</v>
      </c>
      <c r="R626">
        <v>2069102</v>
      </c>
      <c r="S626" t="s">
        <v>355</v>
      </c>
      <c r="U626" t="s">
        <v>1966</v>
      </c>
      <c r="V626" t="s">
        <v>356</v>
      </c>
      <c r="W626">
        <v>12196</v>
      </c>
      <c r="X626">
        <v>3.12</v>
      </c>
      <c r="Y626">
        <v>26.98</v>
      </c>
      <c r="Z626">
        <v>12196</v>
      </c>
      <c r="AA626">
        <v>0</v>
      </c>
      <c r="AB626">
        <v>44410.978266087965</v>
      </c>
      <c r="AC626" t="s">
        <v>323</v>
      </c>
      <c r="AD626">
        <v>7</v>
      </c>
    </row>
    <row r="627" spans="1:30" x14ac:dyDescent="0.25">
      <c r="A627" t="s">
        <v>1051</v>
      </c>
      <c r="B627" t="s">
        <v>1106</v>
      </c>
      <c r="C627" t="s">
        <v>1962</v>
      </c>
      <c r="D627" t="s">
        <v>1970</v>
      </c>
      <c r="E627" t="s">
        <v>1060</v>
      </c>
      <c r="F627" t="s">
        <v>1061</v>
      </c>
      <c r="G627">
        <v>6101366</v>
      </c>
      <c r="H627">
        <v>202107</v>
      </c>
      <c r="I627">
        <v>44407</v>
      </c>
      <c r="J627" t="s">
        <v>1117</v>
      </c>
      <c r="K627" t="s">
        <v>1056</v>
      </c>
      <c r="M627" t="s">
        <v>355</v>
      </c>
      <c r="O627" t="s">
        <v>1967</v>
      </c>
      <c r="P627" t="s">
        <v>1968</v>
      </c>
      <c r="Q627" t="s">
        <v>357</v>
      </c>
      <c r="R627">
        <v>2069102</v>
      </c>
      <c r="S627" t="s">
        <v>355</v>
      </c>
      <c r="U627" t="s">
        <v>1972</v>
      </c>
      <c r="V627" t="s">
        <v>356</v>
      </c>
      <c r="W627">
        <v>5800</v>
      </c>
      <c r="X627">
        <v>1.48</v>
      </c>
      <c r="Y627">
        <v>12.83</v>
      </c>
      <c r="Z627">
        <v>5800</v>
      </c>
      <c r="AA627">
        <v>0</v>
      </c>
      <c r="AB627">
        <v>44410.978266087965</v>
      </c>
      <c r="AC627" t="s">
        <v>323</v>
      </c>
      <c r="AD627">
        <v>7</v>
      </c>
    </row>
    <row r="628" spans="1:30" x14ac:dyDescent="0.25">
      <c r="A628" t="s">
        <v>1051</v>
      </c>
      <c r="B628" t="s">
        <v>1106</v>
      </c>
      <c r="C628" t="s">
        <v>1962</v>
      </c>
      <c r="D628" t="s">
        <v>1970</v>
      </c>
      <c r="E628" t="s">
        <v>1060</v>
      </c>
      <c r="F628" t="s">
        <v>1061</v>
      </c>
      <c r="G628">
        <v>6101366</v>
      </c>
      <c r="H628">
        <v>202107</v>
      </c>
      <c r="I628">
        <v>44407</v>
      </c>
      <c r="J628" t="s">
        <v>1117</v>
      </c>
      <c r="K628" t="s">
        <v>1056</v>
      </c>
      <c r="M628" t="s">
        <v>355</v>
      </c>
      <c r="O628" t="s">
        <v>1973</v>
      </c>
      <c r="P628" t="s">
        <v>1974</v>
      </c>
      <c r="Q628" t="s">
        <v>357</v>
      </c>
      <c r="R628">
        <v>2069102</v>
      </c>
      <c r="S628" t="s">
        <v>355</v>
      </c>
      <c r="U628" t="s">
        <v>1975</v>
      </c>
      <c r="V628" t="s">
        <v>356</v>
      </c>
      <c r="W628">
        <v>127800</v>
      </c>
      <c r="X628">
        <v>32.72</v>
      </c>
      <c r="Y628">
        <v>282.69</v>
      </c>
      <c r="Z628">
        <v>127800</v>
      </c>
      <c r="AA628">
        <v>0</v>
      </c>
      <c r="AB628">
        <v>44410.978266087965</v>
      </c>
      <c r="AC628" t="s">
        <v>323</v>
      </c>
      <c r="AD628">
        <v>7</v>
      </c>
    </row>
    <row r="629" spans="1:30" x14ac:dyDescent="0.25">
      <c r="A629" t="s">
        <v>1051</v>
      </c>
      <c r="B629" t="s">
        <v>1106</v>
      </c>
      <c r="C629" t="s">
        <v>1962</v>
      </c>
      <c r="D629" t="s">
        <v>1970</v>
      </c>
      <c r="E629" t="s">
        <v>1060</v>
      </c>
      <c r="F629" t="s">
        <v>1061</v>
      </c>
      <c r="G629">
        <v>6101544</v>
      </c>
      <c r="H629">
        <v>202108</v>
      </c>
      <c r="I629">
        <v>44427</v>
      </c>
      <c r="J629" t="s">
        <v>1117</v>
      </c>
      <c r="K629" t="s">
        <v>1056</v>
      </c>
      <c r="M629" t="s">
        <v>355</v>
      </c>
      <c r="O629" t="s">
        <v>1967</v>
      </c>
      <c r="P629" t="s">
        <v>1968</v>
      </c>
      <c r="Q629" t="s">
        <v>357</v>
      </c>
      <c r="R629">
        <v>2069102</v>
      </c>
      <c r="S629" t="s">
        <v>355</v>
      </c>
      <c r="U629" t="s">
        <v>1969</v>
      </c>
      <c r="V629" t="s">
        <v>356</v>
      </c>
      <c r="W629">
        <v>12773</v>
      </c>
      <c r="X629">
        <v>3.27</v>
      </c>
      <c r="Y629">
        <v>28.21</v>
      </c>
      <c r="Z629">
        <v>12773</v>
      </c>
      <c r="AA629">
        <v>194</v>
      </c>
      <c r="AB629">
        <v>44427.992801851855</v>
      </c>
      <c r="AC629" t="s">
        <v>323</v>
      </c>
      <c r="AD629">
        <v>7</v>
      </c>
    </row>
    <row r="630" spans="1:30" x14ac:dyDescent="0.25">
      <c r="A630" t="s">
        <v>1051</v>
      </c>
      <c r="B630" t="s">
        <v>1106</v>
      </c>
      <c r="C630" t="s">
        <v>1962</v>
      </c>
      <c r="D630" t="s">
        <v>1970</v>
      </c>
      <c r="E630" t="s">
        <v>1060</v>
      </c>
      <c r="F630" t="s">
        <v>1061</v>
      </c>
      <c r="G630">
        <v>6101544</v>
      </c>
      <c r="H630">
        <v>202108</v>
      </c>
      <c r="I630">
        <v>44427</v>
      </c>
      <c r="J630" t="s">
        <v>1117</v>
      </c>
      <c r="K630" t="s">
        <v>1056</v>
      </c>
      <c r="M630" t="s">
        <v>355</v>
      </c>
      <c r="O630" t="s">
        <v>1967</v>
      </c>
      <c r="P630" t="s">
        <v>1968</v>
      </c>
      <c r="Q630" t="s">
        <v>357</v>
      </c>
      <c r="R630">
        <v>2069102</v>
      </c>
      <c r="S630" t="s">
        <v>355</v>
      </c>
      <c r="U630" t="s">
        <v>1976</v>
      </c>
      <c r="V630" t="s">
        <v>356</v>
      </c>
      <c r="W630">
        <v>51</v>
      </c>
      <c r="X630">
        <v>0.01</v>
      </c>
      <c r="Y630">
        <v>0.11</v>
      </c>
      <c r="Z630">
        <v>51</v>
      </c>
      <c r="AA630">
        <v>0</v>
      </c>
      <c r="AB630">
        <v>44427.992802002314</v>
      </c>
      <c r="AC630" t="s">
        <v>323</v>
      </c>
      <c r="AD630">
        <v>7</v>
      </c>
    </row>
    <row r="631" spans="1:30" x14ac:dyDescent="0.25">
      <c r="A631" t="s">
        <v>1051</v>
      </c>
      <c r="B631" t="s">
        <v>1106</v>
      </c>
      <c r="C631" t="s">
        <v>1962</v>
      </c>
      <c r="D631" t="s">
        <v>1970</v>
      </c>
      <c r="E631" t="s">
        <v>1060</v>
      </c>
      <c r="F631" t="s">
        <v>1061</v>
      </c>
      <c r="G631">
        <v>6101544</v>
      </c>
      <c r="H631">
        <v>202108</v>
      </c>
      <c r="I631">
        <v>44427</v>
      </c>
      <c r="J631" t="s">
        <v>1117</v>
      </c>
      <c r="K631" t="s">
        <v>1056</v>
      </c>
      <c r="M631" t="s">
        <v>355</v>
      </c>
      <c r="O631" t="s">
        <v>1973</v>
      </c>
      <c r="P631" t="s">
        <v>1974</v>
      </c>
      <c r="Q631" t="s">
        <v>357</v>
      </c>
      <c r="R631">
        <v>2069102</v>
      </c>
      <c r="S631" t="s">
        <v>355</v>
      </c>
      <c r="U631" t="s">
        <v>1977</v>
      </c>
      <c r="V631" t="s">
        <v>356</v>
      </c>
      <c r="W631">
        <v>177800</v>
      </c>
      <c r="X631">
        <v>45.46</v>
      </c>
      <c r="Y631">
        <v>392.69</v>
      </c>
      <c r="Z631">
        <v>177800</v>
      </c>
      <c r="AA631">
        <v>0</v>
      </c>
      <c r="AB631">
        <v>44427.992802002314</v>
      </c>
      <c r="AC631" t="s">
        <v>323</v>
      </c>
      <c r="AD631">
        <v>7</v>
      </c>
    </row>
    <row r="632" spans="1:30" x14ac:dyDescent="0.25">
      <c r="A632" t="s">
        <v>1051</v>
      </c>
      <c r="B632" t="s">
        <v>1106</v>
      </c>
      <c r="C632" t="s">
        <v>1962</v>
      </c>
      <c r="D632" t="s">
        <v>1970</v>
      </c>
      <c r="E632" t="s">
        <v>1060</v>
      </c>
      <c r="F632" t="s">
        <v>1061</v>
      </c>
      <c r="G632">
        <v>6102042</v>
      </c>
      <c r="H632">
        <v>202109</v>
      </c>
      <c r="I632">
        <v>44463</v>
      </c>
      <c r="J632">
        <v>124932</v>
      </c>
      <c r="K632" t="s">
        <v>1056</v>
      </c>
      <c r="M632" t="s">
        <v>355</v>
      </c>
      <c r="O632" t="s">
        <v>1773</v>
      </c>
      <c r="P632" t="s">
        <v>1774</v>
      </c>
      <c r="Q632" t="s">
        <v>357</v>
      </c>
      <c r="R632">
        <v>2069102</v>
      </c>
      <c r="S632" t="s">
        <v>355</v>
      </c>
      <c r="U632" t="s">
        <v>1978</v>
      </c>
      <c r="V632" t="s">
        <v>356</v>
      </c>
      <c r="W632">
        <v>83700</v>
      </c>
      <c r="X632">
        <v>21.83</v>
      </c>
      <c r="Y632">
        <v>189.79</v>
      </c>
      <c r="Z632">
        <v>83700</v>
      </c>
      <c r="AA632">
        <v>0</v>
      </c>
      <c r="AB632">
        <v>44469.770561261575</v>
      </c>
      <c r="AC632" t="s">
        <v>323</v>
      </c>
      <c r="AD632">
        <v>7</v>
      </c>
    </row>
    <row r="633" spans="1:30" x14ac:dyDescent="0.25">
      <c r="A633" t="s">
        <v>1051</v>
      </c>
      <c r="B633" t="s">
        <v>1106</v>
      </c>
      <c r="C633" t="s">
        <v>1979</v>
      </c>
      <c r="D633" t="s">
        <v>1980</v>
      </c>
      <c r="E633" t="s">
        <v>1060</v>
      </c>
      <c r="F633" t="s">
        <v>1061</v>
      </c>
      <c r="G633">
        <v>6100769</v>
      </c>
      <c r="H633">
        <v>202104</v>
      </c>
      <c r="I633">
        <v>44309</v>
      </c>
      <c r="J633">
        <v>122536</v>
      </c>
      <c r="K633" t="s">
        <v>1056</v>
      </c>
      <c r="M633" t="s">
        <v>355</v>
      </c>
      <c r="O633" t="s">
        <v>1981</v>
      </c>
      <c r="P633" t="s">
        <v>1982</v>
      </c>
      <c r="Q633" t="s">
        <v>357</v>
      </c>
      <c r="R633">
        <v>2069100</v>
      </c>
      <c r="S633" t="s">
        <v>355</v>
      </c>
      <c r="U633" t="s">
        <v>1983</v>
      </c>
      <c r="V633" t="s">
        <v>356</v>
      </c>
      <c r="W633">
        <v>762539.2</v>
      </c>
      <c r="X633">
        <v>209.7</v>
      </c>
      <c r="Y633">
        <v>1737.06</v>
      </c>
      <c r="Z633">
        <v>762539.2</v>
      </c>
      <c r="AA633">
        <v>0</v>
      </c>
      <c r="AB633">
        <v>44320.775782789351</v>
      </c>
      <c r="AC633" t="s">
        <v>323</v>
      </c>
      <c r="AD633">
        <v>7</v>
      </c>
    </row>
    <row r="634" spans="1:30" x14ac:dyDescent="0.25">
      <c r="A634" t="s">
        <v>1051</v>
      </c>
      <c r="B634" t="s">
        <v>1106</v>
      </c>
      <c r="C634" t="s">
        <v>1979</v>
      </c>
      <c r="D634" t="s">
        <v>1980</v>
      </c>
      <c r="E634" t="s">
        <v>1060</v>
      </c>
      <c r="F634" t="s">
        <v>1061</v>
      </c>
      <c r="G634">
        <v>6100904</v>
      </c>
      <c r="H634">
        <v>202105</v>
      </c>
      <c r="I634">
        <v>44337</v>
      </c>
      <c r="J634">
        <v>122536</v>
      </c>
      <c r="K634" t="s">
        <v>1056</v>
      </c>
      <c r="M634" t="s">
        <v>355</v>
      </c>
      <c r="O634" t="s">
        <v>1981</v>
      </c>
      <c r="P634" t="s">
        <v>1982</v>
      </c>
      <c r="Q634" t="s">
        <v>357</v>
      </c>
      <c r="R634">
        <v>2069100</v>
      </c>
      <c r="S634" t="s">
        <v>355</v>
      </c>
      <c r="U634" t="s">
        <v>1984</v>
      </c>
      <c r="V634" t="s">
        <v>356</v>
      </c>
      <c r="W634">
        <v>75591</v>
      </c>
      <c r="X634">
        <v>20.56</v>
      </c>
      <c r="Y634">
        <v>168.72</v>
      </c>
      <c r="Z634">
        <v>75591</v>
      </c>
      <c r="AA634">
        <v>0</v>
      </c>
      <c r="AB634">
        <v>44345.97579621528</v>
      </c>
      <c r="AC634" t="s">
        <v>323</v>
      </c>
      <c r="AD634">
        <v>7</v>
      </c>
    </row>
    <row r="635" spans="1:30" x14ac:dyDescent="0.25">
      <c r="A635" t="s">
        <v>1051</v>
      </c>
      <c r="B635" t="s">
        <v>1106</v>
      </c>
      <c r="C635" t="s">
        <v>1979</v>
      </c>
      <c r="D635" t="s">
        <v>1980</v>
      </c>
      <c r="E635" t="s">
        <v>1060</v>
      </c>
      <c r="F635" t="s">
        <v>1061</v>
      </c>
      <c r="G635">
        <v>6101081</v>
      </c>
      <c r="H635">
        <v>202106</v>
      </c>
      <c r="I635">
        <v>44370</v>
      </c>
      <c r="J635">
        <v>125062</v>
      </c>
      <c r="K635" t="s">
        <v>1056</v>
      </c>
      <c r="M635" t="s">
        <v>355</v>
      </c>
      <c r="O635" t="s">
        <v>1981</v>
      </c>
      <c r="P635" t="s">
        <v>1982</v>
      </c>
      <c r="Q635" t="s">
        <v>357</v>
      </c>
      <c r="R635">
        <v>2069100</v>
      </c>
      <c r="S635" t="s">
        <v>355</v>
      </c>
      <c r="U635" t="s">
        <v>1985</v>
      </c>
      <c r="V635" t="s">
        <v>356</v>
      </c>
      <c r="W635">
        <v>496095</v>
      </c>
      <c r="X635">
        <v>138.41</v>
      </c>
      <c r="Y635">
        <v>1172.27</v>
      </c>
      <c r="Z635">
        <v>496095</v>
      </c>
      <c r="AA635">
        <v>0</v>
      </c>
      <c r="AB635">
        <v>44379.957195798612</v>
      </c>
      <c r="AC635" t="s">
        <v>323</v>
      </c>
      <c r="AD635">
        <v>7</v>
      </c>
    </row>
    <row r="636" spans="1:30" x14ac:dyDescent="0.25">
      <c r="A636" t="s">
        <v>1051</v>
      </c>
      <c r="B636" t="s">
        <v>1106</v>
      </c>
      <c r="C636" t="s">
        <v>1979</v>
      </c>
      <c r="D636" t="s">
        <v>1980</v>
      </c>
      <c r="E636" t="s">
        <v>1060</v>
      </c>
      <c r="F636" t="s">
        <v>1061</v>
      </c>
      <c r="G636">
        <v>6101337</v>
      </c>
      <c r="H636">
        <v>202107</v>
      </c>
      <c r="I636">
        <v>44400</v>
      </c>
      <c r="J636">
        <v>125062</v>
      </c>
      <c r="K636" t="s">
        <v>1056</v>
      </c>
      <c r="M636" t="s">
        <v>355</v>
      </c>
      <c r="O636" t="s">
        <v>1981</v>
      </c>
      <c r="P636" t="s">
        <v>1982</v>
      </c>
      <c r="Q636" t="s">
        <v>357</v>
      </c>
      <c r="R636">
        <v>2069100</v>
      </c>
      <c r="S636" t="s">
        <v>355</v>
      </c>
      <c r="U636" t="s">
        <v>1986</v>
      </c>
      <c r="V636" t="s">
        <v>356</v>
      </c>
      <c r="W636">
        <v>115410</v>
      </c>
      <c r="X636">
        <v>30.35</v>
      </c>
      <c r="Y636">
        <v>261.29000000000002</v>
      </c>
      <c r="Z636">
        <v>115410</v>
      </c>
      <c r="AA636">
        <v>0</v>
      </c>
      <c r="AB636">
        <v>44410.796117210652</v>
      </c>
      <c r="AC636" t="s">
        <v>323</v>
      </c>
      <c r="AD636">
        <v>7</v>
      </c>
    </row>
    <row r="637" spans="1:30" x14ac:dyDescent="0.25">
      <c r="A637" t="s">
        <v>1051</v>
      </c>
      <c r="B637" t="s">
        <v>1106</v>
      </c>
      <c r="C637" t="s">
        <v>1979</v>
      </c>
      <c r="D637" t="s">
        <v>1980</v>
      </c>
      <c r="E637" t="s">
        <v>1060</v>
      </c>
      <c r="F637" t="s">
        <v>1061</v>
      </c>
      <c r="G637">
        <v>6101764</v>
      </c>
      <c r="H637">
        <v>202108</v>
      </c>
      <c r="I637">
        <v>44432</v>
      </c>
      <c r="J637">
        <v>125062</v>
      </c>
      <c r="K637" t="s">
        <v>1056</v>
      </c>
      <c r="M637" t="s">
        <v>355</v>
      </c>
      <c r="O637" t="s">
        <v>1981</v>
      </c>
      <c r="P637" t="s">
        <v>1982</v>
      </c>
      <c r="Q637" t="s">
        <v>357</v>
      </c>
      <c r="R637">
        <v>2069100</v>
      </c>
      <c r="S637" t="s">
        <v>355</v>
      </c>
      <c r="U637" t="s">
        <v>1987</v>
      </c>
      <c r="V637" t="s">
        <v>356</v>
      </c>
      <c r="W637">
        <v>54972</v>
      </c>
      <c r="X637">
        <v>14.24</v>
      </c>
      <c r="Y637">
        <v>123.47</v>
      </c>
      <c r="Z637">
        <v>54972</v>
      </c>
      <c r="AA637">
        <v>0</v>
      </c>
      <c r="AB637">
        <v>44445.77093564815</v>
      </c>
      <c r="AC637" t="s">
        <v>323</v>
      </c>
      <c r="AD637">
        <v>7</v>
      </c>
    </row>
    <row r="638" spans="1:30" x14ac:dyDescent="0.25">
      <c r="A638" t="s">
        <v>1051</v>
      </c>
      <c r="B638" t="s">
        <v>1106</v>
      </c>
      <c r="C638" t="s">
        <v>1979</v>
      </c>
      <c r="D638" t="s">
        <v>1980</v>
      </c>
      <c r="E638" t="s">
        <v>1060</v>
      </c>
      <c r="F638" t="s">
        <v>1061</v>
      </c>
      <c r="G638">
        <v>6102059</v>
      </c>
      <c r="H638">
        <v>202109</v>
      </c>
      <c r="I638">
        <v>44461</v>
      </c>
      <c r="J638">
        <v>125062</v>
      </c>
      <c r="K638" t="s">
        <v>1056</v>
      </c>
      <c r="M638" t="s">
        <v>355</v>
      </c>
      <c r="O638" t="s">
        <v>1981</v>
      </c>
      <c r="P638" t="s">
        <v>1982</v>
      </c>
      <c r="Q638" t="s">
        <v>357</v>
      </c>
      <c r="R638">
        <v>2069100</v>
      </c>
      <c r="S638" t="s">
        <v>355</v>
      </c>
      <c r="U638" t="s">
        <v>1988</v>
      </c>
      <c r="V638" t="s">
        <v>356</v>
      </c>
      <c r="W638">
        <v>53722</v>
      </c>
      <c r="X638">
        <v>14.04</v>
      </c>
      <c r="Y638">
        <v>122.11</v>
      </c>
      <c r="Z638">
        <v>53722</v>
      </c>
      <c r="AA638">
        <v>0</v>
      </c>
      <c r="AB638">
        <v>44469.971077430557</v>
      </c>
      <c r="AC638" t="s">
        <v>323</v>
      </c>
      <c r="AD638">
        <v>7</v>
      </c>
    </row>
    <row r="639" spans="1:30" x14ac:dyDescent="0.25">
      <c r="A639" t="s">
        <v>1051</v>
      </c>
      <c r="B639" t="s">
        <v>1106</v>
      </c>
      <c r="C639" t="s">
        <v>1979</v>
      </c>
      <c r="D639" t="s">
        <v>1989</v>
      </c>
      <c r="E639" t="s">
        <v>1060</v>
      </c>
      <c r="F639" t="s">
        <v>1061</v>
      </c>
      <c r="G639">
        <v>6100769</v>
      </c>
      <c r="H639">
        <v>202104</v>
      </c>
      <c r="I639">
        <v>44309</v>
      </c>
      <c r="J639">
        <v>122536</v>
      </c>
      <c r="K639" t="s">
        <v>1056</v>
      </c>
      <c r="M639" t="s">
        <v>355</v>
      </c>
      <c r="O639" t="s">
        <v>1981</v>
      </c>
      <c r="P639" t="s">
        <v>1982</v>
      </c>
      <c r="Q639" t="s">
        <v>357</v>
      </c>
      <c r="R639">
        <v>2069100</v>
      </c>
      <c r="S639" t="s">
        <v>355</v>
      </c>
      <c r="U639" t="s">
        <v>1983</v>
      </c>
      <c r="V639" t="s">
        <v>356</v>
      </c>
      <c r="W639">
        <v>33695.4</v>
      </c>
      <c r="X639">
        <v>9.27</v>
      </c>
      <c r="Y639">
        <v>76.760000000000005</v>
      </c>
      <c r="Z639">
        <v>33695.4</v>
      </c>
      <c r="AA639">
        <v>0</v>
      </c>
      <c r="AB639">
        <v>44320.775782604163</v>
      </c>
      <c r="AC639" t="s">
        <v>323</v>
      </c>
      <c r="AD639">
        <v>7</v>
      </c>
    </row>
    <row r="640" spans="1:30" x14ac:dyDescent="0.25">
      <c r="A640" t="s">
        <v>1051</v>
      </c>
      <c r="B640" t="s">
        <v>1106</v>
      </c>
      <c r="C640" t="s">
        <v>1979</v>
      </c>
      <c r="D640" t="s">
        <v>1989</v>
      </c>
      <c r="E640" t="s">
        <v>1060</v>
      </c>
      <c r="F640" t="s">
        <v>1061</v>
      </c>
      <c r="G640">
        <v>6100904</v>
      </c>
      <c r="H640">
        <v>202105</v>
      </c>
      <c r="I640">
        <v>44337</v>
      </c>
      <c r="J640">
        <v>122536</v>
      </c>
      <c r="K640" t="s">
        <v>1056</v>
      </c>
      <c r="M640" t="s">
        <v>355</v>
      </c>
      <c r="O640" t="s">
        <v>1981</v>
      </c>
      <c r="P640" t="s">
        <v>1982</v>
      </c>
      <c r="Q640" t="s">
        <v>357</v>
      </c>
      <c r="R640">
        <v>2069100</v>
      </c>
      <c r="S640" t="s">
        <v>355</v>
      </c>
      <c r="U640" t="s">
        <v>1984</v>
      </c>
      <c r="V640" t="s">
        <v>356</v>
      </c>
      <c r="W640">
        <v>3342</v>
      </c>
      <c r="X640">
        <v>0.91</v>
      </c>
      <c r="Y640">
        <v>7.46</v>
      </c>
      <c r="Z640">
        <v>3342</v>
      </c>
      <c r="AA640">
        <v>0</v>
      </c>
      <c r="AB640">
        <v>44345.97579621528</v>
      </c>
      <c r="AC640" t="s">
        <v>323</v>
      </c>
      <c r="AD640">
        <v>7</v>
      </c>
    </row>
    <row r="641" spans="1:30" x14ac:dyDescent="0.25">
      <c r="A641" t="s">
        <v>1051</v>
      </c>
      <c r="B641" t="s">
        <v>1106</v>
      </c>
      <c r="C641" t="s">
        <v>1979</v>
      </c>
      <c r="D641" t="s">
        <v>1989</v>
      </c>
      <c r="E641" t="s">
        <v>1060</v>
      </c>
      <c r="F641" t="s">
        <v>1061</v>
      </c>
      <c r="G641">
        <v>6101081</v>
      </c>
      <c r="H641">
        <v>202106</v>
      </c>
      <c r="I641">
        <v>44370</v>
      </c>
      <c r="J641">
        <v>125062</v>
      </c>
      <c r="K641" t="s">
        <v>1056</v>
      </c>
      <c r="M641" t="s">
        <v>355</v>
      </c>
      <c r="O641" t="s">
        <v>1981</v>
      </c>
      <c r="P641" t="s">
        <v>1982</v>
      </c>
      <c r="Q641" t="s">
        <v>357</v>
      </c>
      <c r="R641">
        <v>2069100</v>
      </c>
      <c r="S641" t="s">
        <v>355</v>
      </c>
      <c r="U641" t="s">
        <v>1985</v>
      </c>
      <c r="V641" t="s">
        <v>356</v>
      </c>
      <c r="W641">
        <v>24718</v>
      </c>
      <c r="X641">
        <v>6.9</v>
      </c>
      <c r="Y641">
        <v>58.41</v>
      </c>
      <c r="Z641">
        <v>24718</v>
      </c>
      <c r="AA641">
        <v>0</v>
      </c>
      <c r="AB641">
        <v>44379.957195798612</v>
      </c>
      <c r="AC641" t="s">
        <v>323</v>
      </c>
      <c r="AD641">
        <v>7</v>
      </c>
    </row>
    <row r="642" spans="1:30" x14ac:dyDescent="0.25">
      <c r="A642" t="s">
        <v>1051</v>
      </c>
      <c r="B642" t="s">
        <v>1106</v>
      </c>
      <c r="C642" t="s">
        <v>1979</v>
      </c>
      <c r="D642" t="s">
        <v>1989</v>
      </c>
      <c r="E642" t="s">
        <v>1060</v>
      </c>
      <c r="F642" t="s">
        <v>1061</v>
      </c>
      <c r="G642">
        <v>6101337</v>
      </c>
      <c r="H642">
        <v>202107</v>
      </c>
      <c r="I642">
        <v>44400</v>
      </c>
      <c r="J642">
        <v>125062</v>
      </c>
      <c r="K642" t="s">
        <v>1056</v>
      </c>
      <c r="M642" t="s">
        <v>355</v>
      </c>
      <c r="O642" t="s">
        <v>1981</v>
      </c>
      <c r="P642" t="s">
        <v>1982</v>
      </c>
      <c r="Q642" t="s">
        <v>357</v>
      </c>
      <c r="R642">
        <v>2069100</v>
      </c>
      <c r="S642" t="s">
        <v>355</v>
      </c>
      <c r="U642" t="s">
        <v>1986</v>
      </c>
      <c r="V642" t="s">
        <v>356</v>
      </c>
      <c r="W642">
        <v>5102.29</v>
      </c>
      <c r="X642">
        <v>1.34</v>
      </c>
      <c r="Y642">
        <v>11.55</v>
      </c>
      <c r="Z642">
        <v>5102.29</v>
      </c>
      <c r="AA642">
        <v>0</v>
      </c>
      <c r="AB642">
        <v>44410.796117013888</v>
      </c>
      <c r="AC642" t="s">
        <v>323</v>
      </c>
      <c r="AD642">
        <v>7</v>
      </c>
    </row>
    <row r="643" spans="1:30" x14ac:dyDescent="0.25">
      <c r="A643" t="s">
        <v>1051</v>
      </c>
      <c r="B643" t="s">
        <v>1106</v>
      </c>
      <c r="C643" t="s">
        <v>1979</v>
      </c>
      <c r="D643" t="s">
        <v>1989</v>
      </c>
      <c r="E643" t="s">
        <v>1060</v>
      </c>
      <c r="F643" t="s">
        <v>1061</v>
      </c>
      <c r="G643">
        <v>6101764</v>
      </c>
      <c r="H643">
        <v>202108</v>
      </c>
      <c r="I643">
        <v>44432</v>
      </c>
      <c r="J643">
        <v>125062</v>
      </c>
      <c r="K643" t="s">
        <v>1056</v>
      </c>
      <c r="M643" t="s">
        <v>355</v>
      </c>
      <c r="O643" t="s">
        <v>1981</v>
      </c>
      <c r="P643" t="s">
        <v>1982</v>
      </c>
      <c r="Q643" t="s">
        <v>357</v>
      </c>
      <c r="R643">
        <v>2069100</v>
      </c>
      <c r="S643" t="s">
        <v>355</v>
      </c>
      <c r="U643" t="s">
        <v>1987</v>
      </c>
      <c r="V643" t="s">
        <v>356</v>
      </c>
      <c r="W643">
        <v>2430</v>
      </c>
      <c r="X643">
        <v>0.63</v>
      </c>
      <c r="Y643">
        <v>5.46</v>
      </c>
      <c r="Z643">
        <v>2430</v>
      </c>
      <c r="AA643">
        <v>0</v>
      </c>
      <c r="AB643">
        <v>44445.77093564815</v>
      </c>
      <c r="AC643" t="s">
        <v>323</v>
      </c>
      <c r="AD643">
        <v>7</v>
      </c>
    </row>
    <row r="644" spans="1:30" x14ac:dyDescent="0.25">
      <c r="A644" t="s">
        <v>1051</v>
      </c>
      <c r="B644" t="s">
        <v>1106</v>
      </c>
      <c r="C644" t="s">
        <v>1979</v>
      </c>
      <c r="D644" t="s">
        <v>1989</v>
      </c>
      <c r="E644" t="s">
        <v>1060</v>
      </c>
      <c r="F644" t="s">
        <v>1061</v>
      </c>
      <c r="G644">
        <v>6102059</v>
      </c>
      <c r="H644">
        <v>202109</v>
      </c>
      <c r="I644">
        <v>44461</v>
      </c>
      <c r="J644">
        <v>125062</v>
      </c>
      <c r="K644" t="s">
        <v>1056</v>
      </c>
      <c r="M644" t="s">
        <v>355</v>
      </c>
      <c r="O644" t="s">
        <v>1981</v>
      </c>
      <c r="P644" t="s">
        <v>1982</v>
      </c>
      <c r="Q644" t="s">
        <v>357</v>
      </c>
      <c r="R644">
        <v>2069100</v>
      </c>
      <c r="S644" t="s">
        <v>355</v>
      </c>
      <c r="U644" t="s">
        <v>1988</v>
      </c>
      <c r="V644" t="s">
        <v>356</v>
      </c>
      <c r="W644">
        <v>2375</v>
      </c>
      <c r="X644">
        <v>0.62</v>
      </c>
      <c r="Y644">
        <v>5.4</v>
      </c>
      <c r="Z644">
        <v>2375</v>
      </c>
      <c r="AA644">
        <v>0</v>
      </c>
      <c r="AB644">
        <v>44469.971077430557</v>
      </c>
      <c r="AC644" t="s">
        <v>323</v>
      </c>
      <c r="AD644">
        <v>7</v>
      </c>
    </row>
    <row r="645" spans="1:30" x14ac:dyDescent="0.25">
      <c r="A645" t="s">
        <v>1051</v>
      </c>
      <c r="B645" t="s">
        <v>1106</v>
      </c>
      <c r="C645" t="s">
        <v>1979</v>
      </c>
      <c r="D645" t="s">
        <v>1990</v>
      </c>
      <c r="E645" t="s">
        <v>1060</v>
      </c>
      <c r="F645" t="s">
        <v>1061</v>
      </c>
      <c r="G645">
        <v>6100769</v>
      </c>
      <c r="H645">
        <v>202104</v>
      </c>
      <c r="I645">
        <v>44309</v>
      </c>
      <c r="J645">
        <v>122536</v>
      </c>
      <c r="K645" t="s">
        <v>1056</v>
      </c>
      <c r="M645" t="s">
        <v>355</v>
      </c>
      <c r="O645" t="s">
        <v>1981</v>
      </c>
      <c r="P645" t="s">
        <v>1982</v>
      </c>
      <c r="Q645" t="s">
        <v>357</v>
      </c>
      <c r="R645">
        <v>2069100</v>
      </c>
      <c r="S645" t="s">
        <v>355</v>
      </c>
      <c r="U645" t="s">
        <v>1983</v>
      </c>
      <c r="V645" t="s">
        <v>356</v>
      </c>
      <c r="W645">
        <v>193847.74</v>
      </c>
      <c r="X645">
        <v>53.31</v>
      </c>
      <c r="Y645">
        <v>441.59</v>
      </c>
      <c r="Z645">
        <v>193847.74</v>
      </c>
      <c r="AA645">
        <v>231</v>
      </c>
      <c r="AB645">
        <v>44320.775782407407</v>
      </c>
      <c r="AC645" t="s">
        <v>323</v>
      </c>
      <c r="AD645">
        <v>7</v>
      </c>
    </row>
    <row r="646" spans="1:30" x14ac:dyDescent="0.25">
      <c r="A646" t="s">
        <v>1051</v>
      </c>
      <c r="B646" t="s">
        <v>1106</v>
      </c>
      <c r="C646" t="s">
        <v>1979</v>
      </c>
      <c r="D646" t="s">
        <v>1990</v>
      </c>
      <c r="E646" t="s">
        <v>1060</v>
      </c>
      <c r="F646" t="s">
        <v>1061</v>
      </c>
      <c r="G646">
        <v>6100904</v>
      </c>
      <c r="H646">
        <v>202105</v>
      </c>
      <c r="I646">
        <v>44337</v>
      </c>
      <c r="J646">
        <v>122536</v>
      </c>
      <c r="K646" t="s">
        <v>1056</v>
      </c>
      <c r="M646" t="s">
        <v>355</v>
      </c>
      <c r="O646" t="s">
        <v>1981</v>
      </c>
      <c r="P646" t="s">
        <v>1982</v>
      </c>
      <c r="Q646" t="s">
        <v>357</v>
      </c>
      <c r="R646">
        <v>2069100</v>
      </c>
      <c r="S646" t="s">
        <v>355</v>
      </c>
      <c r="U646" t="s">
        <v>1984</v>
      </c>
      <c r="V646" t="s">
        <v>356</v>
      </c>
      <c r="W646">
        <v>206579</v>
      </c>
      <c r="X646">
        <v>56.19</v>
      </c>
      <c r="Y646">
        <v>461.08</v>
      </c>
      <c r="Z646">
        <v>206579</v>
      </c>
      <c r="AA646">
        <v>231</v>
      </c>
      <c r="AB646">
        <v>44345.975795833336</v>
      </c>
      <c r="AC646" t="s">
        <v>323</v>
      </c>
      <c r="AD646">
        <v>7</v>
      </c>
    </row>
    <row r="647" spans="1:30" x14ac:dyDescent="0.25">
      <c r="A647" t="s">
        <v>1051</v>
      </c>
      <c r="B647" t="s">
        <v>1106</v>
      </c>
      <c r="C647" t="s">
        <v>1979</v>
      </c>
      <c r="D647" t="s">
        <v>1990</v>
      </c>
      <c r="E647" t="s">
        <v>1060</v>
      </c>
      <c r="F647" t="s">
        <v>1061</v>
      </c>
      <c r="G647">
        <v>6101081</v>
      </c>
      <c r="H647">
        <v>202106</v>
      </c>
      <c r="I647">
        <v>44370</v>
      </c>
      <c r="J647">
        <v>125062</v>
      </c>
      <c r="K647" t="s">
        <v>1056</v>
      </c>
      <c r="M647" t="s">
        <v>355</v>
      </c>
      <c r="O647" t="s">
        <v>1981</v>
      </c>
      <c r="P647" t="s">
        <v>1982</v>
      </c>
      <c r="Q647" t="s">
        <v>357</v>
      </c>
      <c r="R647">
        <v>2069100</v>
      </c>
      <c r="S647" t="s">
        <v>355</v>
      </c>
      <c r="U647" t="s">
        <v>1985</v>
      </c>
      <c r="V647" t="s">
        <v>356</v>
      </c>
      <c r="W647">
        <v>290590</v>
      </c>
      <c r="X647">
        <v>81.069999999999993</v>
      </c>
      <c r="Y647">
        <v>686.66</v>
      </c>
      <c r="Z647">
        <v>290590</v>
      </c>
      <c r="AA647">
        <v>231</v>
      </c>
      <c r="AB647">
        <v>44379.957195601855</v>
      </c>
      <c r="AC647" t="s">
        <v>323</v>
      </c>
      <c r="AD647">
        <v>7</v>
      </c>
    </row>
    <row r="648" spans="1:30" x14ac:dyDescent="0.25">
      <c r="A648" t="s">
        <v>1051</v>
      </c>
      <c r="B648" t="s">
        <v>1106</v>
      </c>
      <c r="C648" t="s">
        <v>1979</v>
      </c>
      <c r="D648" t="s">
        <v>1990</v>
      </c>
      <c r="E648" t="s">
        <v>1060</v>
      </c>
      <c r="F648" t="s">
        <v>1061</v>
      </c>
      <c r="G648">
        <v>6101337</v>
      </c>
      <c r="H648">
        <v>202107</v>
      </c>
      <c r="I648">
        <v>44400</v>
      </c>
      <c r="J648">
        <v>125062</v>
      </c>
      <c r="K648" t="s">
        <v>1056</v>
      </c>
      <c r="M648" t="s">
        <v>355</v>
      </c>
      <c r="O648" t="s">
        <v>1981</v>
      </c>
      <c r="P648" t="s">
        <v>1982</v>
      </c>
      <c r="Q648" t="s">
        <v>357</v>
      </c>
      <c r="R648">
        <v>2069100</v>
      </c>
      <c r="S648" t="s">
        <v>355</v>
      </c>
      <c r="U648" t="s">
        <v>1986</v>
      </c>
      <c r="V648" t="s">
        <v>356</v>
      </c>
      <c r="W648">
        <v>607421.24</v>
      </c>
      <c r="X648">
        <v>159.75</v>
      </c>
      <c r="Y648">
        <v>1375.2</v>
      </c>
      <c r="Z648">
        <v>607421.24</v>
      </c>
      <c r="AA648">
        <v>231</v>
      </c>
      <c r="AB648">
        <v>44410.79611628472</v>
      </c>
      <c r="AC648" t="s">
        <v>323</v>
      </c>
      <c r="AD648">
        <v>7</v>
      </c>
    </row>
    <row r="649" spans="1:30" x14ac:dyDescent="0.25">
      <c r="A649" t="s">
        <v>1051</v>
      </c>
      <c r="B649" t="s">
        <v>1106</v>
      </c>
      <c r="C649" t="s">
        <v>1979</v>
      </c>
      <c r="D649" t="s">
        <v>1990</v>
      </c>
      <c r="E649" t="s">
        <v>1060</v>
      </c>
      <c r="F649" t="s">
        <v>1061</v>
      </c>
      <c r="G649">
        <v>6101764</v>
      </c>
      <c r="H649">
        <v>202108</v>
      </c>
      <c r="I649">
        <v>44432</v>
      </c>
      <c r="J649">
        <v>125062</v>
      </c>
      <c r="K649" t="s">
        <v>1056</v>
      </c>
      <c r="M649" t="s">
        <v>355</v>
      </c>
      <c r="O649" t="s">
        <v>1981</v>
      </c>
      <c r="P649" t="s">
        <v>1982</v>
      </c>
      <c r="Q649" t="s">
        <v>357</v>
      </c>
      <c r="R649">
        <v>2069100</v>
      </c>
      <c r="S649" t="s">
        <v>355</v>
      </c>
      <c r="U649" t="s">
        <v>1987</v>
      </c>
      <c r="V649" t="s">
        <v>356</v>
      </c>
      <c r="W649">
        <v>289329</v>
      </c>
      <c r="X649">
        <v>74.930000000000007</v>
      </c>
      <c r="Y649">
        <v>649.86</v>
      </c>
      <c r="Z649">
        <v>289329</v>
      </c>
      <c r="AA649">
        <v>231</v>
      </c>
      <c r="AB649">
        <v>44445.77093402778</v>
      </c>
      <c r="AC649" t="s">
        <v>323</v>
      </c>
      <c r="AD649">
        <v>7</v>
      </c>
    </row>
    <row r="650" spans="1:30" x14ac:dyDescent="0.25">
      <c r="A650" t="s">
        <v>1051</v>
      </c>
      <c r="B650" t="s">
        <v>1106</v>
      </c>
      <c r="C650" t="s">
        <v>1979</v>
      </c>
      <c r="D650" t="s">
        <v>1990</v>
      </c>
      <c r="E650" t="s">
        <v>1060</v>
      </c>
      <c r="F650" t="s">
        <v>1061</v>
      </c>
      <c r="G650">
        <v>6102059</v>
      </c>
      <c r="H650">
        <v>202109</v>
      </c>
      <c r="I650">
        <v>44461</v>
      </c>
      <c r="J650">
        <v>125062</v>
      </c>
      <c r="K650" t="s">
        <v>1056</v>
      </c>
      <c r="M650" t="s">
        <v>355</v>
      </c>
      <c r="O650" t="s">
        <v>1981</v>
      </c>
      <c r="P650" t="s">
        <v>1982</v>
      </c>
      <c r="Q650" t="s">
        <v>357</v>
      </c>
      <c r="R650">
        <v>2069100</v>
      </c>
      <c r="S650" t="s">
        <v>355</v>
      </c>
      <c r="U650" t="s">
        <v>1988</v>
      </c>
      <c r="V650" t="s">
        <v>356</v>
      </c>
      <c r="W650">
        <v>282746</v>
      </c>
      <c r="X650">
        <v>73.91</v>
      </c>
      <c r="Y650">
        <v>642.66</v>
      </c>
      <c r="Z650">
        <v>282746</v>
      </c>
      <c r="AA650">
        <v>231</v>
      </c>
      <c r="AB650">
        <v>44469.971076701389</v>
      </c>
      <c r="AC650" t="s">
        <v>323</v>
      </c>
      <c r="AD650">
        <v>7</v>
      </c>
    </row>
    <row r="651" spans="1:30" x14ac:dyDescent="0.25">
      <c r="A651" t="s">
        <v>1050</v>
      </c>
      <c r="B651" t="s">
        <v>1051</v>
      </c>
      <c r="C651" t="s">
        <v>1991</v>
      </c>
      <c r="D651" t="s">
        <v>1991</v>
      </c>
      <c r="E651" t="s">
        <v>1053</v>
      </c>
      <c r="F651" t="s">
        <v>1054</v>
      </c>
      <c r="G651">
        <v>11013147</v>
      </c>
      <c r="H651">
        <v>202106</v>
      </c>
      <c r="I651">
        <v>44377</v>
      </c>
      <c r="J651" t="s">
        <v>1992</v>
      </c>
      <c r="K651" t="s">
        <v>1056</v>
      </c>
      <c r="M651" t="s">
        <v>355</v>
      </c>
      <c r="O651" t="s">
        <v>355</v>
      </c>
      <c r="P651" t="s">
        <v>355</v>
      </c>
      <c r="Q651" t="s">
        <v>357</v>
      </c>
      <c r="R651">
        <v>2069098</v>
      </c>
      <c r="S651" t="s">
        <v>1993</v>
      </c>
      <c r="U651" t="s">
        <v>1994</v>
      </c>
      <c r="V651" t="s">
        <v>1044</v>
      </c>
      <c r="W651">
        <v>541.49</v>
      </c>
      <c r="X651">
        <v>66.010000000000005</v>
      </c>
      <c r="Y651">
        <v>541.49</v>
      </c>
      <c r="Z651">
        <v>53.55</v>
      </c>
      <c r="AA651">
        <v>0</v>
      </c>
      <c r="AB651">
        <v>44392.325876655093</v>
      </c>
      <c r="AC651" t="s">
        <v>323</v>
      </c>
      <c r="AD651">
        <v>7</v>
      </c>
    </row>
    <row r="652" spans="1:30" x14ac:dyDescent="0.25">
      <c r="A652" t="s">
        <v>1050</v>
      </c>
      <c r="B652" t="s">
        <v>1051</v>
      </c>
      <c r="C652" t="s">
        <v>1991</v>
      </c>
      <c r="D652" t="s">
        <v>1991</v>
      </c>
      <c r="E652" t="s">
        <v>1053</v>
      </c>
      <c r="F652" t="s">
        <v>1054</v>
      </c>
      <c r="G652">
        <v>11013147</v>
      </c>
      <c r="H652">
        <v>202106</v>
      </c>
      <c r="I652">
        <v>44377</v>
      </c>
      <c r="J652" t="s">
        <v>1992</v>
      </c>
      <c r="K652" t="s">
        <v>1056</v>
      </c>
      <c r="M652" t="s">
        <v>355</v>
      </c>
      <c r="O652" t="s">
        <v>355</v>
      </c>
      <c r="P652" t="s">
        <v>355</v>
      </c>
      <c r="Q652" t="s">
        <v>357</v>
      </c>
      <c r="R652">
        <v>2069098</v>
      </c>
      <c r="S652" t="s">
        <v>1993</v>
      </c>
      <c r="U652" t="s">
        <v>1995</v>
      </c>
      <c r="V652" t="s">
        <v>1044</v>
      </c>
      <c r="W652">
        <v>541.49</v>
      </c>
      <c r="X652">
        <v>66.010000000000005</v>
      </c>
      <c r="Y652">
        <v>541.49</v>
      </c>
      <c r="Z652">
        <v>53.55</v>
      </c>
      <c r="AA652">
        <v>0</v>
      </c>
      <c r="AB652">
        <v>44392.325876655093</v>
      </c>
      <c r="AC652" t="s">
        <v>323</v>
      </c>
      <c r="AD652">
        <v>7</v>
      </c>
    </row>
    <row r="653" spans="1:30" x14ac:dyDescent="0.25">
      <c r="A653" t="s">
        <v>1050</v>
      </c>
      <c r="B653" t="s">
        <v>1051</v>
      </c>
      <c r="C653" t="s">
        <v>1991</v>
      </c>
      <c r="D653" t="s">
        <v>1991</v>
      </c>
      <c r="E653" t="s">
        <v>1053</v>
      </c>
      <c r="F653" t="s">
        <v>1054</v>
      </c>
      <c r="G653">
        <v>11014108</v>
      </c>
      <c r="H653">
        <v>202107</v>
      </c>
      <c r="I653">
        <v>44408</v>
      </c>
      <c r="J653" t="s">
        <v>1992</v>
      </c>
      <c r="K653" t="s">
        <v>1056</v>
      </c>
      <c r="M653" t="s">
        <v>355</v>
      </c>
      <c r="O653" t="s">
        <v>355</v>
      </c>
      <c r="P653" t="s">
        <v>355</v>
      </c>
      <c r="Q653" t="s">
        <v>357</v>
      </c>
      <c r="R653">
        <v>2069098</v>
      </c>
      <c r="S653" t="s">
        <v>1993</v>
      </c>
      <c r="U653" t="s">
        <v>1996</v>
      </c>
      <c r="V653" t="s">
        <v>1044</v>
      </c>
      <c r="W653">
        <v>566.85</v>
      </c>
      <c r="X653">
        <v>66.180000000000007</v>
      </c>
      <c r="Y653">
        <v>566.85</v>
      </c>
      <c r="Z653">
        <v>54.43</v>
      </c>
      <c r="AA653">
        <v>0</v>
      </c>
      <c r="AB653">
        <v>44426.083351423615</v>
      </c>
      <c r="AC653" t="s">
        <v>323</v>
      </c>
      <c r="AD653">
        <v>7</v>
      </c>
    </row>
    <row r="654" spans="1:30" x14ac:dyDescent="0.25">
      <c r="A654" t="s">
        <v>1050</v>
      </c>
      <c r="B654" t="s">
        <v>1051</v>
      </c>
      <c r="C654" t="s">
        <v>1991</v>
      </c>
      <c r="D654" t="s">
        <v>1991</v>
      </c>
      <c r="E654" t="s">
        <v>1053</v>
      </c>
      <c r="F654" t="s">
        <v>1054</v>
      </c>
      <c r="G654">
        <v>11014108</v>
      </c>
      <c r="H654">
        <v>202107</v>
      </c>
      <c r="I654">
        <v>44408</v>
      </c>
      <c r="J654" t="s">
        <v>1992</v>
      </c>
      <c r="K654" t="s">
        <v>1056</v>
      </c>
      <c r="M654" t="s">
        <v>355</v>
      </c>
      <c r="O654" t="s">
        <v>355</v>
      </c>
      <c r="P654" t="s">
        <v>355</v>
      </c>
      <c r="Q654" t="s">
        <v>357</v>
      </c>
      <c r="R654">
        <v>2069098</v>
      </c>
      <c r="S654" t="s">
        <v>1993</v>
      </c>
      <c r="U654" t="s">
        <v>1997</v>
      </c>
      <c r="V654" t="s">
        <v>1044</v>
      </c>
      <c r="W654">
        <v>566.85</v>
      </c>
      <c r="X654">
        <v>66.180000000000007</v>
      </c>
      <c r="Y654">
        <v>566.85</v>
      </c>
      <c r="Z654">
        <v>54.43</v>
      </c>
      <c r="AA654">
        <v>0</v>
      </c>
      <c r="AB654">
        <v>44426.083351423615</v>
      </c>
      <c r="AC654" t="s">
        <v>323</v>
      </c>
      <c r="AD654">
        <v>7</v>
      </c>
    </row>
    <row r="655" spans="1:30" x14ac:dyDescent="0.25">
      <c r="A655" t="s">
        <v>1050</v>
      </c>
      <c r="B655" t="s">
        <v>1051</v>
      </c>
      <c r="C655" t="s">
        <v>1991</v>
      </c>
      <c r="D655" t="s">
        <v>1991</v>
      </c>
      <c r="E655" t="s">
        <v>1053</v>
      </c>
      <c r="F655" t="s">
        <v>1054</v>
      </c>
      <c r="G655">
        <v>11015267</v>
      </c>
      <c r="H655">
        <v>202108</v>
      </c>
      <c r="I655">
        <v>44439</v>
      </c>
      <c r="J655" t="s">
        <v>1992</v>
      </c>
      <c r="K655" t="s">
        <v>1056</v>
      </c>
      <c r="M655" t="s">
        <v>355</v>
      </c>
      <c r="O655" t="s">
        <v>355</v>
      </c>
      <c r="P655" t="s">
        <v>355</v>
      </c>
      <c r="Q655" t="s">
        <v>357</v>
      </c>
      <c r="R655">
        <v>2069098</v>
      </c>
      <c r="S655" t="s">
        <v>1998</v>
      </c>
      <c r="U655" t="s">
        <v>1999</v>
      </c>
      <c r="V655" t="s">
        <v>1044</v>
      </c>
      <c r="W655">
        <v>579.84</v>
      </c>
      <c r="X655">
        <v>67.12</v>
      </c>
      <c r="Y655">
        <v>579.84</v>
      </c>
      <c r="Z655">
        <v>55.54</v>
      </c>
      <c r="AA655">
        <v>0</v>
      </c>
      <c r="AB655">
        <v>44455.710467627316</v>
      </c>
      <c r="AC655" t="s">
        <v>323</v>
      </c>
      <c r="AD655">
        <v>7</v>
      </c>
    </row>
    <row r="656" spans="1:30" x14ac:dyDescent="0.25">
      <c r="A656" t="s">
        <v>1050</v>
      </c>
      <c r="B656" t="s">
        <v>1051</v>
      </c>
      <c r="C656" t="s">
        <v>1991</v>
      </c>
      <c r="D656" t="s">
        <v>1991</v>
      </c>
      <c r="E656" t="s">
        <v>1053</v>
      </c>
      <c r="F656" t="s">
        <v>1054</v>
      </c>
      <c r="G656">
        <v>11015267</v>
      </c>
      <c r="H656">
        <v>202108</v>
      </c>
      <c r="I656">
        <v>44439</v>
      </c>
      <c r="J656" t="s">
        <v>1992</v>
      </c>
      <c r="K656" t="s">
        <v>1056</v>
      </c>
      <c r="M656" t="s">
        <v>355</v>
      </c>
      <c r="O656" t="s">
        <v>355</v>
      </c>
      <c r="P656" t="s">
        <v>355</v>
      </c>
      <c r="Q656" t="s">
        <v>357</v>
      </c>
      <c r="R656">
        <v>2069098</v>
      </c>
      <c r="S656" t="s">
        <v>1998</v>
      </c>
      <c r="U656" t="s">
        <v>2000</v>
      </c>
      <c r="V656" t="s">
        <v>1044</v>
      </c>
      <c r="W656">
        <v>579.84</v>
      </c>
      <c r="X656">
        <v>67.12</v>
      </c>
      <c r="Y656">
        <v>579.84</v>
      </c>
      <c r="Z656">
        <v>55.54</v>
      </c>
      <c r="AA656">
        <v>0</v>
      </c>
      <c r="AB656">
        <v>44455.710467627316</v>
      </c>
      <c r="AC656" t="s">
        <v>323</v>
      </c>
      <c r="AD656">
        <v>7</v>
      </c>
    </row>
    <row r="657" spans="1:30" x14ac:dyDescent="0.25">
      <c r="A657" t="s">
        <v>1051</v>
      </c>
      <c r="B657" t="s">
        <v>1106</v>
      </c>
      <c r="C657" t="s">
        <v>2001</v>
      </c>
      <c r="D657" t="s">
        <v>2002</v>
      </c>
      <c r="E657" t="s">
        <v>1060</v>
      </c>
      <c r="F657" t="s">
        <v>1061</v>
      </c>
      <c r="G657">
        <v>6101597</v>
      </c>
      <c r="H657">
        <v>202108</v>
      </c>
      <c r="I657">
        <v>44426</v>
      </c>
      <c r="J657">
        <v>124932</v>
      </c>
      <c r="K657" t="s">
        <v>1056</v>
      </c>
      <c r="M657" t="s">
        <v>355</v>
      </c>
      <c r="O657" t="s">
        <v>1252</v>
      </c>
      <c r="P657" t="s">
        <v>1253</v>
      </c>
      <c r="Q657" t="s">
        <v>357</v>
      </c>
      <c r="R657">
        <v>2069092</v>
      </c>
      <c r="S657" t="s">
        <v>355</v>
      </c>
      <c r="U657" t="s">
        <v>2003</v>
      </c>
      <c r="V657" t="s">
        <v>356</v>
      </c>
      <c r="W657">
        <v>52000</v>
      </c>
      <c r="X657">
        <v>13.29</v>
      </c>
      <c r="Y657">
        <v>114.85</v>
      </c>
      <c r="Z657">
        <v>52000</v>
      </c>
      <c r="AA657">
        <v>0</v>
      </c>
      <c r="AB657">
        <v>44431.655247418981</v>
      </c>
      <c r="AC657" t="s">
        <v>323</v>
      </c>
      <c r="AD657">
        <v>7</v>
      </c>
    </row>
    <row r="658" spans="1:30" x14ac:dyDescent="0.25">
      <c r="A658" t="s">
        <v>1051</v>
      </c>
      <c r="B658" t="s">
        <v>1106</v>
      </c>
      <c r="C658" t="s">
        <v>2001</v>
      </c>
      <c r="D658" t="s">
        <v>2002</v>
      </c>
      <c r="E658" t="s">
        <v>1060</v>
      </c>
      <c r="F658" t="s">
        <v>1061</v>
      </c>
      <c r="G658">
        <v>6101597</v>
      </c>
      <c r="H658">
        <v>202108</v>
      </c>
      <c r="I658">
        <v>44426</v>
      </c>
      <c r="J658">
        <v>124932</v>
      </c>
      <c r="K658" t="s">
        <v>1056</v>
      </c>
      <c r="M658" t="s">
        <v>355</v>
      </c>
      <c r="O658" t="s">
        <v>1252</v>
      </c>
      <c r="P658" t="s">
        <v>1253</v>
      </c>
      <c r="Q658" t="s">
        <v>357</v>
      </c>
      <c r="R658">
        <v>2069092</v>
      </c>
      <c r="S658" t="s">
        <v>355</v>
      </c>
      <c r="U658" t="s">
        <v>2004</v>
      </c>
      <c r="V658" t="s">
        <v>356</v>
      </c>
      <c r="W658">
        <v>18800</v>
      </c>
      <c r="X658">
        <v>4.8099999999999996</v>
      </c>
      <c r="Y658">
        <v>41.52</v>
      </c>
      <c r="Z658">
        <v>18800</v>
      </c>
      <c r="AA658">
        <v>0</v>
      </c>
      <c r="AB658">
        <v>44431.655247604169</v>
      </c>
      <c r="AC658" t="s">
        <v>323</v>
      </c>
      <c r="AD658">
        <v>7</v>
      </c>
    </row>
    <row r="659" spans="1:30" x14ac:dyDescent="0.25">
      <c r="A659" t="s">
        <v>1051</v>
      </c>
      <c r="B659" t="s">
        <v>1106</v>
      </c>
      <c r="C659" t="s">
        <v>2001</v>
      </c>
      <c r="D659" t="s">
        <v>2002</v>
      </c>
      <c r="E659" t="s">
        <v>1060</v>
      </c>
      <c r="F659" t="s">
        <v>1061</v>
      </c>
      <c r="G659">
        <v>6101597</v>
      </c>
      <c r="H659">
        <v>202108</v>
      </c>
      <c r="I659">
        <v>44426</v>
      </c>
      <c r="J659">
        <v>124932</v>
      </c>
      <c r="K659" t="s">
        <v>1056</v>
      </c>
      <c r="M659" t="s">
        <v>355</v>
      </c>
      <c r="O659" t="s">
        <v>1252</v>
      </c>
      <c r="P659" t="s">
        <v>1253</v>
      </c>
      <c r="Q659" t="s">
        <v>357</v>
      </c>
      <c r="R659">
        <v>2069092</v>
      </c>
      <c r="S659" t="s">
        <v>355</v>
      </c>
      <c r="U659" t="s">
        <v>2005</v>
      </c>
      <c r="V659" t="s">
        <v>356</v>
      </c>
      <c r="W659">
        <v>24000</v>
      </c>
      <c r="X659">
        <v>6.14</v>
      </c>
      <c r="Y659">
        <v>53.01</v>
      </c>
      <c r="Z659">
        <v>24000</v>
      </c>
      <c r="AA659">
        <v>0</v>
      </c>
      <c r="AB659">
        <v>44431.655247604169</v>
      </c>
      <c r="AC659" t="s">
        <v>323</v>
      </c>
      <c r="AD659">
        <v>7</v>
      </c>
    </row>
    <row r="660" spans="1:30" x14ac:dyDescent="0.25">
      <c r="A660" t="s">
        <v>1051</v>
      </c>
      <c r="B660" t="s">
        <v>1106</v>
      </c>
      <c r="C660" t="s">
        <v>2001</v>
      </c>
      <c r="D660" t="s">
        <v>2002</v>
      </c>
      <c r="E660" t="s">
        <v>1060</v>
      </c>
      <c r="F660" t="s">
        <v>1061</v>
      </c>
      <c r="G660">
        <v>6101597</v>
      </c>
      <c r="H660">
        <v>202108</v>
      </c>
      <c r="I660">
        <v>44426</v>
      </c>
      <c r="J660">
        <v>124932</v>
      </c>
      <c r="K660" t="s">
        <v>1056</v>
      </c>
      <c r="M660" t="s">
        <v>355</v>
      </c>
      <c r="O660" t="s">
        <v>1252</v>
      </c>
      <c r="P660" t="s">
        <v>1253</v>
      </c>
      <c r="Q660" t="s">
        <v>357</v>
      </c>
      <c r="R660">
        <v>2069092</v>
      </c>
      <c r="S660" t="s">
        <v>355</v>
      </c>
      <c r="U660" t="s">
        <v>2006</v>
      </c>
      <c r="V660" t="s">
        <v>356</v>
      </c>
      <c r="W660">
        <v>38000</v>
      </c>
      <c r="X660">
        <v>9.7200000000000006</v>
      </c>
      <c r="Y660">
        <v>83.93</v>
      </c>
      <c r="Z660">
        <v>38000</v>
      </c>
      <c r="AA660">
        <v>0</v>
      </c>
      <c r="AB660">
        <v>44431.655247604169</v>
      </c>
      <c r="AC660" t="s">
        <v>323</v>
      </c>
      <c r="AD660">
        <v>7</v>
      </c>
    </row>
    <row r="661" spans="1:30" x14ac:dyDescent="0.25">
      <c r="A661" t="s">
        <v>1051</v>
      </c>
      <c r="B661" t="s">
        <v>1106</v>
      </c>
      <c r="C661" t="s">
        <v>2001</v>
      </c>
      <c r="D661" t="s">
        <v>2002</v>
      </c>
      <c r="E661" t="s">
        <v>1060</v>
      </c>
      <c r="F661" t="s">
        <v>1061</v>
      </c>
      <c r="G661">
        <v>6101691</v>
      </c>
      <c r="H661">
        <v>202108</v>
      </c>
      <c r="I661">
        <v>44435</v>
      </c>
      <c r="J661">
        <v>124932</v>
      </c>
      <c r="K661" t="s">
        <v>1056</v>
      </c>
      <c r="M661" t="s">
        <v>355</v>
      </c>
      <c r="O661" t="s">
        <v>1252</v>
      </c>
      <c r="P661" t="s">
        <v>1253</v>
      </c>
      <c r="Q661" t="s">
        <v>357</v>
      </c>
      <c r="R661">
        <v>2069092</v>
      </c>
      <c r="S661" t="s">
        <v>355</v>
      </c>
      <c r="U661" t="s">
        <v>2007</v>
      </c>
      <c r="V661" t="s">
        <v>356</v>
      </c>
      <c r="W661">
        <v>554000</v>
      </c>
      <c r="X661">
        <v>143.34</v>
      </c>
      <c r="Y661">
        <v>1248.23</v>
      </c>
      <c r="Z661">
        <v>554000</v>
      </c>
      <c r="AA661">
        <v>0</v>
      </c>
      <c r="AB661">
        <v>44442.156624537034</v>
      </c>
      <c r="AC661" t="s">
        <v>323</v>
      </c>
      <c r="AD661">
        <v>7</v>
      </c>
    </row>
    <row r="662" spans="1:30" x14ac:dyDescent="0.25">
      <c r="A662" t="s">
        <v>1051</v>
      </c>
      <c r="B662" t="s">
        <v>1051</v>
      </c>
      <c r="C662" t="s">
        <v>2008</v>
      </c>
      <c r="D662" t="s">
        <v>2009</v>
      </c>
      <c r="E662" t="s">
        <v>1095</v>
      </c>
      <c r="F662" t="s">
        <v>1096</v>
      </c>
      <c r="G662">
        <v>1100764</v>
      </c>
      <c r="H662">
        <v>202106</v>
      </c>
      <c r="I662">
        <v>44358</v>
      </c>
      <c r="J662">
        <v>10387</v>
      </c>
      <c r="K662" t="s">
        <v>1056</v>
      </c>
      <c r="L662" t="s">
        <v>2010</v>
      </c>
      <c r="M662" t="s">
        <v>2011</v>
      </c>
      <c r="O662" t="s">
        <v>2012</v>
      </c>
      <c r="P662" t="s">
        <v>2013</v>
      </c>
      <c r="Q662" t="s">
        <v>357</v>
      </c>
      <c r="R662">
        <v>2069086</v>
      </c>
      <c r="S662" t="s">
        <v>355</v>
      </c>
      <c r="U662" t="s">
        <v>2014</v>
      </c>
      <c r="V662" t="s">
        <v>356</v>
      </c>
      <c r="W662">
        <v>701000</v>
      </c>
      <c r="X662">
        <v>195.58</v>
      </c>
      <c r="Y662">
        <v>1604.59</v>
      </c>
      <c r="Z662">
        <v>701000</v>
      </c>
      <c r="AA662">
        <v>0</v>
      </c>
      <c r="AB662">
        <v>44369.878481562497</v>
      </c>
      <c r="AC662" t="s">
        <v>323</v>
      </c>
      <c r="AD662">
        <v>7</v>
      </c>
    </row>
    <row r="663" spans="1:30" x14ac:dyDescent="0.25">
      <c r="A663" t="s">
        <v>1051</v>
      </c>
      <c r="B663" t="s">
        <v>1106</v>
      </c>
      <c r="C663" t="s">
        <v>2015</v>
      </c>
      <c r="D663" t="s">
        <v>2016</v>
      </c>
      <c r="E663" t="s">
        <v>1060</v>
      </c>
      <c r="F663" t="s">
        <v>1061</v>
      </c>
      <c r="G663">
        <v>6100594</v>
      </c>
      <c r="H663">
        <v>202104</v>
      </c>
      <c r="I663">
        <v>44298</v>
      </c>
      <c r="J663" t="s">
        <v>1117</v>
      </c>
      <c r="K663" t="s">
        <v>1056</v>
      </c>
      <c r="L663">
        <v>119010</v>
      </c>
      <c r="M663" t="s">
        <v>1823</v>
      </c>
      <c r="O663" t="s">
        <v>2017</v>
      </c>
      <c r="P663" t="s">
        <v>2018</v>
      </c>
      <c r="Q663" t="s">
        <v>357</v>
      </c>
      <c r="R663">
        <v>2069084</v>
      </c>
      <c r="S663" t="s">
        <v>355</v>
      </c>
      <c r="U663" t="s">
        <v>2019</v>
      </c>
      <c r="V663" t="s">
        <v>356</v>
      </c>
      <c r="W663">
        <v>179143</v>
      </c>
      <c r="X663">
        <v>49.26</v>
      </c>
      <c r="Y663">
        <v>421.52</v>
      </c>
      <c r="Z663">
        <v>179143</v>
      </c>
      <c r="AA663">
        <v>0</v>
      </c>
      <c r="AB663">
        <v>44304.264941400463</v>
      </c>
      <c r="AC663" t="s">
        <v>323</v>
      </c>
      <c r="AD663">
        <v>5</v>
      </c>
    </row>
    <row r="664" spans="1:30" x14ac:dyDescent="0.25">
      <c r="A664" t="s">
        <v>1051</v>
      </c>
      <c r="B664" t="s">
        <v>1106</v>
      </c>
      <c r="C664" t="s">
        <v>2015</v>
      </c>
      <c r="D664" t="s">
        <v>2016</v>
      </c>
      <c r="E664" t="s">
        <v>1060</v>
      </c>
      <c r="F664" t="s">
        <v>1061</v>
      </c>
      <c r="G664">
        <v>6100620</v>
      </c>
      <c r="H664">
        <v>202104</v>
      </c>
      <c r="I664">
        <v>44292</v>
      </c>
      <c r="J664">
        <v>122536</v>
      </c>
      <c r="K664" t="s">
        <v>1056</v>
      </c>
      <c r="L664" t="s">
        <v>367</v>
      </c>
      <c r="M664" t="s">
        <v>1889</v>
      </c>
      <c r="O664" t="s">
        <v>2020</v>
      </c>
      <c r="P664" t="s">
        <v>2021</v>
      </c>
      <c r="Q664" t="s">
        <v>357</v>
      </c>
      <c r="R664">
        <v>2069084</v>
      </c>
      <c r="S664" t="s">
        <v>355</v>
      </c>
      <c r="U664" t="s">
        <v>2022</v>
      </c>
      <c r="V664" t="s">
        <v>356</v>
      </c>
      <c r="W664">
        <v>19650</v>
      </c>
      <c r="X664">
        <v>5.48</v>
      </c>
      <c r="Y664">
        <v>47.16</v>
      </c>
      <c r="Z664">
        <v>19650</v>
      </c>
      <c r="AA664">
        <v>0</v>
      </c>
      <c r="AB664">
        <v>44306.726632905091</v>
      </c>
      <c r="AC664" t="s">
        <v>323</v>
      </c>
      <c r="AD664">
        <v>5</v>
      </c>
    </row>
    <row r="665" spans="1:30" x14ac:dyDescent="0.25">
      <c r="A665" t="s">
        <v>1051</v>
      </c>
      <c r="B665" t="s">
        <v>1106</v>
      </c>
      <c r="C665" t="s">
        <v>2015</v>
      </c>
      <c r="D665" t="s">
        <v>2016</v>
      </c>
      <c r="E665" t="s">
        <v>1060</v>
      </c>
      <c r="F665" t="s">
        <v>1061</v>
      </c>
      <c r="G665">
        <v>6100620</v>
      </c>
      <c r="H665">
        <v>202104</v>
      </c>
      <c r="I665">
        <v>44292</v>
      </c>
      <c r="J665">
        <v>122536</v>
      </c>
      <c r="K665" t="s">
        <v>1056</v>
      </c>
      <c r="L665" t="s">
        <v>367</v>
      </c>
      <c r="M665" t="s">
        <v>1889</v>
      </c>
      <c r="O665" t="s">
        <v>1177</v>
      </c>
      <c r="P665" t="s">
        <v>1178</v>
      </c>
      <c r="Q665" t="s">
        <v>357</v>
      </c>
      <c r="R665">
        <v>2069084</v>
      </c>
      <c r="S665" t="s">
        <v>355</v>
      </c>
      <c r="U665" t="s">
        <v>2022</v>
      </c>
      <c r="V665" t="s">
        <v>356</v>
      </c>
      <c r="W665">
        <v>1962</v>
      </c>
      <c r="X665">
        <v>0.55000000000000004</v>
      </c>
      <c r="Y665">
        <v>4.71</v>
      </c>
      <c r="Z665">
        <v>1962</v>
      </c>
      <c r="AA665">
        <v>0</v>
      </c>
      <c r="AB665">
        <v>44306.726633067126</v>
      </c>
      <c r="AC665" t="s">
        <v>323</v>
      </c>
      <c r="AD665">
        <v>5</v>
      </c>
    </row>
    <row r="666" spans="1:30" x14ac:dyDescent="0.25">
      <c r="A666" t="s">
        <v>1051</v>
      </c>
      <c r="B666" t="s">
        <v>1106</v>
      </c>
      <c r="C666" t="s">
        <v>2015</v>
      </c>
      <c r="D666" t="s">
        <v>2016</v>
      </c>
      <c r="E666" t="s">
        <v>1060</v>
      </c>
      <c r="F666" t="s">
        <v>1061</v>
      </c>
      <c r="G666">
        <v>6101438</v>
      </c>
      <c r="H666">
        <v>202107</v>
      </c>
      <c r="I666">
        <v>44399</v>
      </c>
      <c r="J666">
        <v>125062</v>
      </c>
      <c r="K666" t="s">
        <v>1056</v>
      </c>
      <c r="L666">
        <v>119010</v>
      </c>
      <c r="M666" t="s">
        <v>1823</v>
      </c>
      <c r="O666" t="s">
        <v>1174</v>
      </c>
      <c r="P666" t="s">
        <v>1175</v>
      </c>
      <c r="Q666" t="s">
        <v>354</v>
      </c>
      <c r="R666">
        <v>2265776</v>
      </c>
      <c r="S666" t="s">
        <v>355</v>
      </c>
      <c r="U666" t="s">
        <v>2023</v>
      </c>
      <c r="V666" t="s">
        <v>356</v>
      </c>
      <c r="W666">
        <v>21690</v>
      </c>
      <c r="X666">
        <v>5.7</v>
      </c>
      <c r="Y666">
        <v>49.11</v>
      </c>
      <c r="Z666">
        <v>21690</v>
      </c>
      <c r="AA666">
        <v>0</v>
      </c>
      <c r="AB666">
        <v>44412.686229629631</v>
      </c>
      <c r="AC666" t="s">
        <v>325</v>
      </c>
      <c r="AD666">
        <v>5</v>
      </c>
    </row>
    <row r="667" spans="1:30" x14ac:dyDescent="0.25">
      <c r="A667" t="s">
        <v>1051</v>
      </c>
      <c r="B667" t="s">
        <v>1106</v>
      </c>
      <c r="C667" t="s">
        <v>2015</v>
      </c>
      <c r="D667" t="s">
        <v>2016</v>
      </c>
      <c r="E667" t="s">
        <v>1060</v>
      </c>
      <c r="F667" t="s">
        <v>1061</v>
      </c>
      <c r="G667">
        <v>6101438</v>
      </c>
      <c r="H667">
        <v>202107</v>
      </c>
      <c r="I667">
        <v>44399</v>
      </c>
      <c r="J667">
        <v>125062</v>
      </c>
      <c r="K667" t="s">
        <v>1056</v>
      </c>
      <c r="L667">
        <v>119010</v>
      </c>
      <c r="M667" t="s">
        <v>1823</v>
      </c>
      <c r="O667" t="s">
        <v>1177</v>
      </c>
      <c r="P667" t="s">
        <v>1178</v>
      </c>
      <c r="Q667" t="s">
        <v>354</v>
      </c>
      <c r="R667">
        <v>2265776</v>
      </c>
      <c r="S667" t="s">
        <v>355</v>
      </c>
      <c r="U667" t="s">
        <v>2023</v>
      </c>
      <c r="V667" t="s">
        <v>356</v>
      </c>
      <c r="W667">
        <v>1962</v>
      </c>
      <c r="X667">
        <v>0.52</v>
      </c>
      <c r="Y667">
        <v>4.4400000000000004</v>
      </c>
      <c r="Z667">
        <v>1962</v>
      </c>
      <c r="AA667">
        <v>0</v>
      </c>
      <c r="AB667">
        <v>44412.686229780091</v>
      </c>
      <c r="AC667" t="s">
        <v>325</v>
      </c>
      <c r="AD667">
        <v>5</v>
      </c>
    </row>
    <row r="668" spans="1:30" x14ac:dyDescent="0.25">
      <c r="A668" t="s">
        <v>1051</v>
      </c>
      <c r="B668" t="s">
        <v>1106</v>
      </c>
      <c r="C668" t="s">
        <v>2015</v>
      </c>
      <c r="D668" t="s">
        <v>2016</v>
      </c>
      <c r="E668" t="s">
        <v>1060</v>
      </c>
      <c r="F668" t="s">
        <v>1061</v>
      </c>
      <c r="G668">
        <v>6101442</v>
      </c>
      <c r="H668">
        <v>202107</v>
      </c>
      <c r="I668">
        <v>44399</v>
      </c>
      <c r="J668">
        <v>125062</v>
      </c>
      <c r="K668" t="s">
        <v>1056</v>
      </c>
      <c r="L668" t="s">
        <v>360</v>
      </c>
      <c r="M668" t="s">
        <v>1838</v>
      </c>
      <c r="O668" t="s">
        <v>1174</v>
      </c>
      <c r="P668" t="s">
        <v>1175</v>
      </c>
      <c r="Q668" t="s">
        <v>354</v>
      </c>
      <c r="R668">
        <v>2265776</v>
      </c>
      <c r="S668" t="s">
        <v>355</v>
      </c>
      <c r="U668" t="s">
        <v>2024</v>
      </c>
      <c r="V668" t="s">
        <v>356</v>
      </c>
      <c r="W668">
        <v>29140</v>
      </c>
      <c r="X668">
        <v>7.66</v>
      </c>
      <c r="Y668">
        <v>65.97</v>
      </c>
      <c r="Z668">
        <v>29140</v>
      </c>
      <c r="AA668">
        <v>0</v>
      </c>
      <c r="AB668">
        <v>44412.693331249997</v>
      </c>
      <c r="AC668" t="s">
        <v>325</v>
      </c>
      <c r="AD668">
        <v>5</v>
      </c>
    </row>
    <row r="669" spans="1:30" x14ac:dyDescent="0.25">
      <c r="A669" t="s">
        <v>1051</v>
      </c>
      <c r="B669" t="s">
        <v>1106</v>
      </c>
      <c r="C669" t="s">
        <v>2015</v>
      </c>
      <c r="D669" t="s">
        <v>2016</v>
      </c>
      <c r="E669" t="s">
        <v>1060</v>
      </c>
      <c r="F669" t="s">
        <v>1061</v>
      </c>
      <c r="G669">
        <v>6101442</v>
      </c>
      <c r="H669">
        <v>202107</v>
      </c>
      <c r="I669">
        <v>44399</v>
      </c>
      <c r="J669">
        <v>125062</v>
      </c>
      <c r="K669" t="s">
        <v>1056</v>
      </c>
      <c r="L669" t="s">
        <v>360</v>
      </c>
      <c r="M669" t="s">
        <v>1838</v>
      </c>
      <c r="O669" t="s">
        <v>1177</v>
      </c>
      <c r="P669" t="s">
        <v>1178</v>
      </c>
      <c r="Q669" t="s">
        <v>354</v>
      </c>
      <c r="R669">
        <v>2265776</v>
      </c>
      <c r="S669" t="s">
        <v>355</v>
      </c>
      <c r="U669" t="s">
        <v>2024</v>
      </c>
      <c r="V669" t="s">
        <v>356</v>
      </c>
      <c r="W669">
        <v>1962</v>
      </c>
      <c r="X669">
        <v>0.52</v>
      </c>
      <c r="Y669">
        <v>4.4400000000000004</v>
      </c>
      <c r="Z669">
        <v>1962</v>
      </c>
      <c r="AA669">
        <v>0</v>
      </c>
      <c r="AB669">
        <v>44412.693331249997</v>
      </c>
      <c r="AC669" t="s">
        <v>325</v>
      </c>
      <c r="AD669">
        <v>5</v>
      </c>
    </row>
    <row r="670" spans="1:30" x14ac:dyDescent="0.25">
      <c r="A670" t="s">
        <v>1051</v>
      </c>
      <c r="B670" t="s">
        <v>1106</v>
      </c>
      <c r="C670" t="s">
        <v>2015</v>
      </c>
      <c r="D670" t="s">
        <v>2016</v>
      </c>
      <c r="E670" t="s">
        <v>1060</v>
      </c>
      <c r="F670" t="s">
        <v>1061</v>
      </c>
      <c r="G670">
        <v>6101784</v>
      </c>
      <c r="H670">
        <v>202108</v>
      </c>
      <c r="I670">
        <v>44418</v>
      </c>
      <c r="J670">
        <v>125062</v>
      </c>
      <c r="K670" t="s">
        <v>1056</v>
      </c>
      <c r="L670" t="s">
        <v>472</v>
      </c>
      <c r="M670" t="s">
        <v>1901</v>
      </c>
      <c r="O670" t="s">
        <v>1174</v>
      </c>
      <c r="P670" t="s">
        <v>1175</v>
      </c>
      <c r="Q670" t="s">
        <v>357</v>
      </c>
      <c r="R670">
        <v>2069084</v>
      </c>
      <c r="S670" t="s">
        <v>355</v>
      </c>
      <c r="U670" t="s">
        <v>2025</v>
      </c>
      <c r="V670" t="s">
        <v>356</v>
      </c>
      <c r="W670">
        <v>31350</v>
      </c>
      <c r="X670">
        <v>8.02</v>
      </c>
      <c r="Y670">
        <v>69.239999999999995</v>
      </c>
      <c r="Z670">
        <v>31350</v>
      </c>
      <c r="AA670">
        <v>0</v>
      </c>
      <c r="AB670">
        <v>44445.891075196756</v>
      </c>
      <c r="AC670" t="s">
        <v>323</v>
      </c>
      <c r="AD670">
        <v>5</v>
      </c>
    </row>
    <row r="671" spans="1:30" x14ac:dyDescent="0.25">
      <c r="A671" t="s">
        <v>1051</v>
      </c>
      <c r="B671" t="s">
        <v>1106</v>
      </c>
      <c r="C671" t="s">
        <v>2015</v>
      </c>
      <c r="D671" t="s">
        <v>2016</v>
      </c>
      <c r="E671" t="s">
        <v>1060</v>
      </c>
      <c r="F671" t="s">
        <v>1061</v>
      </c>
      <c r="G671">
        <v>6101784</v>
      </c>
      <c r="H671">
        <v>202108</v>
      </c>
      <c r="I671">
        <v>44418</v>
      </c>
      <c r="J671">
        <v>125062</v>
      </c>
      <c r="K671" t="s">
        <v>1056</v>
      </c>
      <c r="L671" t="s">
        <v>472</v>
      </c>
      <c r="M671" t="s">
        <v>1901</v>
      </c>
      <c r="O671" t="s">
        <v>1177</v>
      </c>
      <c r="P671" t="s">
        <v>1178</v>
      </c>
      <c r="Q671" t="s">
        <v>357</v>
      </c>
      <c r="R671">
        <v>2069084</v>
      </c>
      <c r="S671" t="s">
        <v>355</v>
      </c>
      <c r="U671" t="s">
        <v>2025</v>
      </c>
      <c r="V671" t="s">
        <v>356</v>
      </c>
      <c r="W671">
        <v>1962</v>
      </c>
      <c r="X671">
        <v>0.5</v>
      </c>
      <c r="Y671">
        <v>4.33</v>
      </c>
      <c r="Z671">
        <v>1962</v>
      </c>
      <c r="AA671">
        <v>0</v>
      </c>
      <c r="AB671">
        <v>44445.891075381944</v>
      </c>
      <c r="AC671" t="s">
        <v>323</v>
      </c>
      <c r="AD671">
        <v>5</v>
      </c>
    </row>
    <row r="672" spans="1:30" x14ac:dyDescent="0.25">
      <c r="A672" t="s">
        <v>1051</v>
      </c>
      <c r="B672" t="s">
        <v>1106</v>
      </c>
      <c r="C672" t="s">
        <v>2015</v>
      </c>
      <c r="D672" t="s">
        <v>2016</v>
      </c>
      <c r="E672" t="s">
        <v>1060</v>
      </c>
      <c r="F672" t="s">
        <v>1061</v>
      </c>
      <c r="G672">
        <v>6101809</v>
      </c>
      <c r="H672">
        <v>202108</v>
      </c>
      <c r="I672">
        <v>44428</v>
      </c>
      <c r="J672">
        <v>125062</v>
      </c>
      <c r="K672" t="s">
        <v>1056</v>
      </c>
      <c r="L672" t="s">
        <v>364</v>
      </c>
      <c r="M672" t="s">
        <v>1850</v>
      </c>
      <c r="O672" t="s">
        <v>1174</v>
      </c>
      <c r="P672" t="s">
        <v>1175</v>
      </c>
      <c r="Q672" t="s">
        <v>357</v>
      </c>
      <c r="R672">
        <v>2069084</v>
      </c>
      <c r="S672" t="s">
        <v>355</v>
      </c>
      <c r="U672" t="s">
        <v>2026</v>
      </c>
      <c r="V672" t="s">
        <v>356</v>
      </c>
      <c r="W672">
        <v>21390</v>
      </c>
      <c r="X672">
        <v>5.54</v>
      </c>
      <c r="Y672">
        <v>48.04</v>
      </c>
      <c r="Z672">
        <v>21390</v>
      </c>
      <c r="AA672">
        <v>0</v>
      </c>
      <c r="AB672">
        <v>44446.549343287035</v>
      </c>
      <c r="AC672" t="s">
        <v>323</v>
      </c>
      <c r="AD672">
        <v>5</v>
      </c>
    </row>
    <row r="673" spans="1:30" x14ac:dyDescent="0.25">
      <c r="A673" t="s">
        <v>1051</v>
      </c>
      <c r="B673" t="s">
        <v>1106</v>
      </c>
      <c r="C673" t="s">
        <v>2015</v>
      </c>
      <c r="D673" t="s">
        <v>2016</v>
      </c>
      <c r="E673" t="s">
        <v>1060</v>
      </c>
      <c r="F673" t="s">
        <v>1061</v>
      </c>
      <c r="G673">
        <v>6101809</v>
      </c>
      <c r="H673">
        <v>202108</v>
      </c>
      <c r="I673">
        <v>44428</v>
      </c>
      <c r="J673">
        <v>125062</v>
      </c>
      <c r="K673" t="s">
        <v>1056</v>
      </c>
      <c r="L673" t="s">
        <v>364</v>
      </c>
      <c r="M673" t="s">
        <v>1850</v>
      </c>
      <c r="O673" t="s">
        <v>1177</v>
      </c>
      <c r="P673" t="s">
        <v>1178</v>
      </c>
      <c r="Q673" t="s">
        <v>357</v>
      </c>
      <c r="R673">
        <v>2069084</v>
      </c>
      <c r="S673" t="s">
        <v>355</v>
      </c>
      <c r="U673" t="s">
        <v>2026</v>
      </c>
      <c r="V673" t="s">
        <v>356</v>
      </c>
      <c r="W673">
        <v>1962</v>
      </c>
      <c r="X673">
        <v>0.51</v>
      </c>
      <c r="Y673">
        <v>4.41</v>
      </c>
      <c r="Z673">
        <v>1962</v>
      </c>
      <c r="AA673">
        <v>0</v>
      </c>
      <c r="AB673">
        <v>44446.549343287035</v>
      </c>
      <c r="AC673" t="s">
        <v>323</v>
      </c>
      <c r="AD673">
        <v>5</v>
      </c>
    </row>
    <row r="674" spans="1:30" x14ac:dyDescent="0.25">
      <c r="A674" t="s">
        <v>1051</v>
      </c>
      <c r="B674" t="s">
        <v>1106</v>
      </c>
      <c r="C674" t="s">
        <v>2015</v>
      </c>
      <c r="D674" t="s">
        <v>2016</v>
      </c>
      <c r="E674" t="s">
        <v>1060</v>
      </c>
      <c r="F674" t="s">
        <v>1061</v>
      </c>
      <c r="G674">
        <v>6102239</v>
      </c>
      <c r="H674">
        <v>202109</v>
      </c>
      <c r="I674">
        <v>44467</v>
      </c>
      <c r="J674">
        <v>125062</v>
      </c>
      <c r="K674" t="s">
        <v>1056</v>
      </c>
      <c r="L674">
        <v>124475</v>
      </c>
      <c r="M674" t="s">
        <v>1864</v>
      </c>
      <c r="O674" t="s">
        <v>1174</v>
      </c>
      <c r="P674" t="s">
        <v>1175</v>
      </c>
      <c r="Q674" t="s">
        <v>354</v>
      </c>
      <c r="R674">
        <v>2265776</v>
      </c>
      <c r="S674" t="s">
        <v>355</v>
      </c>
      <c r="U674" t="s">
        <v>2027</v>
      </c>
      <c r="V674" t="s">
        <v>356</v>
      </c>
      <c r="W674">
        <v>17760</v>
      </c>
      <c r="X674">
        <v>4.63</v>
      </c>
      <c r="Y674">
        <v>40.270000000000003</v>
      </c>
      <c r="Z674">
        <v>17760</v>
      </c>
      <c r="AA674">
        <v>0</v>
      </c>
      <c r="AB674">
        <v>44474.985582407404</v>
      </c>
      <c r="AC674" t="s">
        <v>325</v>
      </c>
      <c r="AD674">
        <v>5</v>
      </c>
    </row>
    <row r="675" spans="1:30" x14ac:dyDescent="0.25">
      <c r="A675" t="s">
        <v>1051</v>
      </c>
      <c r="B675" t="s">
        <v>1106</v>
      </c>
      <c r="C675" t="s">
        <v>2015</v>
      </c>
      <c r="D675" t="s">
        <v>2016</v>
      </c>
      <c r="E675" t="s">
        <v>1060</v>
      </c>
      <c r="F675" t="s">
        <v>1061</v>
      </c>
      <c r="G675">
        <v>6102239</v>
      </c>
      <c r="H675">
        <v>202109</v>
      </c>
      <c r="I675">
        <v>44467</v>
      </c>
      <c r="J675">
        <v>125062</v>
      </c>
      <c r="K675" t="s">
        <v>1056</v>
      </c>
      <c r="L675">
        <v>124475</v>
      </c>
      <c r="M675" t="s">
        <v>1864</v>
      </c>
      <c r="O675" t="s">
        <v>1177</v>
      </c>
      <c r="P675" t="s">
        <v>1178</v>
      </c>
      <c r="Q675" t="s">
        <v>354</v>
      </c>
      <c r="R675">
        <v>2265776</v>
      </c>
      <c r="S675" t="s">
        <v>355</v>
      </c>
      <c r="U675" t="s">
        <v>2027</v>
      </c>
      <c r="V675" t="s">
        <v>356</v>
      </c>
      <c r="W675">
        <v>2875</v>
      </c>
      <c r="X675">
        <v>0.75</v>
      </c>
      <c r="Y675">
        <v>6.52</v>
      </c>
      <c r="Z675">
        <v>2875</v>
      </c>
      <c r="AA675">
        <v>0</v>
      </c>
      <c r="AB675">
        <v>44474.985582407404</v>
      </c>
      <c r="AC675" t="s">
        <v>325</v>
      </c>
      <c r="AD675">
        <v>5</v>
      </c>
    </row>
    <row r="676" spans="1:30" x14ac:dyDescent="0.25">
      <c r="A676" t="s">
        <v>1051</v>
      </c>
      <c r="B676" t="s">
        <v>1106</v>
      </c>
      <c r="C676" t="s">
        <v>2015</v>
      </c>
      <c r="D676" t="s">
        <v>2016</v>
      </c>
      <c r="E676" t="s">
        <v>1060</v>
      </c>
      <c r="F676" t="s">
        <v>1061</v>
      </c>
      <c r="G676">
        <v>6102012</v>
      </c>
      <c r="H676">
        <v>202109</v>
      </c>
      <c r="I676">
        <v>44450</v>
      </c>
      <c r="J676">
        <v>125062</v>
      </c>
      <c r="K676" t="s">
        <v>1056</v>
      </c>
      <c r="L676" t="s">
        <v>2028</v>
      </c>
      <c r="M676" t="s">
        <v>2029</v>
      </c>
      <c r="O676" t="s">
        <v>1174</v>
      </c>
      <c r="P676" t="s">
        <v>1175</v>
      </c>
      <c r="Q676" t="s">
        <v>357</v>
      </c>
      <c r="R676">
        <v>2069084</v>
      </c>
      <c r="S676" t="s">
        <v>355</v>
      </c>
      <c r="U676" t="s">
        <v>2030</v>
      </c>
      <c r="V676" t="s">
        <v>356</v>
      </c>
      <c r="W676">
        <v>32470</v>
      </c>
      <c r="X676">
        <v>8.51</v>
      </c>
      <c r="Y676">
        <v>74.12</v>
      </c>
      <c r="Z676">
        <v>32470</v>
      </c>
      <c r="AA676">
        <v>0</v>
      </c>
      <c r="AB676">
        <v>44460.849754317132</v>
      </c>
      <c r="AC676" t="s">
        <v>323</v>
      </c>
      <c r="AD676">
        <v>5</v>
      </c>
    </row>
    <row r="677" spans="1:30" x14ac:dyDescent="0.25">
      <c r="A677" t="s">
        <v>1051</v>
      </c>
      <c r="B677" t="s">
        <v>1106</v>
      </c>
      <c r="C677" t="s">
        <v>2015</v>
      </c>
      <c r="D677" t="s">
        <v>2016</v>
      </c>
      <c r="E677" t="s">
        <v>1060</v>
      </c>
      <c r="F677" t="s">
        <v>1061</v>
      </c>
      <c r="G677">
        <v>6102012</v>
      </c>
      <c r="H677">
        <v>202109</v>
      </c>
      <c r="I677">
        <v>44450</v>
      </c>
      <c r="J677">
        <v>125062</v>
      </c>
      <c r="K677" t="s">
        <v>1056</v>
      </c>
      <c r="L677" t="s">
        <v>2028</v>
      </c>
      <c r="M677" t="s">
        <v>2029</v>
      </c>
      <c r="O677" t="s">
        <v>1177</v>
      </c>
      <c r="P677" t="s">
        <v>1178</v>
      </c>
      <c r="Q677" t="s">
        <v>357</v>
      </c>
      <c r="R677">
        <v>2069084</v>
      </c>
      <c r="S677" t="s">
        <v>355</v>
      </c>
      <c r="U677" t="s">
        <v>2030</v>
      </c>
      <c r="V677" t="s">
        <v>356</v>
      </c>
      <c r="W677">
        <v>1962</v>
      </c>
      <c r="X677">
        <v>0.51</v>
      </c>
      <c r="Y677">
        <v>4.4800000000000004</v>
      </c>
      <c r="Z677">
        <v>1962</v>
      </c>
      <c r="AA677">
        <v>0</v>
      </c>
      <c r="AB677">
        <v>44460.849754317132</v>
      </c>
      <c r="AC677" t="s">
        <v>323</v>
      </c>
      <c r="AD677">
        <v>5</v>
      </c>
    </row>
    <row r="678" spans="1:30" x14ac:dyDescent="0.25">
      <c r="A678" t="s">
        <v>1051</v>
      </c>
      <c r="B678" t="s">
        <v>1106</v>
      </c>
      <c r="C678" t="s">
        <v>2015</v>
      </c>
      <c r="D678" t="s">
        <v>2016</v>
      </c>
      <c r="E678" t="s">
        <v>1060</v>
      </c>
      <c r="F678" t="s">
        <v>1061</v>
      </c>
      <c r="G678">
        <v>6101983</v>
      </c>
      <c r="H678">
        <v>202109</v>
      </c>
      <c r="I678">
        <v>44441</v>
      </c>
      <c r="J678">
        <v>125062</v>
      </c>
      <c r="K678" t="s">
        <v>1056</v>
      </c>
      <c r="L678" t="s">
        <v>358</v>
      </c>
      <c r="M678" t="s">
        <v>1827</v>
      </c>
      <c r="O678" t="s">
        <v>1174</v>
      </c>
      <c r="P678" t="s">
        <v>1175</v>
      </c>
      <c r="Q678" t="s">
        <v>357</v>
      </c>
      <c r="R678">
        <v>2069084</v>
      </c>
      <c r="S678" t="s">
        <v>355</v>
      </c>
      <c r="U678" t="s">
        <v>2031</v>
      </c>
      <c r="V678" t="s">
        <v>356</v>
      </c>
      <c r="W678">
        <v>15570</v>
      </c>
      <c r="X678">
        <v>4.1500000000000004</v>
      </c>
      <c r="Y678">
        <v>36.049999999999997</v>
      </c>
      <c r="Z678">
        <v>15570</v>
      </c>
      <c r="AA678">
        <v>0</v>
      </c>
      <c r="AB678">
        <v>44460.547416932874</v>
      </c>
      <c r="AC678" t="s">
        <v>323</v>
      </c>
      <c r="AD678">
        <v>5</v>
      </c>
    </row>
    <row r="679" spans="1:30" x14ac:dyDescent="0.25">
      <c r="A679" t="s">
        <v>1051</v>
      </c>
      <c r="B679" t="s">
        <v>1106</v>
      </c>
      <c r="C679" t="s">
        <v>2015</v>
      </c>
      <c r="D679" t="s">
        <v>2016</v>
      </c>
      <c r="E679" t="s">
        <v>1060</v>
      </c>
      <c r="F679" t="s">
        <v>1061</v>
      </c>
      <c r="G679">
        <v>6101983</v>
      </c>
      <c r="H679">
        <v>202109</v>
      </c>
      <c r="I679">
        <v>44441</v>
      </c>
      <c r="J679">
        <v>125062</v>
      </c>
      <c r="K679" t="s">
        <v>1056</v>
      </c>
      <c r="L679" t="s">
        <v>358</v>
      </c>
      <c r="M679" t="s">
        <v>1827</v>
      </c>
      <c r="O679" t="s">
        <v>1177</v>
      </c>
      <c r="P679" t="s">
        <v>1178</v>
      </c>
      <c r="Q679" t="s">
        <v>357</v>
      </c>
      <c r="R679">
        <v>2069084</v>
      </c>
      <c r="S679" t="s">
        <v>2032</v>
      </c>
      <c r="U679" t="s">
        <v>2031</v>
      </c>
      <c r="V679" t="s">
        <v>356</v>
      </c>
      <c r="W679">
        <v>795</v>
      </c>
      <c r="X679">
        <v>0.21</v>
      </c>
      <c r="Y679">
        <v>1.84</v>
      </c>
      <c r="Z679">
        <v>795</v>
      </c>
      <c r="AA679">
        <v>0</v>
      </c>
      <c r="AB679">
        <v>44460.547416932874</v>
      </c>
      <c r="AC679" t="s">
        <v>323</v>
      </c>
      <c r="AD679">
        <v>5</v>
      </c>
    </row>
    <row r="680" spans="1:30" x14ac:dyDescent="0.25">
      <c r="A680" t="s">
        <v>1051</v>
      </c>
      <c r="B680" t="s">
        <v>1106</v>
      </c>
      <c r="C680" t="s">
        <v>2015</v>
      </c>
      <c r="D680" t="s">
        <v>2016</v>
      </c>
      <c r="E680" t="s">
        <v>1060</v>
      </c>
      <c r="F680" t="s">
        <v>1061</v>
      </c>
      <c r="G680">
        <v>6102243</v>
      </c>
      <c r="H680">
        <v>202109</v>
      </c>
      <c r="I680">
        <v>44468</v>
      </c>
      <c r="J680">
        <v>125062</v>
      </c>
      <c r="K680" t="s">
        <v>1056</v>
      </c>
      <c r="L680" t="s">
        <v>472</v>
      </c>
      <c r="M680" t="s">
        <v>1901</v>
      </c>
      <c r="O680" t="s">
        <v>2033</v>
      </c>
      <c r="P680" t="s">
        <v>2034</v>
      </c>
      <c r="Q680" t="s">
        <v>357</v>
      </c>
      <c r="R680">
        <v>2069084</v>
      </c>
      <c r="S680" t="s">
        <v>2035</v>
      </c>
      <c r="U680" t="s">
        <v>2036</v>
      </c>
      <c r="V680" t="s">
        <v>356</v>
      </c>
      <c r="W680">
        <v>6950</v>
      </c>
      <c r="X680">
        <v>1.81</v>
      </c>
      <c r="Y680">
        <v>15.76</v>
      </c>
      <c r="Z680">
        <v>6950</v>
      </c>
      <c r="AA680">
        <v>0</v>
      </c>
      <c r="AB680">
        <v>44474.991341782406</v>
      </c>
      <c r="AC680" t="s">
        <v>323</v>
      </c>
      <c r="AD680">
        <v>5</v>
      </c>
    </row>
    <row r="681" spans="1:30" x14ac:dyDescent="0.25">
      <c r="A681" t="s">
        <v>1051</v>
      </c>
      <c r="B681" t="s">
        <v>1106</v>
      </c>
      <c r="C681" t="s">
        <v>2015</v>
      </c>
      <c r="D681" t="s">
        <v>2016</v>
      </c>
      <c r="E681" t="s">
        <v>1060</v>
      </c>
      <c r="F681" t="s">
        <v>1061</v>
      </c>
      <c r="G681">
        <v>6102243</v>
      </c>
      <c r="H681">
        <v>202109</v>
      </c>
      <c r="I681">
        <v>44468</v>
      </c>
      <c r="J681">
        <v>125062</v>
      </c>
      <c r="K681" t="s">
        <v>1056</v>
      </c>
      <c r="L681" t="s">
        <v>472</v>
      </c>
      <c r="M681" t="s">
        <v>1901</v>
      </c>
      <c r="O681" t="s">
        <v>1177</v>
      </c>
      <c r="P681" t="s">
        <v>1178</v>
      </c>
      <c r="Q681" t="s">
        <v>357</v>
      </c>
      <c r="R681">
        <v>2069084</v>
      </c>
      <c r="S681" t="s">
        <v>355</v>
      </c>
      <c r="U681" t="s">
        <v>2036</v>
      </c>
      <c r="V681" t="s">
        <v>356</v>
      </c>
      <c r="W681">
        <v>795</v>
      </c>
      <c r="X681">
        <v>0.21</v>
      </c>
      <c r="Y681">
        <v>1.8</v>
      </c>
      <c r="Z681">
        <v>795</v>
      </c>
      <c r="AA681">
        <v>0</v>
      </c>
      <c r="AB681">
        <v>44474.991341782406</v>
      </c>
      <c r="AC681" t="s">
        <v>323</v>
      </c>
      <c r="AD681">
        <v>5</v>
      </c>
    </row>
    <row r="682" spans="1:30" x14ac:dyDescent="0.25">
      <c r="A682" t="s">
        <v>1051</v>
      </c>
      <c r="B682" t="s">
        <v>1106</v>
      </c>
      <c r="C682" t="s">
        <v>2015</v>
      </c>
      <c r="D682" t="s">
        <v>2016</v>
      </c>
      <c r="E682" t="s">
        <v>1060</v>
      </c>
      <c r="F682" t="s">
        <v>1061</v>
      </c>
      <c r="G682">
        <v>6102242</v>
      </c>
      <c r="H682">
        <v>202109</v>
      </c>
      <c r="I682">
        <v>44468</v>
      </c>
      <c r="J682">
        <v>125062</v>
      </c>
      <c r="K682" t="s">
        <v>1056</v>
      </c>
      <c r="L682" t="s">
        <v>472</v>
      </c>
      <c r="M682" t="s">
        <v>1901</v>
      </c>
      <c r="O682" t="s">
        <v>1174</v>
      </c>
      <c r="P682" t="s">
        <v>1175</v>
      </c>
      <c r="Q682" t="s">
        <v>357</v>
      </c>
      <c r="R682">
        <v>2069084</v>
      </c>
      <c r="S682" t="s">
        <v>355</v>
      </c>
      <c r="U682" t="s">
        <v>2037</v>
      </c>
      <c r="V682" t="s">
        <v>356</v>
      </c>
      <c r="W682">
        <v>7600</v>
      </c>
      <c r="X682">
        <v>1.98</v>
      </c>
      <c r="Y682">
        <v>17.23</v>
      </c>
      <c r="Z682">
        <v>7600</v>
      </c>
      <c r="AA682">
        <v>0</v>
      </c>
      <c r="AB682">
        <v>44474.989527280093</v>
      </c>
      <c r="AC682" t="s">
        <v>323</v>
      </c>
      <c r="AD682">
        <v>5</v>
      </c>
    </row>
    <row r="683" spans="1:30" x14ac:dyDescent="0.25">
      <c r="A683" t="s">
        <v>1051</v>
      </c>
      <c r="B683" t="s">
        <v>1106</v>
      </c>
      <c r="C683" t="s">
        <v>2015</v>
      </c>
      <c r="D683" t="s">
        <v>2016</v>
      </c>
      <c r="E683" t="s">
        <v>1060</v>
      </c>
      <c r="F683" t="s">
        <v>1061</v>
      </c>
      <c r="G683">
        <v>6102242</v>
      </c>
      <c r="H683">
        <v>202109</v>
      </c>
      <c r="I683">
        <v>44468</v>
      </c>
      <c r="J683">
        <v>125062</v>
      </c>
      <c r="K683" t="s">
        <v>1056</v>
      </c>
      <c r="L683" t="s">
        <v>472</v>
      </c>
      <c r="M683" t="s">
        <v>1901</v>
      </c>
      <c r="O683" t="s">
        <v>1177</v>
      </c>
      <c r="P683" t="s">
        <v>1178</v>
      </c>
      <c r="Q683" t="s">
        <v>357</v>
      </c>
      <c r="R683">
        <v>2069084</v>
      </c>
      <c r="S683" t="s">
        <v>355</v>
      </c>
      <c r="U683" t="s">
        <v>2037</v>
      </c>
      <c r="V683" t="s">
        <v>356</v>
      </c>
      <c r="W683">
        <v>795</v>
      </c>
      <c r="X683">
        <v>0.21</v>
      </c>
      <c r="Y683">
        <v>1.8</v>
      </c>
      <c r="Z683">
        <v>795</v>
      </c>
      <c r="AA683">
        <v>0</v>
      </c>
      <c r="AB683">
        <v>44474.989527465281</v>
      </c>
      <c r="AC683" t="s">
        <v>323</v>
      </c>
      <c r="AD683">
        <v>5</v>
      </c>
    </row>
    <row r="684" spans="1:30" x14ac:dyDescent="0.25">
      <c r="A684" t="s">
        <v>1051</v>
      </c>
      <c r="B684" t="s">
        <v>1106</v>
      </c>
      <c r="C684" t="s">
        <v>2015</v>
      </c>
      <c r="D684" t="s">
        <v>2016</v>
      </c>
      <c r="E684" t="s">
        <v>1060</v>
      </c>
      <c r="F684" t="s">
        <v>1061</v>
      </c>
      <c r="G684">
        <v>6102238</v>
      </c>
      <c r="H684">
        <v>202109</v>
      </c>
      <c r="I684">
        <v>44467</v>
      </c>
      <c r="J684">
        <v>125062</v>
      </c>
      <c r="K684" t="s">
        <v>1056</v>
      </c>
      <c r="L684" t="s">
        <v>365</v>
      </c>
      <c r="M684" t="s">
        <v>1853</v>
      </c>
      <c r="O684" t="s">
        <v>1174</v>
      </c>
      <c r="P684" t="s">
        <v>1175</v>
      </c>
      <c r="Q684" t="s">
        <v>354</v>
      </c>
      <c r="R684">
        <v>2265776</v>
      </c>
      <c r="S684" t="s">
        <v>355</v>
      </c>
      <c r="U684" t="s">
        <v>2038</v>
      </c>
      <c r="V684" t="s">
        <v>356</v>
      </c>
      <c r="W684">
        <v>17760</v>
      </c>
      <c r="X684">
        <v>4.63</v>
      </c>
      <c r="Y684">
        <v>40.270000000000003</v>
      </c>
      <c r="Z684">
        <v>17760</v>
      </c>
      <c r="AA684">
        <v>0</v>
      </c>
      <c r="AB684">
        <v>44474.983937187499</v>
      </c>
      <c r="AC684" t="s">
        <v>325</v>
      </c>
      <c r="AD684">
        <v>5</v>
      </c>
    </row>
    <row r="685" spans="1:30" x14ac:dyDescent="0.25">
      <c r="A685" t="s">
        <v>1051</v>
      </c>
      <c r="B685" t="s">
        <v>1106</v>
      </c>
      <c r="C685" t="s">
        <v>2015</v>
      </c>
      <c r="D685" t="s">
        <v>2016</v>
      </c>
      <c r="E685" t="s">
        <v>1060</v>
      </c>
      <c r="F685" t="s">
        <v>1061</v>
      </c>
      <c r="G685">
        <v>6102238</v>
      </c>
      <c r="H685">
        <v>202109</v>
      </c>
      <c r="I685">
        <v>44467</v>
      </c>
      <c r="J685">
        <v>125062</v>
      </c>
      <c r="K685" t="s">
        <v>1056</v>
      </c>
      <c r="L685" t="s">
        <v>365</v>
      </c>
      <c r="M685" t="s">
        <v>1853</v>
      </c>
      <c r="O685" t="s">
        <v>1177</v>
      </c>
      <c r="P685" t="s">
        <v>1178</v>
      </c>
      <c r="Q685" t="s">
        <v>354</v>
      </c>
      <c r="R685">
        <v>2265776</v>
      </c>
      <c r="S685" t="s">
        <v>355</v>
      </c>
      <c r="U685" t="s">
        <v>2038</v>
      </c>
      <c r="V685" t="s">
        <v>356</v>
      </c>
      <c r="W685">
        <v>2875</v>
      </c>
      <c r="X685">
        <v>0.75</v>
      </c>
      <c r="Y685">
        <v>6.52</v>
      </c>
      <c r="Z685">
        <v>2875</v>
      </c>
      <c r="AA685">
        <v>0</v>
      </c>
      <c r="AB685">
        <v>44474.983937384262</v>
      </c>
      <c r="AC685" t="s">
        <v>325</v>
      </c>
      <c r="AD685">
        <v>5</v>
      </c>
    </row>
    <row r="686" spans="1:30" x14ac:dyDescent="0.25">
      <c r="A686" t="s">
        <v>1051</v>
      </c>
      <c r="B686" t="s">
        <v>1106</v>
      </c>
      <c r="C686" t="s">
        <v>2015</v>
      </c>
      <c r="D686" t="s">
        <v>2039</v>
      </c>
      <c r="E686" t="s">
        <v>1060</v>
      </c>
      <c r="F686" t="s">
        <v>1061</v>
      </c>
      <c r="G686">
        <v>6100704</v>
      </c>
      <c r="H686">
        <v>202104</v>
      </c>
      <c r="I686">
        <v>44309</v>
      </c>
      <c r="J686" t="s">
        <v>1117</v>
      </c>
      <c r="K686" t="s">
        <v>1056</v>
      </c>
      <c r="L686" t="s">
        <v>368</v>
      </c>
      <c r="M686" t="s">
        <v>2040</v>
      </c>
      <c r="O686" t="s">
        <v>1244</v>
      </c>
      <c r="P686" t="s">
        <v>1245</v>
      </c>
      <c r="Q686" t="s">
        <v>357</v>
      </c>
      <c r="R686">
        <v>2069084</v>
      </c>
      <c r="S686" t="s">
        <v>2041</v>
      </c>
      <c r="U686" t="s">
        <v>2042</v>
      </c>
      <c r="V686" t="s">
        <v>356</v>
      </c>
      <c r="W686">
        <v>9000</v>
      </c>
      <c r="X686">
        <v>2.48</v>
      </c>
      <c r="Y686">
        <v>20.5</v>
      </c>
      <c r="Z686">
        <v>9000</v>
      </c>
      <c r="AA686">
        <v>0</v>
      </c>
      <c r="AB686">
        <v>44318.982477430553</v>
      </c>
      <c r="AC686" t="s">
        <v>323</v>
      </c>
      <c r="AD686">
        <v>5</v>
      </c>
    </row>
    <row r="687" spans="1:30" x14ac:dyDescent="0.25">
      <c r="A687" t="s">
        <v>1051</v>
      </c>
      <c r="B687" t="s">
        <v>1106</v>
      </c>
      <c r="C687" t="s">
        <v>2015</v>
      </c>
      <c r="D687" t="s">
        <v>2039</v>
      </c>
      <c r="E687" t="s">
        <v>1060</v>
      </c>
      <c r="F687" t="s">
        <v>1061</v>
      </c>
      <c r="G687">
        <v>6100704</v>
      </c>
      <c r="H687">
        <v>202104</v>
      </c>
      <c r="I687">
        <v>44309</v>
      </c>
      <c r="J687" t="s">
        <v>1117</v>
      </c>
      <c r="K687" t="s">
        <v>1056</v>
      </c>
      <c r="L687" t="s">
        <v>368</v>
      </c>
      <c r="M687" t="s">
        <v>2040</v>
      </c>
      <c r="O687" t="s">
        <v>1244</v>
      </c>
      <c r="P687" t="s">
        <v>1245</v>
      </c>
      <c r="Q687" t="s">
        <v>357</v>
      </c>
      <c r="R687">
        <v>2069084</v>
      </c>
      <c r="S687" t="s">
        <v>2043</v>
      </c>
      <c r="U687" t="s">
        <v>2042</v>
      </c>
      <c r="V687" t="s">
        <v>356</v>
      </c>
      <c r="W687">
        <v>9000</v>
      </c>
      <c r="X687">
        <v>2.48</v>
      </c>
      <c r="Y687">
        <v>20.5</v>
      </c>
      <c r="Z687">
        <v>9000</v>
      </c>
      <c r="AA687">
        <v>0</v>
      </c>
      <c r="AB687">
        <v>44318.982477430553</v>
      </c>
      <c r="AC687" t="s">
        <v>323</v>
      </c>
      <c r="AD687">
        <v>5</v>
      </c>
    </row>
    <row r="688" spans="1:30" x14ac:dyDescent="0.25">
      <c r="A688" t="s">
        <v>1051</v>
      </c>
      <c r="B688" t="s">
        <v>1106</v>
      </c>
      <c r="C688" t="s">
        <v>2015</v>
      </c>
      <c r="D688" t="s">
        <v>2039</v>
      </c>
      <c r="E688" t="s">
        <v>1060</v>
      </c>
      <c r="F688" t="s">
        <v>1061</v>
      </c>
      <c r="G688">
        <v>6100754</v>
      </c>
      <c r="H688">
        <v>202104</v>
      </c>
      <c r="I688">
        <v>44316</v>
      </c>
      <c r="J688" t="s">
        <v>1117</v>
      </c>
      <c r="K688" t="s">
        <v>1056</v>
      </c>
      <c r="L688" t="s">
        <v>369</v>
      </c>
      <c r="M688" t="s">
        <v>2044</v>
      </c>
      <c r="O688" t="s">
        <v>1244</v>
      </c>
      <c r="P688" t="s">
        <v>1245</v>
      </c>
      <c r="Q688" t="s">
        <v>354</v>
      </c>
      <c r="R688">
        <v>2265776</v>
      </c>
      <c r="S688" t="s">
        <v>355</v>
      </c>
      <c r="U688" t="s">
        <v>2045</v>
      </c>
      <c r="V688" t="s">
        <v>356</v>
      </c>
      <c r="W688">
        <v>9100</v>
      </c>
      <c r="X688">
        <v>2.46</v>
      </c>
      <c r="Y688">
        <v>20.36</v>
      </c>
      <c r="Z688">
        <v>9100</v>
      </c>
      <c r="AA688">
        <v>0</v>
      </c>
      <c r="AB688">
        <v>44319.948913425927</v>
      </c>
      <c r="AC688" t="s">
        <v>325</v>
      </c>
      <c r="AD688">
        <v>5</v>
      </c>
    </row>
    <row r="689" spans="1:30" x14ac:dyDescent="0.25">
      <c r="A689" t="s">
        <v>1051</v>
      </c>
      <c r="B689" t="s">
        <v>1106</v>
      </c>
      <c r="C689" t="s">
        <v>2015</v>
      </c>
      <c r="D689" t="s">
        <v>2039</v>
      </c>
      <c r="E689" t="s">
        <v>1060</v>
      </c>
      <c r="F689" t="s">
        <v>1061</v>
      </c>
      <c r="G689">
        <v>6100754</v>
      </c>
      <c r="H689">
        <v>202104</v>
      </c>
      <c r="I689">
        <v>44316</v>
      </c>
      <c r="J689" t="s">
        <v>1117</v>
      </c>
      <c r="K689" t="s">
        <v>1056</v>
      </c>
      <c r="L689" t="s">
        <v>369</v>
      </c>
      <c r="M689" t="s">
        <v>2044</v>
      </c>
      <c r="O689" t="s">
        <v>1244</v>
      </c>
      <c r="P689" t="s">
        <v>1245</v>
      </c>
      <c r="Q689" t="s">
        <v>354</v>
      </c>
      <c r="R689">
        <v>2265776</v>
      </c>
      <c r="S689" t="s">
        <v>355</v>
      </c>
      <c r="U689" t="s">
        <v>2046</v>
      </c>
      <c r="V689" t="s">
        <v>356</v>
      </c>
      <c r="W689">
        <v>9000</v>
      </c>
      <c r="X689">
        <v>2.4300000000000002</v>
      </c>
      <c r="Y689">
        <v>20.13</v>
      </c>
      <c r="Z689">
        <v>9000</v>
      </c>
      <c r="AA689">
        <v>0</v>
      </c>
      <c r="AB689">
        <v>44319.948913425927</v>
      </c>
      <c r="AC689" t="s">
        <v>325</v>
      </c>
      <c r="AD689">
        <v>5</v>
      </c>
    </row>
    <row r="690" spans="1:30" x14ac:dyDescent="0.25">
      <c r="A690" t="s">
        <v>1051</v>
      </c>
      <c r="B690" t="s">
        <v>1106</v>
      </c>
      <c r="C690" t="s">
        <v>2015</v>
      </c>
      <c r="D690" t="s">
        <v>2039</v>
      </c>
      <c r="E690" t="s">
        <v>1060</v>
      </c>
      <c r="F690" t="s">
        <v>1061</v>
      </c>
      <c r="G690">
        <v>6100754</v>
      </c>
      <c r="H690">
        <v>202104</v>
      </c>
      <c r="I690">
        <v>44316</v>
      </c>
      <c r="J690" t="s">
        <v>1117</v>
      </c>
      <c r="K690" t="s">
        <v>1056</v>
      </c>
      <c r="L690" t="s">
        <v>369</v>
      </c>
      <c r="M690" t="s">
        <v>2044</v>
      </c>
      <c r="O690" t="s">
        <v>1244</v>
      </c>
      <c r="P690" t="s">
        <v>1245</v>
      </c>
      <c r="Q690" t="s">
        <v>354</v>
      </c>
      <c r="R690">
        <v>2265776</v>
      </c>
      <c r="S690" t="s">
        <v>355</v>
      </c>
      <c r="U690" t="s">
        <v>2047</v>
      </c>
      <c r="V690" t="s">
        <v>356</v>
      </c>
      <c r="W690">
        <v>9000</v>
      </c>
      <c r="X690">
        <v>2.4300000000000002</v>
      </c>
      <c r="Y690">
        <v>20.13</v>
      </c>
      <c r="Z690">
        <v>9000</v>
      </c>
      <c r="AA690">
        <v>0</v>
      </c>
      <c r="AB690">
        <v>44319.948913425927</v>
      </c>
      <c r="AC690" t="s">
        <v>325</v>
      </c>
      <c r="AD690">
        <v>5</v>
      </c>
    </row>
    <row r="691" spans="1:30" x14ac:dyDescent="0.25">
      <c r="A691" t="s">
        <v>1051</v>
      </c>
      <c r="B691" t="s">
        <v>1106</v>
      </c>
      <c r="C691" t="s">
        <v>2015</v>
      </c>
      <c r="D691" t="s">
        <v>2039</v>
      </c>
      <c r="E691" t="s">
        <v>1060</v>
      </c>
      <c r="F691" t="s">
        <v>1061</v>
      </c>
      <c r="G691">
        <v>6102194</v>
      </c>
      <c r="H691">
        <v>202109</v>
      </c>
      <c r="I691">
        <v>44462</v>
      </c>
      <c r="J691">
        <v>124932</v>
      </c>
      <c r="K691" t="s">
        <v>1056</v>
      </c>
      <c r="L691" t="s">
        <v>369</v>
      </c>
      <c r="M691" t="s">
        <v>2044</v>
      </c>
      <c r="O691" t="s">
        <v>1666</v>
      </c>
      <c r="P691" t="s">
        <v>1667</v>
      </c>
      <c r="Q691" t="s">
        <v>357</v>
      </c>
      <c r="R691">
        <v>2069084</v>
      </c>
      <c r="S691" t="s">
        <v>355</v>
      </c>
      <c r="U691" t="s">
        <v>2048</v>
      </c>
      <c r="V691" t="s">
        <v>356</v>
      </c>
      <c r="W691">
        <v>9000</v>
      </c>
      <c r="X691">
        <v>2.35</v>
      </c>
      <c r="Y691">
        <v>20.41</v>
      </c>
      <c r="Z691">
        <v>9000</v>
      </c>
      <c r="AA691">
        <v>0</v>
      </c>
      <c r="AB691">
        <v>44474.213166469905</v>
      </c>
      <c r="AC691" t="s">
        <v>323</v>
      </c>
      <c r="AD691">
        <v>5</v>
      </c>
    </row>
    <row r="692" spans="1:30" x14ac:dyDescent="0.25">
      <c r="A692" t="s">
        <v>1051</v>
      </c>
      <c r="B692" t="s">
        <v>1106</v>
      </c>
      <c r="C692" t="s">
        <v>2015</v>
      </c>
      <c r="D692" t="s">
        <v>2039</v>
      </c>
      <c r="E692" t="s">
        <v>1060</v>
      </c>
      <c r="F692" t="s">
        <v>1061</v>
      </c>
      <c r="G692">
        <v>6102194</v>
      </c>
      <c r="H692">
        <v>202109</v>
      </c>
      <c r="I692">
        <v>44462</v>
      </c>
      <c r="J692">
        <v>124932</v>
      </c>
      <c r="K692" t="s">
        <v>1056</v>
      </c>
      <c r="L692" t="s">
        <v>369</v>
      </c>
      <c r="M692" t="s">
        <v>2044</v>
      </c>
      <c r="O692" t="s">
        <v>1666</v>
      </c>
      <c r="P692" t="s">
        <v>1667</v>
      </c>
      <c r="Q692" t="s">
        <v>357</v>
      </c>
      <c r="R692">
        <v>2069084</v>
      </c>
      <c r="S692" t="s">
        <v>355</v>
      </c>
      <c r="U692" t="s">
        <v>2049</v>
      </c>
      <c r="V692" t="s">
        <v>356</v>
      </c>
      <c r="W692">
        <v>9000</v>
      </c>
      <c r="X692">
        <v>2.35</v>
      </c>
      <c r="Y692">
        <v>20.41</v>
      </c>
      <c r="Z692">
        <v>9000</v>
      </c>
      <c r="AA692">
        <v>0</v>
      </c>
      <c r="AB692">
        <v>44474.213166469905</v>
      </c>
      <c r="AC692" t="s">
        <v>323</v>
      </c>
      <c r="AD692">
        <v>5</v>
      </c>
    </row>
    <row r="693" spans="1:30" x14ac:dyDescent="0.25">
      <c r="A693" t="s">
        <v>1051</v>
      </c>
      <c r="B693" t="s">
        <v>1106</v>
      </c>
      <c r="C693" t="s">
        <v>2015</v>
      </c>
      <c r="D693" t="s">
        <v>2050</v>
      </c>
      <c r="E693" t="s">
        <v>1060</v>
      </c>
      <c r="F693" t="s">
        <v>1061</v>
      </c>
      <c r="G693">
        <v>6100694</v>
      </c>
      <c r="H693">
        <v>202104</v>
      </c>
      <c r="I693">
        <v>44316</v>
      </c>
      <c r="J693">
        <v>122536</v>
      </c>
      <c r="K693" t="s">
        <v>1056</v>
      </c>
      <c r="L693">
        <v>119010</v>
      </c>
      <c r="M693" t="s">
        <v>1823</v>
      </c>
      <c r="O693" t="s">
        <v>1370</v>
      </c>
      <c r="P693" t="s">
        <v>1371</v>
      </c>
      <c r="Q693" t="s">
        <v>357</v>
      </c>
      <c r="R693">
        <v>2069084</v>
      </c>
      <c r="S693" t="s">
        <v>355</v>
      </c>
      <c r="U693" t="s">
        <v>2051</v>
      </c>
      <c r="V693" t="s">
        <v>356</v>
      </c>
      <c r="W693">
        <v>95000</v>
      </c>
      <c r="X693">
        <v>25.65</v>
      </c>
      <c r="Y693">
        <v>212.52</v>
      </c>
      <c r="Z693">
        <v>95000</v>
      </c>
      <c r="AA693">
        <v>0</v>
      </c>
      <c r="AB693">
        <v>44318.064262037034</v>
      </c>
      <c r="AC693" t="s">
        <v>323</v>
      </c>
      <c r="AD693">
        <v>5</v>
      </c>
    </row>
    <row r="694" spans="1:30" x14ac:dyDescent="0.25">
      <c r="A694" t="s">
        <v>1051</v>
      </c>
      <c r="B694" t="s">
        <v>1106</v>
      </c>
      <c r="C694" t="s">
        <v>2015</v>
      </c>
      <c r="D694" t="s">
        <v>2050</v>
      </c>
      <c r="E694" t="s">
        <v>1060</v>
      </c>
      <c r="F694" t="s">
        <v>1061</v>
      </c>
      <c r="G694">
        <v>6100688</v>
      </c>
      <c r="H694">
        <v>202104</v>
      </c>
      <c r="I694">
        <v>44309</v>
      </c>
      <c r="J694">
        <v>122536</v>
      </c>
      <c r="K694" t="s">
        <v>1056</v>
      </c>
      <c r="L694">
        <v>119010</v>
      </c>
      <c r="M694" t="s">
        <v>1823</v>
      </c>
      <c r="O694" t="s">
        <v>1370</v>
      </c>
      <c r="P694" t="s">
        <v>1371</v>
      </c>
      <c r="Q694" t="s">
        <v>357</v>
      </c>
      <c r="R694">
        <v>2069084</v>
      </c>
      <c r="S694" t="s">
        <v>355</v>
      </c>
      <c r="U694" t="s">
        <v>2052</v>
      </c>
      <c r="V694" t="s">
        <v>356</v>
      </c>
      <c r="W694">
        <v>570000</v>
      </c>
      <c r="X694">
        <v>156.75</v>
      </c>
      <c r="Y694">
        <v>1298.46</v>
      </c>
      <c r="Z694">
        <v>570000</v>
      </c>
      <c r="AA694">
        <v>318</v>
      </c>
      <c r="AB694">
        <v>44317.991880983798</v>
      </c>
      <c r="AC694" t="s">
        <v>323</v>
      </c>
      <c r="AD694">
        <v>5</v>
      </c>
    </row>
    <row r="695" spans="1:30" x14ac:dyDescent="0.25">
      <c r="A695" t="s">
        <v>1051</v>
      </c>
      <c r="B695" t="s">
        <v>1106</v>
      </c>
      <c r="C695" t="s">
        <v>2015</v>
      </c>
      <c r="D695" t="s">
        <v>2050</v>
      </c>
      <c r="E695" t="s">
        <v>1060</v>
      </c>
      <c r="F695" t="s">
        <v>1061</v>
      </c>
      <c r="G695">
        <v>6100738</v>
      </c>
      <c r="H695">
        <v>202104</v>
      </c>
      <c r="I695">
        <v>44316</v>
      </c>
      <c r="J695">
        <v>122536</v>
      </c>
      <c r="K695" t="s">
        <v>1056</v>
      </c>
      <c r="L695">
        <v>124474</v>
      </c>
      <c r="M695" t="s">
        <v>1829</v>
      </c>
      <c r="O695" t="s">
        <v>1370</v>
      </c>
      <c r="P695" t="s">
        <v>1371</v>
      </c>
      <c r="Q695" t="s">
        <v>354</v>
      </c>
      <c r="R695">
        <v>2265776</v>
      </c>
      <c r="S695" t="s">
        <v>355</v>
      </c>
      <c r="U695" t="s">
        <v>2053</v>
      </c>
      <c r="V695" t="s">
        <v>356</v>
      </c>
      <c r="W695">
        <v>95000</v>
      </c>
      <c r="X695">
        <v>25.65</v>
      </c>
      <c r="Y695">
        <v>212.52</v>
      </c>
      <c r="Z695">
        <v>95000</v>
      </c>
      <c r="AA695">
        <v>0</v>
      </c>
      <c r="AB695">
        <v>44319.793862152779</v>
      </c>
      <c r="AC695" t="s">
        <v>325</v>
      </c>
      <c r="AD695">
        <v>5</v>
      </c>
    </row>
    <row r="696" spans="1:30" x14ac:dyDescent="0.25">
      <c r="A696" t="s">
        <v>1051</v>
      </c>
      <c r="B696" t="s">
        <v>1106</v>
      </c>
      <c r="C696" t="s">
        <v>2015</v>
      </c>
      <c r="D696" t="s">
        <v>2050</v>
      </c>
      <c r="E696" t="s">
        <v>1060</v>
      </c>
      <c r="F696" t="s">
        <v>1061</v>
      </c>
      <c r="G696">
        <v>6100688</v>
      </c>
      <c r="H696">
        <v>202104</v>
      </c>
      <c r="I696">
        <v>44309</v>
      </c>
      <c r="J696">
        <v>122536</v>
      </c>
      <c r="K696" t="s">
        <v>1056</v>
      </c>
      <c r="L696" t="s">
        <v>367</v>
      </c>
      <c r="M696" t="s">
        <v>1889</v>
      </c>
      <c r="O696" t="s">
        <v>1307</v>
      </c>
      <c r="P696" t="s">
        <v>1308</v>
      </c>
      <c r="Q696" t="s">
        <v>357</v>
      </c>
      <c r="R696">
        <v>2069084</v>
      </c>
      <c r="S696" t="s">
        <v>355</v>
      </c>
      <c r="U696" t="s">
        <v>2054</v>
      </c>
      <c r="V696" t="s">
        <v>356</v>
      </c>
      <c r="W696">
        <v>151000</v>
      </c>
      <c r="X696">
        <v>41.53</v>
      </c>
      <c r="Y696">
        <v>343.98</v>
      </c>
      <c r="Z696">
        <v>151000</v>
      </c>
      <c r="AA696">
        <v>318</v>
      </c>
      <c r="AB696">
        <v>44317.991881331021</v>
      </c>
      <c r="AC696" t="s">
        <v>323</v>
      </c>
      <c r="AD696">
        <v>5</v>
      </c>
    </row>
    <row r="697" spans="1:30" x14ac:dyDescent="0.25">
      <c r="A697" t="s">
        <v>1051</v>
      </c>
      <c r="B697" t="s">
        <v>1106</v>
      </c>
      <c r="C697" t="s">
        <v>2015</v>
      </c>
      <c r="D697" t="s">
        <v>2050</v>
      </c>
      <c r="E697" t="s">
        <v>1060</v>
      </c>
      <c r="F697" t="s">
        <v>1061</v>
      </c>
      <c r="G697">
        <v>6100688</v>
      </c>
      <c r="H697">
        <v>202104</v>
      </c>
      <c r="I697">
        <v>44309</v>
      </c>
      <c r="J697">
        <v>122536</v>
      </c>
      <c r="K697" t="s">
        <v>1056</v>
      </c>
      <c r="L697" t="s">
        <v>367</v>
      </c>
      <c r="M697" t="s">
        <v>1889</v>
      </c>
      <c r="O697" t="s">
        <v>1307</v>
      </c>
      <c r="P697" t="s">
        <v>1308</v>
      </c>
      <c r="Q697" t="s">
        <v>357</v>
      </c>
      <c r="R697">
        <v>2069084</v>
      </c>
      <c r="S697" t="s">
        <v>355</v>
      </c>
      <c r="U697" t="s">
        <v>2055</v>
      </c>
      <c r="V697" t="s">
        <v>356</v>
      </c>
      <c r="W697">
        <v>302000</v>
      </c>
      <c r="X697">
        <v>83.05</v>
      </c>
      <c r="Y697">
        <v>687.96</v>
      </c>
      <c r="Z697">
        <v>302000</v>
      </c>
      <c r="AA697">
        <v>318</v>
      </c>
      <c r="AB697">
        <v>44317.991881331021</v>
      </c>
      <c r="AC697" t="s">
        <v>323</v>
      </c>
      <c r="AD697">
        <v>5</v>
      </c>
    </row>
    <row r="698" spans="1:30" x14ac:dyDescent="0.25">
      <c r="A698" t="s">
        <v>1051</v>
      </c>
      <c r="B698" t="s">
        <v>1106</v>
      </c>
      <c r="C698" t="s">
        <v>2015</v>
      </c>
      <c r="D698" t="s">
        <v>2050</v>
      </c>
      <c r="E698" t="s">
        <v>1060</v>
      </c>
      <c r="F698" t="s">
        <v>1061</v>
      </c>
      <c r="G698">
        <v>6100738</v>
      </c>
      <c r="H698">
        <v>202104</v>
      </c>
      <c r="I698">
        <v>44316</v>
      </c>
      <c r="J698">
        <v>122536</v>
      </c>
      <c r="K698" t="s">
        <v>1056</v>
      </c>
      <c r="L698" t="s">
        <v>365</v>
      </c>
      <c r="M698" t="s">
        <v>1853</v>
      </c>
      <c r="O698" t="s">
        <v>1370</v>
      </c>
      <c r="P698" t="s">
        <v>1371</v>
      </c>
      <c r="Q698" t="s">
        <v>354</v>
      </c>
      <c r="R698">
        <v>2265776</v>
      </c>
      <c r="S698" t="s">
        <v>355</v>
      </c>
      <c r="U698" t="s">
        <v>2056</v>
      </c>
      <c r="V698" t="s">
        <v>356</v>
      </c>
      <c r="W698">
        <v>95000</v>
      </c>
      <c r="X698">
        <v>25.65</v>
      </c>
      <c r="Y698">
        <v>212.52</v>
      </c>
      <c r="Z698">
        <v>95000</v>
      </c>
      <c r="AA698">
        <v>0</v>
      </c>
      <c r="AB698">
        <v>44319.793862152779</v>
      </c>
      <c r="AC698" t="s">
        <v>325</v>
      </c>
      <c r="AD698">
        <v>5</v>
      </c>
    </row>
    <row r="699" spans="1:30" x14ac:dyDescent="0.25">
      <c r="A699" t="s">
        <v>1051</v>
      </c>
      <c r="B699" t="s">
        <v>1106</v>
      </c>
      <c r="C699" t="s">
        <v>2015</v>
      </c>
      <c r="D699" t="s">
        <v>2050</v>
      </c>
      <c r="E699" t="s">
        <v>1060</v>
      </c>
      <c r="F699" t="s">
        <v>1061</v>
      </c>
      <c r="G699">
        <v>6100838</v>
      </c>
      <c r="H699">
        <v>202105</v>
      </c>
      <c r="I699">
        <v>44330</v>
      </c>
      <c r="J699">
        <v>122536</v>
      </c>
      <c r="K699" t="s">
        <v>1056</v>
      </c>
      <c r="L699" t="s">
        <v>2057</v>
      </c>
      <c r="M699" t="s">
        <v>2058</v>
      </c>
      <c r="O699" t="s">
        <v>1307</v>
      </c>
      <c r="P699" t="s">
        <v>1308</v>
      </c>
      <c r="Q699" t="s">
        <v>354</v>
      </c>
      <c r="R699">
        <v>2265776</v>
      </c>
      <c r="S699" t="s">
        <v>355</v>
      </c>
      <c r="U699" t="s">
        <v>2059</v>
      </c>
      <c r="V699" t="s">
        <v>356</v>
      </c>
      <c r="W699">
        <v>453000</v>
      </c>
      <c r="X699">
        <v>117.78</v>
      </c>
      <c r="Y699">
        <v>966.25</v>
      </c>
      <c r="Z699">
        <v>453000</v>
      </c>
      <c r="AA699">
        <v>318</v>
      </c>
      <c r="AB699">
        <v>44334.70351890046</v>
      </c>
      <c r="AC699" t="s">
        <v>325</v>
      </c>
      <c r="AD699">
        <v>5</v>
      </c>
    </row>
    <row r="700" spans="1:30" x14ac:dyDescent="0.25">
      <c r="A700" t="s">
        <v>1051</v>
      </c>
      <c r="B700" t="s">
        <v>1106</v>
      </c>
      <c r="C700" t="s">
        <v>2015</v>
      </c>
      <c r="D700" t="s">
        <v>2050</v>
      </c>
      <c r="E700" t="s">
        <v>1060</v>
      </c>
      <c r="F700" t="s">
        <v>1061</v>
      </c>
      <c r="G700">
        <v>6101602</v>
      </c>
      <c r="H700">
        <v>202108</v>
      </c>
      <c r="I700">
        <v>44428</v>
      </c>
      <c r="J700">
        <v>125062</v>
      </c>
      <c r="K700" t="s">
        <v>1056</v>
      </c>
      <c r="L700">
        <v>119010</v>
      </c>
      <c r="M700" t="s">
        <v>1823</v>
      </c>
      <c r="O700" t="s">
        <v>2060</v>
      </c>
      <c r="P700" t="s">
        <v>2061</v>
      </c>
      <c r="Q700" t="s">
        <v>357</v>
      </c>
      <c r="R700">
        <v>2069084</v>
      </c>
      <c r="S700" t="s">
        <v>355</v>
      </c>
      <c r="U700" t="s">
        <v>2062</v>
      </c>
      <c r="V700" t="s">
        <v>356</v>
      </c>
      <c r="W700">
        <v>322000</v>
      </c>
      <c r="X700">
        <v>83.39</v>
      </c>
      <c r="Y700">
        <v>723.24</v>
      </c>
      <c r="Z700">
        <v>322000</v>
      </c>
      <c r="AA700">
        <v>318</v>
      </c>
      <c r="AB700">
        <v>44431.771195601854</v>
      </c>
      <c r="AC700" t="s">
        <v>323</v>
      </c>
      <c r="AD700">
        <v>5</v>
      </c>
    </row>
    <row r="701" spans="1:30" x14ac:dyDescent="0.25">
      <c r="A701" t="s">
        <v>1051</v>
      </c>
      <c r="B701" t="s">
        <v>1106</v>
      </c>
      <c r="C701" t="s">
        <v>2015</v>
      </c>
      <c r="D701" t="s">
        <v>2050</v>
      </c>
      <c r="E701" t="s">
        <v>1060</v>
      </c>
      <c r="F701" t="s">
        <v>1061</v>
      </c>
      <c r="G701">
        <v>6101602</v>
      </c>
      <c r="H701">
        <v>202108</v>
      </c>
      <c r="I701">
        <v>44428</v>
      </c>
      <c r="J701">
        <v>125062</v>
      </c>
      <c r="K701" t="s">
        <v>1056</v>
      </c>
      <c r="L701" t="s">
        <v>360</v>
      </c>
      <c r="M701" t="s">
        <v>1838</v>
      </c>
      <c r="O701" t="s">
        <v>2060</v>
      </c>
      <c r="P701" t="s">
        <v>2061</v>
      </c>
      <c r="Q701" t="s">
        <v>357</v>
      </c>
      <c r="R701">
        <v>2069084</v>
      </c>
      <c r="S701" t="s">
        <v>355</v>
      </c>
      <c r="U701" t="s">
        <v>2063</v>
      </c>
      <c r="V701" t="s">
        <v>356</v>
      </c>
      <c r="W701">
        <v>322000</v>
      </c>
      <c r="X701">
        <v>83.39</v>
      </c>
      <c r="Y701">
        <v>723.24</v>
      </c>
      <c r="Z701">
        <v>322000</v>
      </c>
      <c r="AA701">
        <v>318</v>
      </c>
      <c r="AB701">
        <v>44431.771195601854</v>
      </c>
      <c r="AC701" t="s">
        <v>323</v>
      </c>
      <c r="AD701">
        <v>5</v>
      </c>
    </row>
    <row r="702" spans="1:30" x14ac:dyDescent="0.25">
      <c r="A702" t="s">
        <v>1051</v>
      </c>
      <c r="B702" t="s">
        <v>1106</v>
      </c>
      <c r="C702" t="s">
        <v>2015</v>
      </c>
      <c r="D702" t="s">
        <v>2050</v>
      </c>
      <c r="E702" t="s">
        <v>1060</v>
      </c>
      <c r="F702" t="s">
        <v>1061</v>
      </c>
      <c r="G702">
        <v>6101602</v>
      </c>
      <c r="H702">
        <v>202108</v>
      </c>
      <c r="I702">
        <v>44428</v>
      </c>
      <c r="J702">
        <v>125062</v>
      </c>
      <c r="K702" t="s">
        <v>1056</v>
      </c>
      <c r="L702" t="s">
        <v>365</v>
      </c>
      <c r="M702" t="s">
        <v>1853</v>
      </c>
      <c r="O702" t="s">
        <v>2064</v>
      </c>
      <c r="P702" t="s">
        <v>2065</v>
      </c>
      <c r="Q702" t="s">
        <v>354</v>
      </c>
      <c r="R702">
        <v>2265776</v>
      </c>
      <c r="S702" t="s">
        <v>355</v>
      </c>
      <c r="U702" t="s">
        <v>2066</v>
      </c>
      <c r="V702" t="s">
        <v>356</v>
      </c>
      <c r="W702">
        <v>340000</v>
      </c>
      <c r="X702">
        <v>88.05</v>
      </c>
      <c r="Y702">
        <v>763.67</v>
      </c>
      <c r="Z702">
        <v>340000</v>
      </c>
      <c r="AA702">
        <v>0</v>
      </c>
      <c r="AB702">
        <v>44431.77119521991</v>
      </c>
      <c r="AC702" t="s">
        <v>325</v>
      </c>
      <c r="AD702">
        <v>5</v>
      </c>
    </row>
    <row r="703" spans="1:30" x14ac:dyDescent="0.25">
      <c r="A703" t="s">
        <v>1051</v>
      </c>
      <c r="B703" t="s">
        <v>1106</v>
      </c>
      <c r="C703" t="s">
        <v>2015</v>
      </c>
      <c r="D703" t="s">
        <v>2050</v>
      </c>
      <c r="E703" t="s">
        <v>1060</v>
      </c>
      <c r="F703" t="s">
        <v>1061</v>
      </c>
      <c r="G703">
        <v>6101924</v>
      </c>
      <c r="H703">
        <v>202109</v>
      </c>
      <c r="I703">
        <v>44449</v>
      </c>
      <c r="J703">
        <v>125062</v>
      </c>
      <c r="K703" t="s">
        <v>1056</v>
      </c>
      <c r="L703">
        <v>119010</v>
      </c>
      <c r="M703" t="s">
        <v>1823</v>
      </c>
      <c r="O703" t="s">
        <v>1514</v>
      </c>
      <c r="P703" t="s">
        <v>1515</v>
      </c>
      <c r="Q703" t="s">
        <v>357</v>
      </c>
      <c r="R703">
        <v>2069084</v>
      </c>
      <c r="S703" t="s">
        <v>355</v>
      </c>
      <c r="U703" t="s">
        <v>2067</v>
      </c>
      <c r="V703" t="s">
        <v>356</v>
      </c>
      <c r="W703">
        <v>95000</v>
      </c>
      <c r="X703">
        <v>24.89</v>
      </c>
      <c r="Y703">
        <v>216.87</v>
      </c>
      <c r="Z703">
        <v>95000</v>
      </c>
      <c r="AA703">
        <v>0</v>
      </c>
      <c r="AB703">
        <v>44458.709531018518</v>
      </c>
      <c r="AC703" t="s">
        <v>323</v>
      </c>
      <c r="AD703">
        <v>5</v>
      </c>
    </row>
    <row r="704" spans="1:30" x14ac:dyDescent="0.25">
      <c r="A704" t="s">
        <v>1051</v>
      </c>
      <c r="B704" t="s">
        <v>1106</v>
      </c>
      <c r="C704" t="s">
        <v>2015</v>
      </c>
      <c r="D704" t="s">
        <v>2050</v>
      </c>
      <c r="E704" t="s">
        <v>1060</v>
      </c>
      <c r="F704" t="s">
        <v>1061</v>
      </c>
      <c r="G704">
        <v>6102050</v>
      </c>
      <c r="H704">
        <v>202109</v>
      </c>
      <c r="I704">
        <v>44463</v>
      </c>
      <c r="J704">
        <v>122536</v>
      </c>
      <c r="K704" t="s">
        <v>1056</v>
      </c>
      <c r="L704">
        <v>119010</v>
      </c>
      <c r="M704" t="s">
        <v>1823</v>
      </c>
      <c r="O704" t="s">
        <v>2068</v>
      </c>
      <c r="P704" t="s">
        <v>2069</v>
      </c>
      <c r="Q704" t="s">
        <v>357</v>
      </c>
      <c r="R704">
        <v>2069084</v>
      </c>
      <c r="S704" t="s">
        <v>355</v>
      </c>
      <c r="U704" t="s">
        <v>2070</v>
      </c>
      <c r="V704" t="s">
        <v>356</v>
      </c>
      <c r="W704">
        <v>110000</v>
      </c>
      <c r="X704">
        <v>28.69</v>
      </c>
      <c r="Y704">
        <v>249.43</v>
      </c>
      <c r="Z704">
        <v>110000</v>
      </c>
      <c r="AA704">
        <v>0</v>
      </c>
      <c r="AB704">
        <v>44469.892926504632</v>
      </c>
      <c r="AC704" t="s">
        <v>323</v>
      </c>
      <c r="AD704">
        <v>5</v>
      </c>
    </row>
    <row r="705" spans="1:30" x14ac:dyDescent="0.25">
      <c r="A705" t="s">
        <v>1051</v>
      </c>
      <c r="B705" t="s">
        <v>1106</v>
      </c>
      <c r="C705" t="s">
        <v>2015</v>
      </c>
      <c r="D705" t="s">
        <v>2050</v>
      </c>
      <c r="E705" t="s">
        <v>1060</v>
      </c>
      <c r="F705" t="s">
        <v>1061</v>
      </c>
      <c r="G705">
        <v>6101924</v>
      </c>
      <c r="H705">
        <v>202109</v>
      </c>
      <c r="I705">
        <v>44449</v>
      </c>
      <c r="J705">
        <v>125062</v>
      </c>
      <c r="K705" t="s">
        <v>1056</v>
      </c>
      <c r="L705" t="s">
        <v>360</v>
      </c>
      <c r="M705" t="s">
        <v>1838</v>
      </c>
      <c r="O705" t="s">
        <v>1514</v>
      </c>
      <c r="P705" t="s">
        <v>1515</v>
      </c>
      <c r="Q705" t="s">
        <v>357</v>
      </c>
      <c r="R705">
        <v>2069084</v>
      </c>
      <c r="S705" t="s">
        <v>355</v>
      </c>
      <c r="U705" t="s">
        <v>2071</v>
      </c>
      <c r="V705" t="s">
        <v>356</v>
      </c>
      <c r="W705">
        <v>95000</v>
      </c>
      <c r="X705">
        <v>24.89</v>
      </c>
      <c r="Y705">
        <v>216.87</v>
      </c>
      <c r="Z705">
        <v>95000</v>
      </c>
      <c r="AA705">
        <v>0</v>
      </c>
      <c r="AB705">
        <v>44458.709531018518</v>
      </c>
      <c r="AC705" t="s">
        <v>323</v>
      </c>
      <c r="AD705">
        <v>5</v>
      </c>
    </row>
    <row r="706" spans="1:30" x14ac:dyDescent="0.25">
      <c r="A706" t="s">
        <v>1051</v>
      </c>
      <c r="B706" t="s">
        <v>1106</v>
      </c>
      <c r="C706" t="s">
        <v>2015</v>
      </c>
      <c r="D706" t="s">
        <v>2072</v>
      </c>
      <c r="E706" t="s">
        <v>1060</v>
      </c>
      <c r="F706" t="s">
        <v>1061</v>
      </c>
      <c r="G706">
        <v>6100730</v>
      </c>
      <c r="H706">
        <v>202104</v>
      </c>
      <c r="I706">
        <v>44316</v>
      </c>
      <c r="J706" t="s">
        <v>1117</v>
      </c>
      <c r="K706" t="s">
        <v>1056</v>
      </c>
      <c r="L706">
        <v>119010</v>
      </c>
      <c r="M706" t="s">
        <v>1823</v>
      </c>
      <c r="O706" t="s">
        <v>1258</v>
      </c>
      <c r="P706" t="s">
        <v>1259</v>
      </c>
      <c r="Q706" t="s">
        <v>357</v>
      </c>
      <c r="R706">
        <v>2069084</v>
      </c>
      <c r="S706" t="s">
        <v>355</v>
      </c>
      <c r="U706" t="s">
        <v>2073</v>
      </c>
      <c r="V706" t="s">
        <v>356</v>
      </c>
      <c r="W706">
        <v>7500</v>
      </c>
      <c r="X706">
        <v>2.0299999999999998</v>
      </c>
      <c r="Y706">
        <v>16.78</v>
      </c>
      <c r="Z706">
        <v>7500</v>
      </c>
      <c r="AA706">
        <v>0</v>
      </c>
      <c r="AB706">
        <v>44319.757639317133</v>
      </c>
      <c r="AC706" t="s">
        <v>323</v>
      </c>
      <c r="AD706">
        <v>5</v>
      </c>
    </row>
    <row r="707" spans="1:30" x14ac:dyDescent="0.25">
      <c r="A707" t="s">
        <v>1051</v>
      </c>
      <c r="B707" t="s">
        <v>1106</v>
      </c>
      <c r="C707" t="s">
        <v>2015</v>
      </c>
      <c r="D707" t="s">
        <v>2072</v>
      </c>
      <c r="E707" t="s">
        <v>1060</v>
      </c>
      <c r="F707" t="s">
        <v>1061</v>
      </c>
      <c r="G707">
        <v>6100730</v>
      </c>
      <c r="H707">
        <v>202104</v>
      </c>
      <c r="I707">
        <v>44316</v>
      </c>
      <c r="J707" t="s">
        <v>1117</v>
      </c>
      <c r="K707" t="s">
        <v>1056</v>
      </c>
      <c r="L707">
        <v>119010</v>
      </c>
      <c r="M707" t="s">
        <v>1823</v>
      </c>
      <c r="O707" t="s">
        <v>1522</v>
      </c>
      <c r="P707" t="s">
        <v>1523</v>
      </c>
      <c r="Q707" t="s">
        <v>357</v>
      </c>
      <c r="R707">
        <v>2069084</v>
      </c>
      <c r="S707" t="s">
        <v>355</v>
      </c>
      <c r="U707" t="s">
        <v>2074</v>
      </c>
      <c r="V707" t="s">
        <v>356</v>
      </c>
      <c r="W707">
        <v>10500</v>
      </c>
      <c r="X707">
        <v>2.84</v>
      </c>
      <c r="Y707">
        <v>23.49</v>
      </c>
      <c r="Z707">
        <v>10500</v>
      </c>
      <c r="AA707">
        <v>0</v>
      </c>
      <c r="AB707">
        <v>44319.757639317133</v>
      </c>
      <c r="AC707" t="s">
        <v>323</v>
      </c>
      <c r="AD707">
        <v>5</v>
      </c>
    </row>
    <row r="708" spans="1:30" x14ac:dyDescent="0.25">
      <c r="A708" t="s">
        <v>1051</v>
      </c>
      <c r="B708" t="s">
        <v>1106</v>
      </c>
      <c r="C708" t="s">
        <v>2015</v>
      </c>
      <c r="D708" t="s">
        <v>2072</v>
      </c>
      <c r="E708" t="s">
        <v>1060</v>
      </c>
      <c r="F708" t="s">
        <v>1061</v>
      </c>
      <c r="G708">
        <v>6100730</v>
      </c>
      <c r="H708">
        <v>202104</v>
      </c>
      <c r="I708">
        <v>44316</v>
      </c>
      <c r="J708" t="s">
        <v>1117</v>
      </c>
      <c r="K708" t="s">
        <v>1056</v>
      </c>
      <c r="L708">
        <v>119010</v>
      </c>
      <c r="M708" t="s">
        <v>1823</v>
      </c>
      <c r="O708" t="s">
        <v>1459</v>
      </c>
      <c r="P708" t="s">
        <v>1460</v>
      </c>
      <c r="Q708" t="s">
        <v>357</v>
      </c>
      <c r="R708">
        <v>2069084</v>
      </c>
      <c r="S708" t="s">
        <v>355</v>
      </c>
      <c r="U708" t="s">
        <v>2075</v>
      </c>
      <c r="V708" t="s">
        <v>356</v>
      </c>
      <c r="W708">
        <v>5500</v>
      </c>
      <c r="X708">
        <v>1.49</v>
      </c>
      <c r="Y708">
        <v>12.3</v>
      </c>
      <c r="Z708">
        <v>5500</v>
      </c>
      <c r="AA708">
        <v>0</v>
      </c>
      <c r="AB708">
        <v>44319.757639317133</v>
      </c>
      <c r="AC708" t="s">
        <v>323</v>
      </c>
      <c r="AD708">
        <v>5</v>
      </c>
    </row>
    <row r="709" spans="1:30" x14ac:dyDescent="0.25">
      <c r="A709" t="s">
        <v>1051</v>
      </c>
      <c r="B709" t="s">
        <v>1106</v>
      </c>
      <c r="C709" t="s">
        <v>2015</v>
      </c>
      <c r="D709" t="s">
        <v>2072</v>
      </c>
      <c r="E709" t="s">
        <v>1060</v>
      </c>
      <c r="F709" t="s">
        <v>1061</v>
      </c>
      <c r="G709">
        <v>6100730</v>
      </c>
      <c r="H709">
        <v>202104</v>
      </c>
      <c r="I709">
        <v>44316</v>
      </c>
      <c r="J709" t="s">
        <v>1117</v>
      </c>
      <c r="K709" t="s">
        <v>1056</v>
      </c>
      <c r="L709">
        <v>119010</v>
      </c>
      <c r="M709" t="s">
        <v>1823</v>
      </c>
      <c r="O709" t="s">
        <v>1773</v>
      </c>
      <c r="P709" t="s">
        <v>1774</v>
      </c>
      <c r="Q709" t="s">
        <v>357</v>
      </c>
      <c r="R709">
        <v>2069084</v>
      </c>
      <c r="S709" t="s">
        <v>355</v>
      </c>
      <c r="U709" t="s">
        <v>2076</v>
      </c>
      <c r="V709" t="s">
        <v>356</v>
      </c>
      <c r="W709">
        <v>34700</v>
      </c>
      <c r="X709">
        <v>9.3699999999999992</v>
      </c>
      <c r="Y709">
        <v>77.62</v>
      </c>
      <c r="Z709">
        <v>34700</v>
      </c>
      <c r="AA709">
        <v>0</v>
      </c>
      <c r="AB709">
        <v>44319.757639317133</v>
      </c>
      <c r="AC709" t="s">
        <v>323</v>
      </c>
      <c r="AD709">
        <v>5</v>
      </c>
    </row>
    <row r="710" spans="1:30" x14ac:dyDescent="0.25">
      <c r="A710" t="s">
        <v>1051</v>
      </c>
      <c r="B710" t="s">
        <v>1106</v>
      </c>
      <c r="C710" t="s">
        <v>2015</v>
      </c>
      <c r="D710" t="s">
        <v>2072</v>
      </c>
      <c r="E710" t="s">
        <v>1060</v>
      </c>
      <c r="F710" t="s">
        <v>1061</v>
      </c>
      <c r="G710">
        <v>6100702</v>
      </c>
      <c r="H710">
        <v>202104</v>
      </c>
      <c r="I710">
        <v>44309</v>
      </c>
      <c r="J710" t="s">
        <v>1117</v>
      </c>
      <c r="K710" t="s">
        <v>1056</v>
      </c>
      <c r="L710">
        <v>119010</v>
      </c>
      <c r="M710" t="s">
        <v>1823</v>
      </c>
      <c r="O710" t="s">
        <v>1824</v>
      </c>
      <c r="P710" t="s">
        <v>1825</v>
      </c>
      <c r="Q710" t="s">
        <v>357</v>
      </c>
      <c r="R710">
        <v>2069084</v>
      </c>
      <c r="S710" t="s">
        <v>2077</v>
      </c>
      <c r="U710" t="s">
        <v>2078</v>
      </c>
      <c r="V710" t="s">
        <v>356</v>
      </c>
      <c r="W710">
        <v>36000</v>
      </c>
      <c r="X710">
        <v>9.9</v>
      </c>
      <c r="Y710">
        <v>82.01</v>
      </c>
      <c r="Z710">
        <v>36000</v>
      </c>
      <c r="AA710">
        <v>0</v>
      </c>
      <c r="AB710">
        <v>44318.960925081017</v>
      </c>
      <c r="AC710" t="s">
        <v>323</v>
      </c>
      <c r="AD710">
        <v>5</v>
      </c>
    </row>
    <row r="711" spans="1:30" x14ac:dyDescent="0.25">
      <c r="A711" t="s">
        <v>1051</v>
      </c>
      <c r="B711" t="s">
        <v>1106</v>
      </c>
      <c r="C711" t="s">
        <v>2015</v>
      </c>
      <c r="D711" t="s">
        <v>2072</v>
      </c>
      <c r="E711" t="s">
        <v>1060</v>
      </c>
      <c r="F711" t="s">
        <v>1061</v>
      </c>
      <c r="G711">
        <v>6100702</v>
      </c>
      <c r="H711">
        <v>202104</v>
      </c>
      <c r="I711">
        <v>44309</v>
      </c>
      <c r="J711" t="s">
        <v>1117</v>
      </c>
      <c r="K711" t="s">
        <v>1056</v>
      </c>
      <c r="L711">
        <v>119010</v>
      </c>
      <c r="M711" t="s">
        <v>1823</v>
      </c>
      <c r="O711" t="s">
        <v>2079</v>
      </c>
      <c r="P711" t="s">
        <v>2080</v>
      </c>
      <c r="Q711" t="s">
        <v>357</v>
      </c>
      <c r="R711">
        <v>2069084</v>
      </c>
      <c r="S711" t="s">
        <v>2081</v>
      </c>
      <c r="U711" t="s">
        <v>2078</v>
      </c>
      <c r="V711" t="s">
        <v>356</v>
      </c>
      <c r="W711">
        <v>25700</v>
      </c>
      <c r="X711">
        <v>7.07</v>
      </c>
      <c r="Y711">
        <v>58.54</v>
      </c>
      <c r="Z711">
        <v>25700</v>
      </c>
      <c r="AA711">
        <v>0</v>
      </c>
      <c r="AB711">
        <v>44318.960925081017</v>
      </c>
      <c r="AC711" t="s">
        <v>323</v>
      </c>
      <c r="AD711">
        <v>5</v>
      </c>
    </row>
    <row r="712" spans="1:30" x14ac:dyDescent="0.25">
      <c r="A712" t="s">
        <v>1051</v>
      </c>
      <c r="B712" t="s">
        <v>1106</v>
      </c>
      <c r="C712" t="s">
        <v>2015</v>
      </c>
      <c r="D712" t="s">
        <v>2072</v>
      </c>
      <c r="E712" t="s">
        <v>1060</v>
      </c>
      <c r="F712" t="s">
        <v>1061</v>
      </c>
      <c r="G712">
        <v>6100699</v>
      </c>
      <c r="H712">
        <v>202104</v>
      </c>
      <c r="I712">
        <v>44309</v>
      </c>
      <c r="J712" t="s">
        <v>1117</v>
      </c>
      <c r="K712" t="s">
        <v>1056</v>
      </c>
      <c r="L712">
        <v>119010</v>
      </c>
      <c r="M712" t="s">
        <v>1823</v>
      </c>
      <c r="O712" t="s">
        <v>2017</v>
      </c>
      <c r="P712" t="s">
        <v>2018</v>
      </c>
      <c r="Q712" t="s">
        <v>357</v>
      </c>
      <c r="R712">
        <v>2069084</v>
      </c>
      <c r="S712" t="s">
        <v>2082</v>
      </c>
      <c r="U712" t="s">
        <v>2083</v>
      </c>
      <c r="V712" t="s">
        <v>356</v>
      </c>
      <c r="W712">
        <v>-202000</v>
      </c>
      <c r="X712">
        <v>-55.55</v>
      </c>
      <c r="Y712">
        <v>-460.16</v>
      </c>
      <c r="Z712">
        <v>-202000</v>
      </c>
      <c r="AA712">
        <v>0</v>
      </c>
      <c r="AB712">
        <v>44318.781357094907</v>
      </c>
      <c r="AC712" t="s">
        <v>323</v>
      </c>
      <c r="AD712">
        <v>5</v>
      </c>
    </row>
    <row r="713" spans="1:30" x14ac:dyDescent="0.25">
      <c r="A713" t="s">
        <v>1051</v>
      </c>
      <c r="B713" t="s">
        <v>1106</v>
      </c>
      <c r="C713" t="s">
        <v>2015</v>
      </c>
      <c r="D713" t="s">
        <v>2072</v>
      </c>
      <c r="E713" t="s">
        <v>1060</v>
      </c>
      <c r="F713" t="s">
        <v>1061</v>
      </c>
      <c r="G713">
        <v>6100699</v>
      </c>
      <c r="H713">
        <v>202104</v>
      </c>
      <c r="I713">
        <v>44309</v>
      </c>
      <c r="J713" t="s">
        <v>1117</v>
      </c>
      <c r="K713" t="s">
        <v>1056</v>
      </c>
      <c r="L713">
        <v>119010</v>
      </c>
      <c r="M713" t="s">
        <v>1823</v>
      </c>
      <c r="O713" t="s">
        <v>2017</v>
      </c>
      <c r="P713" t="s">
        <v>2018</v>
      </c>
      <c r="Q713" t="s">
        <v>357</v>
      </c>
      <c r="R713">
        <v>2069084</v>
      </c>
      <c r="S713" t="s">
        <v>2084</v>
      </c>
      <c r="U713" t="s">
        <v>2085</v>
      </c>
      <c r="V713" t="s">
        <v>356</v>
      </c>
      <c r="W713">
        <v>-800</v>
      </c>
      <c r="X713">
        <v>-0.22</v>
      </c>
      <c r="Y713">
        <v>-1.82</v>
      </c>
      <c r="Z713">
        <v>-800</v>
      </c>
      <c r="AA713">
        <v>0</v>
      </c>
      <c r="AB713">
        <v>44318.781357094907</v>
      </c>
      <c r="AC713" t="s">
        <v>323</v>
      </c>
      <c r="AD713">
        <v>5</v>
      </c>
    </row>
    <row r="714" spans="1:30" x14ac:dyDescent="0.25">
      <c r="A714" t="s">
        <v>1051</v>
      </c>
      <c r="B714" t="s">
        <v>1106</v>
      </c>
      <c r="C714" t="s">
        <v>2015</v>
      </c>
      <c r="D714" t="s">
        <v>2072</v>
      </c>
      <c r="E714" t="s">
        <v>1060</v>
      </c>
      <c r="F714" t="s">
        <v>1061</v>
      </c>
      <c r="G714">
        <v>6100594</v>
      </c>
      <c r="H714">
        <v>202104</v>
      </c>
      <c r="I714">
        <v>44298</v>
      </c>
      <c r="J714" t="s">
        <v>1117</v>
      </c>
      <c r="K714" t="s">
        <v>1056</v>
      </c>
      <c r="L714">
        <v>119010</v>
      </c>
      <c r="M714" t="s">
        <v>1823</v>
      </c>
      <c r="O714" t="s">
        <v>2017</v>
      </c>
      <c r="P714" t="s">
        <v>2018</v>
      </c>
      <c r="Q714" t="s">
        <v>357</v>
      </c>
      <c r="R714">
        <v>2069084</v>
      </c>
      <c r="S714" t="s">
        <v>355</v>
      </c>
      <c r="U714" t="s">
        <v>2019</v>
      </c>
      <c r="V714" t="s">
        <v>356</v>
      </c>
      <c r="W714">
        <v>942857</v>
      </c>
      <c r="X714">
        <v>259.29000000000002</v>
      </c>
      <c r="Y714">
        <v>2218.54</v>
      </c>
      <c r="Z714">
        <v>942857</v>
      </c>
      <c r="AA714">
        <v>147</v>
      </c>
      <c r="AB714">
        <v>44304.264941203706</v>
      </c>
      <c r="AC714" t="s">
        <v>323</v>
      </c>
      <c r="AD714">
        <v>5</v>
      </c>
    </row>
    <row r="715" spans="1:30" x14ac:dyDescent="0.25">
      <c r="A715" t="s">
        <v>1051</v>
      </c>
      <c r="B715" t="s">
        <v>1106</v>
      </c>
      <c r="C715" t="s">
        <v>2015</v>
      </c>
      <c r="D715" t="s">
        <v>2072</v>
      </c>
      <c r="E715" t="s">
        <v>1060</v>
      </c>
      <c r="F715" t="s">
        <v>1061</v>
      </c>
      <c r="G715">
        <v>6100594</v>
      </c>
      <c r="H715">
        <v>202104</v>
      </c>
      <c r="I715">
        <v>44298</v>
      </c>
      <c r="J715" t="s">
        <v>1117</v>
      </c>
      <c r="K715" t="s">
        <v>1056</v>
      </c>
      <c r="L715">
        <v>119010</v>
      </c>
      <c r="M715" t="s">
        <v>1823</v>
      </c>
      <c r="O715" t="s">
        <v>2017</v>
      </c>
      <c r="P715" t="s">
        <v>2018</v>
      </c>
      <c r="Q715" t="s">
        <v>357</v>
      </c>
      <c r="R715">
        <v>2069084</v>
      </c>
      <c r="S715" t="s">
        <v>355</v>
      </c>
      <c r="U715" t="s">
        <v>2019</v>
      </c>
      <c r="V715" t="s">
        <v>356</v>
      </c>
      <c r="W715">
        <v>1696800</v>
      </c>
      <c r="X715">
        <v>466.62</v>
      </c>
      <c r="Y715">
        <v>3992.57</v>
      </c>
      <c r="Z715">
        <v>1696800</v>
      </c>
      <c r="AA715">
        <v>0</v>
      </c>
      <c r="AB715">
        <v>44304.264941400463</v>
      </c>
      <c r="AC715" t="s">
        <v>323</v>
      </c>
      <c r="AD715">
        <v>5</v>
      </c>
    </row>
    <row r="716" spans="1:30" x14ac:dyDescent="0.25">
      <c r="A716" t="s">
        <v>1051</v>
      </c>
      <c r="B716" t="s">
        <v>1106</v>
      </c>
      <c r="C716" t="s">
        <v>2015</v>
      </c>
      <c r="D716" t="s">
        <v>2072</v>
      </c>
      <c r="E716" t="s">
        <v>1060</v>
      </c>
      <c r="F716" t="s">
        <v>1061</v>
      </c>
      <c r="G716">
        <v>6100747</v>
      </c>
      <c r="H716">
        <v>202104</v>
      </c>
      <c r="I716">
        <v>44316</v>
      </c>
      <c r="J716" t="s">
        <v>1117</v>
      </c>
      <c r="K716" t="s">
        <v>1056</v>
      </c>
      <c r="L716">
        <v>124474</v>
      </c>
      <c r="M716" t="s">
        <v>1829</v>
      </c>
      <c r="O716" t="s">
        <v>1258</v>
      </c>
      <c r="P716" t="s">
        <v>1259</v>
      </c>
      <c r="Q716" t="s">
        <v>354</v>
      </c>
      <c r="R716">
        <v>2265776</v>
      </c>
      <c r="S716" t="s">
        <v>355</v>
      </c>
      <c r="U716" t="s">
        <v>2086</v>
      </c>
      <c r="V716" t="s">
        <v>356</v>
      </c>
      <c r="W716">
        <v>4000</v>
      </c>
      <c r="X716">
        <v>1.08</v>
      </c>
      <c r="Y716">
        <v>8.9499999999999993</v>
      </c>
      <c r="Z716">
        <v>4000</v>
      </c>
      <c r="AA716">
        <v>0</v>
      </c>
      <c r="AB716">
        <v>44319.884936342591</v>
      </c>
      <c r="AC716" t="s">
        <v>325</v>
      </c>
      <c r="AD716">
        <v>5</v>
      </c>
    </row>
    <row r="717" spans="1:30" x14ac:dyDescent="0.25">
      <c r="A717" t="s">
        <v>1051</v>
      </c>
      <c r="B717" t="s">
        <v>1106</v>
      </c>
      <c r="C717" t="s">
        <v>2015</v>
      </c>
      <c r="D717" t="s">
        <v>2072</v>
      </c>
      <c r="E717" t="s">
        <v>1060</v>
      </c>
      <c r="F717" t="s">
        <v>1061</v>
      </c>
      <c r="G717">
        <v>6100747</v>
      </c>
      <c r="H717">
        <v>202104</v>
      </c>
      <c r="I717">
        <v>44316</v>
      </c>
      <c r="J717" t="s">
        <v>1117</v>
      </c>
      <c r="K717" t="s">
        <v>1056</v>
      </c>
      <c r="L717">
        <v>124474</v>
      </c>
      <c r="M717" t="s">
        <v>1829</v>
      </c>
      <c r="O717" t="s">
        <v>1773</v>
      </c>
      <c r="P717" t="s">
        <v>1774</v>
      </c>
      <c r="Q717" t="s">
        <v>354</v>
      </c>
      <c r="R717">
        <v>2265776</v>
      </c>
      <c r="S717" t="s">
        <v>355</v>
      </c>
      <c r="U717" t="s">
        <v>2087</v>
      </c>
      <c r="V717" t="s">
        <v>356</v>
      </c>
      <c r="W717">
        <v>28600</v>
      </c>
      <c r="X717">
        <v>7.72</v>
      </c>
      <c r="Y717">
        <v>63.98</v>
      </c>
      <c r="Z717">
        <v>28600</v>
      </c>
      <c r="AA717">
        <v>0</v>
      </c>
      <c r="AB717">
        <v>44319.884936342591</v>
      </c>
      <c r="AC717" t="s">
        <v>325</v>
      </c>
      <c r="AD717">
        <v>5</v>
      </c>
    </row>
    <row r="718" spans="1:30" x14ac:dyDescent="0.25">
      <c r="A718" t="s">
        <v>1051</v>
      </c>
      <c r="B718" t="s">
        <v>1106</v>
      </c>
      <c r="C718" t="s">
        <v>2015</v>
      </c>
      <c r="D718" t="s">
        <v>2072</v>
      </c>
      <c r="E718" t="s">
        <v>1060</v>
      </c>
      <c r="F718" t="s">
        <v>1061</v>
      </c>
      <c r="G718">
        <v>6100704</v>
      </c>
      <c r="H718">
        <v>202104</v>
      </c>
      <c r="I718">
        <v>44309</v>
      </c>
      <c r="J718" t="s">
        <v>1117</v>
      </c>
      <c r="K718" t="s">
        <v>1056</v>
      </c>
      <c r="L718" t="s">
        <v>368</v>
      </c>
      <c r="M718" t="s">
        <v>2040</v>
      </c>
      <c r="O718" t="s">
        <v>2088</v>
      </c>
      <c r="P718" t="s">
        <v>2089</v>
      </c>
      <c r="Q718" t="s">
        <v>357</v>
      </c>
      <c r="R718">
        <v>2069084</v>
      </c>
      <c r="S718" t="s">
        <v>2090</v>
      </c>
      <c r="U718" t="s">
        <v>2091</v>
      </c>
      <c r="V718" t="s">
        <v>356</v>
      </c>
      <c r="W718">
        <v>152000</v>
      </c>
      <c r="X718">
        <v>41.8</v>
      </c>
      <c r="Y718">
        <v>346.26</v>
      </c>
      <c r="Z718">
        <v>152000</v>
      </c>
      <c r="AA718">
        <v>318</v>
      </c>
      <c r="AB718">
        <v>44318.982477581019</v>
      </c>
      <c r="AC718" t="s">
        <v>323</v>
      </c>
      <c r="AD718">
        <v>5</v>
      </c>
    </row>
    <row r="719" spans="1:30" x14ac:dyDescent="0.25">
      <c r="A719" t="s">
        <v>1051</v>
      </c>
      <c r="B719" t="s">
        <v>1106</v>
      </c>
      <c r="C719" t="s">
        <v>2015</v>
      </c>
      <c r="D719" t="s">
        <v>2072</v>
      </c>
      <c r="E719" t="s">
        <v>1060</v>
      </c>
      <c r="F719" t="s">
        <v>1061</v>
      </c>
      <c r="G719">
        <v>6100704</v>
      </c>
      <c r="H719">
        <v>202104</v>
      </c>
      <c r="I719">
        <v>44309</v>
      </c>
      <c r="J719" t="s">
        <v>1117</v>
      </c>
      <c r="K719" t="s">
        <v>1056</v>
      </c>
      <c r="L719" t="s">
        <v>368</v>
      </c>
      <c r="M719" t="s">
        <v>2040</v>
      </c>
      <c r="O719" t="s">
        <v>1459</v>
      </c>
      <c r="P719" t="s">
        <v>1460</v>
      </c>
      <c r="Q719" t="s">
        <v>357</v>
      </c>
      <c r="R719">
        <v>2069084</v>
      </c>
      <c r="S719" t="s">
        <v>2092</v>
      </c>
      <c r="U719" t="s">
        <v>2093</v>
      </c>
      <c r="V719" t="s">
        <v>356</v>
      </c>
      <c r="W719">
        <v>49000</v>
      </c>
      <c r="X719">
        <v>13.48</v>
      </c>
      <c r="Y719">
        <v>111.62</v>
      </c>
      <c r="Z719">
        <v>49000</v>
      </c>
      <c r="AA719">
        <v>0</v>
      </c>
      <c r="AB719">
        <v>44318.982477581019</v>
      </c>
      <c r="AC719" t="s">
        <v>323</v>
      </c>
      <c r="AD719">
        <v>5</v>
      </c>
    </row>
    <row r="720" spans="1:30" x14ac:dyDescent="0.25">
      <c r="A720" t="s">
        <v>1051</v>
      </c>
      <c r="B720" t="s">
        <v>1106</v>
      </c>
      <c r="C720" t="s">
        <v>2015</v>
      </c>
      <c r="D720" t="s">
        <v>2072</v>
      </c>
      <c r="E720" t="s">
        <v>1060</v>
      </c>
      <c r="F720" t="s">
        <v>1061</v>
      </c>
      <c r="G720">
        <v>6100704</v>
      </c>
      <c r="H720">
        <v>202104</v>
      </c>
      <c r="I720">
        <v>44309</v>
      </c>
      <c r="J720" t="s">
        <v>1117</v>
      </c>
      <c r="K720" t="s">
        <v>1056</v>
      </c>
      <c r="L720" t="s">
        <v>368</v>
      </c>
      <c r="M720" t="s">
        <v>2040</v>
      </c>
      <c r="O720" t="s">
        <v>2017</v>
      </c>
      <c r="P720" t="s">
        <v>2018</v>
      </c>
      <c r="Q720" t="s">
        <v>357</v>
      </c>
      <c r="R720">
        <v>2069084</v>
      </c>
      <c r="S720" t="s">
        <v>2094</v>
      </c>
      <c r="U720" t="s">
        <v>2095</v>
      </c>
      <c r="V720" t="s">
        <v>356</v>
      </c>
      <c r="W720">
        <v>4200</v>
      </c>
      <c r="X720">
        <v>1.1599999999999999</v>
      </c>
      <c r="Y720">
        <v>9.57</v>
      </c>
      <c r="Z720">
        <v>4200</v>
      </c>
      <c r="AA720">
        <v>0</v>
      </c>
      <c r="AB720">
        <v>44318.982477581019</v>
      </c>
      <c r="AC720" t="s">
        <v>323</v>
      </c>
      <c r="AD720">
        <v>5</v>
      </c>
    </row>
    <row r="721" spans="1:30" x14ac:dyDescent="0.25">
      <c r="A721" t="s">
        <v>1051</v>
      </c>
      <c r="B721" t="s">
        <v>1106</v>
      </c>
      <c r="C721" t="s">
        <v>2015</v>
      </c>
      <c r="D721" t="s">
        <v>2072</v>
      </c>
      <c r="E721" t="s">
        <v>1060</v>
      </c>
      <c r="F721" t="s">
        <v>1061</v>
      </c>
      <c r="G721">
        <v>6100704</v>
      </c>
      <c r="H721">
        <v>202104</v>
      </c>
      <c r="I721">
        <v>44309</v>
      </c>
      <c r="J721" t="s">
        <v>1117</v>
      </c>
      <c r="K721" t="s">
        <v>1056</v>
      </c>
      <c r="L721" t="s">
        <v>368</v>
      </c>
      <c r="M721" t="s">
        <v>2040</v>
      </c>
      <c r="O721" t="s">
        <v>2096</v>
      </c>
      <c r="P721" t="s">
        <v>2097</v>
      </c>
      <c r="Q721" t="s">
        <v>357</v>
      </c>
      <c r="R721">
        <v>2069084</v>
      </c>
      <c r="S721" t="s">
        <v>2098</v>
      </c>
      <c r="U721" t="s">
        <v>2095</v>
      </c>
      <c r="V721" t="s">
        <v>356</v>
      </c>
      <c r="W721">
        <v>20800</v>
      </c>
      <c r="X721">
        <v>5.72</v>
      </c>
      <c r="Y721">
        <v>47.38</v>
      </c>
      <c r="Z721">
        <v>20800</v>
      </c>
      <c r="AA721">
        <v>0</v>
      </c>
      <c r="AB721">
        <v>44318.982477581019</v>
      </c>
      <c r="AC721" t="s">
        <v>323</v>
      </c>
      <c r="AD721">
        <v>5</v>
      </c>
    </row>
    <row r="722" spans="1:30" x14ac:dyDescent="0.25">
      <c r="A722" t="s">
        <v>1051</v>
      </c>
      <c r="B722" t="s">
        <v>1822</v>
      </c>
      <c r="C722" t="s">
        <v>2015</v>
      </c>
      <c r="D722" t="s">
        <v>2072</v>
      </c>
      <c r="E722" t="s">
        <v>2099</v>
      </c>
      <c r="F722" t="s">
        <v>2100</v>
      </c>
      <c r="G722">
        <v>7100322</v>
      </c>
      <c r="H722">
        <v>202104</v>
      </c>
      <c r="I722">
        <v>44309</v>
      </c>
      <c r="J722" t="s">
        <v>1701</v>
      </c>
      <c r="K722" t="s">
        <v>1056</v>
      </c>
      <c r="L722" t="s">
        <v>367</v>
      </c>
      <c r="M722" t="s">
        <v>1889</v>
      </c>
      <c r="O722" t="s">
        <v>2101</v>
      </c>
      <c r="P722" t="s">
        <v>2102</v>
      </c>
      <c r="Q722" t="s">
        <v>357</v>
      </c>
      <c r="R722">
        <v>2069084</v>
      </c>
      <c r="S722" t="s">
        <v>355</v>
      </c>
      <c r="U722" t="s">
        <v>2103</v>
      </c>
      <c r="V722" t="s">
        <v>356</v>
      </c>
      <c r="W722">
        <v>36000</v>
      </c>
      <c r="X722">
        <v>9.9</v>
      </c>
      <c r="Y722">
        <v>83.84</v>
      </c>
      <c r="Z722">
        <v>36000</v>
      </c>
      <c r="AA722">
        <v>0</v>
      </c>
      <c r="AB722">
        <v>44313.760350231481</v>
      </c>
      <c r="AC722" t="s">
        <v>323</v>
      </c>
      <c r="AD722">
        <v>5</v>
      </c>
    </row>
    <row r="723" spans="1:30" x14ac:dyDescent="0.25">
      <c r="A723" t="s">
        <v>1051</v>
      </c>
      <c r="B723" t="s">
        <v>1822</v>
      </c>
      <c r="C723" t="s">
        <v>2015</v>
      </c>
      <c r="D723" t="s">
        <v>2072</v>
      </c>
      <c r="E723" t="s">
        <v>2099</v>
      </c>
      <c r="F723" t="s">
        <v>2100</v>
      </c>
      <c r="G723">
        <v>7100322</v>
      </c>
      <c r="H723">
        <v>202104</v>
      </c>
      <c r="I723">
        <v>44309</v>
      </c>
      <c r="J723" t="s">
        <v>1701</v>
      </c>
      <c r="K723" t="s">
        <v>1056</v>
      </c>
      <c r="L723" t="s">
        <v>367</v>
      </c>
      <c r="M723" t="s">
        <v>1889</v>
      </c>
      <c r="O723" t="s">
        <v>1293</v>
      </c>
      <c r="P723" t="s">
        <v>1294</v>
      </c>
      <c r="Q723" t="s">
        <v>357</v>
      </c>
      <c r="R723">
        <v>2069084</v>
      </c>
      <c r="S723" t="s">
        <v>355</v>
      </c>
      <c r="U723" t="s">
        <v>2104</v>
      </c>
      <c r="V723" t="s">
        <v>356</v>
      </c>
      <c r="W723">
        <v>20000</v>
      </c>
      <c r="X723">
        <v>5.5</v>
      </c>
      <c r="Y723">
        <v>46.58</v>
      </c>
      <c r="Z723">
        <v>20000</v>
      </c>
      <c r="AA723">
        <v>0</v>
      </c>
      <c r="AB723">
        <v>44313.760350231481</v>
      </c>
      <c r="AC723" t="s">
        <v>323</v>
      </c>
      <c r="AD723">
        <v>5</v>
      </c>
    </row>
    <row r="724" spans="1:30" x14ac:dyDescent="0.25">
      <c r="A724" t="s">
        <v>1051</v>
      </c>
      <c r="B724" t="s">
        <v>1822</v>
      </c>
      <c r="C724" t="s">
        <v>2015</v>
      </c>
      <c r="D724" t="s">
        <v>2072</v>
      </c>
      <c r="E724" t="s">
        <v>2099</v>
      </c>
      <c r="F724" t="s">
        <v>2100</v>
      </c>
      <c r="G724">
        <v>7100322</v>
      </c>
      <c r="H724">
        <v>202104</v>
      </c>
      <c r="I724">
        <v>44309</v>
      </c>
      <c r="J724" t="s">
        <v>1701</v>
      </c>
      <c r="K724" t="s">
        <v>1056</v>
      </c>
      <c r="L724" t="s">
        <v>367</v>
      </c>
      <c r="M724" t="s">
        <v>1889</v>
      </c>
      <c r="O724" t="s">
        <v>1773</v>
      </c>
      <c r="P724" t="s">
        <v>1774</v>
      </c>
      <c r="Q724" t="s">
        <v>357</v>
      </c>
      <c r="R724">
        <v>2069084</v>
      </c>
      <c r="S724" t="s">
        <v>355</v>
      </c>
      <c r="U724" t="s">
        <v>2105</v>
      </c>
      <c r="V724" t="s">
        <v>356</v>
      </c>
      <c r="W724">
        <v>31000</v>
      </c>
      <c r="X724">
        <v>8.5299999999999994</v>
      </c>
      <c r="Y724">
        <v>72.2</v>
      </c>
      <c r="Z724">
        <v>31000</v>
      </c>
      <c r="AA724">
        <v>0</v>
      </c>
      <c r="AB724">
        <v>44313.760350231481</v>
      </c>
      <c r="AC724" t="s">
        <v>323</v>
      </c>
      <c r="AD724">
        <v>5</v>
      </c>
    </row>
    <row r="725" spans="1:30" x14ac:dyDescent="0.25">
      <c r="A725" t="s">
        <v>1051</v>
      </c>
      <c r="B725" t="s">
        <v>1822</v>
      </c>
      <c r="C725" t="s">
        <v>2015</v>
      </c>
      <c r="D725" t="s">
        <v>2072</v>
      </c>
      <c r="E725" t="s">
        <v>2099</v>
      </c>
      <c r="F725" t="s">
        <v>2100</v>
      </c>
      <c r="G725">
        <v>7100322</v>
      </c>
      <c r="H725">
        <v>202104</v>
      </c>
      <c r="I725">
        <v>44309</v>
      </c>
      <c r="J725" t="s">
        <v>1701</v>
      </c>
      <c r="K725" t="s">
        <v>1056</v>
      </c>
      <c r="L725" t="s">
        <v>367</v>
      </c>
      <c r="M725" t="s">
        <v>1889</v>
      </c>
      <c r="O725" t="s">
        <v>2106</v>
      </c>
      <c r="P725" t="s">
        <v>2107</v>
      </c>
      <c r="Q725" t="s">
        <v>357</v>
      </c>
      <c r="R725">
        <v>2069084</v>
      </c>
      <c r="S725" t="s">
        <v>355</v>
      </c>
      <c r="U725" t="s">
        <v>2108</v>
      </c>
      <c r="V725" t="s">
        <v>356</v>
      </c>
      <c r="W725">
        <v>28800</v>
      </c>
      <c r="X725">
        <v>7.92</v>
      </c>
      <c r="Y725">
        <v>67.08</v>
      </c>
      <c r="Z725">
        <v>28800</v>
      </c>
      <c r="AA725">
        <v>0</v>
      </c>
      <c r="AB725">
        <v>44313.760350231481</v>
      </c>
      <c r="AC725" t="s">
        <v>323</v>
      </c>
      <c r="AD725">
        <v>5</v>
      </c>
    </row>
    <row r="726" spans="1:30" x14ac:dyDescent="0.25">
      <c r="A726" t="s">
        <v>1051</v>
      </c>
      <c r="B726" t="s">
        <v>1822</v>
      </c>
      <c r="C726" t="s">
        <v>2015</v>
      </c>
      <c r="D726" t="s">
        <v>2072</v>
      </c>
      <c r="E726" t="s">
        <v>2099</v>
      </c>
      <c r="F726" t="s">
        <v>2100</v>
      </c>
      <c r="G726">
        <v>7100322</v>
      </c>
      <c r="H726">
        <v>202104</v>
      </c>
      <c r="I726">
        <v>44309</v>
      </c>
      <c r="J726" t="s">
        <v>1701</v>
      </c>
      <c r="K726" t="s">
        <v>1056</v>
      </c>
      <c r="L726" t="s">
        <v>367</v>
      </c>
      <c r="M726" t="s">
        <v>1889</v>
      </c>
      <c r="O726" t="s">
        <v>1293</v>
      </c>
      <c r="P726" t="s">
        <v>1294</v>
      </c>
      <c r="Q726" t="s">
        <v>357</v>
      </c>
      <c r="R726">
        <v>2069084</v>
      </c>
      <c r="S726" t="s">
        <v>355</v>
      </c>
      <c r="U726" t="s">
        <v>2109</v>
      </c>
      <c r="V726" t="s">
        <v>356</v>
      </c>
      <c r="W726">
        <v>30000</v>
      </c>
      <c r="X726">
        <v>8.25</v>
      </c>
      <c r="Y726">
        <v>69.87</v>
      </c>
      <c r="Z726">
        <v>30000</v>
      </c>
      <c r="AA726">
        <v>0</v>
      </c>
      <c r="AB726">
        <v>44313.760350231481</v>
      </c>
      <c r="AC726" t="s">
        <v>323</v>
      </c>
      <c r="AD726">
        <v>5</v>
      </c>
    </row>
    <row r="727" spans="1:30" x14ac:dyDescent="0.25">
      <c r="A727" t="s">
        <v>1051</v>
      </c>
      <c r="B727" t="s">
        <v>1822</v>
      </c>
      <c r="C727" t="s">
        <v>2015</v>
      </c>
      <c r="D727" t="s">
        <v>2072</v>
      </c>
      <c r="E727" t="s">
        <v>2099</v>
      </c>
      <c r="F727" t="s">
        <v>2100</v>
      </c>
      <c r="G727">
        <v>7100322</v>
      </c>
      <c r="H727">
        <v>202104</v>
      </c>
      <c r="I727">
        <v>44309</v>
      </c>
      <c r="J727" t="s">
        <v>1701</v>
      </c>
      <c r="K727" t="s">
        <v>1056</v>
      </c>
      <c r="L727" t="s">
        <v>367</v>
      </c>
      <c r="M727" t="s">
        <v>1889</v>
      </c>
      <c r="O727" t="s">
        <v>2110</v>
      </c>
      <c r="P727" t="s">
        <v>2111</v>
      </c>
      <c r="Q727" t="s">
        <v>357</v>
      </c>
      <c r="R727">
        <v>2069084</v>
      </c>
      <c r="S727" t="s">
        <v>355</v>
      </c>
      <c r="U727" t="s">
        <v>2112</v>
      </c>
      <c r="V727" t="s">
        <v>356</v>
      </c>
      <c r="W727">
        <v>27500</v>
      </c>
      <c r="X727">
        <v>7.56</v>
      </c>
      <c r="Y727">
        <v>64.05</v>
      </c>
      <c r="Z727">
        <v>27500</v>
      </c>
      <c r="AA727">
        <v>0</v>
      </c>
      <c r="AB727">
        <v>44313.760350231481</v>
      </c>
      <c r="AC727" t="s">
        <v>323</v>
      </c>
      <c r="AD727">
        <v>5</v>
      </c>
    </row>
    <row r="728" spans="1:30" x14ac:dyDescent="0.25">
      <c r="A728" t="s">
        <v>1051</v>
      </c>
      <c r="B728" t="s">
        <v>1822</v>
      </c>
      <c r="C728" t="s">
        <v>2015</v>
      </c>
      <c r="D728" t="s">
        <v>2072</v>
      </c>
      <c r="E728" t="s">
        <v>2099</v>
      </c>
      <c r="F728" t="s">
        <v>2100</v>
      </c>
      <c r="G728">
        <v>7100322</v>
      </c>
      <c r="H728">
        <v>202104</v>
      </c>
      <c r="I728">
        <v>44309</v>
      </c>
      <c r="J728" t="s">
        <v>1701</v>
      </c>
      <c r="K728" t="s">
        <v>1056</v>
      </c>
      <c r="L728" t="s">
        <v>367</v>
      </c>
      <c r="M728" t="s">
        <v>1889</v>
      </c>
      <c r="O728" t="s">
        <v>2113</v>
      </c>
      <c r="P728" t="s">
        <v>2114</v>
      </c>
      <c r="Q728" t="s">
        <v>357</v>
      </c>
      <c r="R728">
        <v>2069084</v>
      </c>
      <c r="S728" t="s">
        <v>355</v>
      </c>
      <c r="U728" t="s">
        <v>2115</v>
      </c>
      <c r="V728" t="s">
        <v>356</v>
      </c>
      <c r="W728">
        <v>36000</v>
      </c>
      <c r="X728">
        <v>9.9</v>
      </c>
      <c r="Y728">
        <v>83.84</v>
      </c>
      <c r="Z728">
        <v>36000</v>
      </c>
      <c r="AA728">
        <v>0</v>
      </c>
      <c r="AB728">
        <v>44313.760350231481</v>
      </c>
      <c r="AC728" t="s">
        <v>323</v>
      </c>
      <c r="AD728">
        <v>5</v>
      </c>
    </row>
    <row r="729" spans="1:30" x14ac:dyDescent="0.25">
      <c r="A729" t="s">
        <v>1051</v>
      </c>
      <c r="B729" t="s">
        <v>1822</v>
      </c>
      <c r="C729" t="s">
        <v>2015</v>
      </c>
      <c r="D729" t="s">
        <v>2072</v>
      </c>
      <c r="E729" t="s">
        <v>2099</v>
      </c>
      <c r="F729" t="s">
        <v>2100</v>
      </c>
      <c r="G729">
        <v>7100322</v>
      </c>
      <c r="H729">
        <v>202104</v>
      </c>
      <c r="I729">
        <v>44309</v>
      </c>
      <c r="J729" t="s">
        <v>1701</v>
      </c>
      <c r="K729" t="s">
        <v>1056</v>
      </c>
      <c r="L729" t="s">
        <v>367</v>
      </c>
      <c r="M729" t="s">
        <v>1889</v>
      </c>
      <c r="O729" t="s">
        <v>2116</v>
      </c>
      <c r="P729" t="s">
        <v>2117</v>
      </c>
      <c r="Q729" t="s">
        <v>357</v>
      </c>
      <c r="R729">
        <v>2069084</v>
      </c>
      <c r="S729" t="s">
        <v>355</v>
      </c>
      <c r="U729" t="s">
        <v>2118</v>
      </c>
      <c r="V729" t="s">
        <v>356</v>
      </c>
      <c r="W729">
        <v>31800</v>
      </c>
      <c r="X729">
        <v>8.75</v>
      </c>
      <c r="Y729">
        <v>74.06</v>
      </c>
      <c r="Z729">
        <v>31800</v>
      </c>
      <c r="AA729">
        <v>0</v>
      </c>
      <c r="AB729">
        <v>44313.760350231481</v>
      </c>
      <c r="AC729" t="s">
        <v>323</v>
      </c>
      <c r="AD729">
        <v>5</v>
      </c>
    </row>
    <row r="730" spans="1:30" x14ac:dyDescent="0.25">
      <c r="A730" t="s">
        <v>1051</v>
      </c>
      <c r="B730" t="s">
        <v>1822</v>
      </c>
      <c r="C730" t="s">
        <v>2015</v>
      </c>
      <c r="D730" t="s">
        <v>2072</v>
      </c>
      <c r="E730" t="s">
        <v>2099</v>
      </c>
      <c r="F730" t="s">
        <v>2100</v>
      </c>
      <c r="G730">
        <v>7100322</v>
      </c>
      <c r="H730">
        <v>202104</v>
      </c>
      <c r="I730">
        <v>44309</v>
      </c>
      <c r="J730" t="s">
        <v>1701</v>
      </c>
      <c r="K730" t="s">
        <v>1056</v>
      </c>
      <c r="L730" t="s">
        <v>367</v>
      </c>
      <c r="M730" t="s">
        <v>1889</v>
      </c>
      <c r="O730" t="s">
        <v>2101</v>
      </c>
      <c r="P730" t="s">
        <v>2102</v>
      </c>
      <c r="Q730" t="s">
        <v>357</v>
      </c>
      <c r="R730">
        <v>2069084</v>
      </c>
      <c r="S730" t="s">
        <v>355</v>
      </c>
      <c r="U730" t="s">
        <v>2119</v>
      </c>
      <c r="V730" t="s">
        <v>356</v>
      </c>
      <c r="W730">
        <v>36000</v>
      </c>
      <c r="X730">
        <v>9.9</v>
      </c>
      <c r="Y730">
        <v>83.84</v>
      </c>
      <c r="Z730">
        <v>36000</v>
      </c>
      <c r="AA730">
        <v>0</v>
      </c>
      <c r="AB730">
        <v>44313.760350381941</v>
      </c>
      <c r="AC730" t="s">
        <v>323</v>
      </c>
      <c r="AD730">
        <v>5</v>
      </c>
    </row>
    <row r="731" spans="1:30" x14ac:dyDescent="0.25">
      <c r="A731" t="s">
        <v>1051</v>
      </c>
      <c r="B731" t="s">
        <v>1822</v>
      </c>
      <c r="C731" t="s">
        <v>2015</v>
      </c>
      <c r="D731" t="s">
        <v>2072</v>
      </c>
      <c r="E731" t="s">
        <v>2099</v>
      </c>
      <c r="F731" t="s">
        <v>2100</v>
      </c>
      <c r="G731">
        <v>7100322</v>
      </c>
      <c r="H731">
        <v>202104</v>
      </c>
      <c r="I731">
        <v>44309</v>
      </c>
      <c r="J731" t="s">
        <v>1701</v>
      </c>
      <c r="K731" t="s">
        <v>1056</v>
      </c>
      <c r="L731" t="s">
        <v>367</v>
      </c>
      <c r="M731" t="s">
        <v>1889</v>
      </c>
      <c r="O731" t="s">
        <v>1773</v>
      </c>
      <c r="P731" t="s">
        <v>1774</v>
      </c>
      <c r="Q731" t="s">
        <v>357</v>
      </c>
      <c r="R731">
        <v>2069084</v>
      </c>
      <c r="S731" t="s">
        <v>355</v>
      </c>
      <c r="U731" t="s">
        <v>2120</v>
      </c>
      <c r="V731" t="s">
        <v>356</v>
      </c>
      <c r="W731">
        <v>20600</v>
      </c>
      <c r="X731">
        <v>5.67</v>
      </c>
      <c r="Y731">
        <v>47.98</v>
      </c>
      <c r="Z731">
        <v>20600</v>
      </c>
      <c r="AA731">
        <v>0</v>
      </c>
      <c r="AB731">
        <v>44313.760350381941</v>
      </c>
      <c r="AC731" t="s">
        <v>323</v>
      </c>
      <c r="AD731">
        <v>5</v>
      </c>
    </row>
    <row r="732" spans="1:30" x14ac:dyDescent="0.25">
      <c r="A732" t="s">
        <v>1051</v>
      </c>
      <c r="B732" t="s">
        <v>1106</v>
      </c>
      <c r="C732" t="s">
        <v>2015</v>
      </c>
      <c r="D732" t="s">
        <v>2072</v>
      </c>
      <c r="E732" t="s">
        <v>1060</v>
      </c>
      <c r="F732" t="s">
        <v>1061</v>
      </c>
      <c r="G732">
        <v>6100754</v>
      </c>
      <c r="H732">
        <v>202104</v>
      </c>
      <c r="I732">
        <v>44316</v>
      </c>
      <c r="J732" t="s">
        <v>1117</v>
      </c>
      <c r="K732" t="s">
        <v>1056</v>
      </c>
      <c r="L732" t="s">
        <v>369</v>
      </c>
      <c r="M732" t="s">
        <v>2044</v>
      </c>
      <c r="O732" t="s">
        <v>1293</v>
      </c>
      <c r="P732" t="s">
        <v>1294</v>
      </c>
      <c r="Q732" t="s">
        <v>354</v>
      </c>
      <c r="R732">
        <v>2265776</v>
      </c>
      <c r="S732" t="s">
        <v>355</v>
      </c>
      <c r="U732" t="s">
        <v>2121</v>
      </c>
      <c r="V732" t="s">
        <v>356</v>
      </c>
      <c r="W732">
        <v>21000</v>
      </c>
      <c r="X732">
        <v>5.67</v>
      </c>
      <c r="Y732">
        <v>46.98</v>
      </c>
      <c r="Z732">
        <v>21000</v>
      </c>
      <c r="AA732">
        <v>0</v>
      </c>
      <c r="AB732">
        <v>44319.948913425927</v>
      </c>
      <c r="AC732" t="s">
        <v>325</v>
      </c>
      <c r="AD732">
        <v>5</v>
      </c>
    </row>
    <row r="733" spans="1:30" x14ac:dyDescent="0.25">
      <c r="A733" t="s">
        <v>1051</v>
      </c>
      <c r="B733" t="s">
        <v>1106</v>
      </c>
      <c r="C733" t="s">
        <v>2015</v>
      </c>
      <c r="D733" t="s">
        <v>2072</v>
      </c>
      <c r="E733" t="s">
        <v>1060</v>
      </c>
      <c r="F733" t="s">
        <v>1061</v>
      </c>
      <c r="G733">
        <v>6100746</v>
      </c>
      <c r="H733">
        <v>202104</v>
      </c>
      <c r="I733">
        <v>44316</v>
      </c>
      <c r="J733" t="s">
        <v>1117</v>
      </c>
      <c r="K733" t="s">
        <v>1056</v>
      </c>
      <c r="L733" t="s">
        <v>365</v>
      </c>
      <c r="M733" t="s">
        <v>1853</v>
      </c>
      <c r="O733" t="s">
        <v>1258</v>
      </c>
      <c r="P733" t="s">
        <v>1259</v>
      </c>
      <c r="Q733" t="s">
        <v>354</v>
      </c>
      <c r="R733">
        <v>2265776</v>
      </c>
      <c r="S733" t="s">
        <v>355</v>
      </c>
      <c r="U733" t="s">
        <v>2122</v>
      </c>
      <c r="V733" t="s">
        <v>356</v>
      </c>
      <c r="W733">
        <v>9400</v>
      </c>
      <c r="X733">
        <v>2.54</v>
      </c>
      <c r="Y733">
        <v>21.03</v>
      </c>
      <c r="Z733">
        <v>9400</v>
      </c>
      <c r="AA733">
        <v>0</v>
      </c>
      <c r="AB733">
        <v>44319.873104247687</v>
      </c>
      <c r="AC733" t="s">
        <v>325</v>
      </c>
      <c r="AD733">
        <v>5</v>
      </c>
    </row>
    <row r="734" spans="1:30" x14ac:dyDescent="0.25">
      <c r="A734" t="s">
        <v>1051</v>
      </c>
      <c r="B734" t="s">
        <v>1106</v>
      </c>
      <c r="C734" t="s">
        <v>2015</v>
      </c>
      <c r="D734" t="s">
        <v>2072</v>
      </c>
      <c r="E734" t="s">
        <v>1060</v>
      </c>
      <c r="F734" t="s">
        <v>1061</v>
      </c>
      <c r="G734">
        <v>6100746</v>
      </c>
      <c r="H734">
        <v>202104</v>
      </c>
      <c r="I734">
        <v>44316</v>
      </c>
      <c r="J734" t="s">
        <v>1117</v>
      </c>
      <c r="K734" t="s">
        <v>1056</v>
      </c>
      <c r="L734" t="s">
        <v>365</v>
      </c>
      <c r="M734" t="s">
        <v>1853</v>
      </c>
      <c r="O734" t="s">
        <v>1773</v>
      </c>
      <c r="P734" t="s">
        <v>1774</v>
      </c>
      <c r="Q734" t="s">
        <v>354</v>
      </c>
      <c r="R734">
        <v>2265776</v>
      </c>
      <c r="S734" t="s">
        <v>355</v>
      </c>
      <c r="U734" t="s">
        <v>2123</v>
      </c>
      <c r="V734" t="s">
        <v>356</v>
      </c>
      <c r="W734">
        <v>31700</v>
      </c>
      <c r="X734">
        <v>8.56</v>
      </c>
      <c r="Y734">
        <v>70.91</v>
      </c>
      <c r="Z734">
        <v>31700</v>
      </c>
      <c r="AA734">
        <v>0</v>
      </c>
      <c r="AB734">
        <v>44319.873104247687</v>
      </c>
      <c r="AC734" t="s">
        <v>325</v>
      </c>
      <c r="AD734">
        <v>5</v>
      </c>
    </row>
    <row r="735" spans="1:30" x14ac:dyDescent="0.25">
      <c r="A735" t="s">
        <v>1051</v>
      </c>
      <c r="B735" t="s">
        <v>1106</v>
      </c>
      <c r="C735" t="s">
        <v>2015</v>
      </c>
      <c r="D735" t="s">
        <v>2072</v>
      </c>
      <c r="E735" t="s">
        <v>1060</v>
      </c>
      <c r="F735" t="s">
        <v>1061</v>
      </c>
      <c r="G735">
        <v>6100746</v>
      </c>
      <c r="H735">
        <v>202104</v>
      </c>
      <c r="I735">
        <v>44316</v>
      </c>
      <c r="J735" t="s">
        <v>1117</v>
      </c>
      <c r="K735" t="s">
        <v>1056</v>
      </c>
      <c r="L735" t="s">
        <v>365</v>
      </c>
      <c r="M735" t="s">
        <v>1853</v>
      </c>
      <c r="O735" t="s">
        <v>2124</v>
      </c>
      <c r="P735" t="s">
        <v>2125</v>
      </c>
      <c r="Q735" t="s">
        <v>354</v>
      </c>
      <c r="R735">
        <v>2265776</v>
      </c>
      <c r="S735" t="s">
        <v>355</v>
      </c>
      <c r="U735" t="s">
        <v>2126</v>
      </c>
      <c r="V735" t="s">
        <v>356</v>
      </c>
      <c r="W735">
        <v>13400</v>
      </c>
      <c r="X735">
        <v>3.62</v>
      </c>
      <c r="Y735">
        <v>29.98</v>
      </c>
      <c r="Z735">
        <v>13400</v>
      </c>
      <c r="AA735">
        <v>0</v>
      </c>
      <c r="AB735">
        <v>44319.873104247687</v>
      </c>
      <c r="AC735" t="s">
        <v>325</v>
      </c>
      <c r="AD735">
        <v>5</v>
      </c>
    </row>
    <row r="736" spans="1:30" x14ac:dyDescent="0.25">
      <c r="A736" t="s">
        <v>1051</v>
      </c>
      <c r="B736" t="s">
        <v>1106</v>
      </c>
      <c r="C736" t="s">
        <v>2015</v>
      </c>
      <c r="D736" t="s">
        <v>2072</v>
      </c>
      <c r="E736" t="s">
        <v>1060</v>
      </c>
      <c r="F736" t="s">
        <v>1061</v>
      </c>
      <c r="G736">
        <v>6100746</v>
      </c>
      <c r="H736">
        <v>202104</v>
      </c>
      <c r="I736">
        <v>44316</v>
      </c>
      <c r="J736" t="s">
        <v>1117</v>
      </c>
      <c r="K736" t="s">
        <v>1056</v>
      </c>
      <c r="L736" t="s">
        <v>365</v>
      </c>
      <c r="M736" t="s">
        <v>1853</v>
      </c>
      <c r="O736" t="s">
        <v>1459</v>
      </c>
      <c r="P736" t="s">
        <v>1460</v>
      </c>
      <c r="Q736" t="s">
        <v>354</v>
      </c>
      <c r="R736">
        <v>2265776</v>
      </c>
      <c r="S736" t="s">
        <v>355</v>
      </c>
      <c r="U736" t="s">
        <v>2127</v>
      </c>
      <c r="V736" t="s">
        <v>356</v>
      </c>
      <c r="W736">
        <v>5500</v>
      </c>
      <c r="X736">
        <v>1.49</v>
      </c>
      <c r="Y736">
        <v>12.3</v>
      </c>
      <c r="Z736">
        <v>5500</v>
      </c>
      <c r="AA736">
        <v>0</v>
      </c>
      <c r="AB736">
        <v>44319.873104432867</v>
      </c>
      <c r="AC736" t="s">
        <v>325</v>
      </c>
      <c r="AD736">
        <v>5</v>
      </c>
    </row>
    <row r="737" spans="1:30" x14ac:dyDescent="0.25">
      <c r="A737" t="s">
        <v>1051</v>
      </c>
      <c r="B737" t="s">
        <v>1106</v>
      </c>
      <c r="C737" t="s">
        <v>2015</v>
      </c>
      <c r="D737" t="s">
        <v>2072</v>
      </c>
      <c r="E737" t="s">
        <v>1060</v>
      </c>
      <c r="F737" t="s">
        <v>1061</v>
      </c>
      <c r="G737">
        <v>6100746</v>
      </c>
      <c r="H737">
        <v>202104</v>
      </c>
      <c r="I737">
        <v>44316</v>
      </c>
      <c r="J737" t="s">
        <v>1117</v>
      </c>
      <c r="K737" t="s">
        <v>1056</v>
      </c>
      <c r="L737" t="s">
        <v>365</v>
      </c>
      <c r="M737" t="s">
        <v>1853</v>
      </c>
      <c r="O737" t="s">
        <v>1459</v>
      </c>
      <c r="P737" t="s">
        <v>1460</v>
      </c>
      <c r="Q737" t="s">
        <v>354</v>
      </c>
      <c r="R737">
        <v>2265776</v>
      </c>
      <c r="S737" t="s">
        <v>355</v>
      </c>
      <c r="U737" t="s">
        <v>2128</v>
      </c>
      <c r="V737" t="s">
        <v>356</v>
      </c>
      <c r="W737">
        <v>5500</v>
      </c>
      <c r="X737">
        <v>1.49</v>
      </c>
      <c r="Y737">
        <v>12.3</v>
      </c>
      <c r="Z737">
        <v>5500</v>
      </c>
      <c r="AA737">
        <v>0</v>
      </c>
      <c r="AB737">
        <v>44319.873104432867</v>
      </c>
      <c r="AC737" t="s">
        <v>325</v>
      </c>
      <c r="AD737">
        <v>5</v>
      </c>
    </row>
    <row r="738" spans="1:30" x14ac:dyDescent="0.25">
      <c r="A738" t="s">
        <v>1051</v>
      </c>
      <c r="B738" t="s">
        <v>1106</v>
      </c>
      <c r="C738" t="s">
        <v>2015</v>
      </c>
      <c r="D738" t="s">
        <v>2072</v>
      </c>
      <c r="E738" t="s">
        <v>1060</v>
      </c>
      <c r="F738" t="s">
        <v>1061</v>
      </c>
      <c r="G738">
        <v>6100802</v>
      </c>
      <c r="H738">
        <v>202105</v>
      </c>
      <c r="I738">
        <v>44322</v>
      </c>
      <c r="J738" t="s">
        <v>1117</v>
      </c>
      <c r="K738" t="s">
        <v>1056</v>
      </c>
      <c r="L738">
        <v>124475</v>
      </c>
      <c r="M738" t="s">
        <v>1864</v>
      </c>
      <c r="O738" t="s">
        <v>1459</v>
      </c>
      <c r="P738" t="s">
        <v>1460</v>
      </c>
      <c r="Q738" t="s">
        <v>354</v>
      </c>
      <c r="R738">
        <v>2265776</v>
      </c>
      <c r="S738" t="s">
        <v>355</v>
      </c>
      <c r="U738" t="s">
        <v>2129</v>
      </c>
      <c r="V738" t="s">
        <v>356</v>
      </c>
      <c r="W738">
        <v>21000</v>
      </c>
      <c r="X738">
        <v>5.46</v>
      </c>
      <c r="Y738">
        <v>45.17</v>
      </c>
      <c r="Z738">
        <v>21000</v>
      </c>
      <c r="AA738">
        <v>0</v>
      </c>
      <c r="AB738">
        <v>44327.898027233794</v>
      </c>
      <c r="AC738" t="s">
        <v>325</v>
      </c>
      <c r="AD738">
        <v>5</v>
      </c>
    </row>
    <row r="739" spans="1:30" x14ac:dyDescent="0.25">
      <c r="A739" t="s">
        <v>1051</v>
      </c>
      <c r="B739" t="s">
        <v>1051</v>
      </c>
      <c r="C739" t="s">
        <v>2015</v>
      </c>
      <c r="D739" t="s">
        <v>2072</v>
      </c>
      <c r="E739" t="s">
        <v>1796</v>
      </c>
      <c r="F739" t="s">
        <v>1797</v>
      </c>
      <c r="G739">
        <v>13100231</v>
      </c>
      <c r="H739">
        <v>202106</v>
      </c>
      <c r="I739">
        <v>44377</v>
      </c>
      <c r="J739" t="s">
        <v>1768</v>
      </c>
      <c r="K739" t="s">
        <v>1056</v>
      </c>
      <c r="L739" t="s">
        <v>2057</v>
      </c>
      <c r="M739" t="s">
        <v>2058</v>
      </c>
      <c r="O739" t="s">
        <v>1769</v>
      </c>
      <c r="P739" t="s">
        <v>1770</v>
      </c>
      <c r="Q739" t="s">
        <v>354</v>
      </c>
      <c r="R739">
        <v>2265776</v>
      </c>
      <c r="S739" t="s">
        <v>1771</v>
      </c>
      <c r="U739" t="s">
        <v>1798</v>
      </c>
      <c r="V739" t="s">
        <v>356</v>
      </c>
      <c r="W739">
        <v>36000</v>
      </c>
      <c r="X739">
        <v>9.9</v>
      </c>
      <c r="Y739">
        <v>83.83</v>
      </c>
      <c r="Z739">
        <v>36000</v>
      </c>
      <c r="AA739">
        <v>0</v>
      </c>
      <c r="AB739">
        <v>44384.935162499998</v>
      </c>
      <c r="AC739" t="s">
        <v>325</v>
      </c>
      <c r="AD739">
        <v>5</v>
      </c>
    </row>
    <row r="740" spans="1:30" x14ac:dyDescent="0.25">
      <c r="A740" t="s">
        <v>1051</v>
      </c>
      <c r="B740" t="s">
        <v>1051</v>
      </c>
      <c r="C740" t="s">
        <v>2015</v>
      </c>
      <c r="D740" t="s">
        <v>2072</v>
      </c>
      <c r="E740" t="s">
        <v>1796</v>
      </c>
      <c r="F740" t="s">
        <v>1797</v>
      </c>
      <c r="G740">
        <v>13100231</v>
      </c>
      <c r="H740">
        <v>202106</v>
      </c>
      <c r="I740">
        <v>44377</v>
      </c>
      <c r="J740" t="s">
        <v>1768</v>
      </c>
      <c r="K740" t="s">
        <v>1056</v>
      </c>
      <c r="L740" t="s">
        <v>2057</v>
      </c>
      <c r="M740" t="s">
        <v>2058</v>
      </c>
      <c r="O740" t="s">
        <v>1773</v>
      </c>
      <c r="P740" t="s">
        <v>1774</v>
      </c>
      <c r="Q740" t="s">
        <v>354</v>
      </c>
      <c r="R740">
        <v>2265776</v>
      </c>
      <c r="S740" t="s">
        <v>1775</v>
      </c>
      <c r="U740" t="s">
        <v>1799</v>
      </c>
      <c r="V740" t="s">
        <v>356</v>
      </c>
      <c r="W740">
        <v>31500</v>
      </c>
      <c r="X740">
        <v>8.66</v>
      </c>
      <c r="Y740">
        <v>73.349999999999994</v>
      </c>
      <c r="Z740">
        <v>31500</v>
      </c>
      <c r="AA740">
        <v>0</v>
      </c>
      <c r="AB740">
        <v>44384.935162499998</v>
      </c>
      <c r="AC740" t="s">
        <v>325</v>
      </c>
      <c r="AD740">
        <v>5</v>
      </c>
    </row>
    <row r="741" spans="1:30" x14ac:dyDescent="0.25">
      <c r="A741" t="s">
        <v>1051</v>
      </c>
      <c r="B741" t="s">
        <v>1051</v>
      </c>
      <c r="C741" t="s">
        <v>2015</v>
      </c>
      <c r="D741" t="s">
        <v>2072</v>
      </c>
      <c r="E741" t="s">
        <v>1796</v>
      </c>
      <c r="F741" t="s">
        <v>1797</v>
      </c>
      <c r="G741">
        <v>13100231</v>
      </c>
      <c r="H741">
        <v>202106</v>
      </c>
      <c r="I741">
        <v>44377</v>
      </c>
      <c r="J741" t="s">
        <v>1768</v>
      </c>
      <c r="K741" t="s">
        <v>1056</v>
      </c>
      <c r="L741" t="s">
        <v>2057</v>
      </c>
      <c r="M741" t="s">
        <v>2058</v>
      </c>
      <c r="O741" t="s">
        <v>1777</v>
      </c>
      <c r="P741" t="s">
        <v>1778</v>
      </c>
      <c r="Q741" t="s">
        <v>354</v>
      </c>
      <c r="R741">
        <v>2265776</v>
      </c>
      <c r="S741" t="s">
        <v>1779</v>
      </c>
      <c r="U741" t="s">
        <v>1800</v>
      </c>
      <c r="V741" t="s">
        <v>356</v>
      </c>
      <c r="W741">
        <v>23400</v>
      </c>
      <c r="X741">
        <v>6.44</v>
      </c>
      <c r="Y741">
        <v>54.49</v>
      </c>
      <c r="Z741">
        <v>23400</v>
      </c>
      <c r="AA741">
        <v>0</v>
      </c>
      <c r="AB741">
        <v>44384.935162499998</v>
      </c>
      <c r="AC741" t="s">
        <v>325</v>
      </c>
      <c r="AD741">
        <v>5</v>
      </c>
    </row>
    <row r="742" spans="1:30" x14ac:dyDescent="0.25">
      <c r="A742" t="s">
        <v>1051</v>
      </c>
      <c r="B742" t="s">
        <v>1051</v>
      </c>
      <c r="C742" t="s">
        <v>2015</v>
      </c>
      <c r="D742" t="s">
        <v>2072</v>
      </c>
      <c r="E742" t="s">
        <v>1796</v>
      </c>
      <c r="F742" t="s">
        <v>1797</v>
      </c>
      <c r="G742">
        <v>13100231</v>
      </c>
      <c r="H742">
        <v>202106</v>
      </c>
      <c r="I742">
        <v>44377</v>
      </c>
      <c r="J742" t="s">
        <v>1768</v>
      </c>
      <c r="K742" t="s">
        <v>1056</v>
      </c>
      <c r="L742" t="s">
        <v>2057</v>
      </c>
      <c r="M742" t="s">
        <v>2058</v>
      </c>
      <c r="O742" t="s">
        <v>1307</v>
      </c>
      <c r="P742" t="s">
        <v>1308</v>
      </c>
      <c r="Q742" t="s">
        <v>354</v>
      </c>
      <c r="R742">
        <v>2265776</v>
      </c>
      <c r="S742" t="s">
        <v>1781</v>
      </c>
      <c r="U742" t="s">
        <v>1801</v>
      </c>
      <c r="V742" t="s">
        <v>356</v>
      </c>
      <c r="W742">
        <v>36000</v>
      </c>
      <c r="X742">
        <v>9.9</v>
      </c>
      <c r="Y742">
        <v>83.83</v>
      </c>
      <c r="Z742">
        <v>36000</v>
      </c>
      <c r="AA742">
        <v>0</v>
      </c>
      <c r="AB742">
        <v>44384.935162499998</v>
      </c>
      <c r="AC742" t="s">
        <v>325</v>
      </c>
      <c r="AD742">
        <v>5</v>
      </c>
    </row>
    <row r="743" spans="1:30" x14ac:dyDescent="0.25">
      <c r="A743" t="s">
        <v>1051</v>
      </c>
      <c r="B743" t="s">
        <v>1051</v>
      </c>
      <c r="C743" t="s">
        <v>2015</v>
      </c>
      <c r="D743" t="s">
        <v>2072</v>
      </c>
      <c r="E743" t="s">
        <v>1796</v>
      </c>
      <c r="F743" t="s">
        <v>1797</v>
      </c>
      <c r="G743">
        <v>13100231</v>
      </c>
      <c r="H743">
        <v>202106</v>
      </c>
      <c r="I743">
        <v>44377</v>
      </c>
      <c r="J743" t="s">
        <v>1768</v>
      </c>
      <c r="K743" t="s">
        <v>1056</v>
      </c>
      <c r="L743" t="s">
        <v>2057</v>
      </c>
      <c r="M743" t="s">
        <v>2058</v>
      </c>
      <c r="O743" t="s">
        <v>1307</v>
      </c>
      <c r="P743" t="s">
        <v>1308</v>
      </c>
      <c r="Q743" t="s">
        <v>354</v>
      </c>
      <c r="R743">
        <v>2265776</v>
      </c>
      <c r="S743" t="s">
        <v>1781</v>
      </c>
      <c r="U743" t="s">
        <v>1802</v>
      </c>
      <c r="V743" t="s">
        <v>356</v>
      </c>
      <c r="W743">
        <v>27400</v>
      </c>
      <c r="X743">
        <v>7.54</v>
      </c>
      <c r="Y743">
        <v>63.81</v>
      </c>
      <c r="Z743">
        <v>27400</v>
      </c>
      <c r="AA743">
        <v>0</v>
      </c>
      <c r="AB743">
        <v>44384.935162499998</v>
      </c>
      <c r="AC743" t="s">
        <v>325</v>
      </c>
      <c r="AD743">
        <v>5</v>
      </c>
    </row>
    <row r="744" spans="1:30" x14ac:dyDescent="0.25">
      <c r="A744" t="s">
        <v>1051</v>
      </c>
      <c r="B744" t="s">
        <v>1051</v>
      </c>
      <c r="C744" t="s">
        <v>2015</v>
      </c>
      <c r="D744" t="s">
        <v>2072</v>
      </c>
      <c r="E744" t="s">
        <v>1796</v>
      </c>
      <c r="F744" t="s">
        <v>1797</v>
      </c>
      <c r="G744">
        <v>13100231</v>
      </c>
      <c r="H744">
        <v>202106</v>
      </c>
      <c r="I744">
        <v>44377</v>
      </c>
      <c r="J744" t="s">
        <v>1768</v>
      </c>
      <c r="K744" t="s">
        <v>1056</v>
      </c>
      <c r="L744" t="s">
        <v>2057</v>
      </c>
      <c r="M744" t="s">
        <v>2058</v>
      </c>
      <c r="O744" t="s">
        <v>1784</v>
      </c>
      <c r="P744" t="s">
        <v>1785</v>
      </c>
      <c r="Q744" t="s">
        <v>354</v>
      </c>
      <c r="R744">
        <v>2265776</v>
      </c>
      <c r="S744" t="s">
        <v>1786</v>
      </c>
      <c r="U744" t="s">
        <v>1803</v>
      </c>
      <c r="V744" t="s">
        <v>356</v>
      </c>
      <c r="W744">
        <v>36000</v>
      </c>
      <c r="X744">
        <v>9.9</v>
      </c>
      <c r="Y744">
        <v>83.83</v>
      </c>
      <c r="Z744">
        <v>36000</v>
      </c>
      <c r="AA744">
        <v>0</v>
      </c>
      <c r="AB744">
        <v>44384.935162499998</v>
      </c>
      <c r="AC744" t="s">
        <v>325</v>
      </c>
      <c r="AD744">
        <v>5</v>
      </c>
    </row>
    <row r="745" spans="1:30" x14ac:dyDescent="0.25">
      <c r="A745" t="s">
        <v>1051</v>
      </c>
      <c r="B745" t="s">
        <v>1051</v>
      </c>
      <c r="C745" t="s">
        <v>2015</v>
      </c>
      <c r="D745" t="s">
        <v>2072</v>
      </c>
      <c r="E745" t="s">
        <v>1796</v>
      </c>
      <c r="F745" t="s">
        <v>1797</v>
      </c>
      <c r="G745">
        <v>13100231</v>
      </c>
      <c r="H745">
        <v>202106</v>
      </c>
      <c r="I745">
        <v>44377</v>
      </c>
      <c r="J745" t="s">
        <v>1768</v>
      </c>
      <c r="K745" t="s">
        <v>1056</v>
      </c>
      <c r="L745" t="s">
        <v>2057</v>
      </c>
      <c r="M745" t="s">
        <v>2058</v>
      </c>
      <c r="O745" t="s">
        <v>1790</v>
      </c>
      <c r="P745" t="s">
        <v>1791</v>
      </c>
      <c r="Q745" t="s">
        <v>354</v>
      </c>
      <c r="R745">
        <v>2265776</v>
      </c>
      <c r="S745" t="s">
        <v>1792</v>
      </c>
      <c r="U745" t="s">
        <v>1805</v>
      </c>
      <c r="V745" t="s">
        <v>356</v>
      </c>
      <c r="W745">
        <v>5000</v>
      </c>
      <c r="X745">
        <v>1.38</v>
      </c>
      <c r="Y745">
        <v>11.64</v>
      </c>
      <c r="Z745">
        <v>5000</v>
      </c>
      <c r="AA745">
        <v>0</v>
      </c>
      <c r="AB745">
        <v>44384.935162499998</v>
      </c>
      <c r="AC745" t="s">
        <v>325</v>
      </c>
      <c r="AD745">
        <v>5</v>
      </c>
    </row>
    <row r="746" spans="1:30" x14ac:dyDescent="0.25">
      <c r="A746" t="s">
        <v>1051</v>
      </c>
      <c r="B746" t="s">
        <v>1051</v>
      </c>
      <c r="C746" t="s">
        <v>2015</v>
      </c>
      <c r="D746" t="s">
        <v>2072</v>
      </c>
      <c r="E746" t="s">
        <v>1796</v>
      </c>
      <c r="F746" t="s">
        <v>1797</v>
      </c>
      <c r="G746">
        <v>13100231</v>
      </c>
      <c r="H746">
        <v>202106</v>
      </c>
      <c r="I746">
        <v>44377</v>
      </c>
      <c r="J746" t="s">
        <v>1768</v>
      </c>
      <c r="K746" t="s">
        <v>1056</v>
      </c>
      <c r="L746" t="s">
        <v>2057</v>
      </c>
      <c r="M746" t="s">
        <v>2058</v>
      </c>
      <c r="O746" t="s">
        <v>1307</v>
      </c>
      <c r="P746" t="s">
        <v>1308</v>
      </c>
      <c r="Q746" t="s">
        <v>354</v>
      </c>
      <c r="R746">
        <v>2265776</v>
      </c>
      <c r="S746" t="s">
        <v>1781</v>
      </c>
      <c r="U746" t="s">
        <v>1806</v>
      </c>
      <c r="V746" t="s">
        <v>356</v>
      </c>
      <c r="W746">
        <v>28900</v>
      </c>
      <c r="X746">
        <v>7.95</v>
      </c>
      <c r="Y746">
        <v>67.3</v>
      </c>
      <c r="Z746">
        <v>28900</v>
      </c>
      <c r="AA746">
        <v>0</v>
      </c>
      <c r="AB746">
        <v>44384.935162499998</v>
      </c>
      <c r="AC746" t="s">
        <v>325</v>
      </c>
      <c r="AD746">
        <v>5</v>
      </c>
    </row>
    <row r="747" spans="1:30" x14ac:dyDescent="0.25">
      <c r="A747" t="s">
        <v>1051</v>
      </c>
      <c r="B747" t="s">
        <v>1051</v>
      </c>
      <c r="C747" t="s">
        <v>2015</v>
      </c>
      <c r="D747" t="s">
        <v>2072</v>
      </c>
      <c r="E747" t="s">
        <v>1796</v>
      </c>
      <c r="F747" t="s">
        <v>1797</v>
      </c>
      <c r="G747">
        <v>13100231</v>
      </c>
      <c r="H747">
        <v>202106</v>
      </c>
      <c r="I747">
        <v>44377</v>
      </c>
      <c r="J747" t="s">
        <v>1768</v>
      </c>
      <c r="K747" t="s">
        <v>1056</v>
      </c>
      <c r="L747" t="s">
        <v>2057</v>
      </c>
      <c r="M747" t="s">
        <v>2058</v>
      </c>
      <c r="O747" t="s">
        <v>1307</v>
      </c>
      <c r="P747" t="s">
        <v>1308</v>
      </c>
      <c r="Q747" t="s">
        <v>354</v>
      </c>
      <c r="R747">
        <v>2265776</v>
      </c>
      <c r="S747" t="s">
        <v>1781</v>
      </c>
      <c r="U747" t="s">
        <v>1807</v>
      </c>
      <c r="V747" t="s">
        <v>356</v>
      </c>
      <c r="W747">
        <v>34900</v>
      </c>
      <c r="X747">
        <v>9.6</v>
      </c>
      <c r="Y747">
        <v>81.27</v>
      </c>
      <c r="Z747">
        <v>34900</v>
      </c>
      <c r="AA747">
        <v>0</v>
      </c>
      <c r="AB747">
        <v>44384.935162499998</v>
      </c>
      <c r="AC747" t="s">
        <v>325</v>
      </c>
      <c r="AD747">
        <v>5</v>
      </c>
    </row>
    <row r="748" spans="1:30" x14ac:dyDescent="0.25">
      <c r="A748" t="s">
        <v>1051</v>
      </c>
      <c r="B748" t="s">
        <v>1106</v>
      </c>
      <c r="C748" t="s">
        <v>2015</v>
      </c>
      <c r="D748" t="s">
        <v>2072</v>
      </c>
      <c r="E748" t="s">
        <v>1060</v>
      </c>
      <c r="F748" t="s">
        <v>1061</v>
      </c>
      <c r="G748">
        <v>6101296</v>
      </c>
      <c r="H748">
        <v>202107</v>
      </c>
      <c r="I748">
        <v>44396</v>
      </c>
      <c r="J748" t="s">
        <v>1117</v>
      </c>
      <c r="K748" t="s">
        <v>1056</v>
      </c>
      <c r="L748">
        <v>124474</v>
      </c>
      <c r="M748" t="s">
        <v>1829</v>
      </c>
      <c r="O748" t="s">
        <v>1522</v>
      </c>
      <c r="P748" t="s">
        <v>1523</v>
      </c>
      <c r="Q748" t="s">
        <v>354</v>
      </c>
      <c r="R748">
        <v>2265776</v>
      </c>
      <c r="S748" t="s">
        <v>2130</v>
      </c>
      <c r="U748" t="s">
        <v>2131</v>
      </c>
      <c r="V748" t="s">
        <v>356</v>
      </c>
      <c r="W748">
        <v>-12000</v>
      </c>
      <c r="X748">
        <v>-3.16</v>
      </c>
      <c r="Y748">
        <v>-27.17</v>
      </c>
      <c r="Z748">
        <v>-12000</v>
      </c>
      <c r="AA748">
        <v>0</v>
      </c>
      <c r="AB748">
        <v>44398.755657789348</v>
      </c>
      <c r="AC748" t="s">
        <v>325</v>
      </c>
      <c r="AD748">
        <v>5</v>
      </c>
    </row>
    <row r="749" spans="1:30" x14ac:dyDescent="0.25">
      <c r="A749" t="s">
        <v>1051</v>
      </c>
      <c r="B749" t="s">
        <v>1106</v>
      </c>
      <c r="C749" t="s">
        <v>2015</v>
      </c>
      <c r="D749" t="s">
        <v>2072</v>
      </c>
      <c r="E749" t="s">
        <v>1060</v>
      </c>
      <c r="F749" t="s">
        <v>1061</v>
      </c>
      <c r="G749">
        <v>6101296</v>
      </c>
      <c r="H749">
        <v>202107</v>
      </c>
      <c r="I749">
        <v>44396</v>
      </c>
      <c r="J749" t="s">
        <v>1117</v>
      </c>
      <c r="K749" t="s">
        <v>1056</v>
      </c>
      <c r="L749">
        <v>124474</v>
      </c>
      <c r="M749" t="s">
        <v>1829</v>
      </c>
      <c r="O749" t="s">
        <v>1561</v>
      </c>
      <c r="P749" t="s">
        <v>1562</v>
      </c>
      <c r="Q749" t="s">
        <v>354</v>
      </c>
      <c r="R749">
        <v>2265776</v>
      </c>
      <c r="S749" t="s">
        <v>2132</v>
      </c>
      <c r="U749" t="s">
        <v>2133</v>
      </c>
      <c r="V749" t="s">
        <v>356</v>
      </c>
      <c r="W749">
        <v>-25000</v>
      </c>
      <c r="X749">
        <v>-6.58</v>
      </c>
      <c r="Y749">
        <v>-56.6</v>
      </c>
      <c r="Z749">
        <v>-25000</v>
      </c>
      <c r="AA749">
        <v>0</v>
      </c>
      <c r="AB749">
        <v>44398.755657789348</v>
      </c>
      <c r="AC749" t="s">
        <v>325</v>
      </c>
      <c r="AD749">
        <v>5</v>
      </c>
    </row>
    <row r="750" spans="1:30" x14ac:dyDescent="0.25">
      <c r="A750" t="s">
        <v>1051</v>
      </c>
      <c r="B750" t="s">
        <v>1106</v>
      </c>
      <c r="C750" t="s">
        <v>2015</v>
      </c>
      <c r="D750" t="s">
        <v>2072</v>
      </c>
      <c r="E750" t="s">
        <v>1060</v>
      </c>
      <c r="F750" t="s">
        <v>1061</v>
      </c>
      <c r="G750">
        <v>6101296</v>
      </c>
      <c r="H750">
        <v>202107</v>
      </c>
      <c r="I750">
        <v>44396</v>
      </c>
      <c r="J750" t="s">
        <v>1117</v>
      </c>
      <c r="K750" t="s">
        <v>1056</v>
      </c>
      <c r="L750">
        <v>124474</v>
      </c>
      <c r="M750" t="s">
        <v>1829</v>
      </c>
      <c r="O750" t="s">
        <v>1258</v>
      </c>
      <c r="P750" t="s">
        <v>1259</v>
      </c>
      <c r="Q750" t="s">
        <v>354</v>
      </c>
      <c r="R750">
        <v>2265776</v>
      </c>
      <c r="S750" t="s">
        <v>2134</v>
      </c>
      <c r="U750" t="s">
        <v>2135</v>
      </c>
      <c r="V750" t="s">
        <v>356</v>
      </c>
      <c r="W750">
        <v>-8000</v>
      </c>
      <c r="X750">
        <v>-2.1</v>
      </c>
      <c r="Y750">
        <v>-18.11</v>
      </c>
      <c r="Z750">
        <v>-8000</v>
      </c>
      <c r="AA750">
        <v>0</v>
      </c>
      <c r="AB750">
        <v>44398.755657789348</v>
      </c>
      <c r="AC750" t="s">
        <v>325</v>
      </c>
      <c r="AD750">
        <v>5</v>
      </c>
    </row>
    <row r="751" spans="1:30" x14ac:dyDescent="0.25">
      <c r="A751" t="s">
        <v>1051</v>
      </c>
      <c r="B751" t="s">
        <v>1106</v>
      </c>
      <c r="C751" t="s">
        <v>2015</v>
      </c>
      <c r="D751" t="s">
        <v>2072</v>
      </c>
      <c r="E751" t="s">
        <v>1060</v>
      </c>
      <c r="F751" t="s">
        <v>1061</v>
      </c>
      <c r="G751">
        <v>6101296</v>
      </c>
      <c r="H751">
        <v>202107</v>
      </c>
      <c r="I751">
        <v>44396</v>
      </c>
      <c r="J751" t="s">
        <v>1117</v>
      </c>
      <c r="K751" t="s">
        <v>1056</v>
      </c>
      <c r="L751">
        <v>124474</v>
      </c>
      <c r="M751" t="s">
        <v>1829</v>
      </c>
      <c r="O751" t="s">
        <v>1258</v>
      </c>
      <c r="P751" t="s">
        <v>1259</v>
      </c>
      <c r="Q751" t="s">
        <v>354</v>
      </c>
      <c r="R751">
        <v>2265776</v>
      </c>
      <c r="S751" t="s">
        <v>2136</v>
      </c>
      <c r="U751" t="s">
        <v>2137</v>
      </c>
      <c r="V751" t="s">
        <v>356</v>
      </c>
      <c r="W751">
        <v>-7500</v>
      </c>
      <c r="X751">
        <v>-1.97</v>
      </c>
      <c r="Y751">
        <v>-16.98</v>
      </c>
      <c r="Z751">
        <v>-7500</v>
      </c>
      <c r="AA751">
        <v>0</v>
      </c>
      <c r="AB751">
        <v>44398.755657789348</v>
      </c>
      <c r="AC751" t="s">
        <v>325</v>
      </c>
      <c r="AD751">
        <v>5</v>
      </c>
    </row>
    <row r="752" spans="1:30" x14ac:dyDescent="0.25">
      <c r="A752" t="s">
        <v>1051</v>
      </c>
      <c r="B752" t="s">
        <v>1106</v>
      </c>
      <c r="C752" t="s">
        <v>2015</v>
      </c>
      <c r="D752" t="s">
        <v>2072</v>
      </c>
      <c r="E752" t="s">
        <v>1060</v>
      </c>
      <c r="F752" t="s">
        <v>1061</v>
      </c>
      <c r="G752">
        <v>6101296</v>
      </c>
      <c r="H752">
        <v>202107</v>
      </c>
      <c r="I752">
        <v>44396</v>
      </c>
      <c r="J752" t="s">
        <v>1117</v>
      </c>
      <c r="K752" t="s">
        <v>1056</v>
      </c>
      <c r="L752">
        <v>124474</v>
      </c>
      <c r="M752" t="s">
        <v>1829</v>
      </c>
      <c r="O752" t="s">
        <v>1258</v>
      </c>
      <c r="P752" t="s">
        <v>1259</v>
      </c>
      <c r="Q752" t="s">
        <v>354</v>
      </c>
      <c r="R752">
        <v>2265776</v>
      </c>
      <c r="S752" t="s">
        <v>2138</v>
      </c>
      <c r="U752" t="s">
        <v>2139</v>
      </c>
      <c r="V752" t="s">
        <v>356</v>
      </c>
      <c r="W752">
        <v>-6500</v>
      </c>
      <c r="X752">
        <v>-1.71</v>
      </c>
      <c r="Y752">
        <v>-14.72</v>
      </c>
      <c r="Z752">
        <v>-6500</v>
      </c>
      <c r="AA752">
        <v>0</v>
      </c>
      <c r="AB752">
        <v>44398.755657789348</v>
      </c>
      <c r="AC752" t="s">
        <v>325</v>
      </c>
      <c r="AD752">
        <v>5</v>
      </c>
    </row>
    <row r="753" spans="1:30" x14ac:dyDescent="0.25">
      <c r="A753" t="s">
        <v>1051</v>
      </c>
      <c r="B753" t="s">
        <v>1106</v>
      </c>
      <c r="C753" t="s">
        <v>2015</v>
      </c>
      <c r="D753" t="s">
        <v>2072</v>
      </c>
      <c r="E753" t="s">
        <v>1060</v>
      </c>
      <c r="F753" t="s">
        <v>1061</v>
      </c>
      <c r="G753">
        <v>6101296</v>
      </c>
      <c r="H753">
        <v>202107</v>
      </c>
      <c r="I753">
        <v>44396</v>
      </c>
      <c r="J753" t="s">
        <v>1117</v>
      </c>
      <c r="K753" t="s">
        <v>1056</v>
      </c>
      <c r="L753">
        <v>124474</v>
      </c>
      <c r="M753" t="s">
        <v>1829</v>
      </c>
      <c r="O753" t="s">
        <v>1522</v>
      </c>
      <c r="P753" t="s">
        <v>1523</v>
      </c>
      <c r="Q753" t="s">
        <v>354</v>
      </c>
      <c r="R753">
        <v>2265776</v>
      </c>
      <c r="S753" t="s">
        <v>2140</v>
      </c>
      <c r="U753" t="s">
        <v>2141</v>
      </c>
      <c r="V753" t="s">
        <v>356</v>
      </c>
      <c r="W753">
        <v>-14800</v>
      </c>
      <c r="X753">
        <v>-3.89</v>
      </c>
      <c r="Y753">
        <v>-33.51</v>
      </c>
      <c r="Z753">
        <v>-14800</v>
      </c>
      <c r="AA753">
        <v>0</v>
      </c>
      <c r="AB753">
        <v>44398.755657789348</v>
      </c>
      <c r="AC753" t="s">
        <v>325</v>
      </c>
      <c r="AD753">
        <v>5</v>
      </c>
    </row>
    <row r="754" spans="1:30" x14ac:dyDescent="0.25">
      <c r="A754" t="s">
        <v>1051</v>
      </c>
      <c r="B754" t="s">
        <v>1106</v>
      </c>
      <c r="C754" t="s">
        <v>2015</v>
      </c>
      <c r="D754" t="s">
        <v>2072</v>
      </c>
      <c r="E754" t="s">
        <v>1060</v>
      </c>
      <c r="F754" t="s">
        <v>1061</v>
      </c>
      <c r="G754">
        <v>6101296</v>
      </c>
      <c r="H754">
        <v>202107</v>
      </c>
      <c r="I754">
        <v>44396</v>
      </c>
      <c r="J754" t="s">
        <v>1117</v>
      </c>
      <c r="K754" t="s">
        <v>1056</v>
      </c>
      <c r="L754">
        <v>124474</v>
      </c>
      <c r="M754" t="s">
        <v>1829</v>
      </c>
      <c r="O754" t="s">
        <v>1258</v>
      </c>
      <c r="P754" t="s">
        <v>1259</v>
      </c>
      <c r="Q754" t="s">
        <v>354</v>
      </c>
      <c r="R754">
        <v>2265776</v>
      </c>
      <c r="S754" t="s">
        <v>2142</v>
      </c>
      <c r="U754" t="s">
        <v>2143</v>
      </c>
      <c r="V754" t="s">
        <v>356</v>
      </c>
      <c r="W754">
        <v>-4000</v>
      </c>
      <c r="X754">
        <v>-1.05</v>
      </c>
      <c r="Y754">
        <v>-9.06</v>
      </c>
      <c r="Z754">
        <v>-4000</v>
      </c>
      <c r="AA754">
        <v>0</v>
      </c>
      <c r="AB754">
        <v>44398.755657789348</v>
      </c>
      <c r="AC754" t="s">
        <v>325</v>
      </c>
      <c r="AD754">
        <v>5</v>
      </c>
    </row>
    <row r="755" spans="1:30" x14ac:dyDescent="0.25">
      <c r="A755" t="s">
        <v>1051</v>
      </c>
      <c r="B755" t="s">
        <v>1106</v>
      </c>
      <c r="C755" t="s">
        <v>2015</v>
      </c>
      <c r="D755" t="s">
        <v>2072</v>
      </c>
      <c r="E755" t="s">
        <v>1060</v>
      </c>
      <c r="F755" t="s">
        <v>1061</v>
      </c>
      <c r="G755">
        <v>6101296</v>
      </c>
      <c r="H755">
        <v>202107</v>
      </c>
      <c r="I755">
        <v>44396</v>
      </c>
      <c r="J755" t="s">
        <v>1117</v>
      </c>
      <c r="K755" t="s">
        <v>1056</v>
      </c>
      <c r="L755">
        <v>124474</v>
      </c>
      <c r="M755" t="s">
        <v>1829</v>
      </c>
      <c r="O755" t="s">
        <v>1561</v>
      </c>
      <c r="P755" t="s">
        <v>1562</v>
      </c>
      <c r="Q755" t="s">
        <v>354</v>
      </c>
      <c r="R755">
        <v>2265776</v>
      </c>
      <c r="S755" t="s">
        <v>2144</v>
      </c>
      <c r="U755" t="s">
        <v>2145</v>
      </c>
      <c r="V755" t="s">
        <v>356</v>
      </c>
      <c r="W755">
        <v>-22000</v>
      </c>
      <c r="X755">
        <v>-5.79</v>
      </c>
      <c r="Y755">
        <v>-49.81</v>
      </c>
      <c r="Z755">
        <v>-22000</v>
      </c>
      <c r="AA755">
        <v>0</v>
      </c>
      <c r="AB755">
        <v>44398.755657789348</v>
      </c>
      <c r="AC755" t="s">
        <v>325</v>
      </c>
      <c r="AD755">
        <v>5</v>
      </c>
    </row>
    <row r="756" spans="1:30" x14ac:dyDescent="0.25">
      <c r="A756" t="s">
        <v>1051</v>
      </c>
      <c r="B756" t="s">
        <v>1106</v>
      </c>
      <c r="C756" t="s">
        <v>2015</v>
      </c>
      <c r="D756" t="s">
        <v>2072</v>
      </c>
      <c r="E756" t="s">
        <v>1060</v>
      </c>
      <c r="F756" t="s">
        <v>1061</v>
      </c>
      <c r="G756">
        <v>6101296</v>
      </c>
      <c r="H756">
        <v>202107</v>
      </c>
      <c r="I756">
        <v>44396</v>
      </c>
      <c r="J756" t="s">
        <v>1117</v>
      </c>
      <c r="K756" t="s">
        <v>1056</v>
      </c>
      <c r="L756">
        <v>124474</v>
      </c>
      <c r="M756" t="s">
        <v>1829</v>
      </c>
      <c r="O756" t="s">
        <v>1390</v>
      </c>
      <c r="P756" t="s">
        <v>1391</v>
      </c>
      <c r="Q756" t="s">
        <v>354</v>
      </c>
      <c r="R756">
        <v>2265776</v>
      </c>
      <c r="S756" t="s">
        <v>2146</v>
      </c>
      <c r="U756" t="s">
        <v>2147</v>
      </c>
      <c r="V756" t="s">
        <v>356</v>
      </c>
      <c r="W756">
        <v>-11000</v>
      </c>
      <c r="X756">
        <v>-2.89</v>
      </c>
      <c r="Y756">
        <v>-24.9</v>
      </c>
      <c r="Z756">
        <v>-11000</v>
      </c>
      <c r="AA756">
        <v>0</v>
      </c>
      <c r="AB756">
        <v>44398.755657789348</v>
      </c>
      <c r="AC756" t="s">
        <v>325</v>
      </c>
      <c r="AD756">
        <v>5</v>
      </c>
    </row>
    <row r="757" spans="1:30" x14ac:dyDescent="0.25">
      <c r="A757" t="s">
        <v>1051</v>
      </c>
      <c r="B757" t="s">
        <v>1106</v>
      </c>
      <c r="C757" t="s">
        <v>2015</v>
      </c>
      <c r="D757" t="s">
        <v>2072</v>
      </c>
      <c r="E757" t="s">
        <v>1060</v>
      </c>
      <c r="F757" t="s">
        <v>1061</v>
      </c>
      <c r="G757">
        <v>6101296</v>
      </c>
      <c r="H757">
        <v>202107</v>
      </c>
      <c r="I757">
        <v>44396</v>
      </c>
      <c r="J757" t="s">
        <v>1117</v>
      </c>
      <c r="K757" t="s">
        <v>1056</v>
      </c>
      <c r="L757">
        <v>124474</v>
      </c>
      <c r="M757" t="s">
        <v>1829</v>
      </c>
      <c r="O757" t="s">
        <v>2148</v>
      </c>
      <c r="P757" t="s">
        <v>2149</v>
      </c>
      <c r="Q757" t="s">
        <v>354</v>
      </c>
      <c r="R757">
        <v>2265776</v>
      </c>
      <c r="S757" t="s">
        <v>2150</v>
      </c>
      <c r="U757" t="s">
        <v>2151</v>
      </c>
      <c r="V757" t="s">
        <v>356</v>
      </c>
      <c r="W757">
        <v>-1500</v>
      </c>
      <c r="X757">
        <v>-0.39</v>
      </c>
      <c r="Y757">
        <v>-3.4</v>
      </c>
      <c r="Z757">
        <v>-1500</v>
      </c>
      <c r="AA757">
        <v>0</v>
      </c>
      <c r="AB757">
        <v>44398.755657789348</v>
      </c>
      <c r="AC757" t="s">
        <v>325</v>
      </c>
      <c r="AD757">
        <v>5</v>
      </c>
    </row>
    <row r="758" spans="1:30" x14ac:dyDescent="0.25">
      <c r="A758" t="s">
        <v>1051</v>
      </c>
      <c r="B758" t="s">
        <v>1106</v>
      </c>
      <c r="C758" t="s">
        <v>2015</v>
      </c>
      <c r="D758" t="s">
        <v>2072</v>
      </c>
      <c r="E758" t="s">
        <v>1060</v>
      </c>
      <c r="F758" t="s">
        <v>1061</v>
      </c>
      <c r="G758">
        <v>6101296</v>
      </c>
      <c r="H758">
        <v>202107</v>
      </c>
      <c r="I758">
        <v>44396</v>
      </c>
      <c r="J758" t="s">
        <v>1117</v>
      </c>
      <c r="K758" t="s">
        <v>1056</v>
      </c>
      <c r="L758">
        <v>124474</v>
      </c>
      <c r="M758" t="s">
        <v>1829</v>
      </c>
      <c r="O758" t="s">
        <v>1390</v>
      </c>
      <c r="P758" t="s">
        <v>1391</v>
      </c>
      <c r="Q758" t="s">
        <v>354</v>
      </c>
      <c r="R758">
        <v>2265776</v>
      </c>
      <c r="S758" t="s">
        <v>2152</v>
      </c>
      <c r="U758" t="s">
        <v>2153</v>
      </c>
      <c r="V758" t="s">
        <v>356</v>
      </c>
      <c r="W758">
        <v>-3000</v>
      </c>
      <c r="X758">
        <v>-0.79</v>
      </c>
      <c r="Y758">
        <v>-6.79</v>
      </c>
      <c r="Z758">
        <v>-3000</v>
      </c>
      <c r="AA758">
        <v>0</v>
      </c>
      <c r="AB758">
        <v>44398.755657789348</v>
      </c>
      <c r="AC758" t="s">
        <v>325</v>
      </c>
      <c r="AD758">
        <v>5</v>
      </c>
    </row>
    <row r="759" spans="1:30" x14ac:dyDescent="0.25">
      <c r="A759" t="s">
        <v>1051</v>
      </c>
      <c r="B759" t="s">
        <v>1106</v>
      </c>
      <c r="C759" t="s">
        <v>2015</v>
      </c>
      <c r="D759" t="s">
        <v>2072</v>
      </c>
      <c r="E759" t="s">
        <v>1060</v>
      </c>
      <c r="F759" t="s">
        <v>1061</v>
      </c>
      <c r="G759">
        <v>6101221</v>
      </c>
      <c r="H759">
        <v>202107</v>
      </c>
      <c r="I759">
        <v>44378</v>
      </c>
      <c r="J759" t="s">
        <v>1117</v>
      </c>
      <c r="K759" t="s">
        <v>1056</v>
      </c>
      <c r="L759">
        <v>124474</v>
      </c>
      <c r="M759" t="s">
        <v>1829</v>
      </c>
      <c r="O759" t="s">
        <v>1522</v>
      </c>
      <c r="P759" t="s">
        <v>1523</v>
      </c>
      <c r="Q759" t="s">
        <v>354</v>
      </c>
      <c r="R759">
        <v>2265776</v>
      </c>
      <c r="S759" t="s">
        <v>355</v>
      </c>
      <c r="U759" t="s">
        <v>2154</v>
      </c>
      <c r="V759" t="s">
        <v>356</v>
      </c>
      <c r="W759">
        <v>12000</v>
      </c>
      <c r="X759">
        <v>3.2</v>
      </c>
      <c r="Y759">
        <v>27.25</v>
      </c>
      <c r="Z759">
        <v>12000</v>
      </c>
      <c r="AA759">
        <v>0</v>
      </c>
      <c r="AB759">
        <v>44391.80386547454</v>
      </c>
      <c r="AC759" t="s">
        <v>325</v>
      </c>
      <c r="AD759">
        <v>5</v>
      </c>
    </row>
    <row r="760" spans="1:30" x14ac:dyDescent="0.25">
      <c r="A760" t="s">
        <v>1051</v>
      </c>
      <c r="B760" t="s">
        <v>1106</v>
      </c>
      <c r="C760" t="s">
        <v>2015</v>
      </c>
      <c r="D760" t="s">
        <v>2072</v>
      </c>
      <c r="E760" t="s">
        <v>1060</v>
      </c>
      <c r="F760" t="s">
        <v>1061</v>
      </c>
      <c r="G760">
        <v>6101221</v>
      </c>
      <c r="H760">
        <v>202107</v>
      </c>
      <c r="I760">
        <v>44378</v>
      </c>
      <c r="J760" t="s">
        <v>1117</v>
      </c>
      <c r="K760" t="s">
        <v>1056</v>
      </c>
      <c r="L760">
        <v>124474</v>
      </c>
      <c r="M760" t="s">
        <v>1829</v>
      </c>
      <c r="O760" t="s">
        <v>1561</v>
      </c>
      <c r="P760" t="s">
        <v>1562</v>
      </c>
      <c r="Q760" t="s">
        <v>354</v>
      </c>
      <c r="R760">
        <v>2265776</v>
      </c>
      <c r="S760" t="s">
        <v>355</v>
      </c>
      <c r="U760" t="s">
        <v>2155</v>
      </c>
      <c r="V760" t="s">
        <v>356</v>
      </c>
      <c r="W760">
        <v>25000</v>
      </c>
      <c r="X760">
        <v>6.68</v>
      </c>
      <c r="Y760">
        <v>56.78</v>
      </c>
      <c r="Z760">
        <v>25000</v>
      </c>
      <c r="AA760">
        <v>0</v>
      </c>
      <c r="AB760">
        <v>44391.80386547454</v>
      </c>
      <c r="AC760" t="s">
        <v>325</v>
      </c>
      <c r="AD760">
        <v>5</v>
      </c>
    </row>
    <row r="761" spans="1:30" x14ac:dyDescent="0.25">
      <c r="A761" t="s">
        <v>1051</v>
      </c>
      <c r="B761" t="s">
        <v>1106</v>
      </c>
      <c r="C761" t="s">
        <v>2015</v>
      </c>
      <c r="D761" t="s">
        <v>2072</v>
      </c>
      <c r="E761" t="s">
        <v>1060</v>
      </c>
      <c r="F761" t="s">
        <v>1061</v>
      </c>
      <c r="G761">
        <v>6101221</v>
      </c>
      <c r="H761">
        <v>202107</v>
      </c>
      <c r="I761">
        <v>44378</v>
      </c>
      <c r="J761" t="s">
        <v>1117</v>
      </c>
      <c r="K761" t="s">
        <v>1056</v>
      </c>
      <c r="L761">
        <v>124474</v>
      </c>
      <c r="M761" t="s">
        <v>1829</v>
      </c>
      <c r="O761" t="s">
        <v>1258</v>
      </c>
      <c r="P761" t="s">
        <v>1259</v>
      </c>
      <c r="Q761" t="s">
        <v>354</v>
      </c>
      <c r="R761">
        <v>2265776</v>
      </c>
      <c r="S761" t="s">
        <v>355</v>
      </c>
      <c r="U761" t="s">
        <v>2156</v>
      </c>
      <c r="V761" t="s">
        <v>356</v>
      </c>
      <c r="W761">
        <v>8000</v>
      </c>
      <c r="X761">
        <v>2.14</v>
      </c>
      <c r="Y761">
        <v>18.170000000000002</v>
      </c>
      <c r="Z761">
        <v>8000</v>
      </c>
      <c r="AA761">
        <v>0</v>
      </c>
      <c r="AB761">
        <v>44391.80386547454</v>
      </c>
      <c r="AC761" t="s">
        <v>325</v>
      </c>
      <c r="AD761">
        <v>5</v>
      </c>
    </row>
    <row r="762" spans="1:30" x14ac:dyDescent="0.25">
      <c r="A762" t="s">
        <v>1051</v>
      </c>
      <c r="B762" t="s">
        <v>1106</v>
      </c>
      <c r="C762" t="s">
        <v>2015</v>
      </c>
      <c r="D762" t="s">
        <v>2072</v>
      </c>
      <c r="E762" t="s">
        <v>1060</v>
      </c>
      <c r="F762" t="s">
        <v>1061</v>
      </c>
      <c r="G762">
        <v>6101221</v>
      </c>
      <c r="H762">
        <v>202107</v>
      </c>
      <c r="I762">
        <v>44378</v>
      </c>
      <c r="J762" t="s">
        <v>1117</v>
      </c>
      <c r="K762" t="s">
        <v>1056</v>
      </c>
      <c r="L762">
        <v>124474</v>
      </c>
      <c r="M762" t="s">
        <v>1829</v>
      </c>
      <c r="O762" t="s">
        <v>1258</v>
      </c>
      <c r="P762" t="s">
        <v>1259</v>
      </c>
      <c r="Q762" t="s">
        <v>354</v>
      </c>
      <c r="R762">
        <v>2265776</v>
      </c>
      <c r="S762" t="s">
        <v>355</v>
      </c>
      <c r="U762" t="s">
        <v>2157</v>
      </c>
      <c r="V762" t="s">
        <v>356</v>
      </c>
      <c r="W762">
        <v>7500</v>
      </c>
      <c r="X762">
        <v>2</v>
      </c>
      <c r="Y762">
        <v>17.03</v>
      </c>
      <c r="Z762">
        <v>7500</v>
      </c>
      <c r="AA762">
        <v>0</v>
      </c>
      <c r="AB762">
        <v>44391.80386547454</v>
      </c>
      <c r="AC762" t="s">
        <v>325</v>
      </c>
      <c r="AD762">
        <v>5</v>
      </c>
    </row>
    <row r="763" spans="1:30" x14ac:dyDescent="0.25">
      <c r="A763" t="s">
        <v>1051</v>
      </c>
      <c r="B763" t="s">
        <v>1106</v>
      </c>
      <c r="C763" t="s">
        <v>2015</v>
      </c>
      <c r="D763" t="s">
        <v>2072</v>
      </c>
      <c r="E763" t="s">
        <v>1060</v>
      </c>
      <c r="F763" t="s">
        <v>1061</v>
      </c>
      <c r="G763">
        <v>6101221</v>
      </c>
      <c r="H763">
        <v>202107</v>
      </c>
      <c r="I763">
        <v>44378</v>
      </c>
      <c r="J763" t="s">
        <v>1117</v>
      </c>
      <c r="K763" t="s">
        <v>1056</v>
      </c>
      <c r="L763">
        <v>124474</v>
      </c>
      <c r="M763" t="s">
        <v>1829</v>
      </c>
      <c r="O763" t="s">
        <v>1258</v>
      </c>
      <c r="P763" t="s">
        <v>1259</v>
      </c>
      <c r="Q763" t="s">
        <v>354</v>
      </c>
      <c r="R763">
        <v>2265776</v>
      </c>
      <c r="S763" t="s">
        <v>355</v>
      </c>
      <c r="U763" t="s">
        <v>2158</v>
      </c>
      <c r="V763" t="s">
        <v>356</v>
      </c>
      <c r="W763">
        <v>6500</v>
      </c>
      <c r="X763">
        <v>1.74</v>
      </c>
      <c r="Y763">
        <v>14.76</v>
      </c>
      <c r="Z763">
        <v>6500</v>
      </c>
      <c r="AA763">
        <v>0</v>
      </c>
      <c r="AB763">
        <v>44391.80386547454</v>
      </c>
      <c r="AC763" t="s">
        <v>325</v>
      </c>
      <c r="AD763">
        <v>5</v>
      </c>
    </row>
    <row r="764" spans="1:30" x14ac:dyDescent="0.25">
      <c r="A764" t="s">
        <v>1051</v>
      </c>
      <c r="B764" t="s">
        <v>1106</v>
      </c>
      <c r="C764" t="s">
        <v>2015</v>
      </c>
      <c r="D764" t="s">
        <v>2072</v>
      </c>
      <c r="E764" t="s">
        <v>1060</v>
      </c>
      <c r="F764" t="s">
        <v>1061</v>
      </c>
      <c r="G764">
        <v>6101260</v>
      </c>
      <c r="H764">
        <v>202107</v>
      </c>
      <c r="I764">
        <v>44396</v>
      </c>
      <c r="J764" t="s">
        <v>1117</v>
      </c>
      <c r="K764" t="s">
        <v>1056</v>
      </c>
      <c r="L764">
        <v>124474</v>
      </c>
      <c r="M764" t="s">
        <v>1829</v>
      </c>
      <c r="O764" t="s">
        <v>1459</v>
      </c>
      <c r="P764" t="s">
        <v>1460</v>
      </c>
      <c r="Q764" t="s">
        <v>354</v>
      </c>
      <c r="R764">
        <v>2265776</v>
      </c>
      <c r="S764" t="s">
        <v>355</v>
      </c>
      <c r="U764" t="s">
        <v>2159</v>
      </c>
      <c r="V764" t="s">
        <v>356</v>
      </c>
      <c r="W764">
        <v>5000</v>
      </c>
      <c r="X764">
        <v>1.32</v>
      </c>
      <c r="Y764">
        <v>11.32</v>
      </c>
      <c r="Z764">
        <v>5000</v>
      </c>
      <c r="AA764">
        <v>0</v>
      </c>
      <c r="AB764">
        <v>44397.929679317131</v>
      </c>
      <c r="AC764" t="s">
        <v>325</v>
      </c>
      <c r="AD764">
        <v>5</v>
      </c>
    </row>
    <row r="765" spans="1:30" x14ac:dyDescent="0.25">
      <c r="A765" t="s">
        <v>1051</v>
      </c>
      <c r="B765" t="s">
        <v>1106</v>
      </c>
      <c r="C765" t="s">
        <v>2015</v>
      </c>
      <c r="D765" t="s">
        <v>2072</v>
      </c>
      <c r="E765" t="s">
        <v>1060</v>
      </c>
      <c r="F765" t="s">
        <v>1061</v>
      </c>
      <c r="G765">
        <v>6101260</v>
      </c>
      <c r="H765">
        <v>202107</v>
      </c>
      <c r="I765">
        <v>44396</v>
      </c>
      <c r="J765" t="s">
        <v>1117</v>
      </c>
      <c r="K765" t="s">
        <v>1056</v>
      </c>
      <c r="L765">
        <v>124474</v>
      </c>
      <c r="M765" t="s">
        <v>1829</v>
      </c>
      <c r="O765" t="s">
        <v>1571</v>
      </c>
      <c r="P765" t="s">
        <v>1572</v>
      </c>
      <c r="Q765" t="s">
        <v>354</v>
      </c>
      <c r="R765">
        <v>2265776</v>
      </c>
      <c r="S765" t="s">
        <v>355</v>
      </c>
      <c r="U765" t="s">
        <v>2160</v>
      </c>
      <c r="V765" t="s">
        <v>356</v>
      </c>
      <c r="W765">
        <v>35000</v>
      </c>
      <c r="X765">
        <v>9.2100000000000009</v>
      </c>
      <c r="Y765">
        <v>79.239999999999995</v>
      </c>
      <c r="Z765">
        <v>35000</v>
      </c>
      <c r="AA765">
        <v>0</v>
      </c>
      <c r="AB765">
        <v>44397.929679317131</v>
      </c>
      <c r="AC765" t="s">
        <v>325</v>
      </c>
      <c r="AD765">
        <v>5</v>
      </c>
    </row>
    <row r="766" spans="1:30" x14ac:dyDescent="0.25">
      <c r="A766" t="s">
        <v>1051</v>
      </c>
      <c r="B766" t="s">
        <v>1106</v>
      </c>
      <c r="C766" t="s">
        <v>2015</v>
      </c>
      <c r="D766" t="s">
        <v>2072</v>
      </c>
      <c r="E766" t="s">
        <v>1060</v>
      </c>
      <c r="F766" t="s">
        <v>1061</v>
      </c>
      <c r="G766">
        <v>6101260</v>
      </c>
      <c r="H766">
        <v>202107</v>
      </c>
      <c r="I766">
        <v>44396</v>
      </c>
      <c r="J766" t="s">
        <v>1117</v>
      </c>
      <c r="K766" t="s">
        <v>1056</v>
      </c>
      <c r="L766">
        <v>124474</v>
      </c>
      <c r="M766" t="s">
        <v>1829</v>
      </c>
      <c r="O766" t="s">
        <v>1459</v>
      </c>
      <c r="P766" t="s">
        <v>1460</v>
      </c>
      <c r="Q766" t="s">
        <v>354</v>
      </c>
      <c r="R766">
        <v>2265776</v>
      </c>
      <c r="S766" t="s">
        <v>355</v>
      </c>
      <c r="U766" t="s">
        <v>2161</v>
      </c>
      <c r="V766" t="s">
        <v>356</v>
      </c>
      <c r="W766">
        <v>5000</v>
      </c>
      <c r="X766">
        <v>1.32</v>
      </c>
      <c r="Y766">
        <v>11.32</v>
      </c>
      <c r="Z766">
        <v>5000</v>
      </c>
      <c r="AA766">
        <v>0</v>
      </c>
      <c r="AB766">
        <v>44397.929679317131</v>
      </c>
      <c r="AC766" t="s">
        <v>325</v>
      </c>
      <c r="AD766">
        <v>5</v>
      </c>
    </row>
    <row r="767" spans="1:30" x14ac:dyDescent="0.25">
      <c r="A767" t="s">
        <v>1051</v>
      </c>
      <c r="B767" t="s">
        <v>1106</v>
      </c>
      <c r="C767" t="s">
        <v>2015</v>
      </c>
      <c r="D767" t="s">
        <v>2072</v>
      </c>
      <c r="E767" t="s">
        <v>1060</v>
      </c>
      <c r="F767" t="s">
        <v>1061</v>
      </c>
      <c r="G767">
        <v>6101260</v>
      </c>
      <c r="H767">
        <v>202107</v>
      </c>
      <c r="I767">
        <v>44396</v>
      </c>
      <c r="J767" t="s">
        <v>1117</v>
      </c>
      <c r="K767" t="s">
        <v>1056</v>
      </c>
      <c r="L767">
        <v>124474</v>
      </c>
      <c r="M767" t="s">
        <v>1829</v>
      </c>
      <c r="O767" t="s">
        <v>1561</v>
      </c>
      <c r="P767" t="s">
        <v>1562</v>
      </c>
      <c r="Q767" t="s">
        <v>354</v>
      </c>
      <c r="R767">
        <v>2265776</v>
      </c>
      <c r="S767" t="s">
        <v>355</v>
      </c>
      <c r="U767" t="s">
        <v>2162</v>
      </c>
      <c r="V767" t="s">
        <v>356</v>
      </c>
      <c r="W767">
        <v>22000</v>
      </c>
      <c r="X767">
        <v>5.79</v>
      </c>
      <c r="Y767">
        <v>49.81</v>
      </c>
      <c r="Z767">
        <v>22000</v>
      </c>
      <c r="AA767">
        <v>0</v>
      </c>
      <c r="AB767">
        <v>44397.929679317131</v>
      </c>
      <c r="AC767" t="s">
        <v>325</v>
      </c>
      <c r="AD767">
        <v>5</v>
      </c>
    </row>
    <row r="768" spans="1:30" x14ac:dyDescent="0.25">
      <c r="A768" t="s">
        <v>1051</v>
      </c>
      <c r="B768" t="s">
        <v>1106</v>
      </c>
      <c r="C768" t="s">
        <v>2015</v>
      </c>
      <c r="D768" t="s">
        <v>2072</v>
      </c>
      <c r="E768" t="s">
        <v>1060</v>
      </c>
      <c r="F768" t="s">
        <v>1061</v>
      </c>
      <c r="G768">
        <v>6101246</v>
      </c>
      <c r="H768">
        <v>202107</v>
      </c>
      <c r="I768">
        <v>44396</v>
      </c>
      <c r="J768" t="s">
        <v>1117</v>
      </c>
      <c r="K768" t="s">
        <v>1056</v>
      </c>
      <c r="L768">
        <v>124474</v>
      </c>
      <c r="M768" t="s">
        <v>1829</v>
      </c>
      <c r="O768" t="s">
        <v>1258</v>
      </c>
      <c r="P768" t="s">
        <v>1259</v>
      </c>
      <c r="Q768" t="s">
        <v>354</v>
      </c>
      <c r="R768">
        <v>2265776</v>
      </c>
      <c r="S768" t="s">
        <v>355</v>
      </c>
      <c r="U768" t="s">
        <v>2163</v>
      </c>
      <c r="V768" t="s">
        <v>356</v>
      </c>
      <c r="W768">
        <v>8000</v>
      </c>
      <c r="X768">
        <v>2.1</v>
      </c>
      <c r="Y768">
        <v>18.11</v>
      </c>
      <c r="Z768">
        <v>8000</v>
      </c>
      <c r="AA768">
        <v>0</v>
      </c>
      <c r="AB768">
        <v>44397.817337384258</v>
      </c>
      <c r="AC768" t="s">
        <v>325</v>
      </c>
      <c r="AD768">
        <v>5</v>
      </c>
    </row>
    <row r="769" spans="1:30" x14ac:dyDescent="0.25">
      <c r="A769" t="s">
        <v>1051</v>
      </c>
      <c r="B769" t="s">
        <v>1106</v>
      </c>
      <c r="C769" t="s">
        <v>2015</v>
      </c>
      <c r="D769" t="s">
        <v>2072</v>
      </c>
      <c r="E769" t="s">
        <v>1060</v>
      </c>
      <c r="F769" t="s">
        <v>1061</v>
      </c>
      <c r="G769">
        <v>6101246</v>
      </c>
      <c r="H769">
        <v>202107</v>
      </c>
      <c r="I769">
        <v>44396</v>
      </c>
      <c r="J769" t="s">
        <v>1117</v>
      </c>
      <c r="K769" t="s">
        <v>1056</v>
      </c>
      <c r="L769">
        <v>124474</v>
      </c>
      <c r="M769" t="s">
        <v>1829</v>
      </c>
      <c r="O769" t="s">
        <v>1258</v>
      </c>
      <c r="P769" t="s">
        <v>1259</v>
      </c>
      <c r="Q769" t="s">
        <v>354</v>
      </c>
      <c r="R769">
        <v>2265776</v>
      </c>
      <c r="S769" t="s">
        <v>355</v>
      </c>
      <c r="U769" t="s">
        <v>2164</v>
      </c>
      <c r="V769" t="s">
        <v>356</v>
      </c>
      <c r="W769">
        <v>7500</v>
      </c>
      <c r="X769">
        <v>1.97</v>
      </c>
      <c r="Y769">
        <v>16.98</v>
      </c>
      <c r="Z769">
        <v>7500</v>
      </c>
      <c r="AA769">
        <v>0</v>
      </c>
      <c r="AB769">
        <v>44397.817337384258</v>
      </c>
      <c r="AC769" t="s">
        <v>325</v>
      </c>
      <c r="AD769">
        <v>5</v>
      </c>
    </row>
    <row r="770" spans="1:30" x14ac:dyDescent="0.25">
      <c r="A770" t="s">
        <v>1051</v>
      </c>
      <c r="B770" t="s">
        <v>1106</v>
      </c>
      <c r="C770" t="s">
        <v>2015</v>
      </c>
      <c r="D770" t="s">
        <v>2072</v>
      </c>
      <c r="E770" t="s">
        <v>1060</v>
      </c>
      <c r="F770" t="s">
        <v>1061</v>
      </c>
      <c r="G770">
        <v>6101246</v>
      </c>
      <c r="H770">
        <v>202107</v>
      </c>
      <c r="I770">
        <v>44396</v>
      </c>
      <c r="J770" t="s">
        <v>1117</v>
      </c>
      <c r="K770" t="s">
        <v>1056</v>
      </c>
      <c r="L770">
        <v>124474</v>
      </c>
      <c r="M770" t="s">
        <v>1829</v>
      </c>
      <c r="O770" t="s">
        <v>1258</v>
      </c>
      <c r="P770" t="s">
        <v>1259</v>
      </c>
      <c r="Q770" t="s">
        <v>354</v>
      </c>
      <c r="R770">
        <v>2265776</v>
      </c>
      <c r="S770" t="s">
        <v>355</v>
      </c>
      <c r="U770" t="s">
        <v>2165</v>
      </c>
      <c r="V770" t="s">
        <v>356</v>
      </c>
      <c r="W770">
        <v>6500</v>
      </c>
      <c r="X770">
        <v>1.71</v>
      </c>
      <c r="Y770">
        <v>14.72</v>
      </c>
      <c r="Z770">
        <v>6500</v>
      </c>
      <c r="AA770">
        <v>0</v>
      </c>
      <c r="AB770">
        <v>44397.817337384258</v>
      </c>
      <c r="AC770" t="s">
        <v>325</v>
      </c>
      <c r="AD770">
        <v>5</v>
      </c>
    </row>
    <row r="771" spans="1:30" x14ac:dyDescent="0.25">
      <c r="A771" t="s">
        <v>1051</v>
      </c>
      <c r="B771" t="s">
        <v>1106</v>
      </c>
      <c r="C771" t="s">
        <v>2015</v>
      </c>
      <c r="D771" t="s">
        <v>2072</v>
      </c>
      <c r="E771" t="s">
        <v>1060</v>
      </c>
      <c r="F771" t="s">
        <v>1061</v>
      </c>
      <c r="G771">
        <v>6101246</v>
      </c>
      <c r="H771">
        <v>202107</v>
      </c>
      <c r="I771">
        <v>44396</v>
      </c>
      <c r="J771" t="s">
        <v>1117</v>
      </c>
      <c r="K771" t="s">
        <v>1056</v>
      </c>
      <c r="L771">
        <v>124474</v>
      </c>
      <c r="M771" t="s">
        <v>1829</v>
      </c>
      <c r="O771" t="s">
        <v>1522</v>
      </c>
      <c r="P771" t="s">
        <v>1523</v>
      </c>
      <c r="Q771" t="s">
        <v>354</v>
      </c>
      <c r="R771">
        <v>2265776</v>
      </c>
      <c r="S771" t="s">
        <v>355</v>
      </c>
      <c r="U771" t="s">
        <v>2166</v>
      </c>
      <c r="V771" t="s">
        <v>356</v>
      </c>
      <c r="W771">
        <v>14800</v>
      </c>
      <c r="X771">
        <v>3.89</v>
      </c>
      <c r="Y771">
        <v>33.51</v>
      </c>
      <c r="Z771">
        <v>14800</v>
      </c>
      <c r="AA771">
        <v>0</v>
      </c>
      <c r="AB771">
        <v>44397.817337534725</v>
      </c>
      <c r="AC771" t="s">
        <v>325</v>
      </c>
      <c r="AD771">
        <v>5</v>
      </c>
    </row>
    <row r="772" spans="1:30" x14ac:dyDescent="0.25">
      <c r="A772" t="s">
        <v>1051</v>
      </c>
      <c r="B772" t="s">
        <v>1106</v>
      </c>
      <c r="C772" t="s">
        <v>2015</v>
      </c>
      <c r="D772" t="s">
        <v>2072</v>
      </c>
      <c r="E772" t="s">
        <v>1060</v>
      </c>
      <c r="F772" t="s">
        <v>1061</v>
      </c>
      <c r="G772">
        <v>6101246</v>
      </c>
      <c r="H772">
        <v>202107</v>
      </c>
      <c r="I772">
        <v>44396</v>
      </c>
      <c r="J772" t="s">
        <v>1117</v>
      </c>
      <c r="K772" t="s">
        <v>1056</v>
      </c>
      <c r="L772">
        <v>124474</v>
      </c>
      <c r="M772" t="s">
        <v>1829</v>
      </c>
      <c r="O772" t="s">
        <v>1522</v>
      </c>
      <c r="P772" t="s">
        <v>1523</v>
      </c>
      <c r="Q772" t="s">
        <v>354</v>
      </c>
      <c r="R772">
        <v>2265776</v>
      </c>
      <c r="S772" t="s">
        <v>355</v>
      </c>
      <c r="U772" t="s">
        <v>2167</v>
      </c>
      <c r="V772" t="s">
        <v>356</v>
      </c>
      <c r="W772">
        <v>12000</v>
      </c>
      <c r="X772">
        <v>3.16</v>
      </c>
      <c r="Y772">
        <v>27.17</v>
      </c>
      <c r="Z772">
        <v>12000</v>
      </c>
      <c r="AA772">
        <v>0</v>
      </c>
      <c r="AB772">
        <v>44397.817337384258</v>
      </c>
      <c r="AC772" t="s">
        <v>325</v>
      </c>
      <c r="AD772">
        <v>5</v>
      </c>
    </row>
    <row r="773" spans="1:30" x14ac:dyDescent="0.25">
      <c r="A773" t="s">
        <v>1051</v>
      </c>
      <c r="B773" t="s">
        <v>1106</v>
      </c>
      <c r="C773" t="s">
        <v>2015</v>
      </c>
      <c r="D773" t="s">
        <v>2072</v>
      </c>
      <c r="E773" t="s">
        <v>1060</v>
      </c>
      <c r="F773" t="s">
        <v>1061</v>
      </c>
      <c r="G773">
        <v>6101246</v>
      </c>
      <c r="H773">
        <v>202107</v>
      </c>
      <c r="I773">
        <v>44396</v>
      </c>
      <c r="J773" t="s">
        <v>1117</v>
      </c>
      <c r="K773" t="s">
        <v>1056</v>
      </c>
      <c r="L773">
        <v>124474</v>
      </c>
      <c r="M773" t="s">
        <v>1829</v>
      </c>
      <c r="O773" t="s">
        <v>1561</v>
      </c>
      <c r="P773" t="s">
        <v>1562</v>
      </c>
      <c r="Q773" t="s">
        <v>354</v>
      </c>
      <c r="R773">
        <v>2265776</v>
      </c>
      <c r="S773" t="s">
        <v>355</v>
      </c>
      <c r="U773" t="s">
        <v>2168</v>
      </c>
      <c r="V773" t="s">
        <v>356</v>
      </c>
      <c r="W773">
        <v>25000</v>
      </c>
      <c r="X773">
        <v>6.58</v>
      </c>
      <c r="Y773">
        <v>56.6</v>
      </c>
      <c r="Z773">
        <v>25000</v>
      </c>
      <c r="AA773">
        <v>0</v>
      </c>
      <c r="AB773">
        <v>44397.817337384258</v>
      </c>
      <c r="AC773" t="s">
        <v>325</v>
      </c>
      <c r="AD773">
        <v>5</v>
      </c>
    </row>
    <row r="774" spans="1:30" x14ac:dyDescent="0.25">
      <c r="A774" t="s">
        <v>1051</v>
      </c>
      <c r="B774" t="s">
        <v>1106</v>
      </c>
      <c r="C774" t="s">
        <v>2015</v>
      </c>
      <c r="D774" t="s">
        <v>2072</v>
      </c>
      <c r="E774" t="s">
        <v>1060</v>
      </c>
      <c r="F774" t="s">
        <v>1061</v>
      </c>
      <c r="G774">
        <v>6101246</v>
      </c>
      <c r="H774">
        <v>202107</v>
      </c>
      <c r="I774">
        <v>44396</v>
      </c>
      <c r="J774" t="s">
        <v>1117</v>
      </c>
      <c r="K774" t="s">
        <v>1056</v>
      </c>
      <c r="L774">
        <v>124474</v>
      </c>
      <c r="M774" t="s">
        <v>1829</v>
      </c>
      <c r="O774" t="s">
        <v>1258</v>
      </c>
      <c r="P774" t="s">
        <v>1259</v>
      </c>
      <c r="Q774" t="s">
        <v>354</v>
      </c>
      <c r="R774">
        <v>2265776</v>
      </c>
      <c r="S774" t="s">
        <v>355</v>
      </c>
      <c r="U774" t="s">
        <v>2169</v>
      </c>
      <c r="V774" t="s">
        <v>356</v>
      </c>
      <c r="W774">
        <v>4000</v>
      </c>
      <c r="X774">
        <v>1.05</v>
      </c>
      <c r="Y774">
        <v>9.06</v>
      </c>
      <c r="Z774">
        <v>4000</v>
      </c>
      <c r="AA774">
        <v>0</v>
      </c>
      <c r="AB774">
        <v>44397.817337002314</v>
      </c>
      <c r="AC774" t="s">
        <v>325</v>
      </c>
      <c r="AD774">
        <v>5</v>
      </c>
    </row>
    <row r="775" spans="1:30" x14ac:dyDescent="0.25">
      <c r="A775" t="s">
        <v>1051</v>
      </c>
      <c r="B775" t="s">
        <v>1106</v>
      </c>
      <c r="C775" t="s">
        <v>2015</v>
      </c>
      <c r="D775" t="s">
        <v>2072</v>
      </c>
      <c r="E775" t="s">
        <v>1060</v>
      </c>
      <c r="F775" t="s">
        <v>1061</v>
      </c>
      <c r="G775">
        <v>6101246</v>
      </c>
      <c r="H775">
        <v>202107</v>
      </c>
      <c r="I775">
        <v>44396</v>
      </c>
      <c r="J775" t="s">
        <v>1117</v>
      </c>
      <c r="K775" t="s">
        <v>1056</v>
      </c>
      <c r="L775">
        <v>124474</v>
      </c>
      <c r="M775" t="s">
        <v>1829</v>
      </c>
      <c r="O775" t="s">
        <v>1561</v>
      </c>
      <c r="P775" t="s">
        <v>1562</v>
      </c>
      <c r="Q775" t="s">
        <v>354</v>
      </c>
      <c r="R775">
        <v>2265776</v>
      </c>
      <c r="S775" t="s">
        <v>355</v>
      </c>
      <c r="U775" t="s">
        <v>2170</v>
      </c>
      <c r="V775" t="s">
        <v>356</v>
      </c>
      <c r="W775">
        <v>22000</v>
      </c>
      <c r="X775">
        <v>5.79</v>
      </c>
      <c r="Y775">
        <v>49.81</v>
      </c>
      <c r="Z775">
        <v>22000</v>
      </c>
      <c r="AA775">
        <v>0</v>
      </c>
      <c r="AB775">
        <v>44397.817337187502</v>
      </c>
      <c r="AC775" t="s">
        <v>325</v>
      </c>
      <c r="AD775">
        <v>5</v>
      </c>
    </row>
    <row r="776" spans="1:30" x14ac:dyDescent="0.25">
      <c r="A776" t="s">
        <v>1051</v>
      </c>
      <c r="B776" t="s">
        <v>1106</v>
      </c>
      <c r="C776" t="s">
        <v>2015</v>
      </c>
      <c r="D776" t="s">
        <v>2072</v>
      </c>
      <c r="E776" t="s">
        <v>1060</v>
      </c>
      <c r="F776" t="s">
        <v>1061</v>
      </c>
      <c r="G776">
        <v>6101246</v>
      </c>
      <c r="H776">
        <v>202107</v>
      </c>
      <c r="I776">
        <v>44396</v>
      </c>
      <c r="J776" t="s">
        <v>1117</v>
      </c>
      <c r="K776" t="s">
        <v>1056</v>
      </c>
      <c r="L776">
        <v>124474</v>
      </c>
      <c r="M776" t="s">
        <v>1829</v>
      </c>
      <c r="O776" t="s">
        <v>1390</v>
      </c>
      <c r="P776" t="s">
        <v>1391</v>
      </c>
      <c r="Q776" t="s">
        <v>354</v>
      </c>
      <c r="R776">
        <v>2265776</v>
      </c>
      <c r="S776" t="s">
        <v>355</v>
      </c>
      <c r="U776" t="s">
        <v>2171</v>
      </c>
      <c r="V776" t="s">
        <v>356</v>
      </c>
      <c r="W776">
        <v>11000</v>
      </c>
      <c r="X776">
        <v>2.89</v>
      </c>
      <c r="Y776">
        <v>24.9</v>
      </c>
      <c r="Z776">
        <v>11000</v>
      </c>
      <c r="AA776">
        <v>0</v>
      </c>
      <c r="AB776">
        <v>44397.817337187502</v>
      </c>
      <c r="AC776" t="s">
        <v>325</v>
      </c>
      <c r="AD776">
        <v>5</v>
      </c>
    </row>
    <row r="777" spans="1:30" x14ac:dyDescent="0.25">
      <c r="A777" t="s">
        <v>1051</v>
      </c>
      <c r="B777" t="s">
        <v>1106</v>
      </c>
      <c r="C777" t="s">
        <v>2015</v>
      </c>
      <c r="D777" t="s">
        <v>2072</v>
      </c>
      <c r="E777" t="s">
        <v>1060</v>
      </c>
      <c r="F777" t="s">
        <v>1061</v>
      </c>
      <c r="G777">
        <v>6101246</v>
      </c>
      <c r="H777">
        <v>202107</v>
      </c>
      <c r="I777">
        <v>44396</v>
      </c>
      <c r="J777" t="s">
        <v>1117</v>
      </c>
      <c r="K777" t="s">
        <v>1056</v>
      </c>
      <c r="L777">
        <v>124474</v>
      </c>
      <c r="M777" t="s">
        <v>1829</v>
      </c>
      <c r="O777" t="s">
        <v>2148</v>
      </c>
      <c r="P777" t="s">
        <v>2149</v>
      </c>
      <c r="Q777" t="s">
        <v>354</v>
      </c>
      <c r="R777">
        <v>2265776</v>
      </c>
      <c r="S777" t="s">
        <v>355</v>
      </c>
      <c r="U777" t="s">
        <v>2172</v>
      </c>
      <c r="V777" t="s">
        <v>356</v>
      </c>
      <c r="W777">
        <v>1500</v>
      </c>
      <c r="X777">
        <v>0.39</v>
      </c>
      <c r="Y777">
        <v>3.4</v>
      </c>
      <c r="Z777">
        <v>1500</v>
      </c>
      <c r="AA777">
        <v>0</v>
      </c>
      <c r="AB777">
        <v>44397.817337187502</v>
      </c>
      <c r="AC777" t="s">
        <v>325</v>
      </c>
      <c r="AD777">
        <v>5</v>
      </c>
    </row>
    <row r="778" spans="1:30" x14ac:dyDescent="0.25">
      <c r="A778" t="s">
        <v>1051</v>
      </c>
      <c r="B778" t="s">
        <v>1106</v>
      </c>
      <c r="C778" t="s">
        <v>2015</v>
      </c>
      <c r="D778" t="s">
        <v>2072</v>
      </c>
      <c r="E778" t="s">
        <v>1060</v>
      </c>
      <c r="F778" t="s">
        <v>1061</v>
      </c>
      <c r="G778">
        <v>6101246</v>
      </c>
      <c r="H778">
        <v>202107</v>
      </c>
      <c r="I778">
        <v>44396</v>
      </c>
      <c r="J778" t="s">
        <v>1117</v>
      </c>
      <c r="K778" t="s">
        <v>1056</v>
      </c>
      <c r="L778">
        <v>124474</v>
      </c>
      <c r="M778" t="s">
        <v>1829</v>
      </c>
      <c r="O778" t="s">
        <v>1390</v>
      </c>
      <c r="P778" t="s">
        <v>1391</v>
      </c>
      <c r="Q778" t="s">
        <v>354</v>
      </c>
      <c r="R778">
        <v>2265776</v>
      </c>
      <c r="S778" t="s">
        <v>355</v>
      </c>
      <c r="U778" t="s">
        <v>2173</v>
      </c>
      <c r="V778" t="s">
        <v>356</v>
      </c>
      <c r="W778">
        <v>3000</v>
      </c>
      <c r="X778">
        <v>0.79</v>
      </c>
      <c r="Y778">
        <v>6.79</v>
      </c>
      <c r="Z778">
        <v>3000</v>
      </c>
      <c r="AA778">
        <v>0</v>
      </c>
      <c r="AB778">
        <v>44397.817337384258</v>
      </c>
      <c r="AC778" t="s">
        <v>325</v>
      </c>
      <c r="AD778">
        <v>5</v>
      </c>
    </row>
    <row r="779" spans="1:30" x14ac:dyDescent="0.25">
      <c r="A779" t="s">
        <v>1051</v>
      </c>
      <c r="B779" t="s">
        <v>1106</v>
      </c>
      <c r="C779" t="s">
        <v>2015</v>
      </c>
      <c r="D779" t="s">
        <v>2072</v>
      </c>
      <c r="E779" t="s">
        <v>1060</v>
      </c>
      <c r="F779" t="s">
        <v>1061</v>
      </c>
      <c r="G779">
        <v>6101221</v>
      </c>
      <c r="H779">
        <v>202107</v>
      </c>
      <c r="I779">
        <v>44378</v>
      </c>
      <c r="J779" t="s">
        <v>1117</v>
      </c>
      <c r="K779" t="s">
        <v>1056</v>
      </c>
      <c r="L779">
        <v>124474</v>
      </c>
      <c r="M779" t="s">
        <v>1829</v>
      </c>
      <c r="O779" t="s">
        <v>1522</v>
      </c>
      <c r="P779" t="s">
        <v>1523</v>
      </c>
      <c r="Q779" t="s">
        <v>354</v>
      </c>
      <c r="R779">
        <v>2265776</v>
      </c>
      <c r="S779" t="s">
        <v>355</v>
      </c>
      <c r="U779" t="s">
        <v>2174</v>
      </c>
      <c r="V779" t="s">
        <v>356</v>
      </c>
      <c r="W779">
        <v>14800</v>
      </c>
      <c r="X779">
        <v>3.95</v>
      </c>
      <c r="Y779">
        <v>33.61</v>
      </c>
      <c r="Z779">
        <v>14800</v>
      </c>
      <c r="AA779">
        <v>0</v>
      </c>
      <c r="AB779">
        <v>44391.80386547454</v>
      </c>
      <c r="AC779" t="s">
        <v>325</v>
      </c>
      <c r="AD779">
        <v>5</v>
      </c>
    </row>
    <row r="780" spans="1:30" x14ac:dyDescent="0.25">
      <c r="A780" t="s">
        <v>1051</v>
      </c>
      <c r="B780" t="s">
        <v>1106</v>
      </c>
      <c r="C780" t="s">
        <v>2015</v>
      </c>
      <c r="D780" t="s">
        <v>2072</v>
      </c>
      <c r="E780" t="s">
        <v>1060</v>
      </c>
      <c r="F780" t="s">
        <v>1061</v>
      </c>
      <c r="G780">
        <v>6101221</v>
      </c>
      <c r="H780">
        <v>202107</v>
      </c>
      <c r="I780">
        <v>44378</v>
      </c>
      <c r="J780" t="s">
        <v>1117</v>
      </c>
      <c r="K780" t="s">
        <v>1056</v>
      </c>
      <c r="L780">
        <v>124474</v>
      </c>
      <c r="M780" t="s">
        <v>1829</v>
      </c>
      <c r="O780" t="s">
        <v>1258</v>
      </c>
      <c r="P780" t="s">
        <v>1259</v>
      </c>
      <c r="Q780" t="s">
        <v>354</v>
      </c>
      <c r="R780">
        <v>2265776</v>
      </c>
      <c r="S780" t="s">
        <v>355</v>
      </c>
      <c r="U780" t="s">
        <v>2175</v>
      </c>
      <c r="V780" t="s">
        <v>356</v>
      </c>
      <c r="W780">
        <v>3000</v>
      </c>
      <c r="X780">
        <v>0.8</v>
      </c>
      <c r="Y780">
        <v>6.81</v>
      </c>
      <c r="Z780">
        <v>3000</v>
      </c>
      <c r="AA780">
        <v>0</v>
      </c>
      <c r="AB780">
        <v>44391.803865277776</v>
      </c>
      <c r="AC780" t="s">
        <v>325</v>
      </c>
      <c r="AD780">
        <v>5</v>
      </c>
    </row>
    <row r="781" spans="1:30" x14ac:dyDescent="0.25">
      <c r="A781" t="s">
        <v>1051</v>
      </c>
      <c r="B781" t="s">
        <v>1106</v>
      </c>
      <c r="C781" t="s">
        <v>2015</v>
      </c>
      <c r="D781" t="s">
        <v>2072</v>
      </c>
      <c r="E781" t="s">
        <v>1060</v>
      </c>
      <c r="F781" t="s">
        <v>1061</v>
      </c>
      <c r="G781">
        <v>6101221</v>
      </c>
      <c r="H781">
        <v>202107</v>
      </c>
      <c r="I781">
        <v>44378</v>
      </c>
      <c r="J781" t="s">
        <v>1117</v>
      </c>
      <c r="K781" t="s">
        <v>1056</v>
      </c>
      <c r="L781">
        <v>124474</v>
      </c>
      <c r="M781" t="s">
        <v>1829</v>
      </c>
      <c r="O781" t="s">
        <v>1258</v>
      </c>
      <c r="P781" t="s">
        <v>1259</v>
      </c>
      <c r="Q781" t="s">
        <v>354</v>
      </c>
      <c r="R781">
        <v>2265776</v>
      </c>
      <c r="S781" t="s">
        <v>355</v>
      </c>
      <c r="U781" t="s">
        <v>2176</v>
      </c>
      <c r="V781" t="s">
        <v>356</v>
      </c>
      <c r="W781">
        <v>4000</v>
      </c>
      <c r="X781">
        <v>1.07</v>
      </c>
      <c r="Y781">
        <v>9.08</v>
      </c>
      <c r="Z781">
        <v>4000</v>
      </c>
      <c r="AA781">
        <v>0</v>
      </c>
      <c r="AB781">
        <v>44391.803865127316</v>
      </c>
      <c r="AC781" t="s">
        <v>325</v>
      </c>
      <c r="AD781">
        <v>5</v>
      </c>
    </row>
    <row r="782" spans="1:30" x14ac:dyDescent="0.25">
      <c r="A782" t="s">
        <v>1051</v>
      </c>
      <c r="B782" t="s">
        <v>1106</v>
      </c>
      <c r="C782" t="s">
        <v>2015</v>
      </c>
      <c r="D782" t="s">
        <v>2072</v>
      </c>
      <c r="E782" t="s">
        <v>1060</v>
      </c>
      <c r="F782" t="s">
        <v>1061</v>
      </c>
      <c r="G782">
        <v>6101221</v>
      </c>
      <c r="H782">
        <v>202107</v>
      </c>
      <c r="I782">
        <v>44378</v>
      </c>
      <c r="J782" t="s">
        <v>1117</v>
      </c>
      <c r="K782" t="s">
        <v>1056</v>
      </c>
      <c r="L782">
        <v>124474</v>
      </c>
      <c r="M782" t="s">
        <v>1829</v>
      </c>
      <c r="O782" t="s">
        <v>1561</v>
      </c>
      <c r="P782" t="s">
        <v>1562</v>
      </c>
      <c r="Q782" t="s">
        <v>354</v>
      </c>
      <c r="R782">
        <v>2265776</v>
      </c>
      <c r="S782" t="s">
        <v>355</v>
      </c>
      <c r="U782" t="s">
        <v>2177</v>
      </c>
      <c r="V782" t="s">
        <v>356</v>
      </c>
      <c r="W782">
        <v>22000</v>
      </c>
      <c r="X782">
        <v>5.87</v>
      </c>
      <c r="Y782">
        <v>49.96</v>
      </c>
      <c r="Z782">
        <v>22000</v>
      </c>
      <c r="AA782">
        <v>0</v>
      </c>
      <c r="AB782">
        <v>44391.803865277776</v>
      </c>
      <c r="AC782" t="s">
        <v>325</v>
      </c>
      <c r="AD782">
        <v>5</v>
      </c>
    </row>
    <row r="783" spans="1:30" x14ac:dyDescent="0.25">
      <c r="A783" t="s">
        <v>1051</v>
      </c>
      <c r="B783" t="s">
        <v>1106</v>
      </c>
      <c r="C783" t="s">
        <v>2015</v>
      </c>
      <c r="D783" t="s">
        <v>2072</v>
      </c>
      <c r="E783" t="s">
        <v>1060</v>
      </c>
      <c r="F783" t="s">
        <v>1061</v>
      </c>
      <c r="G783">
        <v>6101221</v>
      </c>
      <c r="H783">
        <v>202107</v>
      </c>
      <c r="I783">
        <v>44378</v>
      </c>
      <c r="J783" t="s">
        <v>1117</v>
      </c>
      <c r="K783" t="s">
        <v>1056</v>
      </c>
      <c r="L783">
        <v>124474</v>
      </c>
      <c r="M783" t="s">
        <v>1829</v>
      </c>
      <c r="O783" t="s">
        <v>2148</v>
      </c>
      <c r="P783" t="s">
        <v>2149</v>
      </c>
      <c r="Q783" t="s">
        <v>354</v>
      </c>
      <c r="R783">
        <v>2265776</v>
      </c>
      <c r="S783" t="s">
        <v>355</v>
      </c>
      <c r="U783" t="s">
        <v>2178</v>
      </c>
      <c r="V783" t="s">
        <v>356</v>
      </c>
      <c r="W783">
        <v>1500</v>
      </c>
      <c r="X783">
        <v>0.4</v>
      </c>
      <c r="Y783">
        <v>3.41</v>
      </c>
      <c r="Z783">
        <v>1500</v>
      </c>
      <c r="AA783">
        <v>0</v>
      </c>
      <c r="AB783">
        <v>44391.803865277776</v>
      </c>
      <c r="AC783" t="s">
        <v>325</v>
      </c>
      <c r="AD783">
        <v>5</v>
      </c>
    </row>
    <row r="784" spans="1:30" x14ac:dyDescent="0.25">
      <c r="A784" t="s">
        <v>1051</v>
      </c>
      <c r="B784" t="s">
        <v>1106</v>
      </c>
      <c r="C784" t="s">
        <v>2015</v>
      </c>
      <c r="D784" t="s">
        <v>2072</v>
      </c>
      <c r="E784" t="s">
        <v>1060</v>
      </c>
      <c r="F784" t="s">
        <v>1061</v>
      </c>
      <c r="G784">
        <v>6101221</v>
      </c>
      <c r="H784">
        <v>202107</v>
      </c>
      <c r="I784">
        <v>44378</v>
      </c>
      <c r="J784" t="s">
        <v>1117</v>
      </c>
      <c r="K784" t="s">
        <v>1056</v>
      </c>
      <c r="L784">
        <v>124474</v>
      </c>
      <c r="M784" t="s">
        <v>1829</v>
      </c>
      <c r="O784" t="s">
        <v>1390</v>
      </c>
      <c r="P784" t="s">
        <v>1391</v>
      </c>
      <c r="Q784" t="s">
        <v>354</v>
      </c>
      <c r="R784">
        <v>2265776</v>
      </c>
      <c r="S784" t="s">
        <v>355</v>
      </c>
      <c r="U784" t="s">
        <v>2179</v>
      </c>
      <c r="V784" t="s">
        <v>356</v>
      </c>
      <c r="W784">
        <v>11000</v>
      </c>
      <c r="X784">
        <v>2.94</v>
      </c>
      <c r="Y784">
        <v>24.98</v>
      </c>
      <c r="Z784">
        <v>11000</v>
      </c>
      <c r="AA784">
        <v>0</v>
      </c>
      <c r="AB784">
        <v>44391.803865277776</v>
      </c>
      <c r="AC784" t="s">
        <v>325</v>
      </c>
      <c r="AD784">
        <v>5</v>
      </c>
    </row>
    <row r="785" spans="1:30" x14ac:dyDescent="0.25">
      <c r="A785" t="s">
        <v>1051</v>
      </c>
      <c r="B785" t="s">
        <v>1106</v>
      </c>
      <c r="C785" t="s">
        <v>2015</v>
      </c>
      <c r="D785" t="s">
        <v>2072</v>
      </c>
      <c r="E785" t="s">
        <v>1060</v>
      </c>
      <c r="F785" t="s">
        <v>1061</v>
      </c>
      <c r="G785">
        <v>6101527</v>
      </c>
      <c r="H785">
        <v>202108</v>
      </c>
      <c r="I785">
        <v>44427</v>
      </c>
      <c r="J785" t="s">
        <v>1117</v>
      </c>
      <c r="K785" t="s">
        <v>1056</v>
      </c>
      <c r="L785">
        <v>119010</v>
      </c>
      <c r="M785" t="s">
        <v>1823</v>
      </c>
      <c r="O785" t="s">
        <v>1258</v>
      </c>
      <c r="P785" t="s">
        <v>1259</v>
      </c>
      <c r="Q785" t="s">
        <v>357</v>
      </c>
      <c r="R785">
        <v>2069084</v>
      </c>
      <c r="S785" t="s">
        <v>2180</v>
      </c>
      <c r="U785" t="s">
        <v>2181</v>
      </c>
      <c r="V785" t="s">
        <v>356</v>
      </c>
      <c r="W785">
        <v>9500</v>
      </c>
      <c r="X785">
        <v>2.4300000000000002</v>
      </c>
      <c r="Y785">
        <v>20.98</v>
      </c>
      <c r="Z785">
        <v>9500</v>
      </c>
      <c r="AA785">
        <v>0</v>
      </c>
      <c r="AB785">
        <v>44427.847053506943</v>
      </c>
      <c r="AC785" t="s">
        <v>323</v>
      </c>
      <c r="AD785">
        <v>5</v>
      </c>
    </row>
    <row r="786" spans="1:30" x14ac:dyDescent="0.25">
      <c r="A786" t="s">
        <v>1051</v>
      </c>
      <c r="B786" t="s">
        <v>1106</v>
      </c>
      <c r="C786" t="s">
        <v>2015</v>
      </c>
      <c r="D786" t="s">
        <v>2072</v>
      </c>
      <c r="E786" t="s">
        <v>1060</v>
      </c>
      <c r="F786" t="s">
        <v>1061</v>
      </c>
      <c r="G786">
        <v>6101527</v>
      </c>
      <c r="H786">
        <v>202108</v>
      </c>
      <c r="I786">
        <v>44427</v>
      </c>
      <c r="J786" t="s">
        <v>1117</v>
      </c>
      <c r="K786" t="s">
        <v>1056</v>
      </c>
      <c r="L786">
        <v>119010</v>
      </c>
      <c r="M786" t="s">
        <v>1823</v>
      </c>
      <c r="O786" t="s">
        <v>2182</v>
      </c>
      <c r="P786" t="s">
        <v>2183</v>
      </c>
      <c r="Q786" t="s">
        <v>357</v>
      </c>
      <c r="R786">
        <v>2069084</v>
      </c>
      <c r="S786" t="s">
        <v>2184</v>
      </c>
      <c r="U786" t="s">
        <v>2185</v>
      </c>
      <c r="V786" t="s">
        <v>356</v>
      </c>
      <c r="W786">
        <v>72000</v>
      </c>
      <c r="X786">
        <v>18.41</v>
      </c>
      <c r="Y786">
        <v>159.02000000000001</v>
      </c>
      <c r="Z786">
        <v>72000</v>
      </c>
      <c r="AA786">
        <v>0</v>
      </c>
      <c r="AB786">
        <v>44427.847053321762</v>
      </c>
      <c r="AC786" t="s">
        <v>323</v>
      </c>
      <c r="AD786">
        <v>5</v>
      </c>
    </row>
    <row r="787" spans="1:30" x14ac:dyDescent="0.25">
      <c r="A787" t="s">
        <v>1051</v>
      </c>
      <c r="B787" t="s">
        <v>1106</v>
      </c>
      <c r="C787" t="s">
        <v>2015</v>
      </c>
      <c r="D787" t="s">
        <v>2072</v>
      </c>
      <c r="E787" t="s">
        <v>1060</v>
      </c>
      <c r="F787" t="s">
        <v>1061</v>
      </c>
      <c r="G787">
        <v>6101527</v>
      </c>
      <c r="H787">
        <v>202108</v>
      </c>
      <c r="I787">
        <v>44427</v>
      </c>
      <c r="J787" t="s">
        <v>1117</v>
      </c>
      <c r="K787" t="s">
        <v>1056</v>
      </c>
      <c r="L787">
        <v>119010</v>
      </c>
      <c r="M787" t="s">
        <v>1823</v>
      </c>
      <c r="O787" t="s">
        <v>1790</v>
      </c>
      <c r="P787" t="s">
        <v>1791</v>
      </c>
      <c r="Q787" t="s">
        <v>357</v>
      </c>
      <c r="R787">
        <v>2069084</v>
      </c>
      <c r="S787" t="s">
        <v>2186</v>
      </c>
      <c r="U787" t="s">
        <v>2187</v>
      </c>
      <c r="V787" t="s">
        <v>356</v>
      </c>
      <c r="W787">
        <v>12000</v>
      </c>
      <c r="X787">
        <v>3.07</v>
      </c>
      <c r="Y787">
        <v>26.5</v>
      </c>
      <c r="Z787">
        <v>12000</v>
      </c>
      <c r="AA787">
        <v>0</v>
      </c>
      <c r="AB787">
        <v>44427.847053124999</v>
      </c>
      <c r="AC787" t="s">
        <v>323</v>
      </c>
      <c r="AD787">
        <v>5</v>
      </c>
    </row>
    <row r="788" spans="1:30" x14ac:dyDescent="0.25">
      <c r="A788" t="s">
        <v>1051</v>
      </c>
      <c r="B788" t="s">
        <v>1106</v>
      </c>
      <c r="C788" t="s">
        <v>2015</v>
      </c>
      <c r="D788" t="s">
        <v>2072</v>
      </c>
      <c r="E788" t="s">
        <v>1060</v>
      </c>
      <c r="F788" t="s">
        <v>1061</v>
      </c>
      <c r="G788">
        <v>6101527</v>
      </c>
      <c r="H788">
        <v>202108</v>
      </c>
      <c r="I788">
        <v>44427</v>
      </c>
      <c r="J788" t="s">
        <v>1117</v>
      </c>
      <c r="K788" t="s">
        <v>1056</v>
      </c>
      <c r="L788">
        <v>119010</v>
      </c>
      <c r="M788" t="s">
        <v>1823</v>
      </c>
      <c r="O788" t="s">
        <v>2188</v>
      </c>
      <c r="P788" t="s">
        <v>2189</v>
      </c>
      <c r="Q788" t="s">
        <v>357</v>
      </c>
      <c r="R788">
        <v>2069084</v>
      </c>
      <c r="S788" t="s">
        <v>2190</v>
      </c>
      <c r="U788" t="s">
        <v>2191</v>
      </c>
      <c r="V788" t="s">
        <v>356</v>
      </c>
      <c r="W788">
        <v>24000</v>
      </c>
      <c r="X788">
        <v>6.14</v>
      </c>
      <c r="Y788">
        <v>53.01</v>
      </c>
      <c r="Z788">
        <v>24000</v>
      </c>
      <c r="AA788">
        <v>0</v>
      </c>
      <c r="AB788">
        <v>44427.847053124999</v>
      </c>
      <c r="AC788" t="s">
        <v>323</v>
      </c>
      <c r="AD788">
        <v>5</v>
      </c>
    </row>
    <row r="789" spans="1:30" x14ac:dyDescent="0.25">
      <c r="A789" t="s">
        <v>1051</v>
      </c>
      <c r="B789" t="s">
        <v>1106</v>
      </c>
      <c r="C789" t="s">
        <v>2015</v>
      </c>
      <c r="D789" t="s">
        <v>2072</v>
      </c>
      <c r="E789" t="s">
        <v>1060</v>
      </c>
      <c r="F789" t="s">
        <v>1061</v>
      </c>
      <c r="G789">
        <v>6101527</v>
      </c>
      <c r="H789">
        <v>202108</v>
      </c>
      <c r="I789">
        <v>44427</v>
      </c>
      <c r="J789" t="s">
        <v>1117</v>
      </c>
      <c r="K789" t="s">
        <v>1056</v>
      </c>
      <c r="L789">
        <v>119010</v>
      </c>
      <c r="M789" t="s">
        <v>1823</v>
      </c>
      <c r="O789" t="s">
        <v>2192</v>
      </c>
      <c r="P789" t="s">
        <v>2193</v>
      </c>
      <c r="Q789" t="s">
        <v>357</v>
      </c>
      <c r="R789">
        <v>2069084</v>
      </c>
      <c r="S789" t="s">
        <v>2194</v>
      </c>
      <c r="U789" t="s">
        <v>2195</v>
      </c>
      <c r="V789" t="s">
        <v>356</v>
      </c>
      <c r="W789">
        <v>64500</v>
      </c>
      <c r="X789">
        <v>16.489999999999998</v>
      </c>
      <c r="Y789">
        <v>142.46</v>
      </c>
      <c r="Z789">
        <v>64500</v>
      </c>
      <c r="AA789">
        <v>0</v>
      </c>
      <c r="AB789">
        <v>44427.847053124999</v>
      </c>
      <c r="AC789" t="s">
        <v>323</v>
      </c>
      <c r="AD789">
        <v>5</v>
      </c>
    </row>
    <row r="790" spans="1:30" x14ac:dyDescent="0.25">
      <c r="A790" t="s">
        <v>1051</v>
      </c>
      <c r="B790" t="s">
        <v>1106</v>
      </c>
      <c r="C790" t="s">
        <v>2015</v>
      </c>
      <c r="D790" t="s">
        <v>2072</v>
      </c>
      <c r="E790" t="s">
        <v>1060</v>
      </c>
      <c r="F790" t="s">
        <v>1061</v>
      </c>
      <c r="G790">
        <v>6101527</v>
      </c>
      <c r="H790">
        <v>202108</v>
      </c>
      <c r="I790">
        <v>44427</v>
      </c>
      <c r="J790" t="s">
        <v>1117</v>
      </c>
      <c r="K790" t="s">
        <v>1056</v>
      </c>
      <c r="L790">
        <v>119010</v>
      </c>
      <c r="M790" t="s">
        <v>1823</v>
      </c>
      <c r="O790" t="s">
        <v>2196</v>
      </c>
      <c r="P790" t="s">
        <v>2197</v>
      </c>
      <c r="Q790" t="s">
        <v>357</v>
      </c>
      <c r="R790">
        <v>2069084</v>
      </c>
      <c r="S790" t="s">
        <v>2198</v>
      </c>
      <c r="U790" t="s">
        <v>2199</v>
      </c>
      <c r="V790" t="s">
        <v>356</v>
      </c>
      <c r="W790">
        <v>40600</v>
      </c>
      <c r="X790">
        <v>10.38</v>
      </c>
      <c r="Y790">
        <v>89.67</v>
      </c>
      <c r="Z790">
        <v>40600</v>
      </c>
      <c r="AA790">
        <v>0</v>
      </c>
      <c r="AB790">
        <v>44427.847053321762</v>
      </c>
      <c r="AC790" t="s">
        <v>323</v>
      </c>
      <c r="AD790">
        <v>5</v>
      </c>
    </row>
    <row r="791" spans="1:30" x14ac:dyDescent="0.25">
      <c r="A791" t="s">
        <v>1051</v>
      </c>
      <c r="B791" t="s">
        <v>1106</v>
      </c>
      <c r="C791" t="s">
        <v>2015</v>
      </c>
      <c r="D791" t="s">
        <v>2072</v>
      </c>
      <c r="E791" t="s">
        <v>1060</v>
      </c>
      <c r="F791" t="s">
        <v>1061</v>
      </c>
      <c r="G791">
        <v>6101527</v>
      </c>
      <c r="H791">
        <v>202108</v>
      </c>
      <c r="I791">
        <v>44427</v>
      </c>
      <c r="J791" t="s">
        <v>1117</v>
      </c>
      <c r="K791" t="s">
        <v>1056</v>
      </c>
      <c r="L791">
        <v>119010</v>
      </c>
      <c r="M791" t="s">
        <v>1823</v>
      </c>
      <c r="O791" t="s">
        <v>2200</v>
      </c>
      <c r="P791" t="s">
        <v>2201</v>
      </c>
      <c r="Q791" t="s">
        <v>357</v>
      </c>
      <c r="R791">
        <v>2069084</v>
      </c>
      <c r="S791" t="s">
        <v>2202</v>
      </c>
      <c r="U791" t="s">
        <v>2203</v>
      </c>
      <c r="V791" t="s">
        <v>356</v>
      </c>
      <c r="W791">
        <v>75600</v>
      </c>
      <c r="X791">
        <v>19.329999999999998</v>
      </c>
      <c r="Y791">
        <v>166.97</v>
      </c>
      <c r="Z791">
        <v>75600</v>
      </c>
      <c r="AA791">
        <v>0</v>
      </c>
      <c r="AB791">
        <v>44427.847053321762</v>
      </c>
      <c r="AC791" t="s">
        <v>323</v>
      </c>
      <c r="AD791">
        <v>5</v>
      </c>
    </row>
    <row r="792" spans="1:30" x14ac:dyDescent="0.25">
      <c r="A792" t="s">
        <v>1051</v>
      </c>
      <c r="B792" t="s">
        <v>1106</v>
      </c>
      <c r="C792" t="s">
        <v>2015</v>
      </c>
      <c r="D792" t="s">
        <v>2072</v>
      </c>
      <c r="E792" t="s">
        <v>1060</v>
      </c>
      <c r="F792" t="s">
        <v>1061</v>
      </c>
      <c r="G792">
        <v>6101527</v>
      </c>
      <c r="H792">
        <v>202108</v>
      </c>
      <c r="I792">
        <v>44427</v>
      </c>
      <c r="J792" t="s">
        <v>1117</v>
      </c>
      <c r="K792" t="s">
        <v>1056</v>
      </c>
      <c r="L792">
        <v>119010</v>
      </c>
      <c r="M792" t="s">
        <v>1823</v>
      </c>
      <c r="O792" t="s">
        <v>2192</v>
      </c>
      <c r="P792" t="s">
        <v>2193</v>
      </c>
      <c r="Q792" t="s">
        <v>357</v>
      </c>
      <c r="R792">
        <v>2069084</v>
      </c>
      <c r="S792" t="s">
        <v>2204</v>
      </c>
      <c r="U792" t="s">
        <v>2205</v>
      </c>
      <c r="V792" t="s">
        <v>356</v>
      </c>
      <c r="W792">
        <v>159900</v>
      </c>
      <c r="X792">
        <v>40.880000000000003</v>
      </c>
      <c r="Y792">
        <v>353.16</v>
      </c>
      <c r="Z792">
        <v>159900</v>
      </c>
      <c r="AA792">
        <v>0</v>
      </c>
      <c r="AB792">
        <v>44427.847053321762</v>
      </c>
      <c r="AC792" t="s">
        <v>323</v>
      </c>
      <c r="AD792">
        <v>5</v>
      </c>
    </row>
    <row r="793" spans="1:30" x14ac:dyDescent="0.25">
      <c r="A793" t="s">
        <v>1051</v>
      </c>
      <c r="B793" t="s">
        <v>1106</v>
      </c>
      <c r="C793" t="s">
        <v>2015</v>
      </c>
      <c r="D793" t="s">
        <v>2072</v>
      </c>
      <c r="E793" t="s">
        <v>1060</v>
      </c>
      <c r="F793" t="s">
        <v>1061</v>
      </c>
      <c r="G793">
        <v>6101527</v>
      </c>
      <c r="H793">
        <v>202108</v>
      </c>
      <c r="I793">
        <v>44427</v>
      </c>
      <c r="J793" t="s">
        <v>1117</v>
      </c>
      <c r="K793" t="s">
        <v>1056</v>
      </c>
      <c r="L793">
        <v>119010</v>
      </c>
      <c r="M793" t="s">
        <v>1823</v>
      </c>
      <c r="O793" t="s">
        <v>2206</v>
      </c>
      <c r="P793" t="s">
        <v>2207</v>
      </c>
      <c r="Q793" t="s">
        <v>357</v>
      </c>
      <c r="R793">
        <v>2069084</v>
      </c>
      <c r="S793" t="s">
        <v>2208</v>
      </c>
      <c r="U793" t="s">
        <v>2209</v>
      </c>
      <c r="V793" t="s">
        <v>356</v>
      </c>
      <c r="W793">
        <v>12600</v>
      </c>
      <c r="X793">
        <v>3.22</v>
      </c>
      <c r="Y793">
        <v>27.83</v>
      </c>
      <c r="Z793">
        <v>12600</v>
      </c>
      <c r="AA793">
        <v>0</v>
      </c>
      <c r="AB793">
        <v>44427.847053321762</v>
      </c>
      <c r="AC793" t="s">
        <v>323</v>
      </c>
      <c r="AD793">
        <v>5</v>
      </c>
    </row>
    <row r="794" spans="1:30" x14ac:dyDescent="0.25">
      <c r="A794" t="s">
        <v>1051</v>
      </c>
      <c r="B794" t="s">
        <v>1106</v>
      </c>
      <c r="C794" t="s">
        <v>2015</v>
      </c>
      <c r="D794" t="s">
        <v>2072</v>
      </c>
      <c r="E794" t="s">
        <v>1060</v>
      </c>
      <c r="F794" t="s">
        <v>1061</v>
      </c>
      <c r="G794">
        <v>6101527</v>
      </c>
      <c r="H794">
        <v>202108</v>
      </c>
      <c r="I794">
        <v>44427</v>
      </c>
      <c r="J794" t="s">
        <v>1117</v>
      </c>
      <c r="K794" t="s">
        <v>1056</v>
      </c>
      <c r="L794">
        <v>119010</v>
      </c>
      <c r="M794" t="s">
        <v>1823</v>
      </c>
      <c r="O794" t="s">
        <v>1293</v>
      </c>
      <c r="P794" t="s">
        <v>1294</v>
      </c>
      <c r="Q794" t="s">
        <v>357</v>
      </c>
      <c r="R794">
        <v>2069084</v>
      </c>
      <c r="S794" t="s">
        <v>2210</v>
      </c>
      <c r="U794" t="s">
        <v>2211</v>
      </c>
      <c r="V794" t="s">
        <v>356</v>
      </c>
      <c r="W794">
        <v>28500</v>
      </c>
      <c r="X794">
        <v>7.29</v>
      </c>
      <c r="Y794">
        <v>62.95</v>
      </c>
      <c r="Z794">
        <v>28500</v>
      </c>
      <c r="AA794">
        <v>0</v>
      </c>
      <c r="AB794">
        <v>44427.847053321762</v>
      </c>
      <c r="AC794" t="s">
        <v>323</v>
      </c>
      <c r="AD794">
        <v>5</v>
      </c>
    </row>
    <row r="795" spans="1:30" x14ac:dyDescent="0.25">
      <c r="A795" t="s">
        <v>1051</v>
      </c>
      <c r="B795" t="s">
        <v>1106</v>
      </c>
      <c r="C795" t="s">
        <v>2015</v>
      </c>
      <c r="D795" t="s">
        <v>2072</v>
      </c>
      <c r="E795" t="s">
        <v>1060</v>
      </c>
      <c r="F795" t="s">
        <v>1061</v>
      </c>
      <c r="G795">
        <v>6101527</v>
      </c>
      <c r="H795">
        <v>202108</v>
      </c>
      <c r="I795">
        <v>44427</v>
      </c>
      <c r="J795" t="s">
        <v>1117</v>
      </c>
      <c r="K795" t="s">
        <v>1056</v>
      </c>
      <c r="L795">
        <v>119010</v>
      </c>
      <c r="M795" t="s">
        <v>1823</v>
      </c>
      <c r="O795" t="s">
        <v>2212</v>
      </c>
      <c r="P795" t="s">
        <v>2213</v>
      </c>
      <c r="Q795" t="s">
        <v>357</v>
      </c>
      <c r="R795">
        <v>2069084</v>
      </c>
      <c r="S795" t="s">
        <v>2214</v>
      </c>
      <c r="U795" t="s">
        <v>2215</v>
      </c>
      <c r="V795" t="s">
        <v>356</v>
      </c>
      <c r="W795">
        <v>30000</v>
      </c>
      <c r="X795">
        <v>7.67</v>
      </c>
      <c r="Y795">
        <v>66.260000000000005</v>
      </c>
      <c r="Z795">
        <v>30000</v>
      </c>
      <c r="AA795">
        <v>0</v>
      </c>
      <c r="AB795">
        <v>44427.847053321762</v>
      </c>
      <c r="AC795" t="s">
        <v>323</v>
      </c>
      <c r="AD795">
        <v>5</v>
      </c>
    </row>
    <row r="796" spans="1:30" x14ac:dyDescent="0.25">
      <c r="A796" t="s">
        <v>1051</v>
      </c>
      <c r="B796" t="s">
        <v>1106</v>
      </c>
      <c r="C796" t="s">
        <v>2015</v>
      </c>
      <c r="D796" t="s">
        <v>2072</v>
      </c>
      <c r="E796" t="s">
        <v>1060</v>
      </c>
      <c r="F796" t="s">
        <v>1061</v>
      </c>
      <c r="G796">
        <v>6101941</v>
      </c>
      <c r="H796">
        <v>202109</v>
      </c>
      <c r="I796">
        <v>44445</v>
      </c>
      <c r="J796">
        <v>124932</v>
      </c>
      <c r="K796" t="s">
        <v>1056</v>
      </c>
      <c r="L796">
        <v>119010</v>
      </c>
      <c r="M796" t="s">
        <v>1823</v>
      </c>
      <c r="O796" t="s">
        <v>1459</v>
      </c>
      <c r="P796" t="s">
        <v>1460</v>
      </c>
      <c r="Q796" t="s">
        <v>357</v>
      </c>
      <c r="R796">
        <v>2069084</v>
      </c>
      <c r="S796" t="s">
        <v>355</v>
      </c>
      <c r="U796" t="s">
        <v>2216</v>
      </c>
      <c r="V796" t="s">
        <v>356</v>
      </c>
      <c r="W796">
        <v>21000</v>
      </c>
      <c r="X796">
        <v>5.6</v>
      </c>
      <c r="Y796">
        <v>48.62</v>
      </c>
      <c r="Z796">
        <v>21000</v>
      </c>
      <c r="AA796">
        <v>0</v>
      </c>
      <c r="AB796">
        <v>44459.110482986114</v>
      </c>
      <c r="AC796" t="s">
        <v>323</v>
      </c>
      <c r="AD796">
        <v>5</v>
      </c>
    </row>
    <row r="797" spans="1:30" x14ac:dyDescent="0.25">
      <c r="A797" t="s">
        <v>1051</v>
      </c>
      <c r="B797" t="s">
        <v>1106</v>
      </c>
      <c r="C797" t="s">
        <v>2015</v>
      </c>
      <c r="D797" t="s">
        <v>2072</v>
      </c>
      <c r="E797" t="s">
        <v>1060</v>
      </c>
      <c r="F797" t="s">
        <v>1061</v>
      </c>
      <c r="G797">
        <v>6101941</v>
      </c>
      <c r="H797">
        <v>202109</v>
      </c>
      <c r="I797">
        <v>44445</v>
      </c>
      <c r="J797">
        <v>124932</v>
      </c>
      <c r="K797" t="s">
        <v>1056</v>
      </c>
      <c r="L797">
        <v>119010</v>
      </c>
      <c r="M797" t="s">
        <v>1823</v>
      </c>
      <c r="O797" t="s">
        <v>1571</v>
      </c>
      <c r="P797" t="s">
        <v>1572</v>
      </c>
      <c r="Q797" t="s">
        <v>357</v>
      </c>
      <c r="R797">
        <v>2069084</v>
      </c>
      <c r="S797" t="s">
        <v>355</v>
      </c>
      <c r="U797" t="s">
        <v>2217</v>
      </c>
      <c r="V797" t="s">
        <v>356</v>
      </c>
      <c r="W797">
        <v>60000</v>
      </c>
      <c r="X797">
        <v>15.99</v>
      </c>
      <c r="Y797">
        <v>138.93</v>
      </c>
      <c r="Z797">
        <v>60000</v>
      </c>
      <c r="AA797">
        <v>0</v>
      </c>
      <c r="AB797">
        <v>44459.110482986114</v>
      </c>
      <c r="AC797" t="s">
        <v>323</v>
      </c>
      <c r="AD797">
        <v>5</v>
      </c>
    </row>
    <row r="798" spans="1:30" x14ac:dyDescent="0.25">
      <c r="A798" t="s">
        <v>1051</v>
      </c>
      <c r="B798" t="s">
        <v>1106</v>
      </c>
      <c r="C798" t="s">
        <v>2015</v>
      </c>
      <c r="D798" t="s">
        <v>2072</v>
      </c>
      <c r="E798" t="s">
        <v>1060</v>
      </c>
      <c r="F798" t="s">
        <v>1061</v>
      </c>
      <c r="G798">
        <v>6101941</v>
      </c>
      <c r="H798">
        <v>202109</v>
      </c>
      <c r="I798">
        <v>44445</v>
      </c>
      <c r="J798">
        <v>124932</v>
      </c>
      <c r="K798" t="s">
        <v>1056</v>
      </c>
      <c r="L798">
        <v>119010</v>
      </c>
      <c r="M798" t="s">
        <v>1823</v>
      </c>
      <c r="O798" t="s">
        <v>2218</v>
      </c>
      <c r="P798" t="s">
        <v>2219</v>
      </c>
      <c r="Q798" t="s">
        <v>357</v>
      </c>
      <c r="R798">
        <v>2069084</v>
      </c>
      <c r="S798" t="s">
        <v>355</v>
      </c>
      <c r="U798" t="s">
        <v>2220</v>
      </c>
      <c r="V798" t="s">
        <v>356</v>
      </c>
      <c r="W798">
        <v>62000</v>
      </c>
      <c r="X798">
        <v>16.52</v>
      </c>
      <c r="Y798">
        <v>143.56</v>
      </c>
      <c r="Z798">
        <v>62000</v>
      </c>
      <c r="AA798">
        <v>0</v>
      </c>
      <c r="AB798">
        <v>44459.110483182871</v>
      </c>
      <c r="AC798" t="s">
        <v>323</v>
      </c>
      <c r="AD798">
        <v>5</v>
      </c>
    </row>
    <row r="799" spans="1:30" x14ac:dyDescent="0.25">
      <c r="A799" t="s">
        <v>1051</v>
      </c>
      <c r="B799" t="s">
        <v>1106</v>
      </c>
      <c r="C799" t="s">
        <v>2015</v>
      </c>
      <c r="D799" t="s">
        <v>2072</v>
      </c>
      <c r="E799" t="s">
        <v>1060</v>
      </c>
      <c r="F799" t="s">
        <v>1061</v>
      </c>
      <c r="G799">
        <v>6101941</v>
      </c>
      <c r="H799">
        <v>202109</v>
      </c>
      <c r="I799">
        <v>44445</v>
      </c>
      <c r="J799">
        <v>124932</v>
      </c>
      <c r="K799" t="s">
        <v>1056</v>
      </c>
      <c r="L799">
        <v>119010</v>
      </c>
      <c r="M799" t="s">
        <v>1823</v>
      </c>
      <c r="O799" t="s">
        <v>1459</v>
      </c>
      <c r="P799" t="s">
        <v>1460</v>
      </c>
      <c r="Q799" t="s">
        <v>357</v>
      </c>
      <c r="R799">
        <v>2069084</v>
      </c>
      <c r="S799" t="s">
        <v>355</v>
      </c>
      <c r="U799" t="s">
        <v>2221</v>
      </c>
      <c r="V799" t="s">
        <v>356</v>
      </c>
      <c r="W799">
        <v>12000</v>
      </c>
      <c r="X799">
        <v>3.2</v>
      </c>
      <c r="Y799">
        <v>27.79</v>
      </c>
      <c r="Z799">
        <v>12000</v>
      </c>
      <c r="AA799">
        <v>0</v>
      </c>
      <c r="AB799">
        <v>44459.110483182871</v>
      </c>
      <c r="AC799" t="s">
        <v>323</v>
      </c>
      <c r="AD799">
        <v>5</v>
      </c>
    </row>
    <row r="800" spans="1:30" x14ac:dyDescent="0.25">
      <c r="A800" t="s">
        <v>1051</v>
      </c>
      <c r="B800" t="s">
        <v>1106</v>
      </c>
      <c r="C800" t="s">
        <v>2015</v>
      </c>
      <c r="D800" t="s">
        <v>2072</v>
      </c>
      <c r="E800" t="s">
        <v>1060</v>
      </c>
      <c r="F800" t="s">
        <v>1061</v>
      </c>
      <c r="G800">
        <v>6101941</v>
      </c>
      <c r="H800">
        <v>202109</v>
      </c>
      <c r="I800">
        <v>44445</v>
      </c>
      <c r="J800">
        <v>124932</v>
      </c>
      <c r="K800" t="s">
        <v>1056</v>
      </c>
      <c r="L800">
        <v>119010</v>
      </c>
      <c r="M800" t="s">
        <v>1823</v>
      </c>
      <c r="O800" t="s">
        <v>1773</v>
      </c>
      <c r="P800" t="s">
        <v>1774</v>
      </c>
      <c r="Q800" t="s">
        <v>357</v>
      </c>
      <c r="R800">
        <v>2069084</v>
      </c>
      <c r="S800" t="s">
        <v>355</v>
      </c>
      <c r="U800" t="s">
        <v>2222</v>
      </c>
      <c r="V800" t="s">
        <v>356</v>
      </c>
      <c r="W800">
        <v>60800</v>
      </c>
      <c r="X800">
        <v>16.2</v>
      </c>
      <c r="Y800">
        <v>140.78</v>
      </c>
      <c r="Z800">
        <v>60800</v>
      </c>
      <c r="AA800">
        <v>0</v>
      </c>
      <c r="AB800">
        <v>44459.110483182871</v>
      </c>
      <c r="AC800" t="s">
        <v>323</v>
      </c>
      <c r="AD800">
        <v>5</v>
      </c>
    </row>
    <row r="801" spans="1:30" x14ac:dyDescent="0.25">
      <c r="A801" t="s">
        <v>1051</v>
      </c>
      <c r="B801" t="s">
        <v>1106</v>
      </c>
      <c r="C801" t="s">
        <v>2015</v>
      </c>
      <c r="D801" t="s">
        <v>2072</v>
      </c>
      <c r="E801" t="s">
        <v>1060</v>
      </c>
      <c r="F801" t="s">
        <v>1061</v>
      </c>
      <c r="G801">
        <v>6101942</v>
      </c>
      <c r="H801">
        <v>202109</v>
      </c>
      <c r="I801">
        <v>44454</v>
      </c>
      <c r="J801">
        <v>124932</v>
      </c>
      <c r="K801" t="s">
        <v>1056</v>
      </c>
      <c r="L801">
        <v>124474</v>
      </c>
      <c r="M801" t="s">
        <v>1829</v>
      </c>
      <c r="O801" t="s">
        <v>1594</v>
      </c>
      <c r="P801" t="s">
        <v>1595</v>
      </c>
      <c r="Q801" t="s">
        <v>354</v>
      </c>
      <c r="R801">
        <v>2265776</v>
      </c>
      <c r="S801" t="s">
        <v>355</v>
      </c>
      <c r="U801" t="s">
        <v>2223</v>
      </c>
      <c r="V801" t="s">
        <v>356</v>
      </c>
      <c r="W801">
        <v>10000</v>
      </c>
      <c r="X801">
        <v>2.62</v>
      </c>
      <c r="Y801">
        <v>22.83</v>
      </c>
      <c r="Z801">
        <v>10000</v>
      </c>
      <c r="AA801">
        <v>0</v>
      </c>
      <c r="AB801">
        <v>44459.127559687498</v>
      </c>
      <c r="AC801" t="s">
        <v>325</v>
      </c>
      <c r="AD801">
        <v>5</v>
      </c>
    </row>
    <row r="802" spans="1:30" x14ac:dyDescent="0.25">
      <c r="A802" t="s">
        <v>1051</v>
      </c>
      <c r="B802" t="s">
        <v>1106</v>
      </c>
      <c r="C802" t="s">
        <v>2015</v>
      </c>
      <c r="D802" t="s">
        <v>2072</v>
      </c>
      <c r="E802" t="s">
        <v>1060</v>
      </c>
      <c r="F802" t="s">
        <v>1061</v>
      </c>
      <c r="G802">
        <v>6101942</v>
      </c>
      <c r="H802">
        <v>202109</v>
      </c>
      <c r="I802">
        <v>44454</v>
      </c>
      <c r="J802">
        <v>124932</v>
      </c>
      <c r="K802" t="s">
        <v>1056</v>
      </c>
      <c r="L802">
        <v>124474</v>
      </c>
      <c r="M802" t="s">
        <v>1829</v>
      </c>
      <c r="O802" t="s">
        <v>1561</v>
      </c>
      <c r="P802" t="s">
        <v>1562</v>
      </c>
      <c r="Q802" t="s">
        <v>354</v>
      </c>
      <c r="R802">
        <v>2265776</v>
      </c>
      <c r="S802" t="s">
        <v>355</v>
      </c>
      <c r="U802" t="s">
        <v>2224</v>
      </c>
      <c r="V802" t="s">
        <v>356</v>
      </c>
      <c r="W802">
        <v>35000</v>
      </c>
      <c r="X802">
        <v>9.17</v>
      </c>
      <c r="Y802">
        <v>79.900000000000006</v>
      </c>
      <c r="Z802">
        <v>35000</v>
      </c>
      <c r="AA802">
        <v>0</v>
      </c>
      <c r="AB802">
        <v>44459.127559687498</v>
      </c>
      <c r="AC802" t="s">
        <v>325</v>
      </c>
      <c r="AD802">
        <v>5</v>
      </c>
    </row>
    <row r="803" spans="1:30" x14ac:dyDescent="0.25">
      <c r="A803" t="s">
        <v>1051</v>
      </c>
      <c r="B803" t="s">
        <v>1106</v>
      </c>
      <c r="C803" t="s">
        <v>2015</v>
      </c>
      <c r="D803" t="s">
        <v>2072</v>
      </c>
      <c r="E803" t="s">
        <v>1060</v>
      </c>
      <c r="F803" t="s">
        <v>1061</v>
      </c>
      <c r="G803">
        <v>6101942</v>
      </c>
      <c r="H803">
        <v>202109</v>
      </c>
      <c r="I803">
        <v>44454</v>
      </c>
      <c r="J803">
        <v>124932</v>
      </c>
      <c r="K803" t="s">
        <v>1056</v>
      </c>
      <c r="L803">
        <v>124474</v>
      </c>
      <c r="M803" t="s">
        <v>1829</v>
      </c>
      <c r="O803" t="s">
        <v>1459</v>
      </c>
      <c r="P803" t="s">
        <v>1460</v>
      </c>
      <c r="Q803" t="s">
        <v>354</v>
      </c>
      <c r="R803">
        <v>2265776</v>
      </c>
      <c r="S803" t="s">
        <v>355</v>
      </c>
      <c r="U803" t="s">
        <v>2225</v>
      </c>
      <c r="V803" t="s">
        <v>356</v>
      </c>
      <c r="W803">
        <v>11000</v>
      </c>
      <c r="X803">
        <v>2.88</v>
      </c>
      <c r="Y803">
        <v>25.11</v>
      </c>
      <c r="Z803">
        <v>11000</v>
      </c>
      <c r="AA803">
        <v>0</v>
      </c>
      <c r="AB803">
        <v>44459.127559687498</v>
      </c>
      <c r="AC803" t="s">
        <v>325</v>
      </c>
      <c r="AD803">
        <v>5</v>
      </c>
    </row>
    <row r="804" spans="1:30" x14ac:dyDescent="0.25">
      <c r="A804" t="s">
        <v>1051</v>
      </c>
      <c r="B804" t="s">
        <v>1106</v>
      </c>
      <c r="C804" t="s">
        <v>2015</v>
      </c>
      <c r="D804" t="s">
        <v>2072</v>
      </c>
      <c r="E804" t="s">
        <v>1060</v>
      </c>
      <c r="F804" t="s">
        <v>1061</v>
      </c>
      <c r="G804">
        <v>6102194</v>
      </c>
      <c r="H804">
        <v>202109</v>
      </c>
      <c r="I804">
        <v>44462</v>
      </c>
      <c r="J804">
        <v>124932</v>
      </c>
      <c r="K804" t="s">
        <v>1056</v>
      </c>
      <c r="L804" t="s">
        <v>369</v>
      </c>
      <c r="M804" t="s">
        <v>2044</v>
      </c>
      <c r="O804" t="s">
        <v>1459</v>
      </c>
      <c r="P804" t="s">
        <v>1460</v>
      </c>
      <c r="Q804" t="s">
        <v>357</v>
      </c>
      <c r="R804">
        <v>2069084</v>
      </c>
      <c r="S804" t="s">
        <v>355</v>
      </c>
      <c r="U804" t="s">
        <v>2226</v>
      </c>
      <c r="V804" t="s">
        <v>356</v>
      </c>
      <c r="W804">
        <v>27500</v>
      </c>
      <c r="X804">
        <v>7.17</v>
      </c>
      <c r="Y804">
        <v>62.36</v>
      </c>
      <c r="Z804">
        <v>27500</v>
      </c>
      <c r="AA804">
        <v>0</v>
      </c>
      <c r="AB804">
        <v>44474.213166469905</v>
      </c>
      <c r="AC804" t="s">
        <v>323</v>
      </c>
      <c r="AD804">
        <v>5</v>
      </c>
    </row>
    <row r="805" spans="1:30" x14ac:dyDescent="0.25">
      <c r="A805" t="s">
        <v>1051</v>
      </c>
      <c r="B805" t="s">
        <v>1106</v>
      </c>
      <c r="C805" t="s">
        <v>2015</v>
      </c>
      <c r="D805" t="s">
        <v>2072</v>
      </c>
      <c r="E805" t="s">
        <v>1060</v>
      </c>
      <c r="F805" t="s">
        <v>1061</v>
      </c>
      <c r="G805">
        <v>6102194</v>
      </c>
      <c r="H805">
        <v>202109</v>
      </c>
      <c r="I805">
        <v>44462</v>
      </c>
      <c r="J805">
        <v>124932</v>
      </c>
      <c r="K805" t="s">
        <v>1056</v>
      </c>
      <c r="L805" t="s">
        <v>369</v>
      </c>
      <c r="M805" t="s">
        <v>2044</v>
      </c>
      <c r="O805" t="s">
        <v>1361</v>
      </c>
      <c r="P805" t="s">
        <v>1362</v>
      </c>
      <c r="Q805" t="s">
        <v>357</v>
      </c>
      <c r="R805">
        <v>2069084</v>
      </c>
      <c r="S805" t="s">
        <v>355</v>
      </c>
      <c r="U805" t="s">
        <v>2227</v>
      </c>
      <c r="V805" t="s">
        <v>356</v>
      </c>
      <c r="W805">
        <v>31500</v>
      </c>
      <c r="X805">
        <v>8.2100000000000009</v>
      </c>
      <c r="Y805">
        <v>71.430000000000007</v>
      </c>
      <c r="Z805">
        <v>31500</v>
      </c>
      <c r="AA805">
        <v>0</v>
      </c>
      <c r="AB805">
        <v>44474.213166469905</v>
      </c>
      <c r="AC805" t="s">
        <v>323</v>
      </c>
      <c r="AD805">
        <v>5</v>
      </c>
    </row>
    <row r="806" spans="1:30" x14ac:dyDescent="0.25">
      <c r="A806" t="s">
        <v>1051</v>
      </c>
      <c r="B806" t="s">
        <v>1106</v>
      </c>
      <c r="C806" t="s">
        <v>2015</v>
      </c>
      <c r="D806" t="s">
        <v>2072</v>
      </c>
      <c r="E806" t="s">
        <v>1060</v>
      </c>
      <c r="F806" t="s">
        <v>1061</v>
      </c>
      <c r="G806">
        <v>6102194</v>
      </c>
      <c r="H806">
        <v>202109</v>
      </c>
      <c r="I806">
        <v>44462</v>
      </c>
      <c r="J806">
        <v>124932</v>
      </c>
      <c r="K806" t="s">
        <v>1056</v>
      </c>
      <c r="L806" t="s">
        <v>369</v>
      </c>
      <c r="M806" t="s">
        <v>2044</v>
      </c>
      <c r="O806" t="s">
        <v>2228</v>
      </c>
      <c r="P806" t="s">
        <v>2229</v>
      </c>
      <c r="Q806" t="s">
        <v>357</v>
      </c>
      <c r="R806">
        <v>2069084</v>
      </c>
      <c r="S806" t="s">
        <v>355</v>
      </c>
      <c r="U806" t="s">
        <v>2230</v>
      </c>
      <c r="V806" t="s">
        <v>356</v>
      </c>
      <c r="W806">
        <v>25500</v>
      </c>
      <c r="X806">
        <v>6.65</v>
      </c>
      <c r="Y806">
        <v>57.82</v>
      </c>
      <c r="Z806">
        <v>25500</v>
      </c>
      <c r="AA806">
        <v>0</v>
      </c>
      <c r="AB806">
        <v>44474.213166469905</v>
      </c>
      <c r="AC806" t="s">
        <v>323</v>
      </c>
      <c r="AD806">
        <v>5</v>
      </c>
    </row>
    <row r="807" spans="1:30" x14ac:dyDescent="0.25">
      <c r="A807" t="s">
        <v>1051</v>
      </c>
      <c r="B807" t="s">
        <v>1106</v>
      </c>
      <c r="C807" t="s">
        <v>2015</v>
      </c>
      <c r="D807" t="s">
        <v>2072</v>
      </c>
      <c r="E807" t="s">
        <v>1060</v>
      </c>
      <c r="F807" t="s">
        <v>1061</v>
      </c>
      <c r="G807">
        <v>6102117</v>
      </c>
      <c r="H807">
        <v>202109</v>
      </c>
      <c r="I807">
        <v>44469</v>
      </c>
      <c r="J807">
        <v>124932</v>
      </c>
      <c r="K807" t="s">
        <v>1056</v>
      </c>
      <c r="L807" t="s">
        <v>364</v>
      </c>
      <c r="M807" t="s">
        <v>1850</v>
      </c>
      <c r="O807" t="s">
        <v>2231</v>
      </c>
      <c r="P807" t="s">
        <v>2232</v>
      </c>
      <c r="Q807" t="s">
        <v>357</v>
      </c>
      <c r="R807">
        <v>2069084</v>
      </c>
      <c r="S807" t="s">
        <v>355</v>
      </c>
      <c r="U807" t="s">
        <v>2233</v>
      </c>
      <c r="V807" t="s">
        <v>356</v>
      </c>
      <c r="W807">
        <v>37100</v>
      </c>
      <c r="X807">
        <v>9.67</v>
      </c>
      <c r="Y807">
        <v>84.13</v>
      </c>
      <c r="Z807">
        <v>37100</v>
      </c>
      <c r="AA807">
        <v>0</v>
      </c>
      <c r="AB807">
        <v>44472.253244675929</v>
      </c>
      <c r="AC807" t="s">
        <v>323</v>
      </c>
      <c r="AD807">
        <v>5</v>
      </c>
    </row>
    <row r="808" spans="1:30" x14ac:dyDescent="0.25">
      <c r="A808" t="s">
        <v>1051</v>
      </c>
      <c r="B808" t="s">
        <v>1106</v>
      </c>
      <c r="C808" t="s">
        <v>2015</v>
      </c>
      <c r="D808" t="s">
        <v>2072</v>
      </c>
      <c r="E808" t="s">
        <v>1060</v>
      </c>
      <c r="F808" t="s">
        <v>1061</v>
      </c>
      <c r="G808">
        <v>6102117</v>
      </c>
      <c r="H808">
        <v>202109</v>
      </c>
      <c r="I808">
        <v>44469</v>
      </c>
      <c r="J808">
        <v>124932</v>
      </c>
      <c r="K808" t="s">
        <v>1056</v>
      </c>
      <c r="L808" t="s">
        <v>364</v>
      </c>
      <c r="M808" t="s">
        <v>1850</v>
      </c>
      <c r="O808" t="s">
        <v>2060</v>
      </c>
      <c r="P808" t="s">
        <v>2061</v>
      </c>
      <c r="Q808" t="s">
        <v>357</v>
      </c>
      <c r="R808">
        <v>2069084</v>
      </c>
      <c r="S808" t="s">
        <v>355</v>
      </c>
      <c r="U808" t="s">
        <v>2234</v>
      </c>
      <c r="V808" t="s">
        <v>356</v>
      </c>
      <c r="W808">
        <v>36500</v>
      </c>
      <c r="X808">
        <v>9.52</v>
      </c>
      <c r="Y808">
        <v>82.77</v>
      </c>
      <c r="Z808">
        <v>36500</v>
      </c>
      <c r="AA808">
        <v>0</v>
      </c>
      <c r="AB808">
        <v>44472.253244675929</v>
      </c>
      <c r="AC808" t="s">
        <v>323</v>
      </c>
      <c r="AD808">
        <v>5</v>
      </c>
    </row>
    <row r="809" spans="1:30" x14ac:dyDescent="0.25">
      <c r="A809" t="s">
        <v>1051</v>
      </c>
      <c r="B809" t="s">
        <v>1106</v>
      </c>
      <c r="C809" t="s">
        <v>2015</v>
      </c>
      <c r="D809" t="s">
        <v>2072</v>
      </c>
      <c r="E809" t="s">
        <v>1060</v>
      </c>
      <c r="F809" t="s">
        <v>1061</v>
      </c>
      <c r="G809">
        <v>6102093</v>
      </c>
      <c r="H809">
        <v>202109</v>
      </c>
      <c r="I809">
        <v>44468</v>
      </c>
      <c r="J809">
        <v>124932</v>
      </c>
      <c r="K809" t="s">
        <v>1056</v>
      </c>
      <c r="L809" t="s">
        <v>359</v>
      </c>
      <c r="M809" t="s">
        <v>1834</v>
      </c>
      <c r="O809" t="s">
        <v>2235</v>
      </c>
      <c r="P809" t="s">
        <v>2236</v>
      </c>
      <c r="Q809" t="s">
        <v>357</v>
      </c>
      <c r="R809">
        <v>2069084</v>
      </c>
      <c r="S809" t="s">
        <v>355</v>
      </c>
      <c r="U809" t="s">
        <v>2237</v>
      </c>
      <c r="V809" t="s">
        <v>356</v>
      </c>
      <c r="W809">
        <v>66000</v>
      </c>
      <c r="X809">
        <v>17.21</v>
      </c>
      <c r="Y809">
        <v>149.66</v>
      </c>
      <c r="Z809">
        <v>66000</v>
      </c>
      <c r="AA809">
        <v>0</v>
      </c>
      <c r="AB809">
        <v>44471.757047453706</v>
      </c>
      <c r="AC809" t="s">
        <v>323</v>
      </c>
      <c r="AD809">
        <v>5</v>
      </c>
    </row>
    <row r="810" spans="1:30" x14ac:dyDescent="0.25">
      <c r="A810" t="s">
        <v>1051</v>
      </c>
      <c r="B810" t="s">
        <v>1106</v>
      </c>
      <c r="C810" t="s">
        <v>2015</v>
      </c>
      <c r="D810" t="s">
        <v>2238</v>
      </c>
      <c r="E810" t="s">
        <v>1060</v>
      </c>
      <c r="F810" t="s">
        <v>1061</v>
      </c>
      <c r="G810">
        <v>6100620</v>
      </c>
      <c r="H810">
        <v>202104</v>
      </c>
      <c r="I810">
        <v>44292</v>
      </c>
      <c r="J810">
        <v>122536</v>
      </c>
      <c r="K810" t="s">
        <v>1056</v>
      </c>
      <c r="L810" t="s">
        <v>367</v>
      </c>
      <c r="M810" t="s">
        <v>1889</v>
      </c>
      <c r="O810" t="s">
        <v>2020</v>
      </c>
      <c r="P810" t="s">
        <v>2021</v>
      </c>
      <c r="Q810" t="s">
        <v>357</v>
      </c>
      <c r="R810">
        <v>2069084</v>
      </c>
      <c r="S810" t="s">
        <v>355</v>
      </c>
      <c r="U810" t="s">
        <v>2022</v>
      </c>
      <c r="V810" t="s">
        <v>356</v>
      </c>
      <c r="W810">
        <v>393000</v>
      </c>
      <c r="X810">
        <v>109.65</v>
      </c>
      <c r="Y810">
        <v>943.2</v>
      </c>
      <c r="Z810">
        <v>393000</v>
      </c>
      <c r="AA810">
        <v>222</v>
      </c>
      <c r="AB810">
        <v>44306.72663271991</v>
      </c>
      <c r="AC810" t="s">
        <v>323</v>
      </c>
      <c r="AD810">
        <v>5</v>
      </c>
    </row>
    <row r="811" spans="1:30" x14ac:dyDescent="0.25">
      <c r="A811" t="s">
        <v>1051</v>
      </c>
      <c r="B811" t="s">
        <v>1106</v>
      </c>
      <c r="C811" t="s">
        <v>2015</v>
      </c>
      <c r="D811" t="s">
        <v>2238</v>
      </c>
      <c r="E811" t="s">
        <v>1060</v>
      </c>
      <c r="F811" t="s">
        <v>1061</v>
      </c>
      <c r="G811">
        <v>6100620</v>
      </c>
      <c r="H811">
        <v>202104</v>
      </c>
      <c r="I811">
        <v>44292</v>
      </c>
      <c r="J811">
        <v>122536</v>
      </c>
      <c r="K811" t="s">
        <v>1056</v>
      </c>
      <c r="L811" t="s">
        <v>367</v>
      </c>
      <c r="M811" t="s">
        <v>1889</v>
      </c>
      <c r="O811" t="s">
        <v>2020</v>
      </c>
      <c r="P811" t="s">
        <v>2021</v>
      </c>
      <c r="Q811" t="s">
        <v>357</v>
      </c>
      <c r="R811">
        <v>2069084</v>
      </c>
      <c r="S811" t="s">
        <v>355</v>
      </c>
      <c r="U811" t="s">
        <v>2022</v>
      </c>
      <c r="V811" t="s">
        <v>356</v>
      </c>
      <c r="W811">
        <v>33800</v>
      </c>
      <c r="X811">
        <v>9.43</v>
      </c>
      <c r="Y811">
        <v>81.12</v>
      </c>
      <c r="Z811">
        <v>33800</v>
      </c>
      <c r="AA811">
        <v>0</v>
      </c>
      <c r="AB811">
        <v>44306.72663271991</v>
      </c>
      <c r="AC811" t="s">
        <v>323</v>
      </c>
      <c r="AD811">
        <v>5</v>
      </c>
    </row>
    <row r="812" spans="1:30" x14ac:dyDescent="0.25">
      <c r="A812" t="s">
        <v>1051</v>
      </c>
      <c r="B812" t="s">
        <v>1106</v>
      </c>
      <c r="C812" t="s">
        <v>2015</v>
      </c>
      <c r="D812" t="s">
        <v>2238</v>
      </c>
      <c r="E812" t="s">
        <v>1060</v>
      </c>
      <c r="F812" t="s">
        <v>1061</v>
      </c>
      <c r="G812">
        <v>6100620</v>
      </c>
      <c r="H812">
        <v>202104</v>
      </c>
      <c r="I812">
        <v>44292</v>
      </c>
      <c r="J812">
        <v>122536</v>
      </c>
      <c r="K812" t="s">
        <v>1056</v>
      </c>
      <c r="L812" t="s">
        <v>367</v>
      </c>
      <c r="M812" t="s">
        <v>1889</v>
      </c>
      <c r="O812" t="s">
        <v>1177</v>
      </c>
      <c r="P812" t="s">
        <v>1178</v>
      </c>
      <c r="Q812" t="s">
        <v>357</v>
      </c>
      <c r="R812">
        <v>2069084</v>
      </c>
      <c r="S812" t="s">
        <v>355</v>
      </c>
      <c r="U812" t="s">
        <v>2022</v>
      </c>
      <c r="V812" t="s">
        <v>356</v>
      </c>
      <c r="W812">
        <v>39242</v>
      </c>
      <c r="X812">
        <v>10.95</v>
      </c>
      <c r="Y812">
        <v>94.18</v>
      </c>
      <c r="Z812">
        <v>39242</v>
      </c>
      <c r="AA812">
        <v>222</v>
      </c>
      <c r="AB812">
        <v>44306.72663271991</v>
      </c>
      <c r="AC812" t="s">
        <v>323</v>
      </c>
      <c r="AD812">
        <v>5</v>
      </c>
    </row>
    <row r="813" spans="1:30" x14ac:dyDescent="0.25">
      <c r="A813" t="s">
        <v>1051</v>
      </c>
      <c r="B813" t="s">
        <v>1106</v>
      </c>
      <c r="C813" t="s">
        <v>2015</v>
      </c>
      <c r="D813" t="s">
        <v>2238</v>
      </c>
      <c r="E813" t="s">
        <v>1060</v>
      </c>
      <c r="F813" t="s">
        <v>1061</v>
      </c>
      <c r="G813">
        <v>6101438</v>
      </c>
      <c r="H813">
        <v>202107</v>
      </c>
      <c r="I813">
        <v>44399</v>
      </c>
      <c r="J813">
        <v>125062</v>
      </c>
      <c r="K813" t="s">
        <v>1056</v>
      </c>
      <c r="L813">
        <v>119010</v>
      </c>
      <c r="M813" t="s">
        <v>1823</v>
      </c>
      <c r="O813" t="s">
        <v>1177</v>
      </c>
      <c r="P813" t="s">
        <v>1178</v>
      </c>
      <c r="Q813" t="s">
        <v>354</v>
      </c>
      <c r="R813">
        <v>2265776</v>
      </c>
      <c r="S813" t="s">
        <v>355</v>
      </c>
      <c r="U813" t="s">
        <v>2023</v>
      </c>
      <c r="V813" t="s">
        <v>356</v>
      </c>
      <c r="W813">
        <v>39242</v>
      </c>
      <c r="X813">
        <v>10.32</v>
      </c>
      <c r="Y813">
        <v>88.84</v>
      </c>
      <c r="Z813">
        <v>39242</v>
      </c>
      <c r="AA813">
        <v>222</v>
      </c>
      <c r="AB813">
        <v>44412.686229432868</v>
      </c>
      <c r="AC813" t="s">
        <v>325</v>
      </c>
      <c r="AD813">
        <v>5</v>
      </c>
    </row>
    <row r="814" spans="1:30" x14ac:dyDescent="0.25">
      <c r="A814" t="s">
        <v>1051</v>
      </c>
      <c r="B814" t="s">
        <v>1106</v>
      </c>
      <c r="C814" t="s">
        <v>2015</v>
      </c>
      <c r="D814" t="s">
        <v>2238</v>
      </c>
      <c r="E814" t="s">
        <v>1060</v>
      </c>
      <c r="F814" t="s">
        <v>1061</v>
      </c>
      <c r="G814">
        <v>6101438</v>
      </c>
      <c r="H814">
        <v>202107</v>
      </c>
      <c r="I814">
        <v>44399</v>
      </c>
      <c r="J814">
        <v>125062</v>
      </c>
      <c r="K814" t="s">
        <v>1056</v>
      </c>
      <c r="L814">
        <v>119010</v>
      </c>
      <c r="M814" t="s">
        <v>1823</v>
      </c>
      <c r="O814" t="s">
        <v>1174</v>
      </c>
      <c r="P814" t="s">
        <v>1175</v>
      </c>
      <c r="Q814" t="s">
        <v>354</v>
      </c>
      <c r="R814">
        <v>2265776</v>
      </c>
      <c r="S814" t="s">
        <v>355</v>
      </c>
      <c r="U814" t="s">
        <v>2023</v>
      </c>
      <c r="V814" t="s">
        <v>356</v>
      </c>
      <c r="W814">
        <v>433700</v>
      </c>
      <c r="X814">
        <v>114.06</v>
      </c>
      <c r="Y814">
        <v>981.9</v>
      </c>
      <c r="Z814">
        <v>433700</v>
      </c>
      <c r="AA814">
        <v>222</v>
      </c>
      <c r="AB814">
        <v>44412.686229247687</v>
      </c>
      <c r="AC814" t="s">
        <v>325</v>
      </c>
      <c r="AD814">
        <v>5</v>
      </c>
    </row>
    <row r="815" spans="1:30" x14ac:dyDescent="0.25">
      <c r="A815" t="s">
        <v>1051</v>
      </c>
      <c r="B815" t="s">
        <v>1106</v>
      </c>
      <c r="C815" t="s">
        <v>2015</v>
      </c>
      <c r="D815" t="s">
        <v>2238</v>
      </c>
      <c r="E815" t="s">
        <v>1060</v>
      </c>
      <c r="F815" t="s">
        <v>1061</v>
      </c>
      <c r="G815">
        <v>6101438</v>
      </c>
      <c r="H815">
        <v>202107</v>
      </c>
      <c r="I815">
        <v>44399</v>
      </c>
      <c r="J815">
        <v>125062</v>
      </c>
      <c r="K815" t="s">
        <v>1056</v>
      </c>
      <c r="L815">
        <v>119010</v>
      </c>
      <c r="M815" t="s">
        <v>1823</v>
      </c>
      <c r="O815" t="s">
        <v>1174</v>
      </c>
      <c r="P815" t="s">
        <v>1175</v>
      </c>
      <c r="Q815" t="s">
        <v>354</v>
      </c>
      <c r="R815">
        <v>2265776</v>
      </c>
      <c r="S815" t="s">
        <v>355</v>
      </c>
      <c r="U815" t="s">
        <v>2023</v>
      </c>
      <c r="V815" t="s">
        <v>356</v>
      </c>
      <c r="W815">
        <v>33500</v>
      </c>
      <c r="X815">
        <v>8.81</v>
      </c>
      <c r="Y815">
        <v>75.84</v>
      </c>
      <c r="Z815">
        <v>33500</v>
      </c>
      <c r="AA815">
        <v>0</v>
      </c>
      <c r="AB815">
        <v>44412.686229432868</v>
      </c>
      <c r="AC815" t="s">
        <v>325</v>
      </c>
      <c r="AD815">
        <v>5</v>
      </c>
    </row>
    <row r="816" spans="1:30" x14ac:dyDescent="0.25">
      <c r="A816" t="s">
        <v>1051</v>
      </c>
      <c r="B816" t="s">
        <v>1106</v>
      </c>
      <c r="C816" t="s">
        <v>2015</v>
      </c>
      <c r="D816" t="s">
        <v>2238</v>
      </c>
      <c r="E816" t="s">
        <v>1060</v>
      </c>
      <c r="F816" t="s">
        <v>1061</v>
      </c>
      <c r="G816">
        <v>6101442</v>
      </c>
      <c r="H816">
        <v>202107</v>
      </c>
      <c r="I816">
        <v>44399</v>
      </c>
      <c r="J816">
        <v>125062</v>
      </c>
      <c r="K816" t="s">
        <v>1056</v>
      </c>
      <c r="L816" t="s">
        <v>360</v>
      </c>
      <c r="M816" t="s">
        <v>1838</v>
      </c>
      <c r="O816" t="s">
        <v>1174</v>
      </c>
      <c r="P816" t="s">
        <v>1175</v>
      </c>
      <c r="Q816" t="s">
        <v>354</v>
      </c>
      <c r="R816">
        <v>2265776</v>
      </c>
      <c r="S816" t="s">
        <v>355</v>
      </c>
      <c r="U816" t="s">
        <v>2024</v>
      </c>
      <c r="V816" t="s">
        <v>356</v>
      </c>
      <c r="W816">
        <v>582800</v>
      </c>
      <c r="X816">
        <v>153.28</v>
      </c>
      <c r="Y816">
        <v>1319.46</v>
      </c>
      <c r="Z816">
        <v>582800</v>
      </c>
      <c r="AA816">
        <v>222</v>
      </c>
      <c r="AB816">
        <v>44412.693331099537</v>
      </c>
      <c r="AC816" t="s">
        <v>325</v>
      </c>
      <c r="AD816">
        <v>5</v>
      </c>
    </row>
    <row r="817" spans="1:30" x14ac:dyDescent="0.25">
      <c r="A817" t="s">
        <v>1051</v>
      </c>
      <c r="B817" t="s">
        <v>1106</v>
      </c>
      <c r="C817" t="s">
        <v>2015</v>
      </c>
      <c r="D817" t="s">
        <v>2238</v>
      </c>
      <c r="E817" t="s">
        <v>1060</v>
      </c>
      <c r="F817" t="s">
        <v>1061</v>
      </c>
      <c r="G817">
        <v>6101442</v>
      </c>
      <c r="H817">
        <v>202107</v>
      </c>
      <c r="I817">
        <v>44399</v>
      </c>
      <c r="J817">
        <v>125062</v>
      </c>
      <c r="K817" t="s">
        <v>1056</v>
      </c>
      <c r="L817" t="s">
        <v>360</v>
      </c>
      <c r="M817" t="s">
        <v>1838</v>
      </c>
      <c r="O817" t="s">
        <v>1174</v>
      </c>
      <c r="P817" t="s">
        <v>1175</v>
      </c>
      <c r="Q817" t="s">
        <v>354</v>
      </c>
      <c r="R817">
        <v>2265776</v>
      </c>
      <c r="S817" t="s">
        <v>355</v>
      </c>
      <c r="U817" t="s">
        <v>2024</v>
      </c>
      <c r="V817" t="s">
        <v>356</v>
      </c>
      <c r="W817">
        <v>33500</v>
      </c>
      <c r="X817">
        <v>8.81</v>
      </c>
      <c r="Y817">
        <v>75.84</v>
      </c>
      <c r="Z817">
        <v>33500</v>
      </c>
      <c r="AA817">
        <v>0</v>
      </c>
      <c r="AB817">
        <v>44412.693331099537</v>
      </c>
      <c r="AC817" t="s">
        <v>325</v>
      </c>
      <c r="AD817">
        <v>5</v>
      </c>
    </row>
    <row r="818" spans="1:30" x14ac:dyDescent="0.25">
      <c r="A818" t="s">
        <v>1051</v>
      </c>
      <c r="B818" t="s">
        <v>1106</v>
      </c>
      <c r="C818" t="s">
        <v>2015</v>
      </c>
      <c r="D818" t="s">
        <v>2238</v>
      </c>
      <c r="E818" t="s">
        <v>1060</v>
      </c>
      <c r="F818" t="s">
        <v>1061</v>
      </c>
      <c r="G818">
        <v>6101442</v>
      </c>
      <c r="H818">
        <v>202107</v>
      </c>
      <c r="I818">
        <v>44399</v>
      </c>
      <c r="J818">
        <v>125062</v>
      </c>
      <c r="K818" t="s">
        <v>1056</v>
      </c>
      <c r="L818" t="s">
        <v>360</v>
      </c>
      <c r="M818" t="s">
        <v>1838</v>
      </c>
      <c r="O818" t="s">
        <v>1177</v>
      </c>
      <c r="P818" t="s">
        <v>1178</v>
      </c>
      <c r="Q818" t="s">
        <v>354</v>
      </c>
      <c r="R818">
        <v>2265776</v>
      </c>
      <c r="S818" t="s">
        <v>355</v>
      </c>
      <c r="U818" t="s">
        <v>2024</v>
      </c>
      <c r="V818" t="s">
        <v>356</v>
      </c>
      <c r="W818">
        <v>39242</v>
      </c>
      <c r="X818">
        <v>10.32</v>
      </c>
      <c r="Y818">
        <v>88.84</v>
      </c>
      <c r="Z818">
        <v>39242</v>
      </c>
      <c r="AA818">
        <v>222</v>
      </c>
      <c r="AB818">
        <v>44412.693331099537</v>
      </c>
      <c r="AC818" t="s">
        <v>325</v>
      </c>
      <c r="AD818">
        <v>5</v>
      </c>
    </row>
    <row r="819" spans="1:30" x14ac:dyDescent="0.25">
      <c r="A819" t="s">
        <v>1051</v>
      </c>
      <c r="B819" t="s">
        <v>1106</v>
      </c>
      <c r="C819" t="s">
        <v>2015</v>
      </c>
      <c r="D819" t="s">
        <v>2238</v>
      </c>
      <c r="E819" t="s">
        <v>1060</v>
      </c>
      <c r="F819" t="s">
        <v>1061</v>
      </c>
      <c r="G819">
        <v>6101784</v>
      </c>
      <c r="H819">
        <v>202108</v>
      </c>
      <c r="I819">
        <v>44418</v>
      </c>
      <c r="J819">
        <v>125062</v>
      </c>
      <c r="K819" t="s">
        <v>1056</v>
      </c>
      <c r="L819" t="s">
        <v>472</v>
      </c>
      <c r="M819" t="s">
        <v>1901</v>
      </c>
      <c r="O819" t="s">
        <v>1174</v>
      </c>
      <c r="P819" t="s">
        <v>1175</v>
      </c>
      <c r="Q819" t="s">
        <v>357</v>
      </c>
      <c r="R819">
        <v>2069084</v>
      </c>
      <c r="S819" t="s">
        <v>355</v>
      </c>
      <c r="U819" t="s">
        <v>2025</v>
      </c>
      <c r="V819" t="s">
        <v>356</v>
      </c>
      <c r="W819">
        <v>627000</v>
      </c>
      <c r="X819">
        <v>160.31</v>
      </c>
      <c r="Y819">
        <v>1384.8</v>
      </c>
      <c r="Z819">
        <v>627000</v>
      </c>
      <c r="AA819">
        <v>222</v>
      </c>
      <c r="AB819">
        <v>44445.891074502317</v>
      </c>
      <c r="AC819" t="s">
        <v>323</v>
      </c>
      <c r="AD819">
        <v>5</v>
      </c>
    </row>
    <row r="820" spans="1:30" x14ac:dyDescent="0.25">
      <c r="A820" t="s">
        <v>1051</v>
      </c>
      <c r="B820" t="s">
        <v>1106</v>
      </c>
      <c r="C820" t="s">
        <v>2015</v>
      </c>
      <c r="D820" t="s">
        <v>2238</v>
      </c>
      <c r="E820" t="s">
        <v>1060</v>
      </c>
      <c r="F820" t="s">
        <v>1061</v>
      </c>
      <c r="G820">
        <v>6101784</v>
      </c>
      <c r="H820">
        <v>202108</v>
      </c>
      <c r="I820">
        <v>44418</v>
      </c>
      <c r="J820">
        <v>125062</v>
      </c>
      <c r="K820" t="s">
        <v>1056</v>
      </c>
      <c r="L820" t="s">
        <v>472</v>
      </c>
      <c r="M820" t="s">
        <v>1901</v>
      </c>
      <c r="O820" t="s">
        <v>1174</v>
      </c>
      <c r="P820" t="s">
        <v>1175</v>
      </c>
      <c r="Q820" t="s">
        <v>357</v>
      </c>
      <c r="R820">
        <v>2069084</v>
      </c>
      <c r="S820" t="s">
        <v>355</v>
      </c>
      <c r="U820" t="s">
        <v>2025</v>
      </c>
      <c r="V820" t="s">
        <v>356</v>
      </c>
      <c r="W820">
        <v>33500</v>
      </c>
      <c r="X820">
        <v>8.56</v>
      </c>
      <c r="Y820">
        <v>73.989999999999995</v>
      </c>
      <c r="Z820">
        <v>33500</v>
      </c>
      <c r="AA820">
        <v>0</v>
      </c>
      <c r="AB820">
        <v>44445.891074652776</v>
      </c>
      <c r="AC820" t="s">
        <v>323</v>
      </c>
      <c r="AD820">
        <v>5</v>
      </c>
    </row>
    <row r="821" spans="1:30" x14ac:dyDescent="0.25">
      <c r="A821" t="s">
        <v>1051</v>
      </c>
      <c r="B821" t="s">
        <v>1106</v>
      </c>
      <c r="C821" t="s">
        <v>2015</v>
      </c>
      <c r="D821" t="s">
        <v>2238</v>
      </c>
      <c r="E821" t="s">
        <v>1060</v>
      </c>
      <c r="F821" t="s">
        <v>1061</v>
      </c>
      <c r="G821">
        <v>6101784</v>
      </c>
      <c r="H821">
        <v>202108</v>
      </c>
      <c r="I821">
        <v>44418</v>
      </c>
      <c r="J821">
        <v>125062</v>
      </c>
      <c r="K821" t="s">
        <v>1056</v>
      </c>
      <c r="L821" t="s">
        <v>472</v>
      </c>
      <c r="M821" t="s">
        <v>1901</v>
      </c>
      <c r="O821" t="s">
        <v>1177</v>
      </c>
      <c r="P821" t="s">
        <v>1178</v>
      </c>
      <c r="Q821" t="s">
        <v>357</v>
      </c>
      <c r="R821">
        <v>2069084</v>
      </c>
      <c r="S821" t="s">
        <v>355</v>
      </c>
      <c r="U821" t="s">
        <v>2025</v>
      </c>
      <c r="V821" t="s">
        <v>356</v>
      </c>
      <c r="W821">
        <v>39242</v>
      </c>
      <c r="X821">
        <v>10.029999999999999</v>
      </c>
      <c r="Y821">
        <v>86.67</v>
      </c>
      <c r="Z821">
        <v>39242</v>
      </c>
      <c r="AA821">
        <v>222</v>
      </c>
      <c r="AB821">
        <v>44445.89107484954</v>
      </c>
      <c r="AC821" t="s">
        <v>323</v>
      </c>
      <c r="AD821">
        <v>5</v>
      </c>
    </row>
    <row r="822" spans="1:30" x14ac:dyDescent="0.25">
      <c r="A822" t="s">
        <v>1051</v>
      </c>
      <c r="B822" t="s">
        <v>1106</v>
      </c>
      <c r="C822" t="s">
        <v>2015</v>
      </c>
      <c r="D822" t="s">
        <v>2238</v>
      </c>
      <c r="E822" t="s">
        <v>1060</v>
      </c>
      <c r="F822" t="s">
        <v>1061</v>
      </c>
      <c r="G822">
        <v>6101809</v>
      </c>
      <c r="H822">
        <v>202108</v>
      </c>
      <c r="I822">
        <v>44428</v>
      </c>
      <c r="J822">
        <v>125062</v>
      </c>
      <c r="K822" t="s">
        <v>1056</v>
      </c>
      <c r="L822" t="s">
        <v>364</v>
      </c>
      <c r="M822" t="s">
        <v>1850</v>
      </c>
      <c r="O822" t="s">
        <v>1174</v>
      </c>
      <c r="P822" t="s">
        <v>1175</v>
      </c>
      <c r="Q822" t="s">
        <v>357</v>
      </c>
      <c r="R822">
        <v>2069084</v>
      </c>
      <c r="S822" t="s">
        <v>355</v>
      </c>
      <c r="U822" t="s">
        <v>2026</v>
      </c>
      <c r="V822" t="s">
        <v>356</v>
      </c>
      <c r="W822">
        <v>427700</v>
      </c>
      <c r="X822">
        <v>110.77</v>
      </c>
      <c r="Y822">
        <v>960.65</v>
      </c>
      <c r="Z822">
        <v>427700</v>
      </c>
      <c r="AA822">
        <v>222</v>
      </c>
      <c r="AB822">
        <v>44446.549343090279</v>
      </c>
      <c r="AC822" t="s">
        <v>323</v>
      </c>
      <c r="AD822">
        <v>5</v>
      </c>
    </row>
    <row r="823" spans="1:30" x14ac:dyDescent="0.25">
      <c r="A823" t="s">
        <v>1051</v>
      </c>
      <c r="B823" t="s">
        <v>1106</v>
      </c>
      <c r="C823" t="s">
        <v>2015</v>
      </c>
      <c r="D823" t="s">
        <v>2238</v>
      </c>
      <c r="E823" t="s">
        <v>1060</v>
      </c>
      <c r="F823" t="s">
        <v>1061</v>
      </c>
      <c r="G823">
        <v>6101809</v>
      </c>
      <c r="H823">
        <v>202108</v>
      </c>
      <c r="I823">
        <v>44428</v>
      </c>
      <c r="J823">
        <v>125062</v>
      </c>
      <c r="K823" t="s">
        <v>1056</v>
      </c>
      <c r="L823" t="s">
        <v>364</v>
      </c>
      <c r="M823" t="s">
        <v>1850</v>
      </c>
      <c r="O823" t="s">
        <v>1174</v>
      </c>
      <c r="P823" t="s">
        <v>1175</v>
      </c>
      <c r="Q823" t="s">
        <v>357</v>
      </c>
      <c r="R823">
        <v>2069084</v>
      </c>
      <c r="S823" t="s">
        <v>355</v>
      </c>
      <c r="U823" t="s">
        <v>2026</v>
      </c>
      <c r="V823" t="s">
        <v>356</v>
      </c>
      <c r="W823">
        <v>33500</v>
      </c>
      <c r="X823">
        <v>8.68</v>
      </c>
      <c r="Y823">
        <v>75.239999999999995</v>
      </c>
      <c r="Z823">
        <v>33500</v>
      </c>
      <c r="AA823">
        <v>0</v>
      </c>
      <c r="AB823">
        <v>44446.549343090279</v>
      </c>
      <c r="AC823" t="s">
        <v>323</v>
      </c>
      <c r="AD823">
        <v>5</v>
      </c>
    </row>
    <row r="824" spans="1:30" x14ac:dyDescent="0.25">
      <c r="A824" t="s">
        <v>1051</v>
      </c>
      <c r="B824" t="s">
        <v>1106</v>
      </c>
      <c r="C824" t="s">
        <v>2015</v>
      </c>
      <c r="D824" t="s">
        <v>2238</v>
      </c>
      <c r="E824" t="s">
        <v>1060</v>
      </c>
      <c r="F824" t="s">
        <v>1061</v>
      </c>
      <c r="G824">
        <v>6101809</v>
      </c>
      <c r="H824">
        <v>202108</v>
      </c>
      <c r="I824">
        <v>44428</v>
      </c>
      <c r="J824">
        <v>125062</v>
      </c>
      <c r="K824" t="s">
        <v>1056</v>
      </c>
      <c r="L824" t="s">
        <v>364</v>
      </c>
      <c r="M824" t="s">
        <v>1850</v>
      </c>
      <c r="O824" t="s">
        <v>1177</v>
      </c>
      <c r="P824" t="s">
        <v>1178</v>
      </c>
      <c r="Q824" t="s">
        <v>357</v>
      </c>
      <c r="R824">
        <v>2069084</v>
      </c>
      <c r="S824" t="s">
        <v>355</v>
      </c>
      <c r="U824" t="s">
        <v>2026</v>
      </c>
      <c r="V824" t="s">
        <v>356</v>
      </c>
      <c r="W824">
        <v>39242</v>
      </c>
      <c r="X824">
        <v>10.16</v>
      </c>
      <c r="Y824">
        <v>88.14</v>
      </c>
      <c r="Z824">
        <v>39242</v>
      </c>
      <c r="AA824">
        <v>222</v>
      </c>
      <c r="AB824">
        <v>44446.549343090279</v>
      </c>
      <c r="AC824" t="s">
        <v>323</v>
      </c>
      <c r="AD824">
        <v>5</v>
      </c>
    </row>
    <row r="825" spans="1:30" x14ac:dyDescent="0.25">
      <c r="A825" t="s">
        <v>1051</v>
      </c>
      <c r="B825" t="s">
        <v>1106</v>
      </c>
      <c r="C825" t="s">
        <v>2015</v>
      </c>
      <c r="D825" t="s">
        <v>2238</v>
      </c>
      <c r="E825" t="s">
        <v>1060</v>
      </c>
      <c r="F825" t="s">
        <v>1061</v>
      </c>
      <c r="G825">
        <v>6102239</v>
      </c>
      <c r="H825">
        <v>202109</v>
      </c>
      <c r="I825">
        <v>44467</v>
      </c>
      <c r="J825">
        <v>125062</v>
      </c>
      <c r="K825" t="s">
        <v>1056</v>
      </c>
      <c r="L825">
        <v>124475</v>
      </c>
      <c r="M825" t="s">
        <v>1864</v>
      </c>
      <c r="O825" t="s">
        <v>1174</v>
      </c>
      <c r="P825" t="s">
        <v>1175</v>
      </c>
      <c r="Q825" t="s">
        <v>354</v>
      </c>
      <c r="R825">
        <v>2265776</v>
      </c>
      <c r="S825" t="s">
        <v>355</v>
      </c>
      <c r="U825" t="s">
        <v>2027</v>
      </c>
      <c r="V825" t="s">
        <v>356</v>
      </c>
      <c r="W825">
        <v>355200</v>
      </c>
      <c r="X825">
        <v>92.63</v>
      </c>
      <c r="Y825">
        <v>805.43</v>
      </c>
      <c r="Z825">
        <v>355200</v>
      </c>
      <c r="AA825">
        <v>222</v>
      </c>
      <c r="AB825">
        <v>44474.985582407404</v>
      </c>
      <c r="AC825" t="s">
        <v>325</v>
      </c>
      <c r="AD825">
        <v>5</v>
      </c>
    </row>
    <row r="826" spans="1:30" x14ac:dyDescent="0.25">
      <c r="A826" t="s">
        <v>1051</v>
      </c>
      <c r="B826" t="s">
        <v>1106</v>
      </c>
      <c r="C826" t="s">
        <v>2015</v>
      </c>
      <c r="D826" t="s">
        <v>2238</v>
      </c>
      <c r="E826" t="s">
        <v>1060</v>
      </c>
      <c r="F826" t="s">
        <v>1061</v>
      </c>
      <c r="G826">
        <v>6102239</v>
      </c>
      <c r="H826">
        <v>202109</v>
      </c>
      <c r="I826">
        <v>44467</v>
      </c>
      <c r="J826">
        <v>125062</v>
      </c>
      <c r="K826" t="s">
        <v>1056</v>
      </c>
      <c r="L826">
        <v>124475</v>
      </c>
      <c r="M826" t="s">
        <v>1864</v>
      </c>
      <c r="O826" t="s">
        <v>1174</v>
      </c>
      <c r="P826" t="s">
        <v>1175</v>
      </c>
      <c r="Q826" t="s">
        <v>354</v>
      </c>
      <c r="R826">
        <v>2265776</v>
      </c>
      <c r="S826" t="s">
        <v>355</v>
      </c>
      <c r="U826" t="s">
        <v>2027</v>
      </c>
      <c r="V826" t="s">
        <v>356</v>
      </c>
      <c r="W826">
        <v>34000</v>
      </c>
      <c r="X826">
        <v>8.8699999999999992</v>
      </c>
      <c r="Y826">
        <v>77.099999999999994</v>
      </c>
      <c r="Z826">
        <v>34000</v>
      </c>
      <c r="AA826">
        <v>0</v>
      </c>
      <c r="AB826">
        <v>44474.985582407404</v>
      </c>
      <c r="AC826" t="s">
        <v>325</v>
      </c>
      <c r="AD826">
        <v>5</v>
      </c>
    </row>
    <row r="827" spans="1:30" x14ac:dyDescent="0.25">
      <c r="A827" t="s">
        <v>1051</v>
      </c>
      <c r="B827" t="s">
        <v>1106</v>
      </c>
      <c r="C827" t="s">
        <v>2015</v>
      </c>
      <c r="D827" t="s">
        <v>2238</v>
      </c>
      <c r="E827" t="s">
        <v>1060</v>
      </c>
      <c r="F827" t="s">
        <v>1061</v>
      </c>
      <c r="G827">
        <v>6102239</v>
      </c>
      <c r="H827">
        <v>202109</v>
      </c>
      <c r="I827">
        <v>44467</v>
      </c>
      <c r="J827">
        <v>125062</v>
      </c>
      <c r="K827" t="s">
        <v>1056</v>
      </c>
      <c r="L827">
        <v>124475</v>
      </c>
      <c r="M827" t="s">
        <v>1864</v>
      </c>
      <c r="O827" t="s">
        <v>1177</v>
      </c>
      <c r="P827" t="s">
        <v>1178</v>
      </c>
      <c r="Q827" t="s">
        <v>354</v>
      </c>
      <c r="R827">
        <v>2265776</v>
      </c>
      <c r="S827" t="s">
        <v>355</v>
      </c>
      <c r="U827" t="s">
        <v>2027</v>
      </c>
      <c r="V827" t="s">
        <v>356</v>
      </c>
      <c r="W827">
        <v>57500</v>
      </c>
      <c r="X827">
        <v>14.99</v>
      </c>
      <c r="Y827">
        <v>130.38</v>
      </c>
      <c r="Z827">
        <v>57500</v>
      </c>
      <c r="AA827">
        <v>222</v>
      </c>
      <c r="AB827">
        <v>44474.985582407404</v>
      </c>
      <c r="AC827" t="s">
        <v>325</v>
      </c>
      <c r="AD827">
        <v>5</v>
      </c>
    </row>
    <row r="828" spans="1:30" x14ac:dyDescent="0.25">
      <c r="A828" t="s">
        <v>1051</v>
      </c>
      <c r="B828" t="s">
        <v>1106</v>
      </c>
      <c r="C828" t="s">
        <v>2015</v>
      </c>
      <c r="D828" t="s">
        <v>2238</v>
      </c>
      <c r="E828" t="s">
        <v>1060</v>
      </c>
      <c r="F828" t="s">
        <v>1061</v>
      </c>
      <c r="G828">
        <v>6102012</v>
      </c>
      <c r="H828">
        <v>202109</v>
      </c>
      <c r="I828">
        <v>44450</v>
      </c>
      <c r="J828">
        <v>125062</v>
      </c>
      <c r="K828" t="s">
        <v>1056</v>
      </c>
      <c r="L828" t="s">
        <v>2028</v>
      </c>
      <c r="M828" t="s">
        <v>2029</v>
      </c>
      <c r="O828" t="s">
        <v>1174</v>
      </c>
      <c r="P828" t="s">
        <v>1175</v>
      </c>
      <c r="Q828" t="s">
        <v>357</v>
      </c>
      <c r="R828">
        <v>2069084</v>
      </c>
      <c r="S828" t="s">
        <v>355</v>
      </c>
      <c r="U828" t="s">
        <v>2030</v>
      </c>
      <c r="V828" t="s">
        <v>356</v>
      </c>
      <c r="W828">
        <v>649400</v>
      </c>
      <c r="X828">
        <v>170.17</v>
      </c>
      <c r="Y828">
        <v>1482.49</v>
      </c>
      <c r="Z828">
        <v>649400</v>
      </c>
      <c r="AA828">
        <v>222</v>
      </c>
      <c r="AB828">
        <v>44460.849753935188</v>
      </c>
      <c r="AC828" t="s">
        <v>323</v>
      </c>
      <c r="AD828">
        <v>5</v>
      </c>
    </row>
    <row r="829" spans="1:30" x14ac:dyDescent="0.25">
      <c r="A829" t="s">
        <v>1051</v>
      </c>
      <c r="B829" t="s">
        <v>1106</v>
      </c>
      <c r="C829" t="s">
        <v>2015</v>
      </c>
      <c r="D829" t="s">
        <v>2238</v>
      </c>
      <c r="E829" t="s">
        <v>1060</v>
      </c>
      <c r="F829" t="s">
        <v>1061</v>
      </c>
      <c r="G829">
        <v>6102012</v>
      </c>
      <c r="H829">
        <v>202109</v>
      </c>
      <c r="I829">
        <v>44450</v>
      </c>
      <c r="J829">
        <v>125062</v>
      </c>
      <c r="K829" t="s">
        <v>1056</v>
      </c>
      <c r="L829" t="s">
        <v>2028</v>
      </c>
      <c r="M829" t="s">
        <v>2029</v>
      </c>
      <c r="O829" t="s">
        <v>1174</v>
      </c>
      <c r="P829" t="s">
        <v>1175</v>
      </c>
      <c r="Q829" t="s">
        <v>357</v>
      </c>
      <c r="R829">
        <v>2069084</v>
      </c>
      <c r="S829" t="s">
        <v>355</v>
      </c>
      <c r="U829" t="s">
        <v>2030</v>
      </c>
      <c r="V829" t="s">
        <v>356</v>
      </c>
      <c r="W829">
        <v>33500</v>
      </c>
      <c r="X829">
        <v>8.7799999999999994</v>
      </c>
      <c r="Y829">
        <v>76.48</v>
      </c>
      <c r="Z829">
        <v>33500</v>
      </c>
      <c r="AA829">
        <v>0</v>
      </c>
      <c r="AB829">
        <v>44460.849753935188</v>
      </c>
      <c r="AC829" t="s">
        <v>323</v>
      </c>
      <c r="AD829">
        <v>5</v>
      </c>
    </row>
    <row r="830" spans="1:30" x14ac:dyDescent="0.25">
      <c r="A830" t="s">
        <v>1051</v>
      </c>
      <c r="B830" t="s">
        <v>1106</v>
      </c>
      <c r="C830" t="s">
        <v>2015</v>
      </c>
      <c r="D830" t="s">
        <v>2238</v>
      </c>
      <c r="E830" t="s">
        <v>1060</v>
      </c>
      <c r="F830" t="s">
        <v>1061</v>
      </c>
      <c r="G830">
        <v>6102012</v>
      </c>
      <c r="H830">
        <v>202109</v>
      </c>
      <c r="I830">
        <v>44450</v>
      </c>
      <c r="J830">
        <v>125062</v>
      </c>
      <c r="K830" t="s">
        <v>1056</v>
      </c>
      <c r="L830" t="s">
        <v>2028</v>
      </c>
      <c r="M830" t="s">
        <v>2029</v>
      </c>
      <c r="O830" t="s">
        <v>1177</v>
      </c>
      <c r="P830" t="s">
        <v>1178</v>
      </c>
      <c r="Q830" t="s">
        <v>357</v>
      </c>
      <c r="R830">
        <v>2069084</v>
      </c>
      <c r="S830" t="s">
        <v>355</v>
      </c>
      <c r="U830" t="s">
        <v>2030</v>
      </c>
      <c r="V830" t="s">
        <v>356</v>
      </c>
      <c r="W830">
        <v>39242</v>
      </c>
      <c r="X830">
        <v>10.28</v>
      </c>
      <c r="Y830">
        <v>89.58</v>
      </c>
      <c r="Z830">
        <v>39242</v>
      </c>
      <c r="AA830">
        <v>222</v>
      </c>
      <c r="AB830">
        <v>44460.849753935188</v>
      </c>
      <c r="AC830" t="s">
        <v>323</v>
      </c>
      <c r="AD830">
        <v>5</v>
      </c>
    </row>
    <row r="831" spans="1:30" x14ac:dyDescent="0.25">
      <c r="A831" t="s">
        <v>1051</v>
      </c>
      <c r="B831" t="s">
        <v>1106</v>
      </c>
      <c r="C831" t="s">
        <v>2015</v>
      </c>
      <c r="D831" t="s">
        <v>2238</v>
      </c>
      <c r="E831" t="s">
        <v>1060</v>
      </c>
      <c r="F831" t="s">
        <v>1061</v>
      </c>
      <c r="G831">
        <v>6101983</v>
      </c>
      <c r="H831">
        <v>202109</v>
      </c>
      <c r="I831">
        <v>44441</v>
      </c>
      <c r="J831">
        <v>125062</v>
      </c>
      <c r="K831" t="s">
        <v>1056</v>
      </c>
      <c r="L831" t="s">
        <v>358</v>
      </c>
      <c r="M831" t="s">
        <v>1827</v>
      </c>
      <c r="O831" t="s">
        <v>1174</v>
      </c>
      <c r="P831" t="s">
        <v>1175</v>
      </c>
      <c r="Q831" t="s">
        <v>357</v>
      </c>
      <c r="R831">
        <v>2069084</v>
      </c>
      <c r="S831" t="s">
        <v>355</v>
      </c>
      <c r="U831" t="s">
        <v>2031</v>
      </c>
      <c r="V831" t="s">
        <v>356</v>
      </c>
      <c r="W831">
        <v>311300</v>
      </c>
      <c r="X831">
        <v>82.94</v>
      </c>
      <c r="Y831">
        <v>720.8</v>
      </c>
      <c r="Z831">
        <v>311300</v>
      </c>
      <c r="AA831">
        <v>222</v>
      </c>
      <c r="AB831">
        <v>44460.547416400463</v>
      </c>
      <c r="AC831" t="s">
        <v>323</v>
      </c>
      <c r="AD831">
        <v>5</v>
      </c>
    </row>
    <row r="832" spans="1:30" x14ac:dyDescent="0.25">
      <c r="A832" t="s">
        <v>1051</v>
      </c>
      <c r="B832" t="s">
        <v>1106</v>
      </c>
      <c r="C832" t="s">
        <v>2015</v>
      </c>
      <c r="D832" t="s">
        <v>2238</v>
      </c>
      <c r="E832" t="s">
        <v>1060</v>
      </c>
      <c r="F832" t="s">
        <v>1061</v>
      </c>
      <c r="G832">
        <v>6101983</v>
      </c>
      <c r="H832">
        <v>202109</v>
      </c>
      <c r="I832">
        <v>44441</v>
      </c>
      <c r="J832">
        <v>125062</v>
      </c>
      <c r="K832" t="s">
        <v>1056</v>
      </c>
      <c r="L832" t="s">
        <v>358</v>
      </c>
      <c r="M832" t="s">
        <v>1827</v>
      </c>
      <c r="O832" t="s">
        <v>1174</v>
      </c>
      <c r="P832" t="s">
        <v>1175</v>
      </c>
      <c r="Q832" t="s">
        <v>357</v>
      </c>
      <c r="R832">
        <v>2069084</v>
      </c>
      <c r="S832" t="s">
        <v>355</v>
      </c>
      <c r="U832" t="s">
        <v>2031</v>
      </c>
      <c r="V832" t="s">
        <v>356</v>
      </c>
      <c r="W832">
        <v>17300</v>
      </c>
      <c r="X832">
        <v>4.6100000000000003</v>
      </c>
      <c r="Y832">
        <v>40.06</v>
      </c>
      <c r="Z832">
        <v>17300</v>
      </c>
      <c r="AA832">
        <v>0</v>
      </c>
      <c r="AB832">
        <v>44460.54741658565</v>
      </c>
      <c r="AC832" t="s">
        <v>323</v>
      </c>
      <c r="AD832">
        <v>5</v>
      </c>
    </row>
    <row r="833" spans="1:30" x14ac:dyDescent="0.25">
      <c r="A833" t="s">
        <v>1051</v>
      </c>
      <c r="B833" t="s">
        <v>1106</v>
      </c>
      <c r="C833" t="s">
        <v>2015</v>
      </c>
      <c r="D833" t="s">
        <v>2238</v>
      </c>
      <c r="E833" t="s">
        <v>1060</v>
      </c>
      <c r="F833" t="s">
        <v>1061</v>
      </c>
      <c r="G833">
        <v>6101983</v>
      </c>
      <c r="H833">
        <v>202109</v>
      </c>
      <c r="I833">
        <v>44441</v>
      </c>
      <c r="J833">
        <v>125062</v>
      </c>
      <c r="K833" t="s">
        <v>1056</v>
      </c>
      <c r="L833" t="s">
        <v>358</v>
      </c>
      <c r="M833" t="s">
        <v>1827</v>
      </c>
      <c r="O833" t="s">
        <v>1177</v>
      </c>
      <c r="P833" t="s">
        <v>1178</v>
      </c>
      <c r="Q833" t="s">
        <v>357</v>
      </c>
      <c r="R833">
        <v>2069084</v>
      </c>
      <c r="S833" t="s">
        <v>2032</v>
      </c>
      <c r="U833" t="s">
        <v>2031</v>
      </c>
      <c r="V833" t="s">
        <v>356</v>
      </c>
      <c r="W833">
        <v>15895</v>
      </c>
      <c r="X833">
        <v>4.2300000000000004</v>
      </c>
      <c r="Y833">
        <v>36.799999999999997</v>
      </c>
      <c r="Z833">
        <v>15895</v>
      </c>
      <c r="AA833">
        <v>222</v>
      </c>
      <c r="AB833">
        <v>44460.547416782407</v>
      </c>
      <c r="AC833" t="s">
        <v>323</v>
      </c>
      <c r="AD833">
        <v>5</v>
      </c>
    </row>
    <row r="834" spans="1:30" x14ac:dyDescent="0.25">
      <c r="A834" t="s">
        <v>1051</v>
      </c>
      <c r="B834" t="s">
        <v>1106</v>
      </c>
      <c r="C834" t="s">
        <v>2015</v>
      </c>
      <c r="D834" t="s">
        <v>2238</v>
      </c>
      <c r="E834" t="s">
        <v>1060</v>
      </c>
      <c r="F834" t="s">
        <v>1061</v>
      </c>
      <c r="G834">
        <v>6102243</v>
      </c>
      <c r="H834">
        <v>202109</v>
      </c>
      <c r="I834">
        <v>44468</v>
      </c>
      <c r="J834">
        <v>125062</v>
      </c>
      <c r="K834" t="s">
        <v>1056</v>
      </c>
      <c r="L834" t="s">
        <v>472</v>
      </c>
      <c r="M834" t="s">
        <v>1901</v>
      </c>
      <c r="O834" t="s">
        <v>2033</v>
      </c>
      <c r="P834" t="s">
        <v>2034</v>
      </c>
      <c r="Q834" t="s">
        <v>357</v>
      </c>
      <c r="R834">
        <v>2069084</v>
      </c>
      <c r="S834" t="s">
        <v>355</v>
      </c>
      <c r="U834" t="s">
        <v>2036</v>
      </c>
      <c r="V834" t="s">
        <v>356</v>
      </c>
      <c r="W834">
        <v>16700</v>
      </c>
      <c r="X834">
        <v>4.3600000000000003</v>
      </c>
      <c r="Y834">
        <v>37.869999999999997</v>
      </c>
      <c r="Z834">
        <v>16700</v>
      </c>
      <c r="AA834">
        <v>0</v>
      </c>
      <c r="AB834">
        <v>44474.991341782406</v>
      </c>
      <c r="AC834" t="s">
        <v>323</v>
      </c>
      <c r="AD834">
        <v>5</v>
      </c>
    </row>
    <row r="835" spans="1:30" x14ac:dyDescent="0.25">
      <c r="A835" t="s">
        <v>1051</v>
      </c>
      <c r="B835" t="s">
        <v>1106</v>
      </c>
      <c r="C835" t="s">
        <v>2015</v>
      </c>
      <c r="D835" t="s">
        <v>2238</v>
      </c>
      <c r="E835" t="s">
        <v>1060</v>
      </c>
      <c r="F835" t="s">
        <v>1061</v>
      </c>
      <c r="G835">
        <v>6102243</v>
      </c>
      <c r="H835">
        <v>202109</v>
      </c>
      <c r="I835">
        <v>44468</v>
      </c>
      <c r="J835">
        <v>125062</v>
      </c>
      <c r="K835" t="s">
        <v>1056</v>
      </c>
      <c r="L835" t="s">
        <v>472</v>
      </c>
      <c r="M835" t="s">
        <v>1901</v>
      </c>
      <c r="O835" t="s">
        <v>1177</v>
      </c>
      <c r="P835" t="s">
        <v>1178</v>
      </c>
      <c r="Q835" t="s">
        <v>357</v>
      </c>
      <c r="R835">
        <v>2069084</v>
      </c>
      <c r="S835" t="s">
        <v>355</v>
      </c>
      <c r="U835" t="s">
        <v>2036</v>
      </c>
      <c r="V835" t="s">
        <v>356</v>
      </c>
      <c r="W835">
        <v>15895</v>
      </c>
      <c r="X835">
        <v>4.1500000000000004</v>
      </c>
      <c r="Y835">
        <v>36.04</v>
      </c>
      <c r="Z835">
        <v>15895</v>
      </c>
      <c r="AA835">
        <v>222</v>
      </c>
      <c r="AB835">
        <v>44474.991341782406</v>
      </c>
      <c r="AC835" t="s">
        <v>323</v>
      </c>
      <c r="AD835">
        <v>5</v>
      </c>
    </row>
    <row r="836" spans="1:30" x14ac:dyDescent="0.25">
      <c r="A836" t="s">
        <v>1051</v>
      </c>
      <c r="B836" t="s">
        <v>1106</v>
      </c>
      <c r="C836" t="s">
        <v>2015</v>
      </c>
      <c r="D836" t="s">
        <v>2238</v>
      </c>
      <c r="E836" t="s">
        <v>1060</v>
      </c>
      <c r="F836" t="s">
        <v>1061</v>
      </c>
      <c r="G836">
        <v>6102242</v>
      </c>
      <c r="H836">
        <v>202109</v>
      </c>
      <c r="I836">
        <v>44468</v>
      </c>
      <c r="J836">
        <v>125062</v>
      </c>
      <c r="K836" t="s">
        <v>1056</v>
      </c>
      <c r="L836" t="s">
        <v>472</v>
      </c>
      <c r="M836" t="s">
        <v>1901</v>
      </c>
      <c r="O836" t="s">
        <v>1174</v>
      </c>
      <c r="P836" t="s">
        <v>1175</v>
      </c>
      <c r="Q836" t="s">
        <v>357</v>
      </c>
      <c r="R836">
        <v>2069084</v>
      </c>
      <c r="S836" t="s">
        <v>355</v>
      </c>
      <c r="U836" t="s">
        <v>2037</v>
      </c>
      <c r="V836" t="s">
        <v>356</v>
      </c>
      <c r="W836">
        <v>151900</v>
      </c>
      <c r="X836">
        <v>39.61</v>
      </c>
      <c r="Y836">
        <v>344.44</v>
      </c>
      <c r="Z836">
        <v>151900</v>
      </c>
      <c r="AA836">
        <v>222</v>
      </c>
      <c r="AB836">
        <v>44474.989527280093</v>
      </c>
      <c r="AC836" t="s">
        <v>323</v>
      </c>
      <c r="AD836">
        <v>5</v>
      </c>
    </row>
    <row r="837" spans="1:30" x14ac:dyDescent="0.25">
      <c r="A837" t="s">
        <v>1051</v>
      </c>
      <c r="B837" t="s">
        <v>1106</v>
      </c>
      <c r="C837" t="s">
        <v>2015</v>
      </c>
      <c r="D837" t="s">
        <v>2238</v>
      </c>
      <c r="E837" t="s">
        <v>1060</v>
      </c>
      <c r="F837" t="s">
        <v>1061</v>
      </c>
      <c r="G837">
        <v>6102242</v>
      </c>
      <c r="H837">
        <v>202109</v>
      </c>
      <c r="I837">
        <v>44468</v>
      </c>
      <c r="J837">
        <v>125062</v>
      </c>
      <c r="K837" t="s">
        <v>1056</v>
      </c>
      <c r="L837" t="s">
        <v>472</v>
      </c>
      <c r="M837" t="s">
        <v>1901</v>
      </c>
      <c r="O837" t="s">
        <v>1174</v>
      </c>
      <c r="P837" t="s">
        <v>1175</v>
      </c>
      <c r="Q837" t="s">
        <v>357</v>
      </c>
      <c r="R837">
        <v>2069084</v>
      </c>
      <c r="S837" t="s">
        <v>355</v>
      </c>
      <c r="U837" t="s">
        <v>2037</v>
      </c>
      <c r="V837" t="s">
        <v>356</v>
      </c>
      <c r="W837">
        <v>17300</v>
      </c>
      <c r="X837">
        <v>4.51</v>
      </c>
      <c r="Y837">
        <v>39.229999999999997</v>
      </c>
      <c r="Z837">
        <v>17300</v>
      </c>
      <c r="AA837">
        <v>0</v>
      </c>
      <c r="AB837">
        <v>44474.989527280093</v>
      </c>
      <c r="AC837" t="s">
        <v>323</v>
      </c>
      <c r="AD837">
        <v>5</v>
      </c>
    </row>
    <row r="838" spans="1:30" x14ac:dyDescent="0.25">
      <c r="A838" t="s">
        <v>1051</v>
      </c>
      <c r="B838" t="s">
        <v>1106</v>
      </c>
      <c r="C838" t="s">
        <v>2015</v>
      </c>
      <c r="D838" t="s">
        <v>2238</v>
      </c>
      <c r="E838" t="s">
        <v>1060</v>
      </c>
      <c r="F838" t="s">
        <v>1061</v>
      </c>
      <c r="G838">
        <v>6102242</v>
      </c>
      <c r="H838">
        <v>202109</v>
      </c>
      <c r="I838">
        <v>44468</v>
      </c>
      <c r="J838">
        <v>125062</v>
      </c>
      <c r="K838" t="s">
        <v>1056</v>
      </c>
      <c r="L838" t="s">
        <v>472</v>
      </c>
      <c r="M838" t="s">
        <v>1901</v>
      </c>
      <c r="O838" t="s">
        <v>1177</v>
      </c>
      <c r="P838" t="s">
        <v>1178</v>
      </c>
      <c r="Q838" t="s">
        <v>357</v>
      </c>
      <c r="R838">
        <v>2069084</v>
      </c>
      <c r="S838" t="s">
        <v>355</v>
      </c>
      <c r="U838" t="s">
        <v>2037</v>
      </c>
      <c r="V838" t="s">
        <v>356</v>
      </c>
      <c r="W838">
        <v>15895</v>
      </c>
      <c r="X838">
        <v>4.1500000000000004</v>
      </c>
      <c r="Y838">
        <v>36.04</v>
      </c>
      <c r="Z838">
        <v>15895</v>
      </c>
      <c r="AA838">
        <v>222</v>
      </c>
      <c r="AB838">
        <v>44474.989527280093</v>
      </c>
      <c r="AC838" t="s">
        <v>323</v>
      </c>
      <c r="AD838">
        <v>5</v>
      </c>
    </row>
    <row r="839" spans="1:30" x14ac:dyDescent="0.25">
      <c r="A839" t="s">
        <v>1051</v>
      </c>
      <c r="B839" t="s">
        <v>1106</v>
      </c>
      <c r="C839" t="s">
        <v>2015</v>
      </c>
      <c r="D839" t="s">
        <v>2238</v>
      </c>
      <c r="E839" t="s">
        <v>1060</v>
      </c>
      <c r="F839" t="s">
        <v>1061</v>
      </c>
      <c r="G839">
        <v>6102243</v>
      </c>
      <c r="H839">
        <v>202109</v>
      </c>
      <c r="I839">
        <v>44468</v>
      </c>
      <c r="J839">
        <v>125062</v>
      </c>
      <c r="K839" t="s">
        <v>1056</v>
      </c>
      <c r="L839" t="s">
        <v>472</v>
      </c>
      <c r="M839" t="s">
        <v>1901</v>
      </c>
      <c r="O839" t="s">
        <v>2033</v>
      </c>
      <c r="P839" t="s">
        <v>2034</v>
      </c>
      <c r="Q839" t="s">
        <v>357</v>
      </c>
      <c r="R839">
        <v>2069084</v>
      </c>
      <c r="S839" t="s">
        <v>2035</v>
      </c>
      <c r="U839" t="s">
        <v>2036</v>
      </c>
      <c r="V839" t="s">
        <v>356</v>
      </c>
      <c r="W839">
        <v>138900</v>
      </c>
      <c r="X839">
        <v>36.22</v>
      </c>
      <c r="Y839">
        <v>314.95999999999998</v>
      </c>
      <c r="Z839">
        <v>138900</v>
      </c>
      <c r="AA839">
        <v>222</v>
      </c>
      <c r="AB839">
        <v>44474.99134158565</v>
      </c>
      <c r="AC839" t="s">
        <v>323</v>
      </c>
      <c r="AD839">
        <v>5</v>
      </c>
    </row>
    <row r="840" spans="1:30" x14ac:dyDescent="0.25">
      <c r="A840" t="s">
        <v>1051</v>
      </c>
      <c r="B840" t="s">
        <v>1106</v>
      </c>
      <c r="C840" t="s">
        <v>2015</v>
      </c>
      <c r="D840" t="s">
        <v>2238</v>
      </c>
      <c r="E840" t="s">
        <v>1060</v>
      </c>
      <c r="F840" t="s">
        <v>1061</v>
      </c>
      <c r="G840">
        <v>6101982</v>
      </c>
      <c r="H840">
        <v>202109</v>
      </c>
      <c r="I840">
        <v>44441</v>
      </c>
      <c r="J840">
        <v>125062</v>
      </c>
      <c r="K840" t="s">
        <v>1056</v>
      </c>
      <c r="L840" t="s">
        <v>364</v>
      </c>
      <c r="M840" t="s">
        <v>1850</v>
      </c>
      <c r="O840" t="s">
        <v>1174</v>
      </c>
      <c r="P840" t="s">
        <v>1175</v>
      </c>
      <c r="Q840" t="s">
        <v>357</v>
      </c>
      <c r="R840">
        <v>2069084</v>
      </c>
      <c r="S840" t="s">
        <v>2239</v>
      </c>
      <c r="U840" t="s">
        <v>2240</v>
      </c>
      <c r="V840" t="s">
        <v>356</v>
      </c>
      <c r="W840">
        <v>120000</v>
      </c>
      <c r="X840">
        <v>31.97</v>
      </c>
      <c r="Y840">
        <v>277.85000000000002</v>
      </c>
      <c r="Z840">
        <v>120000</v>
      </c>
      <c r="AA840">
        <v>0</v>
      </c>
      <c r="AB840">
        <v>44460.543898807868</v>
      </c>
      <c r="AC840" t="s">
        <v>323</v>
      </c>
      <c r="AD840">
        <v>5</v>
      </c>
    </row>
    <row r="841" spans="1:30" x14ac:dyDescent="0.25">
      <c r="A841" t="s">
        <v>1051</v>
      </c>
      <c r="B841" t="s">
        <v>1106</v>
      </c>
      <c r="C841" t="s">
        <v>2015</v>
      </c>
      <c r="D841" t="s">
        <v>2238</v>
      </c>
      <c r="E841" t="s">
        <v>1060</v>
      </c>
      <c r="F841" t="s">
        <v>1061</v>
      </c>
      <c r="G841">
        <v>6102238</v>
      </c>
      <c r="H841">
        <v>202109</v>
      </c>
      <c r="I841">
        <v>44467</v>
      </c>
      <c r="J841">
        <v>125062</v>
      </c>
      <c r="K841" t="s">
        <v>1056</v>
      </c>
      <c r="L841" t="s">
        <v>365</v>
      </c>
      <c r="M841" t="s">
        <v>1853</v>
      </c>
      <c r="O841" t="s">
        <v>1174</v>
      </c>
      <c r="P841" t="s">
        <v>1175</v>
      </c>
      <c r="Q841" t="s">
        <v>354</v>
      </c>
      <c r="R841">
        <v>2265776</v>
      </c>
      <c r="S841" t="s">
        <v>355</v>
      </c>
      <c r="U841" t="s">
        <v>2038</v>
      </c>
      <c r="V841" t="s">
        <v>356</v>
      </c>
      <c r="W841">
        <v>355200</v>
      </c>
      <c r="X841">
        <v>92.63</v>
      </c>
      <c r="Y841">
        <v>805.43</v>
      </c>
      <c r="Z841">
        <v>355200</v>
      </c>
      <c r="AA841">
        <v>222</v>
      </c>
      <c r="AB841">
        <v>44474.983937187499</v>
      </c>
      <c r="AC841" t="s">
        <v>325</v>
      </c>
      <c r="AD841">
        <v>5</v>
      </c>
    </row>
    <row r="842" spans="1:30" x14ac:dyDescent="0.25">
      <c r="A842" t="s">
        <v>1051</v>
      </c>
      <c r="B842" t="s">
        <v>1106</v>
      </c>
      <c r="C842" t="s">
        <v>2015</v>
      </c>
      <c r="D842" t="s">
        <v>2238</v>
      </c>
      <c r="E842" t="s">
        <v>1060</v>
      </c>
      <c r="F842" t="s">
        <v>1061</v>
      </c>
      <c r="G842">
        <v>6102238</v>
      </c>
      <c r="H842">
        <v>202109</v>
      </c>
      <c r="I842">
        <v>44467</v>
      </c>
      <c r="J842">
        <v>125062</v>
      </c>
      <c r="K842" t="s">
        <v>1056</v>
      </c>
      <c r="L842" t="s">
        <v>365</v>
      </c>
      <c r="M842" t="s">
        <v>1853</v>
      </c>
      <c r="O842" t="s">
        <v>1174</v>
      </c>
      <c r="P842" t="s">
        <v>1175</v>
      </c>
      <c r="Q842" t="s">
        <v>354</v>
      </c>
      <c r="R842">
        <v>2265776</v>
      </c>
      <c r="S842" t="s">
        <v>355</v>
      </c>
      <c r="U842" t="s">
        <v>2038</v>
      </c>
      <c r="V842" t="s">
        <v>356</v>
      </c>
      <c r="W842">
        <v>34000</v>
      </c>
      <c r="X842">
        <v>8.8699999999999992</v>
      </c>
      <c r="Y842">
        <v>77.099999999999994</v>
      </c>
      <c r="Z842">
        <v>34000</v>
      </c>
      <c r="AA842">
        <v>0</v>
      </c>
      <c r="AB842">
        <v>44474.983937187499</v>
      </c>
      <c r="AC842" t="s">
        <v>325</v>
      </c>
      <c r="AD842">
        <v>5</v>
      </c>
    </row>
    <row r="843" spans="1:30" x14ac:dyDescent="0.25">
      <c r="A843" t="s">
        <v>1051</v>
      </c>
      <c r="B843" t="s">
        <v>1106</v>
      </c>
      <c r="C843" t="s">
        <v>2015</v>
      </c>
      <c r="D843" t="s">
        <v>2238</v>
      </c>
      <c r="E843" t="s">
        <v>1060</v>
      </c>
      <c r="F843" t="s">
        <v>1061</v>
      </c>
      <c r="G843">
        <v>6102238</v>
      </c>
      <c r="H843">
        <v>202109</v>
      </c>
      <c r="I843">
        <v>44467</v>
      </c>
      <c r="J843">
        <v>125062</v>
      </c>
      <c r="K843" t="s">
        <v>1056</v>
      </c>
      <c r="L843" t="s">
        <v>365</v>
      </c>
      <c r="M843" t="s">
        <v>1853</v>
      </c>
      <c r="O843" t="s">
        <v>1177</v>
      </c>
      <c r="P843" t="s">
        <v>1178</v>
      </c>
      <c r="Q843" t="s">
        <v>354</v>
      </c>
      <c r="R843">
        <v>2265776</v>
      </c>
      <c r="S843" t="s">
        <v>355</v>
      </c>
      <c r="U843" t="s">
        <v>2038</v>
      </c>
      <c r="V843" t="s">
        <v>356</v>
      </c>
      <c r="W843">
        <v>57500</v>
      </c>
      <c r="X843">
        <v>14.99</v>
      </c>
      <c r="Y843">
        <v>130.38</v>
      </c>
      <c r="Z843">
        <v>57500</v>
      </c>
      <c r="AA843">
        <v>222</v>
      </c>
      <c r="AB843">
        <v>44474.983937187499</v>
      </c>
      <c r="AC843" t="s">
        <v>325</v>
      </c>
      <c r="AD843">
        <v>5</v>
      </c>
    </row>
    <row r="844" spans="1:30" x14ac:dyDescent="0.25">
      <c r="A844" t="s">
        <v>1051</v>
      </c>
      <c r="B844" t="s">
        <v>1106</v>
      </c>
      <c r="C844" t="s">
        <v>2015</v>
      </c>
      <c r="D844" t="s">
        <v>2241</v>
      </c>
      <c r="E844" t="s">
        <v>1060</v>
      </c>
      <c r="F844" t="s">
        <v>1061</v>
      </c>
      <c r="G844">
        <v>6100702</v>
      </c>
      <c r="H844">
        <v>202104</v>
      </c>
      <c r="I844">
        <v>44309</v>
      </c>
      <c r="J844" t="s">
        <v>1117</v>
      </c>
      <c r="K844" t="s">
        <v>1056</v>
      </c>
      <c r="L844">
        <v>119010</v>
      </c>
      <c r="M844" t="s">
        <v>1823</v>
      </c>
      <c r="O844" t="s">
        <v>1252</v>
      </c>
      <c r="P844" t="s">
        <v>1253</v>
      </c>
      <c r="Q844" t="s">
        <v>357</v>
      </c>
      <c r="R844">
        <v>2069084</v>
      </c>
      <c r="S844" t="s">
        <v>2242</v>
      </c>
      <c r="U844" t="s">
        <v>2243</v>
      </c>
      <c r="V844" t="s">
        <v>356</v>
      </c>
      <c r="W844">
        <v>6000</v>
      </c>
      <c r="X844">
        <v>1.65</v>
      </c>
      <c r="Y844">
        <v>13.67</v>
      </c>
      <c r="Z844">
        <v>6000</v>
      </c>
      <c r="AA844">
        <v>0</v>
      </c>
      <c r="AB844">
        <v>44318.960925613428</v>
      </c>
      <c r="AC844" t="s">
        <v>323</v>
      </c>
      <c r="AD844">
        <v>5</v>
      </c>
    </row>
    <row r="845" spans="1:30" x14ac:dyDescent="0.25">
      <c r="A845" t="s">
        <v>1051</v>
      </c>
      <c r="B845" t="s">
        <v>1106</v>
      </c>
      <c r="C845" t="s">
        <v>2015</v>
      </c>
      <c r="D845" t="s">
        <v>2241</v>
      </c>
      <c r="E845" t="s">
        <v>1060</v>
      </c>
      <c r="F845" t="s">
        <v>1061</v>
      </c>
      <c r="G845">
        <v>6100730</v>
      </c>
      <c r="H845">
        <v>202104</v>
      </c>
      <c r="I845">
        <v>44316</v>
      </c>
      <c r="J845" t="s">
        <v>1117</v>
      </c>
      <c r="K845" t="s">
        <v>1056</v>
      </c>
      <c r="L845">
        <v>119010</v>
      </c>
      <c r="M845" t="s">
        <v>1823</v>
      </c>
      <c r="O845" t="s">
        <v>1252</v>
      </c>
      <c r="P845" t="s">
        <v>1253</v>
      </c>
      <c r="Q845" t="s">
        <v>357</v>
      </c>
      <c r="R845">
        <v>2069084</v>
      </c>
      <c r="S845" t="s">
        <v>355</v>
      </c>
      <c r="U845" t="s">
        <v>2244</v>
      </c>
      <c r="V845" t="s">
        <v>356</v>
      </c>
      <c r="W845">
        <v>11000</v>
      </c>
      <c r="X845">
        <v>2.97</v>
      </c>
      <c r="Y845">
        <v>24.61</v>
      </c>
      <c r="Z845">
        <v>11000</v>
      </c>
      <c r="AA845">
        <v>0</v>
      </c>
      <c r="AB845">
        <v>44319.757639317133</v>
      </c>
      <c r="AC845" t="s">
        <v>323</v>
      </c>
      <c r="AD845">
        <v>5</v>
      </c>
    </row>
    <row r="846" spans="1:30" x14ac:dyDescent="0.25">
      <c r="A846" t="s">
        <v>1051</v>
      </c>
      <c r="B846" t="s">
        <v>1106</v>
      </c>
      <c r="C846" t="s">
        <v>2015</v>
      </c>
      <c r="D846" t="s">
        <v>2241</v>
      </c>
      <c r="E846" t="s">
        <v>1060</v>
      </c>
      <c r="F846" t="s">
        <v>1061</v>
      </c>
      <c r="G846">
        <v>6100704</v>
      </c>
      <c r="H846">
        <v>202104</v>
      </c>
      <c r="I846">
        <v>44309</v>
      </c>
      <c r="J846" t="s">
        <v>1117</v>
      </c>
      <c r="K846" t="s">
        <v>1056</v>
      </c>
      <c r="L846" t="s">
        <v>368</v>
      </c>
      <c r="M846" t="s">
        <v>2040</v>
      </c>
      <c r="O846" t="s">
        <v>1252</v>
      </c>
      <c r="P846" t="s">
        <v>1253</v>
      </c>
      <c r="Q846" t="s">
        <v>357</v>
      </c>
      <c r="R846">
        <v>2069084</v>
      </c>
      <c r="S846" t="s">
        <v>2245</v>
      </c>
      <c r="U846" t="s">
        <v>2246</v>
      </c>
      <c r="V846" t="s">
        <v>356</v>
      </c>
      <c r="W846">
        <v>20000</v>
      </c>
      <c r="X846">
        <v>5.5</v>
      </c>
      <c r="Y846">
        <v>45.56</v>
      </c>
      <c r="Z846">
        <v>20000</v>
      </c>
      <c r="AA846">
        <v>0</v>
      </c>
      <c r="AB846">
        <v>44318.982477581019</v>
      </c>
      <c r="AC846" t="s">
        <v>323</v>
      </c>
      <c r="AD846">
        <v>5</v>
      </c>
    </row>
    <row r="847" spans="1:30" x14ac:dyDescent="0.25">
      <c r="A847" t="s">
        <v>1051</v>
      </c>
      <c r="B847" t="s">
        <v>1822</v>
      </c>
      <c r="C847" t="s">
        <v>2015</v>
      </c>
      <c r="D847" t="s">
        <v>2241</v>
      </c>
      <c r="E847" t="s">
        <v>2099</v>
      </c>
      <c r="F847" t="s">
        <v>2100</v>
      </c>
      <c r="G847">
        <v>7100322</v>
      </c>
      <c r="H847">
        <v>202104</v>
      </c>
      <c r="I847">
        <v>44309</v>
      </c>
      <c r="J847" t="s">
        <v>1701</v>
      </c>
      <c r="K847" t="s">
        <v>1056</v>
      </c>
      <c r="L847" t="s">
        <v>367</v>
      </c>
      <c r="M847" t="s">
        <v>1889</v>
      </c>
      <c r="O847" t="s">
        <v>1252</v>
      </c>
      <c r="P847" t="s">
        <v>1253</v>
      </c>
      <c r="Q847" t="s">
        <v>357</v>
      </c>
      <c r="R847">
        <v>2069084</v>
      </c>
      <c r="S847" t="s">
        <v>355</v>
      </c>
      <c r="U847" t="s">
        <v>2247</v>
      </c>
      <c r="V847" t="s">
        <v>356</v>
      </c>
      <c r="W847">
        <v>212000</v>
      </c>
      <c r="X847">
        <v>58.3</v>
      </c>
      <c r="Y847">
        <v>493.75</v>
      </c>
      <c r="Z847">
        <v>212000</v>
      </c>
      <c r="AA847">
        <v>0</v>
      </c>
      <c r="AB847">
        <v>44313.760350381941</v>
      </c>
      <c r="AC847" t="s">
        <v>323</v>
      </c>
      <c r="AD847">
        <v>5</v>
      </c>
    </row>
    <row r="848" spans="1:30" x14ac:dyDescent="0.25">
      <c r="A848" t="s">
        <v>1051</v>
      </c>
      <c r="B848" t="s">
        <v>1822</v>
      </c>
      <c r="C848" t="s">
        <v>2015</v>
      </c>
      <c r="D848" t="s">
        <v>2241</v>
      </c>
      <c r="E848" t="s">
        <v>2099</v>
      </c>
      <c r="F848" t="s">
        <v>2100</v>
      </c>
      <c r="G848">
        <v>7100322</v>
      </c>
      <c r="H848">
        <v>202104</v>
      </c>
      <c r="I848">
        <v>44309</v>
      </c>
      <c r="J848" t="s">
        <v>1701</v>
      </c>
      <c r="K848" t="s">
        <v>1056</v>
      </c>
      <c r="L848" t="s">
        <v>367</v>
      </c>
      <c r="M848" t="s">
        <v>1889</v>
      </c>
      <c r="O848" t="s">
        <v>1252</v>
      </c>
      <c r="P848" t="s">
        <v>1253</v>
      </c>
      <c r="Q848" t="s">
        <v>357</v>
      </c>
      <c r="R848">
        <v>2069084</v>
      </c>
      <c r="S848" t="s">
        <v>355</v>
      </c>
      <c r="U848" t="s">
        <v>2247</v>
      </c>
      <c r="V848" t="s">
        <v>356</v>
      </c>
      <c r="W848">
        <v>48000</v>
      </c>
      <c r="X848">
        <v>13.2</v>
      </c>
      <c r="Y848">
        <v>111.79</v>
      </c>
      <c r="Z848">
        <v>48000</v>
      </c>
      <c r="AA848">
        <v>0</v>
      </c>
      <c r="AB848">
        <v>44313.760350578705</v>
      </c>
      <c r="AC848" t="s">
        <v>323</v>
      </c>
      <c r="AD848">
        <v>5</v>
      </c>
    </row>
    <row r="849" spans="1:30" x14ac:dyDescent="0.25">
      <c r="A849" t="s">
        <v>1051</v>
      </c>
      <c r="B849" t="s">
        <v>1106</v>
      </c>
      <c r="C849" t="s">
        <v>2015</v>
      </c>
      <c r="D849" t="s">
        <v>2241</v>
      </c>
      <c r="E849" t="s">
        <v>1060</v>
      </c>
      <c r="F849" t="s">
        <v>1061</v>
      </c>
      <c r="G849">
        <v>6100754</v>
      </c>
      <c r="H849">
        <v>202104</v>
      </c>
      <c r="I849">
        <v>44316</v>
      </c>
      <c r="J849" t="s">
        <v>1117</v>
      </c>
      <c r="K849" t="s">
        <v>1056</v>
      </c>
      <c r="L849" t="s">
        <v>369</v>
      </c>
      <c r="M849" t="s">
        <v>2044</v>
      </c>
      <c r="O849" t="s">
        <v>1252</v>
      </c>
      <c r="P849" t="s">
        <v>1253</v>
      </c>
      <c r="Q849" t="s">
        <v>354</v>
      </c>
      <c r="R849">
        <v>2265776</v>
      </c>
      <c r="S849" t="s">
        <v>355</v>
      </c>
      <c r="U849" t="s">
        <v>2248</v>
      </c>
      <c r="V849" t="s">
        <v>356</v>
      </c>
      <c r="W849">
        <v>14000</v>
      </c>
      <c r="X849">
        <v>3.78</v>
      </c>
      <c r="Y849">
        <v>31.32</v>
      </c>
      <c r="Z849">
        <v>14000</v>
      </c>
      <c r="AA849">
        <v>0</v>
      </c>
      <c r="AB849">
        <v>44319.948913425927</v>
      </c>
      <c r="AC849" t="s">
        <v>325</v>
      </c>
      <c r="AD849">
        <v>5</v>
      </c>
    </row>
    <row r="850" spans="1:30" x14ac:dyDescent="0.25">
      <c r="A850" t="s">
        <v>1051</v>
      </c>
      <c r="B850" t="s">
        <v>1106</v>
      </c>
      <c r="C850" t="s">
        <v>2015</v>
      </c>
      <c r="D850" t="s">
        <v>2241</v>
      </c>
      <c r="E850" t="s">
        <v>1060</v>
      </c>
      <c r="F850" t="s">
        <v>1061</v>
      </c>
      <c r="G850">
        <v>6100746</v>
      </c>
      <c r="H850">
        <v>202104</v>
      </c>
      <c r="I850">
        <v>44316</v>
      </c>
      <c r="J850" t="s">
        <v>1117</v>
      </c>
      <c r="K850" t="s">
        <v>1056</v>
      </c>
      <c r="L850" t="s">
        <v>365</v>
      </c>
      <c r="M850" t="s">
        <v>1853</v>
      </c>
      <c r="O850" t="s">
        <v>1252</v>
      </c>
      <c r="P850" t="s">
        <v>1253</v>
      </c>
      <c r="Q850" t="s">
        <v>354</v>
      </c>
      <c r="R850">
        <v>2265776</v>
      </c>
      <c r="S850" t="s">
        <v>355</v>
      </c>
      <c r="U850" t="s">
        <v>2249</v>
      </c>
      <c r="V850" t="s">
        <v>356</v>
      </c>
      <c r="W850">
        <v>18000</v>
      </c>
      <c r="X850">
        <v>4.8600000000000003</v>
      </c>
      <c r="Y850">
        <v>40.270000000000003</v>
      </c>
      <c r="Z850">
        <v>18000</v>
      </c>
      <c r="AA850">
        <v>0</v>
      </c>
      <c r="AB850">
        <v>44319.873104247687</v>
      </c>
      <c r="AC850" t="s">
        <v>325</v>
      </c>
      <c r="AD850">
        <v>5</v>
      </c>
    </row>
    <row r="851" spans="1:30" x14ac:dyDescent="0.25">
      <c r="A851" t="s">
        <v>1051</v>
      </c>
      <c r="B851" t="s">
        <v>1106</v>
      </c>
      <c r="C851" t="s">
        <v>2015</v>
      </c>
      <c r="D851" t="s">
        <v>2241</v>
      </c>
      <c r="E851" t="s">
        <v>1060</v>
      </c>
      <c r="F851" t="s">
        <v>1061</v>
      </c>
      <c r="G851">
        <v>6100802</v>
      </c>
      <c r="H851">
        <v>202105</v>
      </c>
      <c r="I851">
        <v>44322</v>
      </c>
      <c r="J851" t="s">
        <v>1117</v>
      </c>
      <c r="K851" t="s">
        <v>1056</v>
      </c>
      <c r="L851">
        <v>124475</v>
      </c>
      <c r="M851" t="s">
        <v>1864</v>
      </c>
      <c r="O851" t="s">
        <v>1677</v>
      </c>
      <c r="P851" t="s">
        <v>1678</v>
      </c>
      <c r="Q851" t="s">
        <v>354</v>
      </c>
      <c r="R851">
        <v>2265776</v>
      </c>
      <c r="S851" t="s">
        <v>355</v>
      </c>
      <c r="U851" t="s">
        <v>2250</v>
      </c>
      <c r="V851" t="s">
        <v>356</v>
      </c>
      <c r="W851">
        <v>9000</v>
      </c>
      <c r="X851">
        <v>2.34</v>
      </c>
      <c r="Y851">
        <v>19.36</v>
      </c>
      <c r="Z851">
        <v>9000</v>
      </c>
      <c r="AA851">
        <v>0</v>
      </c>
      <c r="AB851">
        <v>44327.898027430558</v>
      </c>
      <c r="AC851" t="s">
        <v>325</v>
      </c>
      <c r="AD851">
        <v>5</v>
      </c>
    </row>
    <row r="852" spans="1:30" x14ac:dyDescent="0.25">
      <c r="A852" t="s">
        <v>1051</v>
      </c>
      <c r="B852" t="s">
        <v>1051</v>
      </c>
      <c r="C852" t="s">
        <v>2015</v>
      </c>
      <c r="D852" t="s">
        <v>2241</v>
      </c>
      <c r="E852" t="s">
        <v>1796</v>
      </c>
      <c r="F852" t="s">
        <v>1797</v>
      </c>
      <c r="G852">
        <v>13100231</v>
      </c>
      <c r="H852">
        <v>202106</v>
      </c>
      <c r="I852">
        <v>44377</v>
      </c>
      <c r="J852" t="s">
        <v>1768</v>
      </c>
      <c r="K852" t="s">
        <v>1056</v>
      </c>
      <c r="L852" t="s">
        <v>2057</v>
      </c>
      <c r="M852" t="s">
        <v>2058</v>
      </c>
      <c r="O852" t="s">
        <v>1252</v>
      </c>
      <c r="P852" t="s">
        <v>1253</v>
      </c>
      <c r="Q852" t="s">
        <v>354</v>
      </c>
      <c r="R852">
        <v>2265776</v>
      </c>
      <c r="S852" t="s">
        <v>1788</v>
      </c>
      <c r="U852" t="s">
        <v>1804</v>
      </c>
      <c r="V852" t="s">
        <v>356</v>
      </c>
      <c r="W852">
        <v>196000</v>
      </c>
      <c r="X852">
        <v>53.9</v>
      </c>
      <c r="Y852">
        <v>456.43</v>
      </c>
      <c r="Z852">
        <v>196000</v>
      </c>
      <c r="AA852">
        <v>0</v>
      </c>
      <c r="AB852">
        <v>44384.935162499998</v>
      </c>
      <c r="AC852" t="s">
        <v>325</v>
      </c>
      <c r="AD852">
        <v>5</v>
      </c>
    </row>
    <row r="853" spans="1:30" x14ac:dyDescent="0.25">
      <c r="A853" t="s">
        <v>1051</v>
      </c>
      <c r="B853" t="s">
        <v>1106</v>
      </c>
      <c r="C853" t="s">
        <v>2015</v>
      </c>
      <c r="D853" t="s">
        <v>2241</v>
      </c>
      <c r="E853" t="s">
        <v>1060</v>
      </c>
      <c r="F853" t="s">
        <v>1061</v>
      </c>
      <c r="G853">
        <v>6101527</v>
      </c>
      <c r="H853">
        <v>202108</v>
      </c>
      <c r="I853">
        <v>44427</v>
      </c>
      <c r="J853" t="s">
        <v>1117</v>
      </c>
      <c r="K853" t="s">
        <v>1056</v>
      </c>
      <c r="L853">
        <v>119010</v>
      </c>
      <c r="M853" t="s">
        <v>1823</v>
      </c>
      <c r="O853" t="s">
        <v>1252</v>
      </c>
      <c r="P853" t="s">
        <v>1253</v>
      </c>
      <c r="Q853" t="s">
        <v>357</v>
      </c>
      <c r="R853">
        <v>2069084</v>
      </c>
      <c r="S853" t="s">
        <v>2242</v>
      </c>
      <c r="U853" t="s">
        <v>2251</v>
      </c>
      <c r="V853" t="s">
        <v>356</v>
      </c>
      <c r="W853">
        <v>295700</v>
      </c>
      <c r="X853">
        <v>75.599999999999994</v>
      </c>
      <c r="Y853">
        <v>653.09</v>
      </c>
      <c r="Z853">
        <v>295700</v>
      </c>
      <c r="AA853">
        <v>0</v>
      </c>
      <c r="AB853">
        <v>44427.847053506943</v>
      </c>
      <c r="AC853" t="s">
        <v>323</v>
      </c>
      <c r="AD853">
        <v>5</v>
      </c>
    </row>
    <row r="854" spans="1:30" x14ac:dyDescent="0.25">
      <c r="A854" t="s">
        <v>1051</v>
      </c>
      <c r="B854" t="s">
        <v>1106</v>
      </c>
      <c r="C854" t="s">
        <v>2015</v>
      </c>
      <c r="D854" t="s">
        <v>2241</v>
      </c>
      <c r="E854" t="s">
        <v>1060</v>
      </c>
      <c r="F854" t="s">
        <v>1061</v>
      </c>
      <c r="G854">
        <v>6101527</v>
      </c>
      <c r="H854">
        <v>202108</v>
      </c>
      <c r="I854">
        <v>44427</v>
      </c>
      <c r="J854" t="s">
        <v>1117</v>
      </c>
      <c r="K854" t="s">
        <v>1056</v>
      </c>
      <c r="L854">
        <v>119010</v>
      </c>
      <c r="M854" t="s">
        <v>1823</v>
      </c>
      <c r="O854" t="s">
        <v>1252</v>
      </c>
      <c r="P854" t="s">
        <v>1253</v>
      </c>
      <c r="Q854" t="s">
        <v>357</v>
      </c>
      <c r="R854">
        <v>2069084</v>
      </c>
      <c r="S854" t="s">
        <v>2252</v>
      </c>
      <c r="U854" t="s">
        <v>2253</v>
      </c>
      <c r="V854" t="s">
        <v>356</v>
      </c>
      <c r="W854">
        <v>56000</v>
      </c>
      <c r="X854">
        <v>14.32</v>
      </c>
      <c r="Y854">
        <v>123.68</v>
      </c>
      <c r="Z854">
        <v>56000</v>
      </c>
      <c r="AA854">
        <v>0</v>
      </c>
      <c r="AB854">
        <v>44427.847053506943</v>
      </c>
      <c r="AC854" t="s">
        <v>323</v>
      </c>
      <c r="AD854">
        <v>5</v>
      </c>
    </row>
    <row r="855" spans="1:30" x14ac:dyDescent="0.25">
      <c r="A855" t="s">
        <v>1051</v>
      </c>
      <c r="B855" t="s">
        <v>1106</v>
      </c>
      <c r="C855" t="s">
        <v>2015</v>
      </c>
      <c r="D855" t="s">
        <v>2241</v>
      </c>
      <c r="E855" t="s">
        <v>1060</v>
      </c>
      <c r="F855" t="s">
        <v>1061</v>
      </c>
      <c r="G855">
        <v>6101884</v>
      </c>
      <c r="H855">
        <v>202109</v>
      </c>
      <c r="I855">
        <v>44449</v>
      </c>
      <c r="J855">
        <v>122536</v>
      </c>
      <c r="K855" t="s">
        <v>1056</v>
      </c>
      <c r="L855">
        <v>119010</v>
      </c>
      <c r="M855" t="s">
        <v>1823</v>
      </c>
      <c r="O855" t="s">
        <v>1367</v>
      </c>
      <c r="P855" t="s">
        <v>1368</v>
      </c>
      <c r="Q855" t="s">
        <v>357</v>
      </c>
      <c r="R855">
        <v>2069084</v>
      </c>
      <c r="S855" t="s">
        <v>355</v>
      </c>
      <c r="U855" t="s">
        <v>2254</v>
      </c>
      <c r="V855" t="s">
        <v>356</v>
      </c>
      <c r="W855">
        <v>500000</v>
      </c>
      <c r="X855">
        <v>131.02000000000001</v>
      </c>
      <c r="Y855">
        <v>1141.43</v>
      </c>
      <c r="Z855">
        <v>500000</v>
      </c>
      <c r="AA855">
        <v>0</v>
      </c>
      <c r="AB855">
        <v>44454.777235335649</v>
      </c>
      <c r="AC855" t="s">
        <v>323</v>
      </c>
      <c r="AD855">
        <v>5</v>
      </c>
    </row>
    <row r="856" spans="1:30" x14ac:dyDescent="0.25">
      <c r="A856" t="s">
        <v>1051</v>
      </c>
      <c r="B856" t="s">
        <v>1106</v>
      </c>
      <c r="C856" t="s">
        <v>2015</v>
      </c>
      <c r="D856" t="s">
        <v>2241</v>
      </c>
      <c r="E856" t="s">
        <v>1060</v>
      </c>
      <c r="F856" t="s">
        <v>1061</v>
      </c>
      <c r="G856">
        <v>6101941</v>
      </c>
      <c r="H856">
        <v>202109</v>
      </c>
      <c r="I856">
        <v>44445</v>
      </c>
      <c r="J856">
        <v>124932</v>
      </c>
      <c r="K856" t="s">
        <v>1056</v>
      </c>
      <c r="L856">
        <v>119010</v>
      </c>
      <c r="M856" t="s">
        <v>1823</v>
      </c>
      <c r="O856" t="s">
        <v>1252</v>
      </c>
      <c r="P856" t="s">
        <v>1253</v>
      </c>
      <c r="Q856" t="s">
        <v>357</v>
      </c>
      <c r="R856">
        <v>2069084</v>
      </c>
      <c r="S856" t="s">
        <v>355</v>
      </c>
      <c r="U856" t="s">
        <v>2255</v>
      </c>
      <c r="V856" t="s">
        <v>356</v>
      </c>
      <c r="W856">
        <v>36000</v>
      </c>
      <c r="X856">
        <v>9.59</v>
      </c>
      <c r="Y856">
        <v>83.36</v>
      </c>
      <c r="Z856">
        <v>36000</v>
      </c>
      <c r="AA856">
        <v>0</v>
      </c>
      <c r="AB856">
        <v>44459.110483182871</v>
      </c>
      <c r="AC856" t="s">
        <v>323</v>
      </c>
      <c r="AD856">
        <v>5</v>
      </c>
    </row>
    <row r="857" spans="1:30" x14ac:dyDescent="0.25">
      <c r="A857" t="s">
        <v>1051</v>
      </c>
      <c r="B857" t="s">
        <v>1106</v>
      </c>
      <c r="C857" t="s">
        <v>2015</v>
      </c>
      <c r="D857" t="s">
        <v>2241</v>
      </c>
      <c r="E857" t="s">
        <v>1060</v>
      </c>
      <c r="F857" t="s">
        <v>1061</v>
      </c>
      <c r="G857">
        <v>6102019</v>
      </c>
      <c r="H857">
        <v>202109</v>
      </c>
      <c r="I857">
        <v>44460</v>
      </c>
      <c r="J857">
        <v>122536</v>
      </c>
      <c r="K857" t="s">
        <v>1056</v>
      </c>
      <c r="L857">
        <v>124474</v>
      </c>
      <c r="M857" t="s">
        <v>1829</v>
      </c>
      <c r="O857" t="s">
        <v>1695</v>
      </c>
      <c r="P857" t="s">
        <v>1696</v>
      </c>
      <c r="Q857" t="s">
        <v>354</v>
      </c>
      <c r="R857">
        <v>2265776</v>
      </c>
      <c r="S857" t="s">
        <v>355</v>
      </c>
      <c r="U857" t="s">
        <v>1759</v>
      </c>
      <c r="V857" t="s">
        <v>356</v>
      </c>
      <c r="W857">
        <v>640000</v>
      </c>
      <c r="X857">
        <v>167.3</v>
      </c>
      <c r="Y857">
        <v>1454.66</v>
      </c>
      <c r="Z857">
        <v>640000</v>
      </c>
      <c r="AA857">
        <v>0</v>
      </c>
      <c r="AB857">
        <v>44461.010643981484</v>
      </c>
      <c r="AC857" t="s">
        <v>325</v>
      </c>
      <c r="AD857">
        <v>5</v>
      </c>
    </row>
    <row r="858" spans="1:30" x14ac:dyDescent="0.25">
      <c r="A858" t="s">
        <v>1051</v>
      </c>
      <c r="B858" t="s">
        <v>1106</v>
      </c>
      <c r="C858" t="s">
        <v>2015</v>
      </c>
      <c r="D858" t="s">
        <v>2241</v>
      </c>
      <c r="E858" t="s">
        <v>1060</v>
      </c>
      <c r="F858" t="s">
        <v>1061</v>
      </c>
      <c r="G858">
        <v>6102194</v>
      </c>
      <c r="H858">
        <v>202109</v>
      </c>
      <c r="I858">
        <v>44462</v>
      </c>
      <c r="J858">
        <v>124932</v>
      </c>
      <c r="K858" t="s">
        <v>1056</v>
      </c>
      <c r="L858" t="s">
        <v>369</v>
      </c>
      <c r="M858" t="s">
        <v>2044</v>
      </c>
      <c r="O858" t="s">
        <v>1252</v>
      </c>
      <c r="P858" t="s">
        <v>1253</v>
      </c>
      <c r="Q858" t="s">
        <v>357</v>
      </c>
      <c r="R858">
        <v>2069084</v>
      </c>
      <c r="S858" t="s">
        <v>355</v>
      </c>
      <c r="U858" t="s">
        <v>2256</v>
      </c>
      <c r="V858" t="s">
        <v>356</v>
      </c>
      <c r="W858">
        <v>31000</v>
      </c>
      <c r="X858">
        <v>8.08</v>
      </c>
      <c r="Y858">
        <v>70.290000000000006</v>
      </c>
      <c r="Z858">
        <v>31000</v>
      </c>
      <c r="AA858">
        <v>0</v>
      </c>
      <c r="AB858">
        <v>44474.213166469905</v>
      </c>
      <c r="AC858" t="s">
        <v>323</v>
      </c>
      <c r="AD858">
        <v>5</v>
      </c>
    </row>
    <row r="859" spans="1:30" x14ac:dyDescent="0.25">
      <c r="A859" t="s">
        <v>1051</v>
      </c>
      <c r="B859" t="s">
        <v>1106</v>
      </c>
      <c r="C859" t="s">
        <v>2015</v>
      </c>
      <c r="D859" t="s">
        <v>2241</v>
      </c>
      <c r="E859" t="s">
        <v>1060</v>
      </c>
      <c r="F859" t="s">
        <v>1061</v>
      </c>
      <c r="G859">
        <v>6102117</v>
      </c>
      <c r="H859">
        <v>202109</v>
      </c>
      <c r="I859">
        <v>44469</v>
      </c>
      <c r="J859">
        <v>124932</v>
      </c>
      <c r="K859" t="s">
        <v>1056</v>
      </c>
      <c r="L859" t="s">
        <v>364</v>
      </c>
      <c r="M859" t="s">
        <v>1850</v>
      </c>
      <c r="O859" t="s">
        <v>1252</v>
      </c>
      <c r="P859" t="s">
        <v>1253</v>
      </c>
      <c r="Q859" t="s">
        <v>357</v>
      </c>
      <c r="R859">
        <v>2069084</v>
      </c>
      <c r="S859" t="s">
        <v>355</v>
      </c>
      <c r="U859" t="s">
        <v>2257</v>
      </c>
      <c r="V859" t="s">
        <v>356</v>
      </c>
      <c r="W859">
        <v>88000</v>
      </c>
      <c r="X859">
        <v>22.95</v>
      </c>
      <c r="Y859">
        <v>199.55</v>
      </c>
      <c r="Z859">
        <v>88000</v>
      </c>
      <c r="AA859">
        <v>0</v>
      </c>
      <c r="AB859">
        <v>44472.253244675929</v>
      </c>
      <c r="AC859" t="s">
        <v>323</v>
      </c>
      <c r="AD859">
        <v>5</v>
      </c>
    </row>
    <row r="860" spans="1:30" x14ac:dyDescent="0.25">
      <c r="A860" t="s">
        <v>1051</v>
      </c>
      <c r="B860" t="s">
        <v>1106</v>
      </c>
      <c r="C860" t="s">
        <v>2015</v>
      </c>
      <c r="D860" t="s">
        <v>2258</v>
      </c>
      <c r="E860" t="s">
        <v>1060</v>
      </c>
      <c r="F860" t="s">
        <v>1061</v>
      </c>
      <c r="G860">
        <v>6100754</v>
      </c>
      <c r="H860">
        <v>202104</v>
      </c>
      <c r="I860">
        <v>44316</v>
      </c>
      <c r="J860" t="s">
        <v>1117</v>
      </c>
      <c r="K860" t="s">
        <v>1056</v>
      </c>
      <c r="L860" t="s">
        <v>369</v>
      </c>
      <c r="M860" t="s">
        <v>2044</v>
      </c>
      <c r="O860" t="s">
        <v>1278</v>
      </c>
      <c r="P860" t="s">
        <v>1279</v>
      </c>
      <c r="Q860" t="s">
        <v>354</v>
      </c>
      <c r="R860">
        <v>2265776</v>
      </c>
      <c r="S860" t="s">
        <v>355</v>
      </c>
      <c r="U860" t="s">
        <v>2259</v>
      </c>
      <c r="V860" t="s">
        <v>356</v>
      </c>
      <c r="W860">
        <v>57999</v>
      </c>
      <c r="X860">
        <v>15.66</v>
      </c>
      <c r="Y860">
        <v>129.74</v>
      </c>
      <c r="Z860">
        <v>57999</v>
      </c>
      <c r="AA860">
        <v>316</v>
      </c>
      <c r="AB860">
        <v>44319.948913229164</v>
      </c>
      <c r="AC860" t="s">
        <v>325</v>
      </c>
      <c r="AD860">
        <v>5</v>
      </c>
    </row>
    <row r="861" spans="1:30" x14ac:dyDescent="0.25">
      <c r="A861" t="s">
        <v>1051</v>
      </c>
      <c r="B861" t="s">
        <v>1106</v>
      </c>
      <c r="C861" t="s">
        <v>2015</v>
      </c>
      <c r="D861" t="s">
        <v>2258</v>
      </c>
      <c r="E861" t="s">
        <v>1060</v>
      </c>
      <c r="F861" t="s">
        <v>1061</v>
      </c>
      <c r="G861">
        <v>6100754</v>
      </c>
      <c r="H861">
        <v>202104</v>
      </c>
      <c r="I861">
        <v>44316</v>
      </c>
      <c r="J861" t="s">
        <v>1117</v>
      </c>
      <c r="K861" t="s">
        <v>1056</v>
      </c>
      <c r="L861" t="s">
        <v>369</v>
      </c>
      <c r="M861" t="s">
        <v>2044</v>
      </c>
      <c r="O861" t="s">
        <v>1278</v>
      </c>
      <c r="P861" t="s">
        <v>1279</v>
      </c>
      <c r="Q861" t="s">
        <v>354</v>
      </c>
      <c r="R861">
        <v>2265776</v>
      </c>
      <c r="S861" t="s">
        <v>355</v>
      </c>
      <c r="U861" t="s">
        <v>2259</v>
      </c>
      <c r="V861" t="s">
        <v>356</v>
      </c>
      <c r="W861">
        <v>58</v>
      </c>
      <c r="X861">
        <v>0.02</v>
      </c>
      <c r="Y861">
        <v>0.13</v>
      </c>
      <c r="Z861">
        <v>58</v>
      </c>
      <c r="AA861">
        <v>0</v>
      </c>
      <c r="AB861">
        <v>44319.948913425927</v>
      </c>
      <c r="AC861" t="s">
        <v>325</v>
      </c>
      <c r="AD861">
        <v>5</v>
      </c>
    </row>
    <row r="862" spans="1:30" x14ac:dyDescent="0.25">
      <c r="A862" t="s">
        <v>1051</v>
      </c>
      <c r="B862" t="s">
        <v>1106</v>
      </c>
      <c r="C862" t="s">
        <v>2015</v>
      </c>
      <c r="D862" t="s">
        <v>2258</v>
      </c>
      <c r="E862" t="s">
        <v>1060</v>
      </c>
      <c r="F862" t="s">
        <v>1061</v>
      </c>
      <c r="G862">
        <v>6100754</v>
      </c>
      <c r="H862">
        <v>202104</v>
      </c>
      <c r="I862">
        <v>44316</v>
      </c>
      <c r="J862" t="s">
        <v>1117</v>
      </c>
      <c r="K862" t="s">
        <v>1056</v>
      </c>
      <c r="L862" t="s">
        <v>369</v>
      </c>
      <c r="M862" t="s">
        <v>2044</v>
      </c>
      <c r="O862" t="s">
        <v>1264</v>
      </c>
      <c r="P862" t="s">
        <v>1265</v>
      </c>
      <c r="Q862" t="s">
        <v>354</v>
      </c>
      <c r="R862">
        <v>2265776</v>
      </c>
      <c r="S862" t="s">
        <v>355</v>
      </c>
      <c r="U862" t="s">
        <v>2260</v>
      </c>
      <c r="V862" t="s">
        <v>356</v>
      </c>
      <c r="W862">
        <v>85000</v>
      </c>
      <c r="X862">
        <v>22.95</v>
      </c>
      <c r="Y862">
        <v>190.15</v>
      </c>
      <c r="Z862">
        <v>85000</v>
      </c>
      <c r="AA862">
        <v>0</v>
      </c>
      <c r="AB862">
        <v>44319.948913425927</v>
      </c>
      <c r="AC862" t="s">
        <v>325</v>
      </c>
      <c r="AD862">
        <v>5</v>
      </c>
    </row>
    <row r="863" spans="1:30" x14ac:dyDescent="0.25">
      <c r="A863" t="s">
        <v>1051</v>
      </c>
      <c r="B863" t="s">
        <v>1106</v>
      </c>
      <c r="C863" t="s">
        <v>2015</v>
      </c>
      <c r="D863" t="s">
        <v>2258</v>
      </c>
      <c r="E863" t="s">
        <v>1060</v>
      </c>
      <c r="F863" t="s">
        <v>1061</v>
      </c>
      <c r="G863">
        <v>6101296</v>
      </c>
      <c r="H863">
        <v>202107</v>
      </c>
      <c r="I863">
        <v>44396</v>
      </c>
      <c r="J863" t="s">
        <v>1117</v>
      </c>
      <c r="K863" t="s">
        <v>1056</v>
      </c>
      <c r="L863">
        <v>124474</v>
      </c>
      <c r="M863" t="s">
        <v>1829</v>
      </c>
      <c r="O863" t="s">
        <v>2261</v>
      </c>
      <c r="P863" t="s">
        <v>2262</v>
      </c>
      <c r="Q863" t="s">
        <v>354</v>
      </c>
      <c r="R863">
        <v>2265776</v>
      </c>
      <c r="S863" t="s">
        <v>2263</v>
      </c>
      <c r="U863" t="s">
        <v>2264</v>
      </c>
      <c r="V863" t="s">
        <v>356</v>
      </c>
      <c r="W863">
        <v>-15000</v>
      </c>
      <c r="X863">
        <v>-3.95</v>
      </c>
      <c r="Y863">
        <v>-33.96</v>
      </c>
      <c r="Z863">
        <v>-15000</v>
      </c>
      <c r="AA863">
        <v>0</v>
      </c>
      <c r="AB863">
        <v>44398.755657789348</v>
      </c>
      <c r="AC863" t="s">
        <v>325</v>
      </c>
      <c r="AD863">
        <v>5</v>
      </c>
    </row>
    <row r="864" spans="1:30" x14ac:dyDescent="0.25">
      <c r="A864" t="s">
        <v>1051</v>
      </c>
      <c r="B864" t="s">
        <v>1106</v>
      </c>
      <c r="C864" t="s">
        <v>2015</v>
      </c>
      <c r="D864" t="s">
        <v>2258</v>
      </c>
      <c r="E864" t="s">
        <v>1060</v>
      </c>
      <c r="F864" t="s">
        <v>1061</v>
      </c>
      <c r="G864">
        <v>6101296</v>
      </c>
      <c r="H864">
        <v>202107</v>
      </c>
      <c r="I864">
        <v>44396</v>
      </c>
      <c r="J864" t="s">
        <v>1117</v>
      </c>
      <c r="K864" t="s">
        <v>1056</v>
      </c>
      <c r="L864">
        <v>124474</v>
      </c>
      <c r="M864" t="s">
        <v>1829</v>
      </c>
      <c r="O864" t="s">
        <v>2265</v>
      </c>
      <c r="P864" t="s">
        <v>2266</v>
      </c>
      <c r="Q864" t="s">
        <v>354</v>
      </c>
      <c r="R864">
        <v>2265776</v>
      </c>
      <c r="S864" t="s">
        <v>2267</v>
      </c>
      <c r="U864" t="s">
        <v>2268</v>
      </c>
      <c r="V864" t="s">
        <v>356</v>
      </c>
      <c r="W864">
        <v>-12400</v>
      </c>
      <c r="X864">
        <v>-3.26</v>
      </c>
      <c r="Y864">
        <v>-28.07</v>
      </c>
      <c r="Z864">
        <v>-12400</v>
      </c>
      <c r="AA864">
        <v>0</v>
      </c>
      <c r="AB864">
        <v>44398.755657789348</v>
      </c>
      <c r="AC864" t="s">
        <v>325</v>
      </c>
      <c r="AD864">
        <v>5</v>
      </c>
    </row>
    <row r="865" spans="1:30" x14ac:dyDescent="0.25">
      <c r="A865" t="s">
        <v>1051</v>
      </c>
      <c r="B865" t="s">
        <v>1106</v>
      </c>
      <c r="C865" t="s">
        <v>2015</v>
      </c>
      <c r="D865" t="s">
        <v>2258</v>
      </c>
      <c r="E865" t="s">
        <v>1060</v>
      </c>
      <c r="F865" t="s">
        <v>1061</v>
      </c>
      <c r="G865">
        <v>6101221</v>
      </c>
      <c r="H865">
        <v>202107</v>
      </c>
      <c r="I865">
        <v>44378</v>
      </c>
      <c r="J865" t="s">
        <v>1117</v>
      </c>
      <c r="K865" t="s">
        <v>1056</v>
      </c>
      <c r="L865">
        <v>124474</v>
      </c>
      <c r="M865" t="s">
        <v>1829</v>
      </c>
      <c r="O865" t="s">
        <v>2265</v>
      </c>
      <c r="P865" t="s">
        <v>2266</v>
      </c>
      <c r="Q865" t="s">
        <v>354</v>
      </c>
      <c r="R865">
        <v>2265776</v>
      </c>
      <c r="S865" t="s">
        <v>355</v>
      </c>
      <c r="U865" t="s">
        <v>2269</v>
      </c>
      <c r="V865" t="s">
        <v>356</v>
      </c>
      <c r="W865">
        <v>12400</v>
      </c>
      <c r="X865">
        <v>3.31</v>
      </c>
      <c r="Y865">
        <v>28.16</v>
      </c>
      <c r="Z865">
        <v>12400</v>
      </c>
      <c r="AA865">
        <v>0</v>
      </c>
      <c r="AB865">
        <v>44391.80386547454</v>
      </c>
      <c r="AC865" t="s">
        <v>325</v>
      </c>
      <c r="AD865">
        <v>5</v>
      </c>
    </row>
    <row r="866" spans="1:30" x14ac:dyDescent="0.25">
      <c r="A866" t="s">
        <v>1051</v>
      </c>
      <c r="B866" t="s">
        <v>1106</v>
      </c>
      <c r="C866" t="s">
        <v>2015</v>
      </c>
      <c r="D866" t="s">
        <v>2258</v>
      </c>
      <c r="E866" t="s">
        <v>1060</v>
      </c>
      <c r="F866" t="s">
        <v>1061</v>
      </c>
      <c r="G866">
        <v>6101221</v>
      </c>
      <c r="H866">
        <v>202107</v>
      </c>
      <c r="I866">
        <v>44378</v>
      </c>
      <c r="J866" t="s">
        <v>1117</v>
      </c>
      <c r="K866" t="s">
        <v>1056</v>
      </c>
      <c r="L866">
        <v>124474</v>
      </c>
      <c r="M866" t="s">
        <v>1829</v>
      </c>
      <c r="O866" t="s">
        <v>2261</v>
      </c>
      <c r="P866" t="s">
        <v>2262</v>
      </c>
      <c r="Q866" t="s">
        <v>354</v>
      </c>
      <c r="R866">
        <v>2265776</v>
      </c>
      <c r="S866" t="s">
        <v>355</v>
      </c>
      <c r="U866" t="s">
        <v>2270</v>
      </c>
      <c r="V866" t="s">
        <v>356</v>
      </c>
      <c r="W866">
        <v>15000</v>
      </c>
      <c r="X866">
        <v>4.01</v>
      </c>
      <c r="Y866">
        <v>34.07</v>
      </c>
      <c r="Z866">
        <v>15000</v>
      </c>
      <c r="AA866">
        <v>0</v>
      </c>
      <c r="AB866">
        <v>44391.803865277776</v>
      </c>
      <c r="AC866" t="s">
        <v>325</v>
      </c>
      <c r="AD866">
        <v>5</v>
      </c>
    </row>
    <row r="867" spans="1:30" x14ac:dyDescent="0.25">
      <c r="A867" t="s">
        <v>1051</v>
      </c>
      <c r="B867" t="s">
        <v>1106</v>
      </c>
      <c r="C867" t="s">
        <v>2015</v>
      </c>
      <c r="D867" t="s">
        <v>2258</v>
      </c>
      <c r="E867" t="s">
        <v>1060</v>
      </c>
      <c r="F867" t="s">
        <v>1061</v>
      </c>
      <c r="G867">
        <v>6101246</v>
      </c>
      <c r="H867">
        <v>202107</v>
      </c>
      <c r="I867">
        <v>44396</v>
      </c>
      <c r="J867" t="s">
        <v>1117</v>
      </c>
      <c r="K867" t="s">
        <v>1056</v>
      </c>
      <c r="L867">
        <v>124474</v>
      </c>
      <c r="M867" t="s">
        <v>1829</v>
      </c>
      <c r="O867" t="s">
        <v>2261</v>
      </c>
      <c r="P867" t="s">
        <v>2262</v>
      </c>
      <c r="Q867" t="s">
        <v>354</v>
      </c>
      <c r="R867">
        <v>2265776</v>
      </c>
      <c r="S867" t="s">
        <v>355</v>
      </c>
      <c r="U867" t="s">
        <v>2271</v>
      </c>
      <c r="V867" t="s">
        <v>356</v>
      </c>
      <c r="W867">
        <v>15000</v>
      </c>
      <c r="X867">
        <v>3.95</v>
      </c>
      <c r="Y867">
        <v>33.96</v>
      </c>
      <c r="Z867">
        <v>15000</v>
      </c>
      <c r="AA867">
        <v>0</v>
      </c>
      <c r="AB867">
        <v>44397.817337384258</v>
      </c>
      <c r="AC867" t="s">
        <v>325</v>
      </c>
      <c r="AD867">
        <v>5</v>
      </c>
    </row>
    <row r="868" spans="1:30" x14ac:dyDescent="0.25">
      <c r="A868" t="s">
        <v>1051</v>
      </c>
      <c r="B868" t="s">
        <v>1106</v>
      </c>
      <c r="C868" t="s">
        <v>2015</v>
      </c>
      <c r="D868" t="s">
        <v>2258</v>
      </c>
      <c r="E868" t="s">
        <v>1060</v>
      </c>
      <c r="F868" t="s">
        <v>1061</v>
      </c>
      <c r="G868">
        <v>6101246</v>
      </c>
      <c r="H868">
        <v>202107</v>
      </c>
      <c r="I868">
        <v>44396</v>
      </c>
      <c r="J868" t="s">
        <v>1117</v>
      </c>
      <c r="K868" t="s">
        <v>1056</v>
      </c>
      <c r="L868">
        <v>124474</v>
      </c>
      <c r="M868" t="s">
        <v>1829</v>
      </c>
      <c r="O868" t="s">
        <v>2265</v>
      </c>
      <c r="P868" t="s">
        <v>2266</v>
      </c>
      <c r="Q868" t="s">
        <v>354</v>
      </c>
      <c r="R868">
        <v>2265776</v>
      </c>
      <c r="S868" t="s">
        <v>355</v>
      </c>
      <c r="U868" t="s">
        <v>2272</v>
      </c>
      <c r="V868" t="s">
        <v>356</v>
      </c>
      <c r="W868">
        <v>12400</v>
      </c>
      <c r="X868">
        <v>3.26</v>
      </c>
      <c r="Y868">
        <v>28.07</v>
      </c>
      <c r="Z868">
        <v>12400</v>
      </c>
      <c r="AA868">
        <v>0</v>
      </c>
      <c r="AB868">
        <v>44397.817337534725</v>
      </c>
      <c r="AC868" t="s">
        <v>325</v>
      </c>
      <c r="AD868">
        <v>5</v>
      </c>
    </row>
    <row r="869" spans="1:30" x14ac:dyDescent="0.25">
      <c r="A869" t="s">
        <v>1051</v>
      </c>
      <c r="B869" t="s">
        <v>1106</v>
      </c>
      <c r="C869" t="s">
        <v>2015</v>
      </c>
      <c r="D869" t="s">
        <v>2258</v>
      </c>
      <c r="E869" t="s">
        <v>1060</v>
      </c>
      <c r="F869" t="s">
        <v>1061</v>
      </c>
      <c r="G869">
        <v>6101527</v>
      </c>
      <c r="H869">
        <v>202108</v>
      </c>
      <c r="I869">
        <v>44427</v>
      </c>
      <c r="J869" t="s">
        <v>1117</v>
      </c>
      <c r="K869" t="s">
        <v>1056</v>
      </c>
      <c r="L869">
        <v>119010</v>
      </c>
      <c r="M869" t="s">
        <v>1823</v>
      </c>
      <c r="O869" t="s">
        <v>1145</v>
      </c>
      <c r="P869" t="s">
        <v>1146</v>
      </c>
      <c r="Q869" t="s">
        <v>357</v>
      </c>
      <c r="R869">
        <v>2069084</v>
      </c>
      <c r="S869" t="s">
        <v>2273</v>
      </c>
      <c r="U869" t="s">
        <v>2274</v>
      </c>
      <c r="V869" t="s">
        <v>356</v>
      </c>
      <c r="W869">
        <v>50</v>
      </c>
      <c r="X869">
        <v>0.01</v>
      </c>
      <c r="Y869">
        <v>0.11</v>
      </c>
      <c r="Z869">
        <v>50</v>
      </c>
      <c r="AA869">
        <v>0</v>
      </c>
      <c r="AB869">
        <v>44427.847053854166</v>
      </c>
      <c r="AC869" t="s">
        <v>323</v>
      </c>
      <c r="AD869">
        <v>5</v>
      </c>
    </row>
    <row r="870" spans="1:30" x14ac:dyDescent="0.25">
      <c r="A870" t="s">
        <v>1051</v>
      </c>
      <c r="B870" t="s">
        <v>1106</v>
      </c>
      <c r="C870" t="s">
        <v>2015</v>
      </c>
      <c r="D870" t="s">
        <v>2258</v>
      </c>
      <c r="E870" t="s">
        <v>1060</v>
      </c>
      <c r="F870" t="s">
        <v>1061</v>
      </c>
      <c r="G870">
        <v>6101527</v>
      </c>
      <c r="H870">
        <v>202108</v>
      </c>
      <c r="I870">
        <v>44427</v>
      </c>
      <c r="J870" t="s">
        <v>1117</v>
      </c>
      <c r="K870" t="s">
        <v>1056</v>
      </c>
      <c r="L870">
        <v>119010</v>
      </c>
      <c r="M870" t="s">
        <v>1823</v>
      </c>
      <c r="O870" t="s">
        <v>1145</v>
      </c>
      <c r="P870" t="s">
        <v>1146</v>
      </c>
      <c r="Q870" t="s">
        <v>357</v>
      </c>
      <c r="R870">
        <v>2069084</v>
      </c>
      <c r="S870" t="s">
        <v>2275</v>
      </c>
      <c r="U870" t="s">
        <v>2276</v>
      </c>
      <c r="V870" t="s">
        <v>356</v>
      </c>
      <c r="W870">
        <v>479</v>
      </c>
      <c r="X870">
        <v>0.12</v>
      </c>
      <c r="Y870">
        <v>1.06</v>
      </c>
      <c r="Z870">
        <v>479</v>
      </c>
      <c r="AA870">
        <v>0</v>
      </c>
      <c r="AB870">
        <v>44427.847053854166</v>
      </c>
      <c r="AC870" t="s">
        <v>323</v>
      </c>
      <c r="AD870">
        <v>5</v>
      </c>
    </row>
    <row r="871" spans="1:30" x14ac:dyDescent="0.25">
      <c r="A871" t="s">
        <v>1051</v>
      </c>
      <c r="B871" t="s">
        <v>1106</v>
      </c>
      <c r="C871" t="s">
        <v>2015</v>
      </c>
      <c r="D871" t="s">
        <v>2258</v>
      </c>
      <c r="E871" t="s">
        <v>1060</v>
      </c>
      <c r="F871" t="s">
        <v>1061</v>
      </c>
      <c r="G871">
        <v>6101527</v>
      </c>
      <c r="H871">
        <v>202108</v>
      </c>
      <c r="I871">
        <v>44427</v>
      </c>
      <c r="J871" t="s">
        <v>1117</v>
      </c>
      <c r="K871" t="s">
        <v>1056</v>
      </c>
      <c r="L871">
        <v>119010</v>
      </c>
      <c r="M871" t="s">
        <v>1823</v>
      </c>
      <c r="O871" t="s">
        <v>1145</v>
      </c>
      <c r="P871" t="s">
        <v>1146</v>
      </c>
      <c r="Q871" t="s">
        <v>357</v>
      </c>
      <c r="R871">
        <v>2069084</v>
      </c>
      <c r="S871" t="s">
        <v>2277</v>
      </c>
      <c r="U871" t="s">
        <v>2278</v>
      </c>
      <c r="V871" t="s">
        <v>356</v>
      </c>
      <c r="W871">
        <v>703</v>
      </c>
      <c r="X871">
        <v>0.18</v>
      </c>
      <c r="Y871">
        <v>1.55</v>
      </c>
      <c r="Z871">
        <v>703</v>
      </c>
      <c r="AA871">
        <v>0</v>
      </c>
      <c r="AB871">
        <v>44427.847053854166</v>
      </c>
      <c r="AC871" t="s">
        <v>323</v>
      </c>
      <c r="AD871">
        <v>5</v>
      </c>
    </row>
    <row r="872" spans="1:30" x14ac:dyDescent="0.25">
      <c r="A872" t="s">
        <v>1051</v>
      </c>
      <c r="B872" t="s">
        <v>1106</v>
      </c>
      <c r="C872" t="s">
        <v>2015</v>
      </c>
      <c r="D872" t="s">
        <v>2258</v>
      </c>
      <c r="E872" t="s">
        <v>1060</v>
      </c>
      <c r="F872" t="s">
        <v>1061</v>
      </c>
      <c r="G872">
        <v>6101527</v>
      </c>
      <c r="H872">
        <v>202108</v>
      </c>
      <c r="I872">
        <v>44427</v>
      </c>
      <c r="J872" t="s">
        <v>1117</v>
      </c>
      <c r="K872" t="s">
        <v>1056</v>
      </c>
      <c r="L872">
        <v>119010</v>
      </c>
      <c r="M872" t="s">
        <v>1823</v>
      </c>
      <c r="O872" t="s">
        <v>1145</v>
      </c>
      <c r="P872" t="s">
        <v>1146</v>
      </c>
      <c r="Q872" t="s">
        <v>357</v>
      </c>
      <c r="R872">
        <v>2069084</v>
      </c>
      <c r="S872" t="s">
        <v>2279</v>
      </c>
      <c r="U872" t="s">
        <v>2280</v>
      </c>
      <c r="V872" t="s">
        <v>356</v>
      </c>
      <c r="W872">
        <v>800</v>
      </c>
      <c r="X872">
        <v>0.2</v>
      </c>
      <c r="Y872">
        <v>1.77</v>
      </c>
      <c r="Z872">
        <v>800</v>
      </c>
      <c r="AA872">
        <v>0</v>
      </c>
      <c r="AB872">
        <v>44427.847054050922</v>
      </c>
      <c r="AC872" t="s">
        <v>323</v>
      </c>
      <c r="AD872">
        <v>5</v>
      </c>
    </row>
    <row r="873" spans="1:30" x14ac:dyDescent="0.25">
      <c r="A873" t="s">
        <v>1051</v>
      </c>
      <c r="B873" t="s">
        <v>1106</v>
      </c>
      <c r="C873" t="s">
        <v>2015</v>
      </c>
      <c r="D873" t="s">
        <v>2258</v>
      </c>
      <c r="E873" t="s">
        <v>1060</v>
      </c>
      <c r="F873" t="s">
        <v>1061</v>
      </c>
      <c r="G873">
        <v>6101527</v>
      </c>
      <c r="H873">
        <v>202108</v>
      </c>
      <c r="I873">
        <v>44427</v>
      </c>
      <c r="J873" t="s">
        <v>1117</v>
      </c>
      <c r="K873" t="s">
        <v>1056</v>
      </c>
      <c r="L873">
        <v>119010</v>
      </c>
      <c r="M873" t="s">
        <v>1823</v>
      </c>
      <c r="O873" t="s">
        <v>1145</v>
      </c>
      <c r="P873" t="s">
        <v>1146</v>
      </c>
      <c r="Q873" t="s">
        <v>357</v>
      </c>
      <c r="R873">
        <v>2069084</v>
      </c>
      <c r="S873" t="s">
        <v>2281</v>
      </c>
      <c r="U873" t="s">
        <v>2282</v>
      </c>
      <c r="V873" t="s">
        <v>356</v>
      </c>
      <c r="W873">
        <v>2400</v>
      </c>
      <c r="X873">
        <v>0.61</v>
      </c>
      <c r="Y873">
        <v>5.3</v>
      </c>
      <c r="Z873">
        <v>2400</v>
      </c>
      <c r="AA873">
        <v>0</v>
      </c>
      <c r="AB873">
        <v>44427.847054050922</v>
      </c>
      <c r="AC873" t="s">
        <v>323</v>
      </c>
      <c r="AD873">
        <v>5</v>
      </c>
    </row>
    <row r="874" spans="1:30" x14ac:dyDescent="0.25">
      <c r="A874" t="s">
        <v>1051</v>
      </c>
      <c r="B874" t="s">
        <v>1106</v>
      </c>
      <c r="C874" t="s">
        <v>2015</v>
      </c>
      <c r="D874" t="s">
        <v>2258</v>
      </c>
      <c r="E874" t="s">
        <v>1060</v>
      </c>
      <c r="F874" t="s">
        <v>1061</v>
      </c>
      <c r="G874">
        <v>6102194</v>
      </c>
      <c r="H874">
        <v>202109</v>
      </c>
      <c r="I874">
        <v>44462</v>
      </c>
      <c r="J874">
        <v>124932</v>
      </c>
      <c r="K874" t="s">
        <v>1056</v>
      </c>
      <c r="L874" t="s">
        <v>369</v>
      </c>
      <c r="M874" t="s">
        <v>2044</v>
      </c>
      <c r="O874" t="s">
        <v>1437</v>
      </c>
      <c r="P874" t="s">
        <v>1438</v>
      </c>
      <c r="Q874" t="s">
        <v>357</v>
      </c>
      <c r="R874">
        <v>2069084</v>
      </c>
      <c r="S874" t="s">
        <v>355</v>
      </c>
      <c r="U874" t="s">
        <v>2283</v>
      </c>
      <c r="V874" t="s">
        <v>356</v>
      </c>
      <c r="W874">
        <v>95061</v>
      </c>
      <c r="X874">
        <v>24.79</v>
      </c>
      <c r="Y874">
        <v>215.56</v>
      </c>
      <c r="Z874">
        <v>95061</v>
      </c>
      <c r="AA874">
        <v>0</v>
      </c>
      <c r="AB874">
        <v>44474.213166469905</v>
      </c>
      <c r="AC874" t="s">
        <v>323</v>
      </c>
      <c r="AD874">
        <v>5</v>
      </c>
    </row>
    <row r="875" spans="1:30" x14ac:dyDescent="0.25">
      <c r="A875" t="s">
        <v>1051</v>
      </c>
      <c r="B875" t="s">
        <v>1106</v>
      </c>
      <c r="C875" t="s">
        <v>2015</v>
      </c>
      <c r="D875" t="s">
        <v>2258</v>
      </c>
      <c r="E875" t="s">
        <v>1060</v>
      </c>
      <c r="F875" t="s">
        <v>1061</v>
      </c>
      <c r="G875">
        <v>6102194</v>
      </c>
      <c r="H875">
        <v>202109</v>
      </c>
      <c r="I875">
        <v>44462</v>
      </c>
      <c r="J875">
        <v>124932</v>
      </c>
      <c r="K875" t="s">
        <v>1056</v>
      </c>
      <c r="L875" t="s">
        <v>369</v>
      </c>
      <c r="M875" t="s">
        <v>2044</v>
      </c>
      <c r="O875" t="s">
        <v>1356</v>
      </c>
      <c r="P875" t="s">
        <v>1357</v>
      </c>
      <c r="Q875" t="s">
        <v>357</v>
      </c>
      <c r="R875">
        <v>2069084</v>
      </c>
      <c r="S875" t="s">
        <v>355</v>
      </c>
      <c r="U875" t="s">
        <v>2284</v>
      </c>
      <c r="V875" t="s">
        <v>356</v>
      </c>
      <c r="W875">
        <v>15000</v>
      </c>
      <c r="X875">
        <v>3.91</v>
      </c>
      <c r="Y875">
        <v>34.01</v>
      </c>
      <c r="Z875">
        <v>15000</v>
      </c>
      <c r="AA875">
        <v>0</v>
      </c>
      <c r="AB875">
        <v>44474.213166666668</v>
      </c>
      <c r="AC875" t="s">
        <v>323</v>
      </c>
      <c r="AD875">
        <v>5</v>
      </c>
    </row>
    <row r="876" spans="1:30" x14ac:dyDescent="0.25">
      <c r="A876" t="s">
        <v>1050</v>
      </c>
      <c r="B876" t="s">
        <v>1051</v>
      </c>
      <c r="C876" t="s">
        <v>2285</v>
      </c>
      <c r="D876" t="s">
        <v>2285</v>
      </c>
      <c r="E876" t="s">
        <v>1053</v>
      </c>
      <c r="F876" t="s">
        <v>1054</v>
      </c>
      <c r="G876">
        <v>11008490</v>
      </c>
      <c r="H876">
        <v>202102</v>
      </c>
      <c r="I876">
        <v>44246</v>
      </c>
      <c r="J876" t="s">
        <v>1055</v>
      </c>
      <c r="K876" t="s">
        <v>1056</v>
      </c>
      <c r="M876" t="s">
        <v>355</v>
      </c>
      <c r="O876" t="s">
        <v>355</v>
      </c>
      <c r="P876" t="s">
        <v>355</v>
      </c>
      <c r="Q876" t="s">
        <v>2286</v>
      </c>
      <c r="R876" t="s">
        <v>355</v>
      </c>
      <c r="S876" t="s">
        <v>355</v>
      </c>
      <c r="U876" t="s">
        <v>2287</v>
      </c>
      <c r="V876" t="s">
        <v>1043</v>
      </c>
      <c r="W876">
        <v>11.88</v>
      </c>
      <c r="X876">
        <v>11.88</v>
      </c>
      <c r="Y876">
        <v>99.92</v>
      </c>
      <c r="Z876">
        <v>9.89</v>
      </c>
      <c r="AA876">
        <v>0</v>
      </c>
      <c r="AB876">
        <v>44249.819398113425</v>
      </c>
      <c r="AC876" t="s">
        <v>323</v>
      </c>
      <c r="AD876">
        <v>8</v>
      </c>
    </row>
    <row r="877" spans="1:30" x14ac:dyDescent="0.25">
      <c r="A877" t="s">
        <v>1051</v>
      </c>
      <c r="B877" t="s">
        <v>1106</v>
      </c>
      <c r="C877" t="s">
        <v>2288</v>
      </c>
      <c r="D877" t="s">
        <v>2289</v>
      </c>
      <c r="E877" t="s">
        <v>1060</v>
      </c>
      <c r="F877" t="s">
        <v>1061</v>
      </c>
      <c r="G877">
        <v>6100771</v>
      </c>
      <c r="H877">
        <v>202104</v>
      </c>
      <c r="I877">
        <v>44316</v>
      </c>
      <c r="J877" t="s">
        <v>1117</v>
      </c>
      <c r="K877" t="s">
        <v>1056</v>
      </c>
      <c r="M877" t="s">
        <v>355</v>
      </c>
      <c r="O877" t="s">
        <v>1145</v>
      </c>
      <c r="P877" t="s">
        <v>1146</v>
      </c>
      <c r="Q877" t="s">
        <v>357</v>
      </c>
      <c r="R877">
        <v>2069080</v>
      </c>
      <c r="S877" t="s">
        <v>355</v>
      </c>
      <c r="U877" t="s">
        <v>2290</v>
      </c>
      <c r="V877" t="s">
        <v>356</v>
      </c>
      <c r="W877">
        <v>185184</v>
      </c>
      <c r="X877">
        <v>50</v>
      </c>
      <c r="Y877">
        <v>414.26</v>
      </c>
      <c r="Z877">
        <v>185184</v>
      </c>
      <c r="AA877">
        <v>0</v>
      </c>
      <c r="AB877">
        <v>44320.793317592594</v>
      </c>
      <c r="AC877" t="s">
        <v>323</v>
      </c>
      <c r="AD877">
        <v>7</v>
      </c>
    </row>
    <row r="878" spans="1:30" x14ac:dyDescent="0.25">
      <c r="A878" t="s">
        <v>1051</v>
      </c>
      <c r="B878" t="s">
        <v>1106</v>
      </c>
      <c r="C878" t="s">
        <v>2288</v>
      </c>
      <c r="D878" t="s">
        <v>2289</v>
      </c>
      <c r="E878" t="s">
        <v>1060</v>
      </c>
      <c r="F878" t="s">
        <v>1061</v>
      </c>
      <c r="G878">
        <v>6101188</v>
      </c>
      <c r="H878">
        <v>202106</v>
      </c>
      <c r="I878">
        <v>44377</v>
      </c>
      <c r="J878" t="s">
        <v>1117</v>
      </c>
      <c r="K878" t="s">
        <v>1056</v>
      </c>
      <c r="M878" t="s">
        <v>355</v>
      </c>
      <c r="O878" t="s">
        <v>1145</v>
      </c>
      <c r="P878" t="s">
        <v>1146</v>
      </c>
      <c r="Q878" t="s">
        <v>357</v>
      </c>
      <c r="R878">
        <v>2069080</v>
      </c>
      <c r="S878" t="s">
        <v>355</v>
      </c>
      <c r="U878" t="s">
        <v>2291</v>
      </c>
      <c r="V878" t="s">
        <v>356</v>
      </c>
      <c r="W878">
        <v>210691</v>
      </c>
      <c r="X878">
        <v>55.83</v>
      </c>
      <c r="Y878">
        <v>474.27</v>
      </c>
      <c r="Z878">
        <v>210691</v>
      </c>
      <c r="AA878">
        <v>0</v>
      </c>
      <c r="AB878">
        <v>44383.219668634258</v>
      </c>
      <c r="AC878" t="s">
        <v>323</v>
      </c>
      <c r="AD878">
        <v>7</v>
      </c>
    </row>
    <row r="879" spans="1:30" x14ac:dyDescent="0.25">
      <c r="A879" t="s">
        <v>1051</v>
      </c>
      <c r="B879" t="s">
        <v>1106</v>
      </c>
      <c r="C879" t="s">
        <v>2288</v>
      </c>
      <c r="D879" t="s">
        <v>2289</v>
      </c>
      <c r="E879" t="s">
        <v>1060</v>
      </c>
      <c r="F879" t="s">
        <v>1061</v>
      </c>
      <c r="G879">
        <v>6101477</v>
      </c>
      <c r="H879">
        <v>202107</v>
      </c>
      <c r="I879">
        <v>44407</v>
      </c>
      <c r="J879" t="s">
        <v>1681</v>
      </c>
      <c r="K879" t="s">
        <v>1056</v>
      </c>
      <c r="M879" t="s">
        <v>355</v>
      </c>
      <c r="O879" t="s">
        <v>1145</v>
      </c>
      <c r="P879" t="s">
        <v>1146</v>
      </c>
      <c r="Q879" t="s">
        <v>357</v>
      </c>
      <c r="R879">
        <v>2069080</v>
      </c>
      <c r="S879" t="s">
        <v>355</v>
      </c>
      <c r="U879" t="s">
        <v>2292</v>
      </c>
      <c r="V879" t="s">
        <v>356</v>
      </c>
      <c r="W879">
        <v>22287</v>
      </c>
      <c r="X879">
        <v>5.71</v>
      </c>
      <c r="Y879">
        <v>49.3</v>
      </c>
      <c r="Z879">
        <v>22287</v>
      </c>
      <c r="AA879">
        <v>0</v>
      </c>
      <c r="AB879">
        <v>44413.073783564818</v>
      </c>
      <c r="AC879" t="s">
        <v>323</v>
      </c>
      <c r="AD879">
        <v>7</v>
      </c>
    </row>
    <row r="880" spans="1:30" x14ac:dyDescent="0.25">
      <c r="A880" t="s">
        <v>1051</v>
      </c>
      <c r="B880" t="s">
        <v>1106</v>
      </c>
      <c r="C880" t="s">
        <v>2288</v>
      </c>
      <c r="D880" t="s">
        <v>2289</v>
      </c>
      <c r="E880" t="s">
        <v>1060</v>
      </c>
      <c r="F880" t="s">
        <v>1061</v>
      </c>
      <c r="G880">
        <v>6101475</v>
      </c>
      <c r="H880">
        <v>202107</v>
      </c>
      <c r="I880">
        <v>44407</v>
      </c>
      <c r="J880" t="s">
        <v>1681</v>
      </c>
      <c r="K880" t="s">
        <v>1056</v>
      </c>
      <c r="M880" t="s">
        <v>355</v>
      </c>
      <c r="O880" t="s">
        <v>1145</v>
      </c>
      <c r="P880" t="s">
        <v>1146</v>
      </c>
      <c r="Q880" t="s">
        <v>357</v>
      </c>
      <c r="R880">
        <v>2069080</v>
      </c>
      <c r="S880" t="s">
        <v>355</v>
      </c>
      <c r="U880" t="s">
        <v>2293</v>
      </c>
      <c r="V880" t="s">
        <v>356</v>
      </c>
      <c r="W880">
        <v>437</v>
      </c>
      <c r="X880">
        <v>0.11</v>
      </c>
      <c r="Y880">
        <v>0.97</v>
      </c>
      <c r="Z880">
        <v>437</v>
      </c>
      <c r="AA880">
        <v>0</v>
      </c>
      <c r="AB880">
        <v>44413.018943599534</v>
      </c>
      <c r="AC880" t="s">
        <v>323</v>
      </c>
      <c r="AD880">
        <v>7</v>
      </c>
    </row>
    <row r="881" spans="1:30" x14ac:dyDescent="0.25">
      <c r="A881" t="s">
        <v>1051</v>
      </c>
      <c r="B881" t="s">
        <v>1106</v>
      </c>
      <c r="C881" t="s">
        <v>2288</v>
      </c>
      <c r="D881" t="s">
        <v>2289</v>
      </c>
      <c r="E881" t="s">
        <v>1060</v>
      </c>
      <c r="F881" t="s">
        <v>1061</v>
      </c>
      <c r="G881">
        <v>6101475</v>
      </c>
      <c r="H881">
        <v>202107</v>
      </c>
      <c r="I881">
        <v>44407</v>
      </c>
      <c r="J881" t="s">
        <v>1681</v>
      </c>
      <c r="K881" t="s">
        <v>1056</v>
      </c>
      <c r="M881" t="s">
        <v>355</v>
      </c>
      <c r="O881" t="s">
        <v>1145</v>
      </c>
      <c r="P881" t="s">
        <v>1146</v>
      </c>
      <c r="Q881" t="s">
        <v>357</v>
      </c>
      <c r="R881">
        <v>2069080</v>
      </c>
      <c r="S881" t="s">
        <v>355</v>
      </c>
      <c r="U881" t="s">
        <v>2293</v>
      </c>
      <c r="V881" t="s">
        <v>356</v>
      </c>
      <c r="W881">
        <v>437</v>
      </c>
      <c r="X881">
        <v>0.11</v>
      </c>
      <c r="Y881">
        <v>0.97</v>
      </c>
      <c r="Z881">
        <v>437</v>
      </c>
      <c r="AA881">
        <v>0</v>
      </c>
      <c r="AB881">
        <v>44413.018943599534</v>
      </c>
      <c r="AC881" t="s">
        <v>323</v>
      </c>
      <c r="AD881">
        <v>7</v>
      </c>
    </row>
    <row r="882" spans="1:30" x14ac:dyDescent="0.25">
      <c r="A882" t="s">
        <v>1051</v>
      </c>
      <c r="B882" t="s">
        <v>1106</v>
      </c>
      <c r="C882" t="s">
        <v>2288</v>
      </c>
      <c r="D882" t="s">
        <v>2289</v>
      </c>
      <c r="E882" t="s">
        <v>1060</v>
      </c>
      <c r="F882" t="s">
        <v>1061</v>
      </c>
      <c r="G882">
        <v>6101475</v>
      </c>
      <c r="H882">
        <v>202107</v>
      </c>
      <c r="I882">
        <v>44407</v>
      </c>
      <c r="J882" t="s">
        <v>1681</v>
      </c>
      <c r="K882" t="s">
        <v>1056</v>
      </c>
      <c r="M882" t="s">
        <v>355</v>
      </c>
      <c r="O882" t="s">
        <v>1145</v>
      </c>
      <c r="P882" t="s">
        <v>1146</v>
      </c>
      <c r="Q882" t="s">
        <v>357</v>
      </c>
      <c r="R882">
        <v>2069080</v>
      </c>
      <c r="S882" t="s">
        <v>355</v>
      </c>
      <c r="U882" t="s">
        <v>2293</v>
      </c>
      <c r="V882" t="s">
        <v>356</v>
      </c>
      <c r="W882">
        <v>437</v>
      </c>
      <c r="X882">
        <v>0.11</v>
      </c>
      <c r="Y882">
        <v>0.97</v>
      </c>
      <c r="Z882">
        <v>437</v>
      </c>
      <c r="AA882">
        <v>0</v>
      </c>
      <c r="AB882">
        <v>44413.018943599534</v>
      </c>
      <c r="AC882" t="s">
        <v>323</v>
      </c>
      <c r="AD882">
        <v>7</v>
      </c>
    </row>
    <row r="883" spans="1:30" x14ac:dyDescent="0.25">
      <c r="A883" t="s">
        <v>1051</v>
      </c>
      <c r="B883" t="s">
        <v>1106</v>
      </c>
      <c r="C883" t="s">
        <v>2288</v>
      </c>
      <c r="D883" t="s">
        <v>2289</v>
      </c>
      <c r="E883" t="s">
        <v>1060</v>
      </c>
      <c r="F883" t="s">
        <v>1061</v>
      </c>
      <c r="G883">
        <v>6101475</v>
      </c>
      <c r="H883">
        <v>202107</v>
      </c>
      <c r="I883">
        <v>44407</v>
      </c>
      <c r="J883" t="s">
        <v>1681</v>
      </c>
      <c r="K883" t="s">
        <v>1056</v>
      </c>
      <c r="M883" t="s">
        <v>355</v>
      </c>
      <c r="O883" t="s">
        <v>1145</v>
      </c>
      <c r="P883" t="s">
        <v>1146</v>
      </c>
      <c r="Q883" t="s">
        <v>357</v>
      </c>
      <c r="R883">
        <v>2069080</v>
      </c>
      <c r="S883" t="s">
        <v>355</v>
      </c>
      <c r="U883" t="s">
        <v>2293</v>
      </c>
      <c r="V883" t="s">
        <v>356</v>
      </c>
      <c r="W883">
        <v>437</v>
      </c>
      <c r="X883">
        <v>0.11</v>
      </c>
      <c r="Y883">
        <v>0.97</v>
      </c>
      <c r="Z883">
        <v>437</v>
      </c>
      <c r="AA883">
        <v>0</v>
      </c>
      <c r="AB883">
        <v>44413.018943599534</v>
      </c>
      <c r="AC883" t="s">
        <v>323</v>
      </c>
      <c r="AD883">
        <v>7</v>
      </c>
    </row>
    <row r="884" spans="1:30" x14ac:dyDescent="0.25">
      <c r="A884" t="s">
        <v>1051</v>
      </c>
      <c r="B884" t="s">
        <v>1106</v>
      </c>
      <c r="C884" t="s">
        <v>2288</v>
      </c>
      <c r="D884" t="s">
        <v>2289</v>
      </c>
      <c r="E884" t="s">
        <v>1060</v>
      </c>
      <c r="F884" t="s">
        <v>1061</v>
      </c>
      <c r="G884">
        <v>6101475</v>
      </c>
      <c r="H884">
        <v>202107</v>
      </c>
      <c r="I884">
        <v>44407</v>
      </c>
      <c r="J884" t="s">
        <v>1681</v>
      </c>
      <c r="K884" t="s">
        <v>1056</v>
      </c>
      <c r="M884" t="s">
        <v>355</v>
      </c>
      <c r="O884" t="s">
        <v>1145</v>
      </c>
      <c r="P884" t="s">
        <v>1146</v>
      </c>
      <c r="Q884" t="s">
        <v>357</v>
      </c>
      <c r="R884">
        <v>2069080</v>
      </c>
      <c r="S884" t="s">
        <v>355</v>
      </c>
      <c r="U884" t="s">
        <v>2293</v>
      </c>
      <c r="V884" t="s">
        <v>356</v>
      </c>
      <c r="W884">
        <v>437</v>
      </c>
      <c r="X884">
        <v>0.11</v>
      </c>
      <c r="Y884">
        <v>0.97</v>
      </c>
      <c r="Z884">
        <v>437</v>
      </c>
      <c r="AA884">
        <v>0</v>
      </c>
      <c r="AB884">
        <v>44413.018943599534</v>
      </c>
      <c r="AC884" t="s">
        <v>323</v>
      </c>
      <c r="AD884">
        <v>7</v>
      </c>
    </row>
    <row r="885" spans="1:30" x14ac:dyDescent="0.25">
      <c r="A885" t="s">
        <v>1051</v>
      </c>
      <c r="B885" t="s">
        <v>1106</v>
      </c>
      <c r="C885" t="s">
        <v>2288</v>
      </c>
      <c r="D885" t="s">
        <v>2289</v>
      </c>
      <c r="E885" t="s">
        <v>1060</v>
      </c>
      <c r="F885" t="s">
        <v>1061</v>
      </c>
      <c r="G885">
        <v>6101475</v>
      </c>
      <c r="H885">
        <v>202107</v>
      </c>
      <c r="I885">
        <v>44407</v>
      </c>
      <c r="J885" t="s">
        <v>1681</v>
      </c>
      <c r="K885" t="s">
        <v>1056</v>
      </c>
      <c r="M885" t="s">
        <v>355</v>
      </c>
      <c r="O885" t="s">
        <v>1145</v>
      </c>
      <c r="P885" t="s">
        <v>1146</v>
      </c>
      <c r="Q885" t="s">
        <v>357</v>
      </c>
      <c r="R885">
        <v>2069080</v>
      </c>
      <c r="S885" t="s">
        <v>355</v>
      </c>
      <c r="U885" t="s">
        <v>2293</v>
      </c>
      <c r="V885" t="s">
        <v>356</v>
      </c>
      <c r="W885">
        <v>437</v>
      </c>
      <c r="X885">
        <v>0.11</v>
      </c>
      <c r="Y885">
        <v>0.97</v>
      </c>
      <c r="Z885">
        <v>437</v>
      </c>
      <c r="AA885">
        <v>0</v>
      </c>
      <c r="AB885">
        <v>44413.018943599534</v>
      </c>
      <c r="AC885" t="s">
        <v>323</v>
      </c>
      <c r="AD885">
        <v>7</v>
      </c>
    </row>
    <row r="886" spans="1:30" x14ac:dyDescent="0.25">
      <c r="A886" t="s">
        <v>1051</v>
      </c>
      <c r="B886" t="s">
        <v>1106</v>
      </c>
      <c r="C886" t="s">
        <v>2288</v>
      </c>
      <c r="D886" t="s">
        <v>2289</v>
      </c>
      <c r="E886" t="s">
        <v>1060</v>
      </c>
      <c r="F886" t="s">
        <v>1061</v>
      </c>
      <c r="G886">
        <v>6101475</v>
      </c>
      <c r="H886">
        <v>202107</v>
      </c>
      <c r="I886">
        <v>44407</v>
      </c>
      <c r="J886" t="s">
        <v>1681</v>
      </c>
      <c r="K886" t="s">
        <v>1056</v>
      </c>
      <c r="M886" t="s">
        <v>355</v>
      </c>
      <c r="O886" t="s">
        <v>1145</v>
      </c>
      <c r="P886" t="s">
        <v>1146</v>
      </c>
      <c r="Q886" t="s">
        <v>357</v>
      </c>
      <c r="R886">
        <v>2069080</v>
      </c>
      <c r="S886" t="s">
        <v>355</v>
      </c>
      <c r="U886" t="s">
        <v>2293</v>
      </c>
      <c r="V886" t="s">
        <v>356</v>
      </c>
      <c r="W886">
        <v>437</v>
      </c>
      <c r="X886">
        <v>0.11</v>
      </c>
      <c r="Y886">
        <v>0.97</v>
      </c>
      <c r="Z886">
        <v>437</v>
      </c>
      <c r="AA886">
        <v>0</v>
      </c>
      <c r="AB886">
        <v>44413.018943599534</v>
      </c>
      <c r="AC886" t="s">
        <v>323</v>
      </c>
      <c r="AD886">
        <v>7</v>
      </c>
    </row>
    <row r="887" spans="1:30" x14ac:dyDescent="0.25">
      <c r="A887" t="s">
        <v>1051</v>
      </c>
      <c r="B887" t="s">
        <v>1106</v>
      </c>
      <c r="C887" t="s">
        <v>2288</v>
      </c>
      <c r="D887" t="s">
        <v>2289</v>
      </c>
      <c r="E887" t="s">
        <v>1060</v>
      </c>
      <c r="F887" t="s">
        <v>1061</v>
      </c>
      <c r="G887">
        <v>6101475</v>
      </c>
      <c r="H887">
        <v>202107</v>
      </c>
      <c r="I887">
        <v>44407</v>
      </c>
      <c r="J887" t="s">
        <v>1681</v>
      </c>
      <c r="K887" t="s">
        <v>1056</v>
      </c>
      <c r="M887" t="s">
        <v>355</v>
      </c>
      <c r="O887" t="s">
        <v>1145</v>
      </c>
      <c r="P887" t="s">
        <v>1146</v>
      </c>
      <c r="Q887" t="s">
        <v>357</v>
      </c>
      <c r="R887">
        <v>2069080</v>
      </c>
      <c r="S887" t="s">
        <v>355</v>
      </c>
      <c r="U887" t="s">
        <v>2293</v>
      </c>
      <c r="V887" t="s">
        <v>356</v>
      </c>
      <c r="W887">
        <v>437</v>
      </c>
      <c r="X887">
        <v>0.11</v>
      </c>
      <c r="Y887">
        <v>0.97</v>
      </c>
      <c r="Z887">
        <v>437</v>
      </c>
      <c r="AA887">
        <v>0</v>
      </c>
      <c r="AB887">
        <v>44413.018943784722</v>
      </c>
      <c r="AC887" t="s">
        <v>323</v>
      </c>
      <c r="AD887">
        <v>7</v>
      </c>
    </row>
    <row r="888" spans="1:30" x14ac:dyDescent="0.25">
      <c r="A888" t="s">
        <v>1051</v>
      </c>
      <c r="B888" t="s">
        <v>1106</v>
      </c>
      <c r="C888" t="s">
        <v>2288</v>
      </c>
      <c r="D888" t="s">
        <v>2289</v>
      </c>
      <c r="E888" t="s">
        <v>1060</v>
      </c>
      <c r="F888" t="s">
        <v>1061</v>
      </c>
      <c r="G888">
        <v>6101475</v>
      </c>
      <c r="H888">
        <v>202107</v>
      </c>
      <c r="I888">
        <v>44407</v>
      </c>
      <c r="J888" t="s">
        <v>1681</v>
      </c>
      <c r="K888" t="s">
        <v>1056</v>
      </c>
      <c r="M888" t="s">
        <v>355</v>
      </c>
      <c r="O888" t="s">
        <v>1145</v>
      </c>
      <c r="P888" t="s">
        <v>1146</v>
      </c>
      <c r="Q888" t="s">
        <v>357</v>
      </c>
      <c r="R888">
        <v>2069080</v>
      </c>
      <c r="S888" t="s">
        <v>355</v>
      </c>
      <c r="U888" t="s">
        <v>2293</v>
      </c>
      <c r="V888" t="s">
        <v>356</v>
      </c>
      <c r="W888">
        <v>437</v>
      </c>
      <c r="X888">
        <v>0.11</v>
      </c>
      <c r="Y888">
        <v>0.97</v>
      </c>
      <c r="Z888">
        <v>437</v>
      </c>
      <c r="AA888">
        <v>0</v>
      </c>
      <c r="AB888">
        <v>44413.018943784722</v>
      </c>
      <c r="AC888" t="s">
        <v>323</v>
      </c>
      <c r="AD888">
        <v>7</v>
      </c>
    </row>
    <row r="889" spans="1:30" x14ac:dyDescent="0.25">
      <c r="A889" t="s">
        <v>1051</v>
      </c>
      <c r="B889" t="s">
        <v>1106</v>
      </c>
      <c r="C889" t="s">
        <v>2288</v>
      </c>
      <c r="D889" t="s">
        <v>2289</v>
      </c>
      <c r="E889" t="s">
        <v>1060</v>
      </c>
      <c r="F889" t="s">
        <v>1061</v>
      </c>
      <c r="G889">
        <v>6101475</v>
      </c>
      <c r="H889">
        <v>202107</v>
      </c>
      <c r="I889">
        <v>44407</v>
      </c>
      <c r="J889" t="s">
        <v>1681</v>
      </c>
      <c r="K889" t="s">
        <v>1056</v>
      </c>
      <c r="M889" t="s">
        <v>355</v>
      </c>
      <c r="O889" t="s">
        <v>1145</v>
      </c>
      <c r="P889" t="s">
        <v>1146</v>
      </c>
      <c r="Q889" t="s">
        <v>357</v>
      </c>
      <c r="R889">
        <v>2069080</v>
      </c>
      <c r="S889" t="s">
        <v>355</v>
      </c>
      <c r="U889" t="s">
        <v>2293</v>
      </c>
      <c r="V889" t="s">
        <v>356</v>
      </c>
      <c r="W889">
        <v>437</v>
      </c>
      <c r="X889">
        <v>0.11</v>
      </c>
      <c r="Y889">
        <v>0.97</v>
      </c>
      <c r="Z889">
        <v>437</v>
      </c>
      <c r="AA889">
        <v>0</v>
      </c>
      <c r="AB889">
        <v>44413.018943784722</v>
      </c>
      <c r="AC889" t="s">
        <v>323</v>
      </c>
      <c r="AD889">
        <v>7</v>
      </c>
    </row>
    <row r="890" spans="1:30" x14ac:dyDescent="0.25">
      <c r="A890" t="s">
        <v>1051</v>
      </c>
      <c r="B890" t="s">
        <v>1106</v>
      </c>
      <c r="C890" t="s">
        <v>2288</v>
      </c>
      <c r="D890" t="s">
        <v>2289</v>
      </c>
      <c r="E890" t="s">
        <v>1060</v>
      </c>
      <c r="F890" t="s">
        <v>1061</v>
      </c>
      <c r="G890">
        <v>6101475</v>
      </c>
      <c r="H890">
        <v>202107</v>
      </c>
      <c r="I890">
        <v>44407</v>
      </c>
      <c r="J890" t="s">
        <v>1681</v>
      </c>
      <c r="K890" t="s">
        <v>1056</v>
      </c>
      <c r="M890" t="s">
        <v>355</v>
      </c>
      <c r="O890" t="s">
        <v>1145</v>
      </c>
      <c r="P890" t="s">
        <v>1146</v>
      </c>
      <c r="Q890" t="s">
        <v>357</v>
      </c>
      <c r="R890">
        <v>2069080</v>
      </c>
      <c r="S890" t="s">
        <v>355</v>
      </c>
      <c r="U890" t="s">
        <v>2293</v>
      </c>
      <c r="V890" t="s">
        <v>356</v>
      </c>
      <c r="W890">
        <v>437</v>
      </c>
      <c r="X890">
        <v>0.11</v>
      </c>
      <c r="Y890">
        <v>0.97</v>
      </c>
      <c r="Z890">
        <v>437</v>
      </c>
      <c r="AA890">
        <v>0</v>
      </c>
      <c r="AB890">
        <v>44413.018943784722</v>
      </c>
      <c r="AC890" t="s">
        <v>323</v>
      </c>
      <c r="AD890">
        <v>7</v>
      </c>
    </row>
    <row r="891" spans="1:30" x14ac:dyDescent="0.25">
      <c r="A891" t="s">
        <v>1051</v>
      </c>
      <c r="B891" t="s">
        <v>1106</v>
      </c>
      <c r="C891" t="s">
        <v>2288</v>
      </c>
      <c r="D891" t="s">
        <v>2289</v>
      </c>
      <c r="E891" t="s">
        <v>1060</v>
      </c>
      <c r="F891" t="s">
        <v>1061</v>
      </c>
      <c r="G891">
        <v>6101475</v>
      </c>
      <c r="H891">
        <v>202107</v>
      </c>
      <c r="I891">
        <v>44407</v>
      </c>
      <c r="J891" t="s">
        <v>1681</v>
      </c>
      <c r="K891" t="s">
        <v>1056</v>
      </c>
      <c r="M891" t="s">
        <v>355</v>
      </c>
      <c r="O891" t="s">
        <v>1145</v>
      </c>
      <c r="P891" t="s">
        <v>1146</v>
      </c>
      <c r="Q891" t="s">
        <v>357</v>
      </c>
      <c r="R891">
        <v>2069080</v>
      </c>
      <c r="S891" t="s">
        <v>355</v>
      </c>
      <c r="U891" t="s">
        <v>2293</v>
      </c>
      <c r="V891" t="s">
        <v>356</v>
      </c>
      <c r="W891">
        <v>437</v>
      </c>
      <c r="X891">
        <v>0.11</v>
      </c>
      <c r="Y891">
        <v>0.97</v>
      </c>
      <c r="Z891">
        <v>437</v>
      </c>
      <c r="AA891">
        <v>0</v>
      </c>
      <c r="AB891">
        <v>44413.018943252318</v>
      </c>
      <c r="AC891" t="s">
        <v>323</v>
      </c>
      <c r="AD891">
        <v>7</v>
      </c>
    </row>
    <row r="892" spans="1:30" x14ac:dyDescent="0.25">
      <c r="A892" t="s">
        <v>1051</v>
      </c>
      <c r="B892" t="s">
        <v>1106</v>
      </c>
      <c r="C892" t="s">
        <v>2288</v>
      </c>
      <c r="D892" t="s">
        <v>2289</v>
      </c>
      <c r="E892" t="s">
        <v>1060</v>
      </c>
      <c r="F892" t="s">
        <v>1061</v>
      </c>
      <c r="G892">
        <v>6101475</v>
      </c>
      <c r="H892">
        <v>202107</v>
      </c>
      <c r="I892">
        <v>44407</v>
      </c>
      <c r="J892" t="s">
        <v>1681</v>
      </c>
      <c r="K892" t="s">
        <v>1056</v>
      </c>
      <c r="M892" t="s">
        <v>355</v>
      </c>
      <c r="O892" t="s">
        <v>1145</v>
      </c>
      <c r="P892" t="s">
        <v>1146</v>
      </c>
      <c r="Q892" t="s">
        <v>357</v>
      </c>
      <c r="R892">
        <v>2069080</v>
      </c>
      <c r="S892" t="s">
        <v>355</v>
      </c>
      <c r="U892" t="s">
        <v>2293</v>
      </c>
      <c r="V892" t="s">
        <v>356</v>
      </c>
      <c r="W892">
        <v>437</v>
      </c>
      <c r="X892">
        <v>0.11</v>
      </c>
      <c r="Y892">
        <v>0.97</v>
      </c>
      <c r="Z892">
        <v>437</v>
      </c>
      <c r="AA892">
        <v>0</v>
      </c>
      <c r="AB892">
        <v>44413.018943437499</v>
      </c>
      <c r="AC892" t="s">
        <v>323</v>
      </c>
      <c r="AD892">
        <v>7</v>
      </c>
    </row>
    <row r="893" spans="1:30" x14ac:dyDescent="0.25">
      <c r="A893" t="s">
        <v>1051</v>
      </c>
      <c r="B893" t="s">
        <v>1106</v>
      </c>
      <c r="C893" t="s">
        <v>2288</v>
      </c>
      <c r="D893" t="s">
        <v>2289</v>
      </c>
      <c r="E893" t="s">
        <v>1060</v>
      </c>
      <c r="F893" t="s">
        <v>1061</v>
      </c>
      <c r="G893">
        <v>6101475</v>
      </c>
      <c r="H893">
        <v>202107</v>
      </c>
      <c r="I893">
        <v>44407</v>
      </c>
      <c r="J893" t="s">
        <v>1681</v>
      </c>
      <c r="K893" t="s">
        <v>1056</v>
      </c>
      <c r="M893" t="s">
        <v>355</v>
      </c>
      <c r="O893" t="s">
        <v>1145</v>
      </c>
      <c r="P893" t="s">
        <v>1146</v>
      </c>
      <c r="Q893" t="s">
        <v>357</v>
      </c>
      <c r="R893">
        <v>2069080</v>
      </c>
      <c r="S893" t="s">
        <v>355</v>
      </c>
      <c r="U893" t="s">
        <v>2293</v>
      </c>
      <c r="V893" t="s">
        <v>356</v>
      </c>
      <c r="W893">
        <v>437</v>
      </c>
      <c r="X893">
        <v>0.11</v>
      </c>
      <c r="Y893">
        <v>0.97</v>
      </c>
      <c r="Z893">
        <v>437</v>
      </c>
      <c r="AA893">
        <v>0</v>
      </c>
      <c r="AB893">
        <v>44413.018943437499</v>
      </c>
      <c r="AC893" t="s">
        <v>323</v>
      </c>
      <c r="AD893">
        <v>7</v>
      </c>
    </row>
    <row r="894" spans="1:30" x14ac:dyDescent="0.25">
      <c r="A894" t="s">
        <v>1051</v>
      </c>
      <c r="B894" t="s">
        <v>1106</v>
      </c>
      <c r="C894" t="s">
        <v>2288</v>
      </c>
      <c r="D894" t="s">
        <v>2289</v>
      </c>
      <c r="E894" t="s">
        <v>1060</v>
      </c>
      <c r="F894" t="s">
        <v>1061</v>
      </c>
      <c r="G894">
        <v>6101475</v>
      </c>
      <c r="H894">
        <v>202107</v>
      </c>
      <c r="I894">
        <v>44407</v>
      </c>
      <c r="J894" t="s">
        <v>1681</v>
      </c>
      <c r="K894" t="s">
        <v>1056</v>
      </c>
      <c r="M894" t="s">
        <v>355</v>
      </c>
      <c r="O894" t="s">
        <v>1145</v>
      </c>
      <c r="P894" t="s">
        <v>1146</v>
      </c>
      <c r="Q894" t="s">
        <v>357</v>
      </c>
      <c r="R894">
        <v>2069080</v>
      </c>
      <c r="S894" t="s">
        <v>355</v>
      </c>
      <c r="U894" t="s">
        <v>2293</v>
      </c>
      <c r="V894" t="s">
        <v>356</v>
      </c>
      <c r="W894">
        <v>437</v>
      </c>
      <c r="X894">
        <v>0.11</v>
      </c>
      <c r="Y894">
        <v>0.97</v>
      </c>
      <c r="Z894">
        <v>437</v>
      </c>
      <c r="AA894">
        <v>0</v>
      </c>
      <c r="AB894">
        <v>44413.018943437499</v>
      </c>
      <c r="AC894" t="s">
        <v>323</v>
      </c>
      <c r="AD894">
        <v>7</v>
      </c>
    </row>
    <row r="895" spans="1:30" x14ac:dyDescent="0.25">
      <c r="A895" t="s">
        <v>1051</v>
      </c>
      <c r="B895" t="s">
        <v>1106</v>
      </c>
      <c r="C895" t="s">
        <v>2288</v>
      </c>
      <c r="D895" t="s">
        <v>2289</v>
      </c>
      <c r="E895" t="s">
        <v>1060</v>
      </c>
      <c r="F895" t="s">
        <v>1061</v>
      </c>
      <c r="G895">
        <v>6101475</v>
      </c>
      <c r="H895">
        <v>202107</v>
      </c>
      <c r="I895">
        <v>44407</v>
      </c>
      <c r="J895" t="s">
        <v>1681</v>
      </c>
      <c r="K895" t="s">
        <v>1056</v>
      </c>
      <c r="M895" t="s">
        <v>355</v>
      </c>
      <c r="O895" t="s">
        <v>1145</v>
      </c>
      <c r="P895" t="s">
        <v>1146</v>
      </c>
      <c r="Q895" t="s">
        <v>357</v>
      </c>
      <c r="R895">
        <v>2069080</v>
      </c>
      <c r="S895" t="s">
        <v>355</v>
      </c>
      <c r="U895" t="s">
        <v>2293</v>
      </c>
      <c r="V895" t="s">
        <v>356</v>
      </c>
      <c r="W895">
        <v>437</v>
      </c>
      <c r="X895">
        <v>0.11</v>
      </c>
      <c r="Y895">
        <v>0.97</v>
      </c>
      <c r="Z895">
        <v>437</v>
      </c>
      <c r="AA895">
        <v>0</v>
      </c>
      <c r="AB895">
        <v>44413.018943437499</v>
      </c>
      <c r="AC895" t="s">
        <v>323</v>
      </c>
      <c r="AD895">
        <v>7</v>
      </c>
    </row>
    <row r="896" spans="1:30" x14ac:dyDescent="0.25">
      <c r="A896" t="s">
        <v>1051</v>
      </c>
      <c r="B896" t="s">
        <v>1106</v>
      </c>
      <c r="C896" t="s">
        <v>2288</v>
      </c>
      <c r="D896" t="s">
        <v>2289</v>
      </c>
      <c r="E896" t="s">
        <v>1060</v>
      </c>
      <c r="F896" t="s">
        <v>1061</v>
      </c>
      <c r="G896">
        <v>6101475</v>
      </c>
      <c r="H896">
        <v>202107</v>
      </c>
      <c r="I896">
        <v>44407</v>
      </c>
      <c r="J896" t="s">
        <v>1681</v>
      </c>
      <c r="K896" t="s">
        <v>1056</v>
      </c>
      <c r="M896" t="s">
        <v>355</v>
      </c>
      <c r="O896" t="s">
        <v>1145</v>
      </c>
      <c r="P896" t="s">
        <v>1146</v>
      </c>
      <c r="Q896" t="s">
        <v>357</v>
      </c>
      <c r="R896">
        <v>2069080</v>
      </c>
      <c r="S896" t="s">
        <v>355</v>
      </c>
      <c r="U896" t="s">
        <v>2293</v>
      </c>
      <c r="V896" t="s">
        <v>356</v>
      </c>
      <c r="W896">
        <v>437</v>
      </c>
      <c r="X896">
        <v>0.11</v>
      </c>
      <c r="Y896">
        <v>0.97</v>
      </c>
      <c r="Z896">
        <v>437</v>
      </c>
      <c r="AA896">
        <v>0</v>
      </c>
      <c r="AB896">
        <v>44413.018943437499</v>
      </c>
      <c r="AC896" t="s">
        <v>323</v>
      </c>
      <c r="AD896">
        <v>7</v>
      </c>
    </row>
    <row r="897" spans="1:30" x14ac:dyDescent="0.25">
      <c r="A897" t="s">
        <v>1051</v>
      </c>
      <c r="B897" t="s">
        <v>1106</v>
      </c>
      <c r="C897" t="s">
        <v>2288</v>
      </c>
      <c r="D897" t="s">
        <v>2289</v>
      </c>
      <c r="E897" t="s">
        <v>1060</v>
      </c>
      <c r="F897" t="s">
        <v>1061</v>
      </c>
      <c r="G897">
        <v>6101475</v>
      </c>
      <c r="H897">
        <v>202107</v>
      </c>
      <c r="I897">
        <v>44407</v>
      </c>
      <c r="J897" t="s">
        <v>1681</v>
      </c>
      <c r="K897" t="s">
        <v>1056</v>
      </c>
      <c r="M897" t="s">
        <v>355</v>
      </c>
      <c r="O897" t="s">
        <v>1145</v>
      </c>
      <c r="P897" t="s">
        <v>1146</v>
      </c>
      <c r="Q897" t="s">
        <v>357</v>
      </c>
      <c r="R897">
        <v>2069080</v>
      </c>
      <c r="S897" t="s">
        <v>355</v>
      </c>
      <c r="U897" t="s">
        <v>2293</v>
      </c>
      <c r="V897" t="s">
        <v>356</v>
      </c>
      <c r="W897">
        <v>437</v>
      </c>
      <c r="X897">
        <v>0.11</v>
      </c>
      <c r="Y897">
        <v>0.97</v>
      </c>
      <c r="Z897">
        <v>437</v>
      </c>
      <c r="AA897">
        <v>0</v>
      </c>
      <c r="AB897">
        <v>44413.018943599534</v>
      </c>
      <c r="AC897" t="s">
        <v>323</v>
      </c>
      <c r="AD897">
        <v>7</v>
      </c>
    </row>
    <row r="898" spans="1:30" x14ac:dyDescent="0.25">
      <c r="A898" t="s">
        <v>1051</v>
      </c>
      <c r="B898" t="s">
        <v>1106</v>
      </c>
      <c r="C898" t="s">
        <v>2288</v>
      </c>
      <c r="D898" t="s">
        <v>2289</v>
      </c>
      <c r="E898" t="s">
        <v>1060</v>
      </c>
      <c r="F898" t="s">
        <v>1061</v>
      </c>
      <c r="G898">
        <v>6101453</v>
      </c>
      <c r="H898">
        <v>202107</v>
      </c>
      <c r="I898">
        <v>44407</v>
      </c>
      <c r="J898" t="s">
        <v>1681</v>
      </c>
      <c r="K898" t="s">
        <v>1056</v>
      </c>
      <c r="M898" t="s">
        <v>355</v>
      </c>
      <c r="O898" t="s">
        <v>1145</v>
      </c>
      <c r="P898" t="s">
        <v>1146</v>
      </c>
      <c r="Q898" t="s">
        <v>357</v>
      </c>
      <c r="R898">
        <v>2069080</v>
      </c>
      <c r="S898" t="s">
        <v>355</v>
      </c>
      <c r="U898" t="s">
        <v>2294</v>
      </c>
      <c r="V898" t="s">
        <v>356</v>
      </c>
      <c r="W898">
        <v>313680.5</v>
      </c>
      <c r="X898">
        <v>80.3</v>
      </c>
      <c r="Y898">
        <v>693.86</v>
      </c>
      <c r="Z898">
        <v>313680.5</v>
      </c>
      <c r="AA898">
        <v>0</v>
      </c>
      <c r="AB898">
        <v>44412.726487499996</v>
      </c>
      <c r="AC898" t="s">
        <v>323</v>
      </c>
      <c r="AD898">
        <v>7</v>
      </c>
    </row>
    <row r="899" spans="1:30" x14ac:dyDescent="0.25">
      <c r="A899" t="s">
        <v>1051</v>
      </c>
      <c r="B899" t="s">
        <v>1106</v>
      </c>
      <c r="C899" t="s">
        <v>2288</v>
      </c>
      <c r="D899" t="s">
        <v>2289</v>
      </c>
      <c r="E899" t="s">
        <v>1060</v>
      </c>
      <c r="F899" t="s">
        <v>1061</v>
      </c>
      <c r="G899">
        <v>6101475</v>
      </c>
      <c r="H899">
        <v>202107</v>
      </c>
      <c r="I899">
        <v>44407</v>
      </c>
      <c r="J899" t="s">
        <v>1681</v>
      </c>
      <c r="K899" t="s">
        <v>1056</v>
      </c>
      <c r="M899" t="s">
        <v>355</v>
      </c>
      <c r="O899" t="s">
        <v>1145</v>
      </c>
      <c r="P899" t="s">
        <v>1146</v>
      </c>
      <c r="Q899" t="s">
        <v>357</v>
      </c>
      <c r="R899">
        <v>2069080</v>
      </c>
      <c r="S899" t="s">
        <v>355</v>
      </c>
      <c r="U899" t="s">
        <v>2293</v>
      </c>
      <c r="V899" t="s">
        <v>356</v>
      </c>
      <c r="W899">
        <v>437</v>
      </c>
      <c r="X899">
        <v>0.11</v>
      </c>
      <c r="Y899">
        <v>0.97</v>
      </c>
      <c r="Z899">
        <v>437</v>
      </c>
      <c r="AA899">
        <v>0</v>
      </c>
      <c r="AB899">
        <v>44413.018943055555</v>
      </c>
      <c r="AC899" t="s">
        <v>323</v>
      </c>
      <c r="AD899">
        <v>7</v>
      </c>
    </row>
    <row r="900" spans="1:30" x14ac:dyDescent="0.25">
      <c r="A900" t="s">
        <v>1051</v>
      </c>
      <c r="B900" t="s">
        <v>1106</v>
      </c>
      <c r="C900" t="s">
        <v>2288</v>
      </c>
      <c r="D900" t="s">
        <v>2289</v>
      </c>
      <c r="E900" t="s">
        <v>1060</v>
      </c>
      <c r="F900" t="s">
        <v>1061</v>
      </c>
      <c r="G900">
        <v>6101475</v>
      </c>
      <c r="H900">
        <v>202107</v>
      </c>
      <c r="I900">
        <v>44407</v>
      </c>
      <c r="J900" t="s">
        <v>1681</v>
      </c>
      <c r="K900" t="s">
        <v>1056</v>
      </c>
      <c r="M900" t="s">
        <v>355</v>
      </c>
      <c r="O900" t="s">
        <v>1145</v>
      </c>
      <c r="P900" t="s">
        <v>1146</v>
      </c>
      <c r="Q900" t="s">
        <v>357</v>
      </c>
      <c r="R900">
        <v>2069080</v>
      </c>
      <c r="S900" t="s">
        <v>355</v>
      </c>
      <c r="U900" t="s">
        <v>2293</v>
      </c>
      <c r="V900" t="s">
        <v>356</v>
      </c>
      <c r="W900">
        <v>437</v>
      </c>
      <c r="X900">
        <v>0.11</v>
      </c>
      <c r="Y900">
        <v>0.97</v>
      </c>
      <c r="Z900">
        <v>437</v>
      </c>
      <c r="AA900">
        <v>0</v>
      </c>
      <c r="AB900">
        <v>44413.018943252318</v>
      </c>
      <c r="AC900" t="s">
        <v>323</v>
      </c>
      <c r="AD900">
        <v>7</v>
      </c>
    </row>
    <row r="901" spans="1:30" x14ac:dyDescent="0.25">
      <c r="A901" t="s">
        <v>1051</v>
      </c>
      <c r="B901" t="s">
        <v>1106</v>
      </c>
      <c r="C901" t="s">
        <v>2288</v>
      </c>
      <c r="D901" t="s">
        <v>2289</v>
      </c>
      <c r="E901" t="s">
        <v>1060</v>
      </c>
      <c r="F901" t="s">
        <v>1061</v>
      </c>
      <c r="G901">
        <v>6101475</v>
      </c>
      <c r="H901">
        <v>202107</v>
      </c>
      <c r="I901">
        <v>44407</v>
      </c>
      <c r="J901" t="s">
        <v>1681</v>
      </c>
      <c r="K901" t="s">
        <v>1056</v>
      </c>
      <c r="M901" t="s">
        <v>355</v>
      </c>
      <c r="O901" t="s">
        <v>1145</v>
      </c>
      <c r="P901" t="s">
        <v>1146</v>
      </c>
      <c r="Q901" t="s">
        <v>357</v>
      </c>
      <c r="R901">
        <v>2069080</v>
      </c>
      <c r="S901" t="s">
        <v>355</v>
      </c>
      <c r="U901" t="s">
        <v>2293</v>
      </c>
      <c r="V901" t="s">
        <v>356</v>
      </c>
      <c r="W901">
        <v>437</v>
      </c>
      <c r="X901">
        <v>0.11</v>
      </c>
      <c r="Y901">
        <v>0.97</v>
      </c>
      <c r="Z901">
        <v>437</v>
      </c>
      <c r="AA901">
        <v>0</v>
      </c>
      <c r="AB901">
        <v>44413.018943252318</v>
      </c>
      <c r="AC901" t="s">
        <v>323</v>
      </c>
      <c r="AD901">
        <v>7</v>
      </c>
    </row>
    <row r="902" spans="1:30" x14ac:dyDescent="0.25">
      <c r="A902" t="s">
        <v>1051</v>
      </c>
      <c r="B902" t="s">
        <v>1106</v>
      </c>
      <c r="C902" t="s">
        <v>2288</v>
      </c>
      <c r="D902" t="s">
        <v>2289</v>
      </c>
      <c r="E902" t="s">
        <v>1060</v>
      </c>
      <c r="F902" t="s">
        <v>1061</v>
      </c>
      <c r="G902">
        <v>6101475</v>
      </c>
      <c r="H902">
        <v>202107</v>
      </c>
      <c r="I902">
        <v>44407</v>
      </c>
      <c r="J902" t="s">
        <v>1681</v>
      </c>
      <c r="K902" t="s">
        <v>1056</v>
      </c>
      <c r="M902" t="s">
        <v>355</v>
      </c>
      <c r="O902" t="s">
        <v>1145</v>
      </c>
      <c r="P902" t="s">
        <v>1146</v>
      </c>
      <c r="Q902" t="s">
        <v>357</v>
      </c>
      <c r="R902">
        <v>2069080</v>
      </c>
      <c r="S902" t="s">
        <v>355</v>
      </c>
      <c r="U902" t="s">
        <v>2293</v>
      </c>
      <c r="V902" t="s">
        <v>356</v>
      </c>
      <c r="W902">
        <v>437</v>
      </c>
      <c r="X902">
        <v>0.11</v>
      </c>
      <c r="Y902">
        <v>0.97</v>
      </c>
      <c r="Z902">
        <v>437</v>
      </c>
      <c r="AA902">
        <v>0</v>
      </c>
      <c r="AB902">
        <v>44413.018943252318</v>
      </c>
      <c r="AC902" t="s">
        <v>323</v>
      </c>
      <c r="AD902">
        <v>7</v>
      </c>
    </row>
    <row r="903" spans="1:30" x14ac:dyDescent="0.25">
      <c r="A903" t="s">
        <v>1051</v>
      </c>
      <c r="B903" t="s">
        <v>1106</v>
      </c>
      <c r="C903" t="s">
        <v>2288</v>
      </c>
      <c r="D903" t="s">
        <v>2289</v>
      </c>
      <c r="E903" t="s">
        <v>1060</v>
      </c>
      <c r="F903" t="s">
        <v>1061</v>
      </c>
      <c r="G903">
        <v>6101475</v>
      </c>
      <c r="H903">
        <v>202107</v>
      </c>
      <c r="I903">
        <v>44407</v>
      </c>
      <c r="J903" t="s">
        <v>1681</v>
      </c>
      <c r="K903" t="s">
        <v>1056</v>
      </c>
      <c r="M903" t="s">
        <v>355</v>
      </c>
      <c r="O903" t="s">
        <v>1145</v>
      </c>
      <c r="P903" t="s">
        <v>1146</v>
      </c>
      <c r="Q903" t="s">
        <v>357</v>
      </c>
      <c r="R903">
        <v>2069080</v>
      </c>
      <c r="S903" t="s">
        <v>355</v>
      </c>
      <c r="U903" t="s">
        <v>2293</v>
      </c>
      <c r="V903" t="s">
        <v>356</v>
      </c>
      <c r="W903">
        <v>437</v>
      </c>
      <c r="X903">
        <v>0.11</v>
      </c>
      <c r="Y903">
        <v>0.97</v>
      </c>
      <c r="Z903">
        <v>437</v>
      </c>
      <c r="AA903">
        <v>0</v>
      </c>
      <c r="AB903">
        <v>44413.018943252318</v>
      </c>
      <c r="AC903" t="s">
        <v>323</v>
      </c>
      <c r="AD903">
        <v>7</v>
      </c>
    </row>
    <row r="904" spans="1:30" x14ac:dyDescent="0.25">
      <c r="A904" t="s">
        <v>1051</v>
      </c>
      <c r="B904" t="s">
        <v>1106</v>
      </c>
      <c r="C904" t="s">
        <v>2288</v>
      </c>
      <c r="D904" t="s">
        <v>2289</v>
      </c>
      <c r="E904" t="s">
        <v>1060</v>
      </c>
      <c r="F904" t="s">
        <v>1061</v>
      </c>
      <c r="G904">
        <v>6101475</v>
      </c>
      <c r="H904">
        <v>202107</v>
      </c>
      <c r="I904">
        <v>44407</v>
      </c>
      <c r="J904" t="s">
        <v>1681</v>
      </c>
      <c r="K904" t="s">
        <v>1056</v>
      </c>
      <c r="M904" t="s">
        <v>355</v>
      </c>
      <c r="O904" t="s">
        <v>1145</v>
      </c>
      <c r="P904" t="s">
        <v>1146</v>
      </c>
      <c r="Q904" t="s">
        <v>357</v>
      </c>
      <c r="R904">
        <v>2069080</v>
      </c>
      <c r="S904" t="s">
        <v>355</v>
      </c>
      <c r="U904" t="s">
        <v>2293</v>
      </c>
      <c r="V904" t="s">
        <v>356</v>
      </c>
      <c r="W904">
        <v>437</v>
      </c>
      <c r="X904">
        <v>0.11</v>
      </c>
      <c r="Y904">
        <v>0.97</v>
      </c>
      <c r="Z904">
        <v>437</v>
      </c>
      <c r="AA904">
        <v>0</v>
      </c>
      <c r="AB904">
        <v>44413.018943252318</v>
      </c>
      <c r="AC904" t="s">
        <v>323</v>
      </c>
      <c r="AD904">
        <v>7</v>
      </c>
    </row>
    <row r="905" spans="1:30" x14ac:dyDescent="0.25">
      <c r="A905" t="s">
        <v>1051</v>
      </c>
      <c r="B905" t="s">
        <v>1106</v>
      </c>
      <c r="C905" t="s">
        <v>2288</v>
      </c>
      <c r="D905" t="s">
        <v>2289</v>
      </c>
      <c r="E905" t="s">
        <v>1060</v>
      </c>
      <c r="F905" t="s">
        <v>1061</v>
      </c>
      <c r="G905">
        <v>6101475</v>
      </c>
      <c r="H905">
        <v>202107</v>
      </c>
      <c r="I905">
        <v>44407</v>
      </c>
      <c r="J905" t="s">
        <v>1681</v>
      </c>
      <c r="K905" t="s">
        <v>1056</v>
      </c>
      <c r="M905" t="s">
        <v>355</v>
      </c>
      <c r="O905" t="s">
        <v>1145</v>
      </c>
      <c r="P905" t="s">
        <v>1146</v>
      </c>
      <c r="Q905" t="s">
        <v>357</v>
      </c>
      <c r="R905">
        <v>2069080</v>
      </c>
      <c r="S905" t="s">
        <v>355</v>
      </c>
      <c r="U905" t="s">
        <v>2293</v>
      </c>
      <c r="V905" t="s">
        <v>356</v>
      </c>
      <c r="W905">
        <v>437</v>
      </c>
      <c r="X905">
        <v>0.11</v>
      </c>
      <c r="Y905">
        <v>0.97</v>
      </c>
      <c r="Z905">
        <v>437</v>
      </c>
      <c r="AA905">
        <v>0</v>
      </c>
      <c r="AB905">
        <v>44413.018943252318</v>
      </c>
      <c r="AC905" t="s">
        <v>323</v>
      </c>
      <c r="AD905">
        <v>7</v>
      </c>
    </row>
    <row r="906" spans="1:30" x14ac:dyDescent="0.25">
      <c r="A906" t="s">
        <v>1051</v>
      </c>
      <c r="B906" t="s">
        <v>1106</v>
      </c>
      <c r="C906" t="s">
        <v>2288</v>
      </c>
      <c r="D906" t="s">
        <v>2289</v>
      </c>
      <c r="E906" t="s">
        <v>1060</v>
      </c>
      <c r="F906" t="s">
        <v>1061</v>
      </c>
      <c r="G906">
        <v>6101475</v>
      </c>
      <c r="H906">
        <v>202107</v>
      </c>
      <c r="I906">
        <v>44407</v>
      </c>
      <c r="J906" t="s">
        <v>1681</v>
      </c>
      <c r="K906" t="s">
        <v>1056</v>
      </c>
      <c r="M906" t="s">
        <v>355</v>
      </c>
      <c r="O906" t="s">
        <v>1145</v>
      </c>
      <c r="P906" t="s">
        <v>1146</v>
      </c>
      <c r="Q906" t="s">
        <v>357</v>
      </c>
      <c r="R906">
        <v>2069080</v>
      </c>
      <c r="S906" t="s">
        <v>355</v>
      </c>
      <c r="U906" t="s">
        <v>2293</v>
      </c>
      <c r="V906" t="s">
        <v>356</v>
      </c>
      <c r="W906">
        <v>437</v>
      </c>
      <c r="X906">
        <v>0.11</v>
      </c>
      <c r="Y906">
        <v>0.97</v>
      </c>
      <c r="Z906">
        <v>437</v>
      </c>
      <c r="AA906">
        <v>0</v>
      </c>
      <c r="AB906">
        <v>44413.018943252318</v>
      </c>
      <c r="AC906" t="s">
        <v>323</v>
      </c>
      <c r="AD906">
        <v>7</v>
      </c>
    </row>
    <row r="907" spans="1:30" x14ac:dyDescent="0.25">
      <c r="A907" t="s">
        <v>1051</v>
      </c>
      <c r="B907" t="s">
        <v>1106</v>
      </c>
      <c r="C907" t="s">
        <v>2288</v>
      </c>
      <c r="D907" t="s">
        <v>2289</v>
      </c>
      <c r="E907" t="s">
        <v>1060</v>
      </c>
      <c r="F907" t="s">
        <v>1061</v>
      </c>
      <c r="G907">
        <v>6101719</v>
      </c>
      <c r="H907">
        <v>202108</v>
      </c>
      <c r="I907">
        <v>44439</v>
      </c>
      <c r="J907">
        <v>122536</v>
      </c>
      <c r="K907" t="s">
        <v>1056</v>
      </c>
      <c r="M907" t="s">
        <v>355</v>
      </c>
      <c r="O907" t="s">
        <v>1145</v>
      </c>
      <c r="P907" t="s">
        <v>1146</v>
      </c>
      <c r="Q907" t="s">
        <v>357</v>
      </c>
      <c r="R907">
        <v>2069080</v>
      </c>
      <c r="S907" t="s">
        <v>355</v>
      </c>
      <c r="U907" t="s">
        <v>2295</v>
      </c>
      <c r="V907" t="s">
        <v>356</v>
      </c>
      <c r="W907">
        <v>437</v>
      </c>
      <c r="X907">
        <v>0.11</v>
      </c>
      <c r="Y907">
        <v>0.98</v>
      </c>
      <c r="Z907">
        <v>437</v>
      </c>
      <c r="AA907">
        <v>0</v>
      </c>
      <c r="AB907">
        <v>44443.928684027778</v>
      </c>
      <c r="AC907" t="s">
        <v>323</v>
      </c>
      <c r="AD907">
        <v>7</v>
      </c>
    </row>
    <row r="908" spans="1:30" x14ac:dyDescent="0.25">
      <c r="A908" t="s">
        <v>1051</v>
      </c>
      <c r="B908" t="s">
        <v>1106</v>
      </c>
      <c r="C908" t="s">
        <v>2288</v>
      </c>
      <c r="D908" t="s">
        <v>2289</v>
      </c>
      <c r="E908" t="s">
        <v>1060</v>
      </c>
      <c r="F908" t="s">
        <v>1061</v>
      </c>
      <c r="G908">
        <v>6101719</v>
      </c>
      <c r="H908">
        <v>202108</v>
      </c>
      <c r="I908">
        <v>44439</v>
      </c>
      <c r="J908">
        <v>122536</v>
      </c>
      <c r="K908" t="s">
        <v>1056</v>
      </c>
      <c r="M908" t="s">
        <v>355</v>
      </c>
      <c r="O908" t="s">
        <v>1145</v>
      </c>
      <c r="P908" t="s">
        <v>1146</v>
      </c>
      <c r="Q908" t="s">
        <v>357</v>
      </c>
      <c r="R908">
        <v>2069080</v>
      </c>
      <c r="S908" t="s">
        <v>355</v>
      </c>
      <c r="U908" t="s">
        <v>2295</v>
      </c>
      <c r="V908" t="s">
        <v>356</v>
      </c>
      <c r="W908">
        <v>437</v>
      </c>
      <c r="X908">
        <v>0.11</v>
      </c>
      <c r="Y908">
        <v>0.98</v>
      </c>
      <c r="Z908">
        <v>437</v>
      </c>
      <c r="AA908">
        <v>0</v>
      </c>
      <c r="AB908">
        <v>44443.928684027778</v>
      </c>
      <c r="AC908" t="s">
        <v>323</v>
      </c>
      <c r="AD908">
        <v>7</v>
      </c>
    </row>
    <row r="909" spans="1:30" x14ac:dyDescent="0.25">
      <c r="A909" t="s">
        <v>1051</v>
      </c>
      <c r="B909" t="s">
        <v>1106</v>
      </c>
      <c r="C909" t="s">
        <v>2288</v>
      </c>
      <c r="D909" t="s">
        <v>2289</v>
      </c>
      <c r="E909" t="s">
        <v>1060</v>
      </c>
      <c r="F909" t="s">
        <v>1061</v>
      </c>
      <c r="G909">
        <v>6101719</v>
      </c>
      <c r="H909">
        <v>202108</v>
      </c>
      <c r="I909">
        <v>44439</v>
      </c>
      <c r="J909">
        <v>122536</v>
      </c>
      <c r="K909" t="s">
        <v>1056</v>
      </c>
      <c r="M909" t="s">
        <v>355</v>
      </c>
      <c r="O909" t="s">
        <v>1145</v>
      </c>
      <c r="P909" t="s">
        <v>1146</v>
      </c>
      <c r="Q909" t="s">
        <v>357</v>
      </c>
      <c r="R909">
        <v>2069080</v>
      </c>
      <c r="S909" t="s">
        <v>355</v>
      </c>
      <c r="U909" t="s">
        <v>2295</v>
      </c>
      <c r="V909" t="s">
        <v>356</v>
      </c>
      <c r="W909">
        <v>437</v>
      </c>
      <c r="X909">
        <v>0.11</v>
      </c>
      <c r="Y909">
        <v>0.98</v>
      </c>
      <c r="Z909">
        <v>437</v>
      </c>
      <c r="AA909">
        <v>0</v>
      </c>
      <c r="AB909">
        <v>44443.928684027778</v>
      </c>
      <c r="AC909" t="s">
        <v>323</v>
      </c>
      <c r="AD909">
        <v>7</v>
      </c>
    </row>
    <row r="910" spans="1:30" x14ac:dyDescent="0.25">
      <c r="A910" t="s">
        <v>1051</v>
      </c>
      <c r="B910" t="s">
        <v>1106</v>
      </c>
      <c r="C910" t="s">
        <v>2288</v>
      </c>
      <c r="D910" t="s">
        <v>2289</v>
      </c>
      <c r="E910" t="s">
        <v>1060</v>
      </c>
      <c r="F910" t="s">
        <v>1061</v>
      </c>
      <c r="G910">
        <v>6101719</v>
      </c>
      <c r="H910">
        <v>202108</v>
      </c>
      <c r="I910">
        <v>44439</v>
      </c>
      <c r="J910">
        <v>122536</v>
      </c>
      <c r="K910" t="s">
        <v>1056</v>
      </c>
      <c r="M910" t="s">
        <v>355</v>
      </c>
      <c r="O910" t="s">
        <v>1145</v>
      </c>
      <c r="P910" t="s">
        <v>1146</v>
      </c>
      <c r="Q910" t="s">
        <v>357</v>
      </c>
      <c r="R910">
        <v>2069080</v>
      </c>
      <c r="S910" t="s">
        <v>355</v>
      </c>
      <c r="U910" t="s">
        <v>2295</v>
      </c>
      <c r="V910" t="s">
        <v>356</v>
      </c>
      <c r="W910">
        <v>437</v>
      </c>
      <c r="X910">
        <v>0.11</v>
      </c>
      <c r="Y910">
        <v>0.98</v>
      </c>
      <c r="Z910">
        <v>437</v>
      </c>
      <c r="AA910">
        <v>0</v>
      </c>
      <c r="AB910">
        <v>44443.928684027778</v>
      </c>
      <c r="AC910" t="s">
        <v>323</v>
      </c>
      <c r="AD910">
        <v>7</v>
      </c>
    </row>
    <row r="911" spans="1:30" x14ac:dyDescent="0.25">
      <c r="A911" t="s">
        <v>1051</v>
      </c>
      <c r="B911" t="s">
        <v>1106</v>
      </c>
      <c r="C911" t="s">
        <v>2288</v>
      </c>
      <c r="D911" t="s">
        <v>2289</v>
      </c>
      <c r="E911" t="s">
        <v>1060</v>
      </c>
      <c r="F911" t="s">
        <v>1061</v>
      </c>
      <c r="G911">
        <v>6101719</v>
      </c>
      <c r="H911">
        <v>202108</v>
      </c>
      <c r="I911">
        <v>44439</v>
      </c>
      <c r="J911">
        <v>122536</v>
      </c>
      <c r="K911" t="s">
        <v>1056</v>
      </c>
      <c r="M911" t="s">
        <v>355</v>
      </c>
      <c r="O911" t="s">
        <v>1145</v>
      </c>
      <c r="P911" t="s">
        <v>1146</v>
      </c>
      <c r="Q911" t="s">
        <v>357</v>
      </c>
      <c r="R911">
        <v>2069080</v>
      </c>
      <c r="S911" t="s">
        <v>355</v>
      </c>
      <c r="U911" t="s">
        <v>2295</v>
      </c>
      <c r="V911" t="s">
        <v>356</v>
      </c>
      <c r="W911">
        <v>437</v>
      </c>
      <c r="X911">
        <v>0.11</v>
      </c>
      <c r="Y911">
        <v>0.98</v>
      </c>
      <c r="Z911">
        <v>437</v>
      </c>
      <c r="AA911">
        <v>0</v>
      </c>
      <c r="AB911">
        <v>44443.928684027778</v>
      </c>
      <c r="AC911" t="s">
        <v>323</v>
      </c>
      <c r="AD911">
        <v>7</v>
      </c>
    </row>
    <row r="912" spans="1:30" x14ac:dyDescent="0.25">
      <c r="A912" t="s">
        <v>1051</v>
      </c>
      <c r="B912" t="s">
        <v>1106</v>
      </c>
      <c r="C912" t="s">
        <v>2288</v>
      </c>
      <c r="D912" t="s">
        <v>2289</v>
      </c>
      <c r="E912" t="s">
        <v>1060</v>
      </c>
      <c r="F912" t="s">
        <v>1061</v>
      </c>
      <c r="G912">
        <v>6101719</v>
      </c>
      <c r="H912">
        <v>202108</v>
      </c>
      <c r="I912">
        <v>44439</v>
      </c>
      <c r="J912">
        <v>122536</v>
      </c>
      <c r="K912" t="s">
        <v>1056</v>
      </c>
      <c r="M912" t="s">
        <v>355</v>
      </c>
      <c r="O912" t="s">
        <v>1145</v>
      </c>
      <c r="P912" t="s">
        <v>1146</v>
      </c>
      <c r="Q912" t="s">
        <v>357</v>
      </c>
      <c r="R912">
        <v>2069080</v>
      </c>
      <c r="S912" t="s">
        <v>355</v>
      </c>
      <c r="U912" t="s">
        <v>2295</v>
      </c>
      <c r="V912" t="s">
        <v>356</v>
      </c>
      <c r="W912">
        <v>437</v>
      </c>
      <c r="X912">
        <v>0.11</v>
      </c>
      <c r="Y912">
        <v>0.98</v>
      </c>
      <c r="Z912">
        <v>437</v>
      </c>
      <c r="AA912">
        <v>0</v>
      </c>
      <c r="AB912">
        <v>44443.928684027778</v>
      </c>
      <c r="AC912" t="s">
        <v>323</v>
      </c>
      <c r="AD912">
        <v>7</v>
      </c>
    </row>
    <row r="913" spans="1:30" x14ac:dyDescent="0.25">
      <c r="A913" t="s">
        <v>1051</v>
      </c>
      <c r="B913" t="s">
        <v>1106</v>
      </c>
      <c r="C913" t="s">
        <v>2288</v>
      </c>
      <c r="D913" t="s">
        <v>2289</v>
      </c>
      <c r="E913" t="s">
        <v>1060</v>
      </c>
      <c r="F913" t="s">
        <v>1061</v>
      </c>
      <c r="G913">
        <v>6101719</v>
      </c>
      <c r="H913">
        <v>202108</v>
      </c>
      <c r="I913">
        <v>44439</v>
      </c>
      <c r="J913">
        <v>122536</v>
      </c>
      <c r="K913" t="s">
        <v>1056</v>
      </c>
      <c r="M913" t="s">
        <v>355</v>
      </c>
      <c r="O913" t="s">
        <v>1145</v>
      </c>
      <c r="P913" t="s">
        <v>1146</v>
      </c>
      <c r="Q913" t="s">
        <v>357</v>
      </c>
      <c r="R913">
        <v>2069080</v>
      </c>
      <c r="S913" t="s">
        <v>355</v>
      </c>
      <c r="U913" t="s">
        <v>2295</v>
      </c>
      <c r="V913" t="s">
        <v>356</v>
      </c>
      <c r="W913">
        <v>437</v>
      </c>
      <c r="X913">
        <v>0.11</v>
      </c>
      <c r="Y913">
        <v>0.98</v>
      </c>
      <c r="Z913">
        <v>437</v>
      </c>
      <c r="AA913">
        <v>0</v>
      </c>
      <c r="AB913">
        <v>44443.928684224535</v>
      </c>
      <c r="AC913" t="s">
        <v>323</v>
      </c>
      <c r="AD913">
        <v>7</v>
      </c>
    </row>
    <row r="914" spans="1:30" x14ac:dyDescent="0.25">
      <c r="A914" t="s">
        <v>1051</v>
      </c>
      <c r="B914" t="s">
        <v>1106</v>
      </c>
      <c r="C914" t="s">
        <v>2288</v>
      </c>
      <c r="D914" t="s">
        <v>2289</v>
      </c>
      <c r="E914" t="s">
        <v>1060</v>
      </c>
      <c r="F914" t="s">
        <v>1061</v>
      </c>
      <c r="G914">
        <v>6101719</v>
      </c>
      <c r="H914">
        <v>202108</v>
      </c>
      <c r="I914">
        <v>44439</v>
      </c>
      <c r="J914">
        <v>122536</v>
      </c>
      <c r="K914" t="s">
        <v>1056</v>
      </c>
      <c r="M914" t="s">
        <v>355</v>
      </c>
      <c r="O914" t="s">
        <v>1145</v>
      </c>
      <c r="P914" t="s">
        <v>1146</v>
      </c>
      <c r="Q914" t="s">
        <v>357</v>
      </c>
      <c r="R914">
        <v>2069080</v>
      </c>
      <c r="S914" t="s">
        <v>355</v>
      </c>
      <c r="U914" t="s">
        <v>2295</v>
      </c>
      <c r="V914" t="s">
        <v>356</v>
      </c>
      <c r="W914">
        <v>437</v>
      </c>
      <c r="X914">
        <v>0.11</v>
      </c>
      <c r="Y914">
        <v>0.98</v>
      </c>
      <c r="Z914">
        <v>437</v>
      </c>
      <c r="AA914">
        <v>0</v>
      </c>
      <c r="AB914">
        <v>44443.928684224535</v>
      </c>
      <c r="AC914" t="s">
        <v>323</v>
      </c>
      <c r="AD914">
        <v>7</v>
      </c>
    </row>
    <row r="915" spans="1:30" x14ac:dyDescent="0.25">
      <c r="A915" t="s">
        <v>1051</v>
      </c>
      <c r="B915" t="s">
        <v>1106</v>
      </c>
      <c r="C915" t="s">
        <v>2288</v>
      </c>
      <c r="D915" t="s">
        <v>2289</v>
      </c>
      <c r="E915" t="s">
        <v>1060</v>
      </c>
      <c r="F915" t="s">
        <v>1061</v>
      </c>
      <c r="G915">
        <v>6101719</v>
      </c>
      <c r="H915">
        <v>202108</v>
      </c>
      <c r="I915">
        <v>44439</v>
      </c>
      <c r="J915">
        <v>122536</v>
      </c>
      <c r="K915" t="s">
        <v>1056</v>
      </c>
      <c r="M915" t="s">
        <v>355</v>
      </c>
      <c r="O915" t="s">
        <v>1145</v>
      </c>
      <c r="P915" t="s">
        <v>1146</v>
      </c>
      <c r="Q915" t="s">
        <v>357</v>
      </c>
      <c r="R915">
        <v>2069080</v>
      </c>
      <c r="S915" t="s">
        <v>355</v>
      </c>
      <c r="U915" t="s">
        <v>2295</v>
      </c>
      <c r="V915" t="s">
        <v>356</v>
      </c>
      <c r="W915">
        <v>437</v>
      </c>
      <c r="X915">
        <v>0.11</v>
      </c>
      <c r="Y915">
        <v>0.98</v>
      </c>
      <c r="Z915">
        <v>437</v>
      </c>
      <c r="AA915">
        <v>0</v>
      </c>
      <c r="AB915">
        <v>44443.928684224535</v>
      </c>
      <c r="AC915" t="s">
        <v>323</v>
      </c>
      <c r="AD915">
        <v>7</v>
      </c>
    </row>
    <row r="916" spans="1:30" x14ac:dyDescent="0.25">
      <c r="A916" t="s">
        <v>1051</v>
      </c>
      <c r="B916" t="s">
        <v>1106</v>
      </c>
      <c r="C916" t="s">
        <v>2288</v>
      </c>
      <c r="D916" t="s">
        <v>2289</v>
      </c>
      <c r="E916" t="s">
        <v>1060</v>
      </c>
      <c r="F916" t="s">
        <v>1061</v>
      </c>
      <c r="G916">
        <v>6101719</v>
      </c>
      <c r="H916">
        <v>202108</v>
      </c>
      <c r="I916">
        <v>44439</v>
      </c>
      <c r="J916">
        <v>122536</v>
      </c>
      <c r="K916" t="s">
        <v>1056</v>
      </c>
      <c r="M916" t="s">
        <v>355</v>
      </c>
      <c r="O916" t="s">
        <v>1145</v>
      </c>
      <c r="P916" t="s">
        <v>1146</v>
      </c>
      <c r="Q916" t="s">
        <v>357</v>
      </c>
      <c r="R916">
        <v>2069080</v>
      </c>
      <c r="S916" t="s">
        <v>355</v>
      </c>
      <c r="U916" t="s">
        <v>2295</v>
      </c>
      <c r="V916" t="s">
        <v>356</v>
      </c>
      <c r="W916">
        <v>437</v>
      </c>
      <c r="X916">
        <v>0.11</v>
      </c>
      <c r="Y916">
        <v>0.98</v>
      </c>
      <c r="Z916">
        <v>437</v>
      </c>
      <c r="AA916">
        <v>0</v>
      </c>
      <c r="AB916">
        <v>44443.928684224535</v>
      </c>
      <c r="AC916" t="s">
        <v>323</v>
      </c>
      <c r="AD916">
        <v>7</v>
      </c>
    </row>
    <row r="917" spans="1:30" x14ac:dyDescent="0.25">
      <c r="A917" t="s">
        <v>1051</v>
      </c>
      <c r="B917" t="s">
        <v>1106</v>
      </c>
      <c r="C917" t="s">
        <v>2288</v>
      </c>
      <c r="D917" t="s">
        <v>2289</v>
      </c>
      <c r="E917" t="s">
        <v>1060</v>
      </c>
      <c r="F917" t="s">
        <v>1061</v>
      </c>
      <c r="G917">
        <v>6101761</v>
      </c>
      <c r="H917">
        <v>202108</v>
      </c>
      <c r="I917">
        <v>44439</v>
      </c>
      <c r="J917">
        <v>122536</v>
      </c>
      <c r="K917" t="s">
        <v>1056</v>
      </c>
      <c r="M917" t="s">
        <v>355</v>
      </c>
      <c r="O917" t="s">
        <v>1145</v>
      </c>
      <c r="P917" t="s">
        <v>1146</v>
      </c>
      <c r="Q917" t="s">
        <v>357</v>
      </c>
      <c r="R917">
        <v>2069080</v>
      </c>
      <c r="S917" t="s">
        <v>355</v>
      </c>
      <c r="U917" t="s">
        <v>2295</v>
      </c>
      <c r="V917" t="s">
        <v>356</v>
      </c>
      <c r="W917">
        <v>208886</v>
      </c>
      <c r="X917">
        <v>54.05</v>
      </c>
      <c r="Y917">
        <v>470.65</v>
      </c>
      <c r="Z917">
        <v>208886</v>
      </c>
      <c r="AA917">
        <v>0</v>
      </c>
      <c r="AB917">
        <v>44445.714547372685</v>
      </c>
      <c r="AC917" t="s">
        <v>323</v>
      </c>
      <c r="AD917">
        <v>7</v>
      </c>
    </row>
    <row r="918" spans="1:30" x14ac:dyDescent="0.25">
      <c r="A918" t="s">
        <v>1051</v>
      </c>
      <c r="B918" t="s">
        <v>1106</v>
      </c>
      <c r="C918" t="s">
        <v>2288</v>
      </c>
      <c r="D918" t="s">
        <v>2289</v>
      </c>
      <c r="E918" t="s">
        <v>1060</v>
      </c>
      <c r="F918" t="s">
        <v>1061</v>
      </c>
      <c r="G918">
        <v>6101761</v>
      </c>
      <c r="H918">
        <v>202108</v>
      </c>
      <c r="I918">
        <v>44439</v>
      </c>
      <c r="J918">
        <v>122536</v>
      </c>
      <c r="K918" t="s">
        <v>1056</v>
      </c>
      <c r="M918" t="s">
        <v>355</v>
      </c>
      <c r="O918" t="s">
        <v>1145</v>
      </c>
      <c r="P918" t="s">
        <v>1146</v>
      </c>
      <c r="Q918" t="s">
        <v>357</v>
      </c>
      <c r="R918">
        <v>2069080</v>
      </c>
      <c r="S918" t="s">
        <v>355</v>
      </c>
      <c r="U918" t="s">
        <v>2295</v>
      </c>
      <c r="V918" t="s">
        <v>356</v>
      </c>
      <c r="W918">
        <v>874</v>
      </c>
      <c r="X918">
        <v>0.23</v>
      </c>
      <c r="Y918">
        <v>1.97</v>
      </c>
      <c r="Z918">
        <v>874</v>
      </c>
      <c r="AA918">
        <v>0</v>
      </c>
      <c r="AB918">
        <v>44445.714547569441</v>
      </c>
      <c r="AC918" t="s">
        <v>323</v>
      </c>
      <c r="AD918">
        <v>7</v>
      </c>
    </row>
    <row r="919" spans="1:30" x14ac:dyDescent="0.25">
      <c r="A919" t="s">
        <v>1051</v>
      </c>
      <c r="B919" t="s">
        <v>1106</v>
      </c>
      <c r="C919" t="s">
        <v>2288</v>
      </c>
      <c r="D919" t="s">
        <v>2289</v>
      </c>
      <c r="E919" t="s">
        <v>1060</v>
      </c>
      <c r="F919" t="s">
        <v>1061</v>
      </c>
      <c r="G919">
        <v>6101761</v>
      </c>
      <c r="H919">
        <v>202108</v>
      </c>
      <c r="I919">
        <v>44439</v>
      </c>
      <c r="J919">
        <v>122536</v>
      </c>
      <c r="K919" t="s">
        <v>1056</v>
      </c>
      <c r="M919" t="s">
        <v>355</v>
      </c>
      <c r="O919" t="s">
        <v>1145</v>
      </c>
      <c r="P919" t="s">
        <v>1146</v>
      </c>
      <c r="Q919" t="s">
        <v>357</v>
      </c>
      <c r="R919">
        <v>2069080</v>
      </c>
      <c r="S919" t="s">
        <v>355</v>
      </c>
      <c r="U919" t="s">
        <v>2295</v>
      </c>
      <c r="V919" t="s">
        <v>356</v>
      </c>
      <c r="W919">
        <v>1311</v>
      </c>
      <c r="X919">
        <v>0.34</v>
      </c>
      <c r="Y919">
        <v>2.95</v>
      </c>
      <c r="Z919">
        <v>1311</v>
      </c>
      <c r="AA919">
        <v>0</v>
      </c>
      <c r="AB919">
        <v>44445.714547569441</v>
      </c>
      <c r="AC919" t="s">
        <v>323</v>
      </c>
      <c r="AD919">
        <v>7</v>
      </c>
    </row>
    <row r="920" spans="1:30" x14ac:dyDescent="0.25">
      <c r="A920" t="s">
        <v>1051</v>
      </c>
      <c r="B920" t="s">
        <v>1106</v>
      </c>
      <c r="C920" t="s">
        <v>2288</v>
      </c>
      <c r="D920" t="s">
        <v>2289</v>
      </c>
      <c r="E920" t="s">
        <v>1060</v>
      </c>
      <c r="F920" t="s">
        <v>1061</v>
      </c>
      <c r="G920">
        <v>6101761</v>
      </c>
      <c r="H920">
        <v>202108</v>
      </c>
      <c r="I920">
        <v>44439</v>
      </c>
      <c r="J920">
        <v>122536</v>
      </c>
      <c r="K920" t="s">
        <v>1056</v>
      </c>
      <c r="M920" t="s">
        <v>355</v>
      </c>
      <c r="O920" t="s">
        <v>1145</v>
      </c>
      <c r="P920" t="s">
        <v>1146</v>
      </c>
      <c r="Q920" t="s">
        <v>357</v>
      </c>
      <c r="R920">
        <v>2069080</v>
      </c>
      <c r="S920" t="s">
        <v>355</v>
      </c>
      <c r="U920" t="s">
        <v>2295</v>
      </c>
      <c r="V920" t="s">
        <v>356</v>
      </c>
      <c r="W920">
        <v>874</v>
      </c>
      <c r="X920">
        <v>0.23</v>
      </c>
      <c r="Y920">
        <v>1.97</v>
      </c>
      <c r="Z920">
        <v>874</v>
      </c>
      <c r="AA920">
        <v>0</v>
      </c>
      <c r="AB920">
        <v>44445.714547569441</v>
      </c>
      <c r="AC920" t="s">
        <v>323</v>
      </c>
      <c r="AD920">
        <v>7</v>
      </c>
    </row>
    <row r="921" spans="1:30" x14ac:dyDescent="0.25">
      <c r="A921" t="s">
        <v>1051</v>
      </c>
      <c r="B921" t="s">
        <v>1106</v>
      </c>
      <c r="C921" t="s">
        <v>2288</v>
      </c>
      <c r="D921" t="s">
        <v>2289</v>
      </c>
      <c r="E921" t="s">
        <v>1060</v>
      </c>
      <c r="F921" t="s">
        <v>1061</v>
      </c>
      <c r="G921">
        <v>6101855</v>
      </c>
      <c r="H921">
        <v>202108</v>
      </c>
      <c r="I921">
        <v>44439</v>
      </c>
      <c r="J921">
        <v>122536</v>
      </c>
      <c r="K921" t="s">
        <v>1056</v>
      </c>
      <c r="M921" t="s">
        <v>355</v>
      </c>
      <c r="O921" t="s">
        <v>1145</v>
      </c>
      <c r="P921" t="s">
        <v>1146</v>
      </c>
      <c r="Q921" t="s">
        <v>357</v>
      </c>
      <c r="R921">
        <v>2069080</v>
      </c>
      <c r="S921" t="s">
        <v>355</v>
      </c>
      <c r="U921" t="s">
        <v>2296</v>
      </c>
      <c r="V921" t="s">
        <v>356</v>
      </c>
      <c r="W921">
        <v>437</v>
      </c>
      <c r="X921">
        <v>0.11</v>
      </c>
      <c r="Y921">
        <v>0.98</v>
      </c>
      <c r="Z921">
        <v>437</v>
      </c>
      <c r="AA921">
        <v>0</v>
      </c>
      <c r="AB921">
        <v>44448.020356828703</v>
      </c>
      <c r="AC921" t="s">
        <v>323</v>
      </c>
      <c r="AD921">
        <v>7</v>
      </c>
    </row>
    <row r="922" spans="1:30" x14ac:dyDescent="0.25">
      <c r="A922" t="s">
        <v>1051</v>
      </c>
      <c r="B922" t="s">
        <v>1106</v>
      </c>
      <c r="C922" t="s">
        <v>2288</v>
      </c>
      <c r="D922" t="s">
        <v>2289</v>
      </c>
      <c r="E922" t="s">
        <v>1060</v>
      </c>
      <c r="F922" t="s">
        <v>1061</v>
      </c>
      <c r="G922">
        <v>6101855</v>
      </c>
      <c r="H922">
        <v>202108</v>
      </c>
      <c r="I922">
        <v>44439</v>
      </c>
      <c r="J922">
        <v>122536</v>
      </c>
      <c r="K922" t="s">
        <v>1056</v>
      </c>
      <c r="M922" t="s">
        <v>355</v>
      </c>
      <c r="O922" t="s">
        <v>1145</v>
      </c>
      <c r="P922" t="s">
        <v>1146</v>
      </c>
      <c r="Q922" t="s">
        <v>357</v>
      </c>
      <c r="R922">
        <v>2069080</v>
      </c>
      <c r="S922" t="s">
        <v>355</v>
      </c>
      <c r="U922" t="s">
        <v>2296</v>
      </c>
      <c r="V922" t="s">
        <v>356</v>
      </c>
      <c r="W922">
        <v>437</v>
      </c>
      <c r="X922">
        <v>0.11</v>
      </c>
      <c r="Y922">
        <v>0.98</v>
      </c>
      <c r="Z922">
        <v>437</v>
      </c>
      <c r="AA922">
        <v>0</v>
      </c>
      <c r="AB922">
        <v>44448.020356828703</v>
      </c>
      <c r="AC922" t="s">
        <v>323</v>
      </c>
      <c r="AD922">
        <v>7</v>
      </c>
    </row>
    <row r="923" spans="1:30" x14ac:dyDescent="0.25">
      <c r="A923" t="s">
        <v>1051</v>
      </c>
      <c r="B923" t="s">
        <v>1106</v>
      </c>
      <c r="C923" t="s">
        <v>2288</v>
      </c>
      <c r="D923" t="s">
        <v>2289</v>
      </c>
      <c r="E923" t="s">
        <v>1060</v>
      </c>
      <c r="F923" t="s">
        <v>1061</v>
      </c>
      <c r="G923">
        <v>6101855</v>
      </c>
      <c r="H923">
        <v>202108</v>
      </c>
      <c r="I923">
        <v>44439</v>
      </c>
      <c r="J923">
        <v>122536</v>
      </c>
      <c r="K923" t="s">
        <v>1056</v>
      </c>
      <c r="M923" t="s">
        <v>355</v>
      </c>
      <c r="O923" t="s">
        <v>1145</v>
      </c>
      <c r="P923" t="s">
        <v>1146</v>
      </c>
      <c r="Q923" t="s">
        <v>357</v>
      </c>
      <c r="R923">
        <v>2069080</v>
      </c>
      <c r="S923" t="s">
        <v>355</v>
      </c>
      <c r="U923" t="s">
        <v>2296</v>
      </c>
      <c r="V923" t="s">
        <v>356</v>
      </c>
      <c r="W923">
        <v>437</v>
      </c>
      <c r="X923">
        <v>0.11</v>
      </c>
      <c r="Y923">
        <v>0.98</v>
      </c>
      <c r="Z923">
        <v>437</v>
      </c>
      <c r="AA923">
        <v>0</v>
      </c>
      <c r="AB923">
        <v>44448.020356828703</v>
      </c>
      <c r="AC923" t="s">
        <v>323</v>
      </c>
      <c r="AD923">
        <v>7</v>
      </c>
    </row>
    <row r="924" spans="1:30" x14ac:dyDescent="0.25">
      <c r="A924" t="s">
        <v>1051</v>
      </c>
      <c r="B924" t="s">
        <v>1106</v>
      </c>
      <c r="C924" t="s">
        <v>2288</v>
      </c>
      <c r="D924" t="s">
        <v>2289</v>
      </c>
      <c r="E924" t="s">
        <v>1060</v>
      </c>
      <c r="F924" t="s">
        <v>1061</v>
      </c>
      <c r="G924">
        <v>6101717</v>
      </c>
      <c r="H924">
        <v>202108</v>
      </c>
      <c r="I924">
        <v>44439</v>
      </c>
      <c r="J924">
        <v>122536</v>
      </c>
      <c r="K924" t="s">
        <v>1056</v>
      </c>
      <c r="M924" t="s">
        <v>355</v>
      </c>
      <c r="O924" t="s">
        <v>1145</v>
      </c>
      <c r="P924" t="s">
        <v>1146</v>
      </c>
      <c r="Q924" t="s">
        <v>357</v>
      </c>
      <c r="R924">
        <v>2069080</v>
      </c>
      <c r="S924" t="s">
        <v>355</v>
      </c>
      <c r="U924" t="s">
        <v>2297</v>
      </c>
      <c r="V924" t="s">
        <v>356</v>
      </c>
      <c r="W924">
        <v>239590</v>
      </c>
      <c r="X924">
        <v>61.99</v>
      </c>
      <c r="Y924">
        <v>539.83000000000004</v>
      </c>
      <c r="Z924">
        <v>239590</v>
      </c>
      <c r="AA924">
        <v>0</v>
      </c>
      <c r="AB924">
        <v>44443.908521562502</v>
      </c>
      <c r="AC924" t="s">
        <v>323</v>
      </c>
      <c r="AD924">
        <v>7</v>
      </c>
    </row>
    <row r="925" spans="1:30" x14ac:dyDescent="0.25">
      <c r="A925" t="s">
        <v>1051</v>
      </c>
      <c r="B925" t="s">
        <v>1106</v>
      </c>
      <c r="C925" t="s">
        <v>2288</v>
      </c>
      <c r="D925" t="s">
        <v>2289</v>
      </c>
      <c r="E925" t="s">
        <v>1060</v>
      </c>
      <c r="F925" t="s">
        <v>1061</v>
      </c>
      <c r="G925">
        <v>6101855</v>
      </c>
      <c r="H925">
        <v>202108</v>
      </c>
      <c r="I925">
        <v>44439</v>
      </c>
      <c r="J925">
        <v>122536</v>
      </c>
      <c r="K925" t="s">
        <v>1056</v>
      </c>
      <c r="M925" t="s">
        <v>355</v>
      </c>
      <c r="O925" t="s">
        <v>1145</v>
      </c>
      <c r="P925" t="s">
        <v>1146</v>
      </c>
      <c r="Q925" t="s">
        <v>357</v>
      </c>
      <c r="R925">
        <v>2069080</v>
      </c>
      <c r="S925" t="s">
        <v>355</v>
      </c>
      <c r="U925" t="s">
        <v>2296</v>
      </c>
      <c r="V925" t="s">
        <v>356</v>
      </c>
      <c r="W925">
        <v>437</v>
      </c>
      <c r="X925">
        <v>0.11</v>
      </c>
      <c r="Y925">
        <v>0.98</v>
      </c>
      <c r="Z925">
        <v>437</v>
      </c>
      <c r="AA925">
        <v>0</v>
      </c>
      <c r="AB925">
        <v>44448.020356631947</v>
      </c>
      <c r="AC925" t="s">
        <v>323</v>
      </c>
      <c r="AD925">
        <v>7</v>
      </c>
    </row>
    <row r="926" spans="1:30" x14ac:dyDescent="0.25">
      <c r="A926" t="s">
        <v>1051</v>
      </c>
      <c r="B926" t="s">
        <v>1106</v>
      </c>
      <c r="C926" t="s">
        <v>2288</v>
      </c>
      <c r="D926" t="s">
        <v>2289</v>
      </c>
      <c r="E926" t="s">
        <v>1060</v>
      </c>
      <c r="F926" t="s">
        <v>1061</v>
      </c>
      <c r="G926">
        <v>6101855</v>
      </c>
      <c r="H926">
        <v>202108</v>
      </c>
      <c r="I926">
        <v>44439</v>
      </c>
      <c r="J926">
        <v>122536</v>
      </c>
      <c r="K926" t="s">
        <v>1056</v>
      </c>
      <c r="M926" t="s">
        <v>355</v>
      </c>
      <c r="O926" t="s">
        <v>1145</v>
      </c>
      <c r="P926" t="s">
        <v>1146</v>
      </c>
      <c r="Q926" t="s">
        <v>357</v>
      </c>
      <c r="R926">
        <v>2069080</v>
      </c>
      <c r="S926" t="s">
        <v>355</v>
      </c>
      <c r="U926" t="s">
        <v>2296</v>
      </c>
      <c r="V926" t="s">
        <v>356</v>
      </c>
      <c r="W926">
        <v>437</v>
      </c>
      <c r="X926">
        <v>0.11</v>
      </c>
      <c r="Y926">
        <v>0.98</v>
      </c>
      <c r="Z926">
        <v>437</v>
      </c>
      <c r="AA926">
        <v>0</v>
      </c>
      <c r="AB926">
        <v>44448.020356631947</v>
      </c>
      <c r="AC926" t="s">
        <v>323</v>
      </c>
      <c r="AD926">
        <v>7</v>
      </c>
    </row>
    <row r="927" spans="1:30" x14ac:dyDescent="0.25">
      <c r="A927" t="s">
        <v>1051</v>
      </c>
      <c r="B927" t="s">
        <v>1106</v>
      </c>
      <c r="C927" t="s">
        <v>2288</v>
      </c>
      <c r="D927" t="s">
        <v>2289</v>
      </c>
      <c r="E927" t="s">
        <v>1060</v>
      </c>
      <c r="F927" t="s">
        <v>1061</v>
      </c>
      <c r="G927">
        <v>6101719</v>
      </c>
      <c r="H927">
        <v>202108</v>
      </c>
      <c r="I927">
        <v>44439</v>
      </c>
      <c r="J927">
        <v>122536</v>
      </c>
      <c r="K927" t="s">
        <v>1056</v>
      </c>
      <c r="M927" t="s">
        <v>355</v>
      </c>
      <c r="O927" t="s">
        <v>1145</v>
      </c>
      <c r="P927" t="s">
        <v>1146</v>
      </c>
      <c r="Q927" t="s">
        <v>357</v>
      </c>
      <c r="R927">
        <v>2069080</v>
      </c>
      <c r="S927" t="s">
        <v>355</v>
      </c>
      <c r="U927" t="s">
        <v>2295</v>
      </c>
      <c r="V927" t="s">
        <v>356</v>
      </c>
      <c r="W927">
        <v>437</v>
      </c>
      <c r="X927">
        <v>0.11</v>
      </c>
      <c r="Y927">
        <v>0.98</v>
      </c>
      <c r="Z927">
        <v>437</v>
      </c>
      <c r="AA927">
        <v>0</v>
      </c>
      <c r="AB927">
        <v>44443.928683831022</v>
      </c>
      <c r="AC927" t="s">
        <v>323</v>
      </c>
      <c r="AD927">
        <v>7</v>
      </c>
    </row>
    <row r="928" spans="1:30" x14ac:dyDescent="0.25">
      <c r="A928" t="s">
        <v>1051</v>
      </c>
      <c r="B928" t="s">
        <v>1106</v>
      </c>
      <c r="C928" t="s">
        <v>2288</v>
      </c>
      <c r="D928" t="s">
        <v>2289</v>
      </c>
      <c r="E928" t="s">
        <v>1060</v>
      </c>
      <c r="F928" t="s">
        <v>1061</v>
      </c>
      <c r="G928">
        <v>6101719</v>
      </c>
      <c r="H928">
        <v>202108</v>
      </c>
      <c r="I928">
        <v>44439</v>
      </c>
      <c r="J928">
        <v>122536</v>
      </c>
      <c r="K928" t="s">
        <v>1056</v>
      </c>
      <c r="M928" t="s">
        <v>355</v>
      </c>
      <c r="O928" t="s">
        <v>1145</v>
      </c>
      <c r="P928" t="s">
        <v>1146</v>
      </c>
      <c r="Q928" t="s">
        <v>357</v>
      </c>
      <c r="R928">
        <v>2069080</v>
      </c>
      <c r="S928" t="s">
        <v>355</v>
      </c>
      <c r="U928" t="s">
        <v>2295</v>
      </c>
      <c r="V928" t="s">
        <v>356</v>
      </c>
      <c r="W928">
        <v>437</v>
      </c>
      <c r="X928">
        <v>0.11</v>
      </c>
      <c r="Y928">
        <v>0.98</v>
      </c>
      <c r="Z928">
        <v>437</v>
      </c>
      <c r="AA928">
        <v>0</v>
      </c>
      <c r="AB928">
        <v>44443.928683831022</v>
      </c>
      <c r="AC928" t="s">
        <v>323</v>
      </c>
      <c r="AD928">
        <v>7</v>
      </c>
    </row>
    <row r="929" spans="1:30" x14ac:dyDescent="0.25">
      <c r="A929" t="s">
        <v>1051</v>
      </c>
      <c r="B929" t="s">
        <v>1106</v>
      </c>
      <c r="C929" t="s">
        <v>2288</v>
      </c>
      <c r="D929" t="s">
        <v>2289</v>
      </c>
      <c r="E929" t="s">
        <v>1060</v>
      </c>
      <c r="F929" t="s">
        <v>1061</v>
      </c>
      <c r="G929">
        <v>6101719</v>
      </c>
      <c r="H929">
        <v>202108</v>
      </c>
      <c r="I929">
        <v>44439</v>
      </c>
      <c r="J929">
        <v>122536</v>
      </c>
      <c r="K929" t="s">
        <v>1056</v>
      </c>
      <c r="M929" t="s">
        <v>355</v>
      </c>
      <c r="O929" t="s">
        <v>1145</v>
      </c>
      <c r="P929" t="s">
        <v>1146</v>
      </c>
      <c r="Q929" t="s">
        <v>357</v>
      </c>
      <c r="R929">
        <v>2069080</v>
      </c>
      <c r="S929" t="s">
        <v>355</v>
      </c>
      <c r="U929" t="s">
        <v>2295</v>
      </c>
      <c r="V929" t="s">
        <v>356</v>
      </c>
      <c r="W929">
        <v>437</v>
      </c>
      <c r="X929">
        <v>0.11</v>
      </c>
      <c r="Y929">
        <v>0.98</v>
      </c>
      <c r="Z929">
        <v>437</v>
      </c>
      <c r="AA929">
        <v>0</v>
      </c>
      <c r="AB929">
        <v>44443.928683831022</v>
      </c>
      <c r="AC929" t="s">
        <v>323</v>
      </c>
      <c r="AD929">
        <v>7</v>
      </c>
    </row>
    <row r="930" spans="1:30" x14ac:dyDescent="0.25">
      <c r="A930" t="s">
        <v>1051</v>
      </c>
      <c r="B930" t="s">
        <v>1106</v>
      </c>
      <c r="C930" t="s">
        <v>2288</v>
      </c>
      <c r="D930" t="s">
        <v>2289</v>
      </c>
      <c r="E930" t="s">
        <v>1060</v>
      </c>
      <c r="F930" t="s">
        <v>1061</v>
      </c>
      <c r="G930">
        <v>6101719</v>
      </c>
      <c r="H930">
        <v>202108</v>
      </c>
      <c r="I930">
        <v>44439</v>
      </c>
      <c r="J930">
        <v>122536</v>
      </c>
      <c r="K930" t="s">
        <v>1056</v>
      </c>
      <c r="M930" t="s">
        <v>355</v>
      </c>
      <c r="O930" t="s">
        <v>1145</v>
      </c>
      <c r="P930" t="s">
        <v>1146</v>
      </c>
      <c r="Q930" t="s">
        <v>357</v>
      </c>
      <c r="R930">
        <v>2069080</v>
      </c>
      <c r="S930" t="s">
        <v>355</v>
      </c>
      <c r="U930" t="s">
        <v>2295</v>
      </c>
      <c r="V930" t="s">
        <v>356</v>
      </c>
      <c r="W930">
        <v>437</v>
      </c>
      <c r="X930">
        <v>0.11</v>
      </c>
      <c r="Y930">
        <v>0.98</v>
      </c>
      <c r="Z930">
        <v>437</v>
      </c>
      <c r="AA930">
        <v>0</v>
      </c>
      <c r="AB930">
        <v>44443.928683831022</v>
      </c>
      <c r="AC930" t="s">
        <v>323</v>
      </c>
      <c r="AD930">
        <v>7</v>
      </c>
    </row>
    <row r="931" spans="1:30" x14ac:dyDescent="0.25">
      <c r="A931" t="s">
        <v>1051</v>
      </c>
      <c r="B931" t="s">
        <v>1106</v>
      </c>
      <c r="C931" t="s">
        <v>2288</v>
      </c>
      <c r="D931" t="s">
        <v>2289</v>
      </c>
      <c r="E931" t="s">
        <v>1060</v>
      </c>
      <c r="F931" t="s">
        <v>1061</v>
      </c>
      <c r="G931">
        <v>6101719</v>
      </c>
      <c r="H931">
        <v>202108</v>
      </c>
      <c r="I931">
        <v>44439</v>
      </c>
      <c r="J931">
        <v>122536</v>
      </c>
      <c r="K931" t="s">
        <v>1056</v>
      </c>
      <c r="M931" t="s">
        <v>355</v>
      </c>
      <c r="O931" t="s">
        <v>1145</v>
      </c>
      <c r="P931" t="s">
        <v>1146</v>
      </c>
      <c r="Q931" t="s">
        <v>357</v>
      </c>
      <c r="R931">
        <v>2069080</v>
      </c>
      <c r="S931" t="s">
        <v>355</v>
      </c>
      <c r="U931" t="s">
        <v>2295</v>
      </c>
      <c r="V931" t="s">
        <v>356</v>
      </c>
      <c r="W931">
        <v>437</v>
      </c>
      <c r="X931">
        <v>0.11</v>
      </c>
      <c r="Y931">
        <v>0.98</v>
      </c>
      <c r="Z931">
        <v>437</v>
      </c>
      <c r="AA931">
        <v>0</v>
      </c>
      <c r="AB931">
        <v>44443.928684027778</v>
      </c>
      <c r="AC931" t="s">
        <v>323</v>
      </c>
      <c r="AD931">
        <v>7</v>
      </c>
    </row>
    <row r="932" spans="1:30" x14ac:dyDescent="0.25">
      <c r="A932" t="s">
        <v>1051</v>
      </c>
      <c r="B932" t="s">
        <v>1106</v>
      </c>
      <c r="C932" t="s">
        <v>2288</v>
      </c>
      <c r="D932" t="s">
        <v>2289</v>
      </c>
      <c r="E932" t="s">
        <v>1060</v>
      </c>
      <c r="F932" t="s">
        <v>1061</v>
      </c>
      <c r="G932">
        <v>6101719</v>
      </c>
      <c r="H932">
        <v>202108</v>
      </c>
      <c r="I932">
        <v>44439</v>
      </c>
      <c r="J932">
        <v>122536</v>
      </c>
      <c r="K932" t="s">
        <v>1056</v>
      </c>
      <c r="M932" t="s">
        <v>355</v>
      </c>
      <c r="O932" t="s">
        <v>1145</v>
      </c>
      <c r="P932" t="s">
        <v>1146</v>
      </c>
      <c r="Q932" t="s">
        <v>357</v>
      </c>
      <c r="R932">
        <v>2069080</v>
      </c>
      <c r="S932" t="s">
        <v>355</v>
      </c>
      <c r="U932" t="s">
        <v>2295</v>
      </c>
      <c r="V932" t="s">
        <v>356</v>
      </c>
      <c r="W932">
        <v>437</v>
      </c>
      <c r="X932">
        <v>0.11</v>
      </c>
      <c r="Y932">
        <v>0.98</v>
      </c>
      <c r="Z932">
        <v>437</v>
      </c>
      <c r="AA932">
        <v>0</v>
      </c>
      <c r="AB932">
        <v>44443.928684027778</v>
      </c>
      <c r="AC932" t="s">
        <v>323</v>
      </c>
      <c r="AD932">
        <v>7</v>
      </c>
    </row>
    <row r="933" spans="1:30" x14ac:dyDescent="0.25">
      <c r="A933" t="s">
        <v>1051</v>
      </c>
      <c r="B933" t="s">
        <v>1106</v>
      </c>
      <c r="C933" t="s">
        <v>2288</v>
      </c>
      <c r="D933" t="s">
        <v>2289</v>
      </c>
      <c r="E933" t="s">
        <v>1060</v>
      </c>
      <c r="F933" t="s">
        <v>1061</v>
      </c>
      <c r="G933">
        <v>6101719</v>
      </c>
      <c r="H933">
        <v>202108</v>
      </c>
      <c r="I933">
        <v>44439</v>
      </c>
      <c r="J933">
        <v>122536</v>
      </c>
      <c r="K933" t="s">
        <v>1056</v>
      </c>
      <c r="M933" t="s">
        <v>355</v>
      </c>
      <c r="O933" t="s">
        <v>1145</v>
      </c>
      <c r="P933" t="s">
        <v>1146</v>
      </c>
      <c r="Q933" t="s">
        <v>357</v>
      </c>
      <c r="R933">
        <v>2069080</v>
      </c>
      <c r="S933" t="s">
        <v>355</v>
      </c>
      <c r="U933" t="s">
        <v>2295</v>
      </c>
      <c r="V933" t="s">
        <v>356</v>
      </c>
      <c r="W933">
        <v>437</v>
      </c>
      <c r="X933">
        <v>0.11</v>
      </c>
      <c r="Y933">
        <v>0.98</v>
      </c>
      <c r="Z933">
        <v>437</v>
      </c>
      <c r="AA933">
        <v>0</v>
      </c>
      <c r="AB933">
        <v>44443.928684027778</v>
      </c>
      <c r="AC933" t="s">
        <v>323</v>
      </c>
      <c r="AD933">
        <v>7</v>
      </c>
    </row>
    <row r="934" spans="1:30" x14ac:dyDescent="0.25">
      <c r="A934" t="s">
        <v>1051</v>
      </c>
      <c r="B934" t="s">
        <v>1106</v>
      </c>
      <c r="C934" t="s">
        <v>2288</v>
      </c>
      <c r="D934" t="s">
        <v>2289</v>
      </c>
      <c r="E934" t="s">
        <v>1060</v>
      </c>
      <c r="F934" t="s">
        <v>1061</v>
      </c>
      <c r="G934">
        <v>6101855</v>
      </c>
      <c r="H934">
        <v>202108</v>
      </c>
      <c r="I934">
        <v>44439</v>
      </c>
      <c r="J934">
        <v>122536</v>
      </c>
      <c r="K934" t="s">
        <v>1056</v>
      </c>
      <c r="M934" t="s">
        <v>355</v>
      </c>
      <c r="O934" t="s">
        <v>1145</v>
      </c>
      <c r="P934" t="s">
        <v>1146</v>
      </c>
      <c r="Q934" t="s">
        <v>357</v>
      </c>
      <c r="R934">
        <v>2069080</v>
      </c>
      <c r="S934" t="s">
        <v>355</v>
      </c>
      <c r="U934" t="s">
        <v>2296</v>
      </c>
      <c r="V934" t="s">
        <v>356</v>
      </c>
      <c r="W934">
        <v>437</v>
      </c>
      <c r="X934">
        <v>0.11</v>
      </c>
      <c r="Y934">
        <v>0.98</v>
      </c>
      <c r="Z934">
        <v>437</v>
      </c>
      <c r="AA934">
        <v>0</v>
      </c>
      <c r="AB934">
        <v>44448.020357372683</v>
      </c>
      <c r="AC934" t="s">
        <v>323</v>
      </c>
      <c r="AD934">
        <v>7</v>
      </c>
    </row>
    <row r="935" spans="1:30" x14ac:dyDescent="0.25">
      <c r="A935" t="s">
        <v>1051</v>
      </c>
      <c r="B935" t="s">
        <v>1106</v>
      </c>
      <c r="C935" t="s">
        <v>2288</v>
      </c>
      <c r="D935" t="s">
        <v>2289</v>
      </c>
      <c r="E935" t="s">
        <v>1060</v>
      </c>
      <c r="F935" t="s">
        <v>1061</v>
      </c>
      <c r="G935">
        <v>6101855</v>
      </c>
      <c r="H935">
        <v>202108</v>
      </c>
      <c r="I935">
        <v>44439</v>
      </c>
      <c r="J935">
        <v>122536</v>
      </c>
      <c r="K935" t="s">
        <v>1056</v>
      </c>
      <c r="M935" t="s">
        <v>355</v>
      </c>
      <c r="O935" t="s">
        <v>1145</v>
      </c>
      <c r="P935" t="s">
        <v>1146</v>
      </c>
      <c r="Q935" t="s">
        <v>357</v>
      </c>
      <c r="R935">
        <v>2069080</v>
      </c>
      <c r="S935" t="s">
        <v>355</v>
      </c>
      <c r="U935" t="s">
        <v>2296</v>
      </c>
      <c r="V935" t="s">
        <v>356</v>
      </c>
      <c r="W935">
        <v>437</v>
      </c>
      <c r="X935">
        <v>0.11</v>
      </c>
      <c r="Y935">
        <v>0.98</v>
      </c>
      <c r="Z935">
        <v>437</v>
      </c>
      <c r="AA935">
        <v>0</v>
      </c>
      <c r="AB935">
        <v>44448.02035702546</v>
      </c>
      <c r="AC935" t="s">
        <v>323</v>
      </c>
      <c r="AD935">
        <v>7</v>
      </c>
    </row>
    <row r="936" spans="1:30" x14ac:dyDescent="0.25">
      <c r="A936" t="s">
        <v>1051</v>
      </c>
      <c r="B936" t="s">
        <v>1106</v>
      </c>
      <c r="C936" t="s">
        <v>2288</v>
      </c>
      <c r="D936" t="s">
        <v>2289</v>
      </c>
      <c r="E936" t="s">
        <v>1060</v>
      </c>
      <c r="F936" t="s">
        <v>1061</v>
      </c>
      <c r="G936">
        <v>6101855</v>
      </c>
      <c r="H936">
        <v>202108</v>
      </c>
      <c r="I936">
        <v>44439</v>
      </c>
      <c r="J936">
        <v>122536</v>
      </c>
      <c r="K936" t="s">
        <v>1056</v>
      </c>
      <c r="M936" t="s">
        <v>355</v>
      </c>
      <c r="O936" t="s">
        <v>1145</v>
      </c>
      <c r="P936" t="s">
        <v>1146</v>
      </c>
      <c r="Q936" t="s">
        <v>357</v>
      </c>
      <c r="R936">
        <v>2069080</v>
      </c>
      <c r="S936" t="s">
        <v>355</v>
      </c>
      <c r="U936" t="s">
        <v>2296</v>
      </c>
      <c r="V936" t="s">
        <v>356</v>
      </c>
      <c r="W936">
        <v>437</v>
      </c>
      <c r="X936">
        <v>0.11</v>
      </c>
      <c r="Y936">
        <v>0.98</v>
      </c>
      <c r="Z936">
        <v>437</v>
      </c>
      <c r="AA936">
        <v>0</v>
      </c>
      <c r="AB936">
        <v>44448.02035702546</v>
      </c>
      <c r="AC936" t="s">
        <v>323</v>
      </c>
      <c r="AD936">
        <v>7</v>
      </c>
    </row>
    <row r="937" spans="1:30" x14ac:dyDescent="0.25">
      <c r="A937" t="s">
        <v>1051</v>
      </c>
      <c r="B937" t="s">
        <v>1106</v>
      </c>
      <c r="C937" t="s">
        <v>2288</v>
      </c>
      <c r="D937" t="s">
        <v>2289</v>
      </c>
      <c r="E937" t="s">
        <v>1060</v>
      </c>
      <c r="F937" t="s">
        <v>1061</v>
      </c>
      <c r="G937">
        <v>6101855</v>
      </c>
      <c r="H937">
        <v>202108</v>
      </c>
      <c r="I937">
        <v>44439</v>
      </c>
      <c r="J937">
        <v>122536</v>
      </c>
      <c r="K937" t="s">
        <v>1056</v>
      </c>
      <c r="M937" t="s">
        <v>355</v>
      </c>
      <c r="O937" t="s">
        <v>1145</v>
      </c>
      <c r="P937" t="s">
        <v>1146</v>
      </c>
      <c r="Q937" t="s">
        <v>357</v>
      </c>
      <c r="R937">
        <v>2069080</v>
      </c>
      <c r="S937" t="s">
        <v>355</v>
      </c>
      <c r="U937" t="s">
        <v>2296</v>
      </c>
      <c r="V937" t="s">
        <v>356</v>
      </c>
      <c r="W937">
        <v>437</v>
      </c>
      <c r="X937">
        <v>0.11</v>
      </c>
      <c r="Y937">
        <v>0.98</v>
      </c>
      <c r="Z937">
        <v>437</v>
      </c>
      <c r="AA937">
        <v>0</v>
      </c>
      <c r="AB937">
        <v>44448.02035702546</v>
      </c>
      <c r="AC937" t="s">
        <v>323</v>
      </c>
      <c r="AD937">
        <v>7</v>
      </c>
    </row>
    <row r="938" spans="1:30" x14ac:dyDescent="0.25">
      <c r="A938" t="s">
        <v>1051</v>
      </c>
      <c r="B938" t="s">
        <v>1106</v>
      </c>
      <c r="C938" t="s">
        <v>2288</v>
      </c>
      <c r="D938" t="s">
        <v>2289</v>
      </c>
      <c r="E938" t="s">
        <v>1060</v>
      </c>
      <c r="F938" t="s">
        <v>1061</v>
      </c>
      <c r="G938">
        <v>6101855</v>
      </c>
      <c r="H938">
        <v>202108</v>
      </c>
      <c r="I938">
        <v>44439</v>
      </c>
      <c r="J938">
        <v>122536</v>
      </c>
      <c r="K938" t="s">
        <v>1056</v>
      </c>
      <c r="M938" t="s">
        <v>355</v>
      </c>
      <c r="O938" t="s">
        <v>1145</v>
      </c>
      <c r="P938" t="s">
        <v>1146</v>
      </c>
      <c r="Q938" t="s">
        <v>357</v>
      </c>
      <c r="R938">
        <v>2069080</v>
      </c>
      <c r="S938" t="s">
        <v>355</v>
      </c>
      <c r="U938" t="s">
        <v>2296</v>
      </c>
      <c r="V938" t="s">
        <v>356</v>
      </c>
      <c r="W938">
        <v>437</v>
      </c>
      <c r="X938">
        <v>0.11</v>
      </c>
      <c r="Y938">
        <v>0.98</v>
      </c>
      <c r="Z938">
        <v>437</v>
      </c>
      <c r="AA938">
        <v>0</v>
      </c>
      <c r="AB938">
        <v>44448.020357175927</v>
      </c>
      <c r="AC938" t="s">
        <v>323</v>
      </c>
      <c r="AD938">
        <v>7</v>
      </c>
    </row>
    <row r="939" spans="1:30" x14ac:dyDescent="0.25">
      <c r="A939" t="s">
        <v>1051</v>
      </c>
      <c r="B939" t="s">
        <v>1106</v>
      </c>
      <c r="C939" t="s">
        <v>2288</v>
      </c>
      <c r="D939" t="s">
        <v>2289</v>
      </c>
      <c r="E939" t="s">
        <v>1060</v>
      </c>
      <c r="F939" t="s">
        <v>1061</v>
      </c>
      <c r="G939">
        <v>6101855</v>
      </c>
      <c r="H939">
        <v>202108</v>
      </c>
      <c r="I939">
        <v>44439</v>
      </c>
      <c r="J939">
        <v>122536</v>
      </c>
      <c r="K939" t="s">
        <v>1056</v>
      </c>
      <c r="M939" t="s">
        <v>355</v>
      </c>
      <c r="O939" t="s">
        <v>1145</v>
      </c>
      <c r="P939" t="s">
        <v>1146</v>
      </c>
      <c r="Q939" t="s">
        <v>357</v>
      </c>
      <c r="R939">
        <v>2069080</v>
      </c>
      <c r="S939" t="s">
        <v>355</v>
      </c>
      <c r="U939" t="s">
        <v>2296</v>
      </c>
      <c r="V939" t="s">
        <v>356</v>
      </c>
      <c r="W939">
        <v>437</v>
      </c>
      <c r="X939">
        <v>0.11</v>
      </c>
      <c r="Y939">
        <v>0.98</v>
      </c>
      <c r="Z939">
        <v>437</v>
      </c>
      <c r="AA939">
        <v>0</v>
      </c>
      <c r="AB939">
        <v>44448.020357175927</v>
      </c>
      <c r="AC939" t="s">
        <v>323</v>
      </c>
      <c r="AD939">
        <v>7</v>
      </c>
    </row>
    <row r="940" spans="1:30" x14ac:dyDescent="0.25">
      <c r="A940" t="s">
        <v>1051</v>
      </c>
      <c r="B940" t="s">
        <v>1106</v>
      </c>
      <c r="C940" t="s">
        <v>2288</v>
      </c>
      <c r="D940" t="s">
        <v>2289</v>
      </c>
      <c r="E940" t="s">
        <v>1060</v>
      </c>
      <c r="F940" t="s">
        <v>1061</v>
      </c>
      <c r="G940">
        <v>6101766</v>
      </c>
      <c r="H940">
        <v>202108</v>
      </c>
      <c r="I940">
        <v>44439</v>
      </c>
      <c r="J940">
        <v>122536</v>
      </c>
      <c r="K940" t="s">
        <v>1056</v>
      </c>
      <c r="M940" t="s">
        <v>355</v>
      </c>
      <c r="O940" t="s">
        <v>1145</v>
      </c>
      <c r="P940" t="s">
        <v>1146</v>
      </c>
      <c r="Q940" t="s">
        <v>357</v>
      </c>
      <c r="R940">
        <v>2069080</v>
      </c>
      <c r="S940" t="s">
        <v>355</v>
      </c>
      <c r="U940" t="s">
        <v>1148</v>
      </c>
      <c r="V940" t="s">
        <v>356</v>
      </c>
      <c r="W940">
        <v>437</v>
      </c>
      <c r="X940">
        <v>0.11</v>
      </c>
      <c r="Y940">
        <v>0.98</v>
      </c>
      <c r="Z940">
        <v>437</v>
      </c>
      <c r="AA940">
        <v>0</v>
      </c>
      <c r="AB940">
        <v>44445.786312997683</v>
      </c>
      <c r="AC940" t="s">
        <v>323</v>
      </c>
      <c r="AD940">
        <v>7</v>
      </c>
    </row>
    <row r="941" spans="1:30" x14ac:dyDescent="0.25">
      <c r="A941" t="s">
        <v>1051</v>
      </c>
      <c r="B941" t="s">
        <v>1106</v>
      </c>
      <c r="C941" t="s">
        <v>2288</v>
      </c>
      <c r="D941" t="s">
        <v>2289</v>
      </c>
      <c r="E941" t="s">
        <v>1060</v>
      </c>
      <c r="F941" t="s">
        <v>1061</v>
      </c>
      <c r="G941">
        <v>6101766</v>
      </c>
      <c r="H941">
        <v>202108</v>
      </c>
      <c r="I941">
        <v>44439</v>
      </c>
      <c r="J941">
        <v>122536</v>
      </c>
      <c r="K941" t="s">
        <v>1056</v>
      </c>
      <c r="M941" t="s">
        <v>355</v>
      </c>
      <c r="O941" t="s">
        <v>1145</v>
      </c>
      <c r="P941" t="s">
        <v>1146</v>
      </c>
      <c r="Q941" t="s">
        <v>357</v>
      </c>
      <c r="R941">
        <v>2069080</v>
      </c>
      <c r="S941" t="s">
        <v>355</v>
      </c>
      <c r="U941" t="s">
        <v>1148</v>
      </c>
      <c r="V941" t="s">
        <v>356</v>
      </c>
      <c r="W941">
        <v>437</v>
      </c>
      <c r="X941">
        <v>0.11</v>
      </c>
      <c r="Y941">
        <v>0.98</v>
      </c>
      <c r="Z941">
        <v>437</v>
      </c>
      <c r="AA941">
        <v>0</v>
      </c>
      <c r="AB941">
        <v>44445.786313194447</v>
      </c>
      <c r="AC941" t="s">
        <v>323</v>
      </c>
      <c r="AD941">
        <v>7</v>
      </c>
    </row>
    <row r="942" spans="1:30" x14ac:dyDescent="0.25">
      <c r="A942" t="s">
        <v>1051</v>
      </c>
      <c r="B942" t="s">
        <v>1106</v>
      </c>
      <c r="C942" t="s">
        <v>2288</v>
      </c>
      <c r="D942" t="s">
        <v>2289</v>
      </c>
      <c r="E942" t="s">
        <v>1060</v>
      </c>
      <c r="F942" t="s">
        <v>1061</v>
      </c>
      <c r="G942">
        <v>6101766</v>
      </c>
      <c r="H942">
        <v>202108</v>
      </c>
      <c r="I942">
        <v>44439</v>
      </c>
      <c r="J942">
        <v>122536</v>
      </c>
      <c r="K942" t="s">
        <v>1056</v>
      </c>
      <c r="M942" t="s">
        <v>355</v>
      </c>
      <c r="O942" t="s">
        <v>1145</v>
      </c>
      <c r="P942" t="s">
        <v>1146</v>
      </c>
      <c r="Q942" t="s">
        <v>357</v>
      </c>
      <c r="R942">
        <v>2069080</v>
      </c>
      <c r="S942" t="s">
        <v>355</v>
      </c>
      <c r="U942" t="s">
        <v>1148</v>
      </c>
      <c r="V942" t="s">
        <v>356</v>
      </c>
      <c r="W942">
        <v>437</v>
      </c>
      <c r="X942">
        <v>0.11</v>
      </c>
      <c r="Y942">
        <v>0.98</v>
      </c>
      <c r="Z942">
        <v>437</v>
      </c>
      <c r="AA942">
        <v>0</v>
      </c>
      <c r="AB942">
        <v>44445.786313194447</v>
      </c>
      <c r="AC942" t="s">
        <v>323</v>
      </c>
      <c r="AD942">
        <v>7</v>
      </c>
    </row>
    <row r="943" spans="1:30" x14ac:dyDescent="0.25">
      <c r="A943" t="s">
        <v>1051</v>
      </c>
      <c r="B943" t="s">
        <v>1106</v>
      </c>
      <c r="C943" t="s">
        <v>2288</v>
      </c>
      <c r="D943" t="s">
        <v>2289</v>
      </c>
      <c r="E943" t="s">
        <v>1060</v>
      </c>
      <c r="F943" t="s">
        <v>1061</v>
      </c>
      <c r="G943">
        <v>6101766</v>
      </c>
      <c r="H943">
        <v>202108</v>
      </c>
      <c r="I943">
        <v>44439</v>
      </c>
      <c r="J943">
        <v>122536</v>
      </c>
      <c r="K943" t="s">
        <v>1056</v>
      </c>
      <c r="M943" t="s">
        <v>355</v>
      </c>
      <c r="O943" t="s">
        <v>1145</v>
      </c>
      <c r="P943" t="s">
        <v>1146</v>
      </c>
      <c r="Q943" t="s">
        <v>357</v>
      </c>
      <c r="R943">
        <v>2069080</v>
      </c>
      <c r="S943" t="s">
        <v>355</v>
      </c>
      <c r="U943" t="s">
        <v>1148</v>
      </c>
      <c r="V943" t="s">
        <v>356</v>
      </c>
      <c r="W943">
        <v>437</v>
      </c>
      <c r="X943">
        <v>0.11</v>
      </c>
      <c r="Y943">
        <v>0.98</v>
      </c>
      <c r="Z943">
        <v>437</v>
      </c>
      <c r="AA943">
        <v>0</v>
      </c>
      <c r="AB943">
        <v>44445.786313194447</v>
      </c>
      <c r="AC943" t="s">
        <v>323</v>
      </c>
      <c r="AD943">
        <v>7</v>
      </c>
    </row>
    <row r="944" spans="1:30" x14ac:dyDescent="0.25">
      <c r="A944" t="s">
        <v>1051</v>
      </c>
      <c r="B944" t="s">
        <v>1106</v>
      </c>
      <c r="C944" t="s">
        <v>2288</v>
      </c>
      <c r="D944" t="s">
        <v>2289</v>
      </c>
      <c r="E944" t="s">
        <v>1060</v>
      </c>
      <c r="F944" t="s">
        <v>1061</v>
      </c>
      <c r="G944">
        <v>6101766</v>
      </c>
      <c r="H944">
        <v>202108</v>
      </c>
      <c r="I944">
        <v>44439</v>
      </c>
      <c r="J944">
        <v>122536</v>
      </c>
      <c r="K944" t="s">
        <v>1056</v>
      </c>
      <c r="M944" t="s">
        <v>355</v>
      </c>
      <c r="O944" t="s">
        <v>1145</v>
      </c>
      <c r="P944" t="s">
        <v>1146</v>
      </c>
      <c r="Q944" t="s">
        <v>357</v>
      </c>
      <c r="R944">
        <v>2069080</v>
      </c>
      <c r="S944" t="s">
        <v>355</v>
      </c>
      <c r="U944" t="s">
        <v>1148</v>
      </c>
      <c r="V944" t="s">
        <v>356</v>
      </c>
      <c r="W944">
        <v>437</v>
      </c>
      <c r="X944">
        <v>0.11</v>
      </c>
      <c r="Y944">
        <v>0.98</v>
      </c>
      <c r="Z944">
        <v>437</v>
      </c>
      <c r="AA944">
        <v>0</v>
      </c>
      <c r="AB944">
        <v>44445.786313194447</v>
      </c>
      <c r="AC944" t="s">
        <v>323</v>
      </c>
      <c r="AD944">
        <v>7</v>
      </c>
    </row>
    <row r="945" spans="1:30" x14ac:dyDescent="0.25">
      <c r="A945" t="s">
        <v>1051</v>
      </c>
      <c r="B945" t="s">
        <v>1106</v>
      </c>
      <c r="C945" t="s">
        <v>2288</v>
      </c>
      <c r="D945" t="s">
        <v>2289</v>
      </c>
      <c r="E945" t="s">
        <v>1060</v>
      </c>
      <c r="F945" t="s">
        <v>1061</v>
      </c>
      <c r="G945">
        <v>6101766</v>
      </c>
      <c r="H945">
        <v>202108</v>
      </c>
      <c r="I945">
        <v>44439</v>
      </c>
      <c r="J945">
        <v>122536</v>
      </c>
      <c r="K945" t="s">
        <v>1056</v>
      </c>
      <c r="M945" t="s">
        <v>355</v>
      </c>
      <c r="O945" t="s">
        <v>1145</v>
      </c>
      <c r="P945" t="s">
        <v>1146</v>
      </c>
      <c r="Q945" t="s">
        <v>357</v>
      </c>
      <c r="R945">
        <v>2069080</v>
      </c>
      <c r="S945" t="s">
        <v>355</v>
      </c>
      <c r="U945" t="s">
        <v>1148</v>
      </c>
      <c r="V945" t="s">
        <v>356</v>
      </c>
      <c r="W945">
        <v>437</v>
      </c>
      <c r="X945">
        <v>0.11</v>
      </c>
      <c r="Y945">
        <v>0.98</v>
      </c>
      <c r="Z945">
        <v>437</v>
      </c>
      <c r="AA945">
        <v>0</v>
      </c>
      <c r="AB945">
        <v>44445.786313194447</v>
      </c>
      <c r="AC945" t="s">
        <v>323</v>
      </c>
      <c r="AD945">
        <v>7</v>
      </c>
    </row>
    <row r="946" spans="1:30" x14ac:dyDescent="0.25">
      <c r="A946" t="s">
        <v>1051</v>
      </c>
      <c r="B946" t="s">
        <v>1106</v>
      </c>
      <c r="C946" t="s">
        <v>2288</v>
      </c>
      <c r="D946" t="s">
        <v>2289</v>
      </c>
      <c r="E946" t="s">
        <v>1060</v>
      </c>
      <c r="F946" t="s">
        <v>1061</v>
      </c>
      <c r="G946">
        <v>6101766</v>
      </c>
      <c r="H946">
        <v>202108</v>
      </c>
      <c r="I946">
        <v>44439</v>
      </c>
      <c r="J946">
        <v>122536</v>
      </c>
      <c r="K946" t="s">
        <v>1056</v>
      </c>
      <c r="M946" t="s">
        <v>355</v>
      </c>
      <c r="O946" t="s">
        <v>1145</v>
      </c>
      <c r="P946" t="s">
        <v>1146</v>
      </c>
      <c r="Q946" t="s">
        <v>357</v>
      </c>
      <c r="R946">
        <v>2069080</v>
      </c>
      <c r="S946" t="s">
        <v>355</v>
      </c>
      <c r="U946" t="s">
        <v>1148</v>
      </c>
      <c r="V946" t="s">
        <v>356</v>
      </c>
      <c r="W946">
        <v>437</v>
      </c>
      <c r="X946">
        <v>0.11</v>
      </c>
      <c r="Y946">
        <v>0.98</v>
      </c>
      <c r="Z946">
        <v>437</v>
      </c>
      <c r="AA946">
        <v>0</v>
      </c>
      <c r="AB946">
        <v>44445.786313194447</v>
      </c>
      <c r="AC946" t="s">
        <v>323</v>
      </c>
      <c r="AD946">
        <v>7</v>
      </c>
    </row>
    <row r="947" spans="1:30" x14ac:dyDescent="0.25">
      <c r="A947" t="s">
        <v>1051</v>
      </c>
      <c r="B947" t="s">
        <v>1106</v>
      </c>
      <c r="C947" t="s">
        <v>2288</v>
      </c>
      <c r="D947" t="s">
        <v>2289</v>
      </c>
      <c r="E947" t="s">
        <v>1060</v>
      </c>
      <c r="F947" t="s">
        <v>1061</v>
      </c>
      <c r="G947">
        <v>6101766</v>
      </c>
      <c r="H947">
        <v>202108</v>
      </c>
      <c r="I947">
        <v>44439</v>
      </c>
      <c r="J947">
        <v>122536</v>
      </c>
      <c r="K947" t="s">
        <v>1056</v>
      </c>
      <c r="M947" t="s">
        <v>355</v>
      </c>
      <c r="O947" t="s">
        <v>1145</v>
      </c>
      <c r="P947" t="s">
        <v>1146</v>
      </c>
      <c r="Q947" t="s">
        <v>357</v>
      </c>
      <c r="R947">
        <v>2069080</v>
      </c>
      <c r="S947" t="s">
        <v>355</v>
      </c>
      <c r="U947" t="s">
        <v>1148</v>
      </c>
      <c r="V947" t="s">
        <v>356</v>
      </c>
      <c r="W947">
        <v>437</v>
      </c>
      <c r="X947">
        <v>0.11</v>
      </c>
      <c r="Y947">
        <v>0.98</v>
      </c>
      <c r="Z947">
        <v>437</v>
      </c>
      <c r="AA947">
        <v>0</v>
      </c>
      <c r="AB947">
        <v>44445.786313194447</v>
      </c>
      <c r="AC947" t="s">
        <v>323</v>
      </c>
      <c r="AD947">
        <v>7</v>
      </c>
    </row>
    <row r="948" spans="1:30" x14ac:dyDescent="0.25">
      <c r="A948" t="s">
        <v>1051</v>
      </c>
      <c r="B948" t="s">
        <v>1106</v>
      </c>
      <c r="C948" t="s">
        <v>2288</v>
      </c>
      <c r="D948" t="s">
        <v>2289</v>
      </c>
      <c r="E948" t="s">
        <v>1060</v>
      </c>
      <c r="F948" t="s">
        <v>1061</v>
      </c>
      <c r="G948">
        <v>6101766</v>
      </c>
      <c r="H948">
        <v>202108</v>
      </c>
      <c r="I948">
        <v>44439</v>
      </c>
      <c r="J948">
        <v>122536</v>
      </c>
      <c r="K948" t="s">
        <v>1056</v>
      </c>
      <c r="M948" t="s">
        <v>355</v>
      </c>
      <c r="O948" t="s">
        <v>1145</v>
      </c>
      <c r="P948" t="s">
        <v>1146</v>
      </c>
      <c r="Q948" t="s">
        <v>357</v>
      </c>
      <c r="R948">
        <v>2069080</v>
      </c>
      <c r="S948" t="s">
        <v>355</v>
      </c>
      <c r="U948" t="s">
        <v>1148</v>
      </c>
      <c r="V948" t="s">
        <v>356</v>
      </c>
      <c r="W948">
        <v>437</v>
      </c>
      <c r="X948">
        <v>0.11</v>
      </c>
      <c r="Y948">
        <v>0.98</v>
      </c>
      <c r="Z948">
        <v>437</v>
      </c>
      <c r="AA948">
        <v>0</v>
      </c>
      <c r="AB948">
        <v>44445.786313391203</v>
      </c>
      <c r="AC948" t="s">
        <v>323</v>
      </c>
      <c r="AD948">
        <v>7</v>
      </c>
    </row>
    <row r="949" spans="1:30" x14ac:dyDescent="0.25">
      <c r="A949" t="s">
        <v>1051</v>
      </c>
      <c r="B949" t="s">
        <v>1106</v>
      </c>
      <c r="C949" t="s">
        <v>2288</v>
      </c>
      <c r="D949" t="s">
        <v>2289</v>
      </c>
      <c r="E949" t="s">
        <v>1060</v>
      </c>
      <c r="F949" t="s">
        <v>1061</v>
      </c>
      <c r="G949">
        <v>6101855</v>
      </c>
      <c r="H949">
        <v>202108</v>
      </c>
      <c r="I949">
        <v>44439</v>
      </c>
      <c r="J949">
        <v>122536</v>
      </c>
      <c r="K949" t="s">
        <v>1056</v>
      </c>
      <c r="M949" t="s">
        <v>355</v>
      </c>
      <c r="O949" t="s">
        <v>1145</v>
      </c>
      <c r="P949" t="s">
        <v>1146</v>
      </c>
      <c r="Q949" t="s">
        <v>357</v>
      </c>
      <c r="R949">
        <v>2069080</v>
      </c>
      <c r="S949" t="s">
        <v>355</v>
      </c>
      <c r="U949" t="s">
        <v>2296</v>
      </c>
      <c r="V949" t="s">
        <v>356</v>
      </c>
      <c r="W949">
        <v>437</v>
      </c>
      <c r="X949">
        <v>0.11</v>
      </c>
      <c r="Y949">
        <v>0.98</v>
      </c>
      <c r="Z949">
        <v>437</v>
      </c>
      <c r="AA949">
        <v>0</v>
      </c>
      <c r="AB949">
        <v>44448.02035648148</v>
      </c>
      <c r="AC949" t="s">
        <v>323</v>
      </c>
      <c r="AD949">
        <v>7</v>
      </c>
    </row>
    <row r="950" spans="1:30" x14ac:dyDescent="0.25">
      <c r="A950" t="s">
        <v>1051</v>
      </c>
      <c r="B950" t="s">
        <v>1106</v>
      </c>
      <c r="C950" t="s">
        <v>2288</v>
      </c>
      <c r="D950" t="s">
        <v>2289</v>
      </c>
      <c r="E950" t="s">
        <v>1060</v>
      </c>
      <c r="F950" t="s">
        <v>1061</v>
      </c>
      <c r="G950">
        <v>6101855</v>
      </c>
      <c r="H950">
        <v>202108</v>
      </c>
      <c r="I950">
        <v>44439</v>
      </c>
      <c r="J950">
        <v>122536</v>
      </c>
      <c r="K950" t="s">
        <v>1056</v>
      </c>
      <c r="M950" t="s">
        <v>355</v>
      </c>
      <c r="O950" t="s">
        <v>1145</v>
      </c>
      <c r="P950" t="s">
        <v>1146</v>
      </c>
      <c r="Q950" t="s">
        <v>357</v>
      </c>
      <c r="R950">
        <v>2069080</v>
      </c>
      <c r="S950" t="s">
        <v>355</v>
      </c>
      <c r="U950" t="s">
        <v>2296</v>
      </c>
      <c r="V950" t="s">
        <v>356</v>
      </c>
      <c r="W950">
        <v>437</v>
      </c>
      <c r="X950">
        <v>0.11</v>
      </c>
      <c r="Y950">
        <v>0.98</v>
      </c>
      <c r="Z950">
        <v>437</v>
      </c>
      <c r="AA950">
        <v>0</v>
      </c>
      <c r="AB950">
        <v>44448.020356631947</v>
      </c>
      <c r="AC950" t="s">
        <v>323</v>
      </c>
      <c r="AD950">
        <v>7</v>
      </c>
    </row>
    <row r="951" spans="1:30" x14ac:dyDescent="0.25">
      <c r="A951" t="s">
        <v>1051</v>
      </c>
      <c r="B951" t="s">
        <v>1106</v>
      </c>
      <c r="C951" t="s">
        <v>2288</v>
      </c>
      <c r="D951" t="s">
        <v>2289</v>
      </c>
      <c r="E951" t="s">
        <v>1060</v>
      </c>
      <c r="F951" t="s">
        <v>1061</v>
      </c>
      <c r="G951">
        <v>6101766</v>
      </c>
      <c r="H951">
        <v>202108</v>
      </c>
      <c r="I951">
        <v>44439</v>
      </c>
      <c r="J951">
        <v>122536</v>
      </c>
      <c r="K951" t="s">
        <v>1056</v>
      </c>
      <c r="M951" t="s">
        <v>355</v>
      </c>
      <c r="O951" t="s">
        <v>1145</v>
      </c>
      <c r="P951" t="s">
        <v>1146</v>
      </c>
      <c r="Q951" t="s">
        <v>357</v>
      </c>
      <c r="R951">
        <v>2069080</v>
      </c>
      <c r="S951" t="s">
        <v>355</v>
      </c>
      <c r="U951" t="s">
        <v>2298</v>
      </c>
      <c r="V951" t="s">
        <v>356</v>
      </c>
      <c r="W951">
        <v>437</v>
      </c>
      <c r="X951">
        <v>0.11</v>
      </c>
      <c r="Y951">
        <v>0.98</v>
      </c>
      <c r="Z951">
        <v>437</v>
      </c>
      <c r="AA951">
        <v>0</v>
      </c>
      <c r="AB951">
        <v>44445.78631265046</v>
      </c>
      <c r="AC951" t="s">
        <v>323</v>
      </c>
      <c r="AD951">
        <v>7</v>
      </c>
    </row>
    <row r="952" spans="1:30" x14ac:dyDescent="0.25">
      <c r="A952" t="s">
        <v>1051</v>
      </c>
      <c r="B952" t="s">
        <v>1106</v>
      </c>
      <c r="C952" t="s">
        <v>2288</v>
      </c>
      <c r="D952" t="s">
        <v>2289</v>
      </c>
      <c r="E952" t="s">
        <v>1060</v>
      </c>
      <c r="F952" t="s">
        <v>1061</v>
      </c>
      <c r="G952">
        <v>6101766</v>
      </c>
      <c r="H952">
        <v>202108</v>
      </c>
      <c r="I952">
        <v>44439</v>
      </c>
      <c r="J952">
        <v>122536</v>
      </c>
      <c r="K952" t="s">
        <v>1056</v>
      </c>
      <c r="M952" t="s">
        <v>355</v>
      </c>
      <c r="O952" t="s">
        <v>1145</v>
      </c>
      <c r="P952" t="s">
        <v>1146</v>
      </c>
      <c r="Q952" t="s">
        <v>357</v>
      </c>
      <c r="R952">
        <v>2069080</v>
      </c>
      <c r="S952" t="s">
        <v>355</v>
      </c>
      <c r="U952" t="s">
        <v>1148</v>
      </c>
      <c r="V952" t="s">
        <v>356</v>
      </c>
      <c r="W952">
        <v>437</v>
      </c>
      <c r="X952">
        <v>0.11</v>
      </c>
      <c r="Y952">
        <v>0.98</v>
      </c>
      <c r="Z952">
        <v>437</v>
      </c>
      <c r="AA952">
        <v>0</v>
      </c>
      <c r="AB952">
        <v>44445.786312997683</v>
      </c>
      <c r="AC952" t="s">
        <v>323</v>
      </c>
      <c r="AD952">
        <v>7</v>
      </c>
    </row>
    <row r="953" spans="1:30" x14ac:dyDescent="0.25">
      <c r="A953" t="s">
        <v>1051</v>
      </c>
      <c r="B953" t="s">
        <v>1106</v>
      </c>
      <c r="C953" t="s">
        <v>2288</v>
      </c>
      <c r="D953" t="s">
        <v>2289</v>
      </c>
      <c r="E953" t="s">
        <v>1060</v>
      </c>
      <c r="F953" t="s">
        <v>1061</v>
      </c>
      <c r="G953">
        <v>6101766</v>
      </c>
      <c r="H953">
        <v>202108</v>
      </c>
      <c r="I953">
        <v>44439</v>
      </c>
      <c r="J953">
        <v>122536</v>
      </c>
      <c r="K953" t="s">
        <v>1056</v>
      </c>
      <c r="M953" t="s">
        <v>355</v>
      </c>
      <c r="O953" t="s">
        <v>1145</v>
      </c>
      <c r="P953" t="s">
        <v>1146</v>
      </c>
      <c r="Q953" t="s">
        <v>357</v>
      </c>
      <c r="R953">
        <v>2069080</v>
      </c>
      <c r="S953" t="s">
        <v>355</v>
      </c>
      <c r="U953" t="s">
        <v>1148</v>
      </c>
      <c r="V953" t="s">
        <v>356</v>
      </c>
      <c r="W953">
        <v>437</v>
      </c>
      <c r="X953">
        <v>0.11</v>
      </c>
      <c r="Y953">
        <v>0.98</v>
      </c>
      <c r="Z953">
        <v>437</v>
      </c>
      <c r="AA953">
        <v>0</v>
      </c>
      <c r="AB953">
        <v>44445.786312997683</v>
      </c>
      <c r="AC953" t="s">
        <v>323</v>
      </c>
      <c r="AD953">
        <v>7</v>
      </c>
    </row>
    <row r="954" spans="1:30" x14ac:dyDescent="0.25">
      <c r="A954" t="s">
        <v>1051</v>
      </c>
      <c r="B954" t="s">
        <v>1106</v>
      </c>
      <c r="C954" t="s">
        <v>2288</v>
      </c>
      <c r="D954" t="s">
        <v>2289</v>
      </c>
      <c r="E954" t="s">
        <v>1060</v>
      </c>
      <c r="F954" t="s">
        <v>1061</v>
      </c>
      <c r="G954">
        <v>6101766</v>
      </c>
      <c r="H954">
        <v>202108</v>
      </c>
      <c r="I954">
        <v>44439</v>
      </c>
      <c r="J954">
        <v>122536</v>
      </c>
      <c r="K954" t="s">
        <v>1056</v>
      </c>
      <c r="M954" t="s">
        <v>355</v>
      </c>
      <c r="O954" t="s">
        <v>1145</v>
      </c>
      <c r="P954" t="s">
        <v>1146</v>
      </c>
      <c r="Q954" t="s">
        <v>357</v>
      </c>
      <c r="R954">
        <v>2069080</v>
      </c>
      <c r="S954" t="s">
        <v>355</v>
      </c>
      <c r="U954" t="s">
        <v>1148</v>
      </c>
      <c r="V954" t="s">
        <v>356</v>
      </c>
      <c r="W954">
        <v>437</v>
      </c>
      <c r="X954">
        <v>0.11</v>
      </c>
      <c r="Y954">
        <v>0.98</v>
      </c>
      <c r="Z954">
        <v>437</v>
      </c>
      <c r="AA954">
        <v>0</v>
      </c>
      <c r="AB954">
        <v>44445.786312997683</v>
      </c>
      <c r="AC954" t="s">
        <v>323</v>
      </c>
      <c r="AD954">
        <v>7</v>
      </c>
    </row>
    <row r="955" spans="1:30" x14ac:dyDescent="0.25">
      <c r="A955" t="s">
        <v>1051</v>
      </c>
      <c r="B955" t="s">
        <v>1106</v>
      </c>
      <c r="C955" t="s">
        <v>2288</v>
      </c>
      <c r="D955" t="s">
        <v>2289</v>
      </c>
      <c r="E955" t="s">
        <v>1060</v>
      </c>
      <c r="F955" t="s">
        <v>1061</v>
      </c>
      <c r="G955">
        <v>6101766</v>
      </c>
      <c r="H955">
        <v>202108</v>
      </c>
      <c r="I955">
        <v>44439</v>
      </c>
      <c r="J955">
        <v>122536</v>
      </c>
      <c r="K955" t="s">
        <v>1056</v>
      </c>
      <c r="M955" t="s">
        <v>355</v>
      </c>
      <c r="O955" t="s">
        <v>1145</v>
      </c>
      <c r="P955" t="s">
        <v>1146</v>
      </c>
      <c r="Q955" t="s">
        <v>357</v>
      </c>
      <c r="R955">
        <v>2069080</v>
      </c>
      <c r="S955" t="s">
        <v>355</v>
      </c>
      <c r="U955" t="s">
        <v>2298</v>
      </c>
      <c r="V955" t="s">
        <v>356</v>
      </c>
      <c r="W955">
        <v>437</v>
      </c>
      <c r="X955">
        <v>0.11</v>
      </c>
      <c r="Y955">
        <v>0.98</v>
      </c>
      <c r="Z955">
        <v>437</v>
      </c>
      <c r="AA955">
        <v>0</v>
      </c>
      <c r="AB955">
        <v>44445.78631265046</v>
      </c>
      <c r="AC955" t="s">
        <v>323</v>
      </c>
      <c r="AD955">
        <v>7</v>
      </c>
    </row>
    <row r="956" spans="1:30" x14ac:dyDescent="0.25">
      <c r="A956" t="s">
        <v>1051</v>
      </c>
      <c r="B956" t="s">
        <v>1106</v>
      </c>
      <c r="C956" t="s">
        <v>2288</v>
      </c>
      <c r="D956" t="s">
        <v>2289</v>
      </c>
      <c r="E956" t="s">
        <v>1060</v>
      </c>
      <c r="F956" t="s">
        <v>1061</v>
      </c>
      <c r="G956">
        <v>6101766</v>
      </c>
      <c r="H956">
        <v>202108</v>
      </c>
      <c r="I956">
        <v>44439</v>
      </c>
      <c r="J956">
        <v>122536</v>
      </c>
      <c r="K956" t="s">
        <v>1056</v>
      </c>
      <c r="M956" t="s">
        <v>355</v>
      </c>
      <c r="O956" t="s">
        <v>1145</v>
      </c>
      <c r="P956" t="s">
        <v>1146</v>
      </c>
      <c r="Q956" t="s">
        <v>357</v>
      </c>
      <c r="R956">
        <v>2069080</v>
      </c>
      <c r="S956" t="s">
        <v>355</v>
      </c>
      <c r="U956" t="s">
        <v>1148</v>
      </c>
      <c r="V956" t="s">
        <v>356</v>
      </c>
      <c r="W956">
        <v>437</v>
      </c>
      <c r="X956">
        <v>0.11</v>
      </c>
      <c r="Y956">
        <v>0.98</v>
      </c>
      <c r="Z956">
        <v>437</v>
      </c>
      <c r="AA956">
        <v>0</v>
      </c>
      <c r="AB956">
        <v>44445.786312997683</v>
      </c>
      <c r="AC956" t="s">
        <v>323</v>
      </c>
      <c r="AD956">
        <v>7</v>
      </c>
    </row>
    <row r="957" spans="1:30" x14ac:dyDescent="0.25">
      <c r="A957" t="s">
        <v>1051</v>
      </c>
      <c r="B957" t="s">
        <v>1106</v>
      </c>
      <c r="C957" t="s">
        <v>2288</v>
      </c>
      <c r="D957" t="s">
        <v>2289</v>
      </c>
      <c r="E957" t="s">
        <v>1060</v>
      </c>
      <c r="F957" t="s">
        <v>1061</v>
      </c>
      <c r="G957">
        <v>6101840</v>
      </c>
      <c r="H957">
        <v>202108</v>
      </c>
      <c r="I957">
        <v>44439</v>
      </c>
      <c r="J957">
        <v>122536</v>
      </c>
      <c r="K957" t="s">
        <v>1056</v>
      </c>
      <c r="M957" t="s">
        <v>355</v>
      </c>
      <c r="O957" t="s">
        <v>1145</v>
      </c>
      <c r="P957" t="s">
        <v>1146</v>
      </c>
      <c r="Q957" t="s">
        <v>357</v>
      </c>
      <c r="R957">
        <v>2069080</v>
      </c>
      <c r="S957" t="s">
        <v>355</v>
      </c>
      <c r="U957" t="s">
        <v>1147</v>
      </c>
      <c r="V957" t="s">
        <v>356</v>
      </c>
      <c r="W957">
        <v>23598</v>
      </c>
      <c r="X957">
        <v>6.11</v>
      </c>
      <c r="Y957">
        <v>53.17</v>
      </c>
      <c r="Z957">
        <v>23598</v>
      </c>
      <c r="AA957">
        <v>0</v>
      </c>
      <c r="AB957">
        <v>44446.796669791664</v>
      </c>
      <c r="AC957" t="s">
        <v>323</v>
      </c>
      <c r="AD957">
        <v>7</v>
      </c>
    </row>
    <row r="958" spans="1:30" x14ac:dyDescent="0.25">
      <c r="A958" t="s">
        <v>1051</v>
      </c>
      <c r="B958" t="s">
        <v>1106</v>
      </c>
      <c r="C958" t="s">
        <v>2288</v>
      </c>
      <c r="D958" t="s">
        <v>2289</v>
      </c>
      <c r="E958" t="s">
        <v>1060</v>
      </c>
      <c r="F958" t="s">
        <v>1061</v>
      </c>
      <c r="G958">
        <v>6101840</v>
      </c>
      <c r="H958">
        <v>202108</v>
      </c>
      <c r="I958">
        <v>44439</v>
      </c>
      <c r="J958">
        <v>122536</v>
      </c>
      <c r="K958" t="s">
        <v>1056</v>
      </c>
      <c r="M958" t="s">
        <v>355</v>
      </c>
      <c r="O958" t="s">
        <v>1145</v>
      </c>
      <c r="P958" t="s">
        <v>1146</v>
      </c>
      <c r="Q958" t="s">
        <v>357</v>
      </c>
      <c r="R958">
        <v>2069080</v>
      </c>
      <c r="S958" t="s">
        <v>355</v>
      </c>
      <c r="U958" t="s">
        <v>1150</v>
      </c>
      <c r="V958" t="s">
        <v>356</v>
      </c>
      <c r="W958">
        <v>18791</v>
      </c>
      <c r="X958">
        <v>4.8600000000000003</v>
      </c>
      <c r="Y958">
        <v>42.34</v>
      </c>
      <c r="Z958">
        <v>18791</v>
      </c>
      <c r="AA958">
        <v>0</v>
      </c>
      <c r="AB958">
        <v>44446.796669791664</v>
      </c>
      <c r="AC958" t="s">
        <v>323</v>
      </c>
      <c r="AD958">
        <v>7</v>
      </c>
    </row>
    <row r="959" spans="1:30" x14ac:dyDescent="0.25">
      <c r="A959" t="s">
        <v>1051</v>
      </c>
      <c r="B959" t="s">
        <v>1106</v>
      </c>
      <c r="C959" t="s">
        <v>2288</v>
      </c>
      <c r="D959" t="s">
        <v>2289</v>
      </c>
      <c r="E959" t="s">
        <v>1060</v>
      </c>
      <c r="F959" t="s">
        <v>1061</v>
      </c>
      <c r="G959">
        <v>6102249</v>
      </c>
      <c r="H959">
        <v>202109</v>
      </c>
      <c r="I959">
        <v>44469</v>
      </c>
      <c r="J959" t="s">
        <v>1681</v>
      </c>
      <c r="K959" t="s">
        <v>1056</v>
      </c>
      <c r="M959" t="s">
        <v>355</v>
      </c>
      <c r="O959" t="s">
        <v>1145</v>
      </c>
      <c r="P959" t="s">
        <v>1146</v>
      </c>
      <c r="Q959" t="s">
        <v>357</v>
      </c>
      <c r="R959">
        <v>2069080</v>
      </c>
      <c r="S959" t="s">
        <v>355</v>
      </c>
      <c r="U959" t="s">
        <v>2299</v>
      </c>
      <c r="V959" t="s">
        <v>356</v>
      </c>
      <c r="W959">
        <v>470354.5</v>
      </c>
      <c r="X959">
        <v>122.66</v>
      </c>
      <c r="Y959">
        <v>1066.56</v>
      </c>
      <c r="Z959">
        <v>470354.5</v>
      </c>
      <c r="AA959">
        <v>0</v>
      </c>
      <c r="AB959">
        <v>44474.996316666664</v>
      </c>
      <c r="AC959" t="s">
        <v>323</v>
      </c>
      <c r="AD959">
        <v>7</v>
      </c>
    </row>
    <row r="960" spans="1:30" x14ac:dyDescent="0.25">
      <c r="A960" t="s">
        <v>1051</v>
      </c>
      <c r="B960" t="s">
        <v>1106</v>
      </c>
      <c r="C960" t="s">
        <v>2288</v>
      </c>
      <c r="D960" t="s">
        <v>2300</v>
      </c>
      <c r="E960" t="s">
        <v>1060</v>
      </c>
      <c r="F960" t="s">
        <v>1061</v>
      </c>
      <c r="G960">
        <v>6100782</v>
      </c>
      <c r="H960">
        <v>202104</v>
      </c>
      <c r="I960">
        <v>44316</v>
      </c>
      <c r="J960" t="s">
        <v>1117</v>
      </c>
      <c r="K960" t="s">
        <v>1056</v>
      </c>
      <c r="M960" t="s">
        <v>355</v>
      </c>
      <c r="O960" t="s">
        <v>1145</v>
      </c>
      <c r="P960" t="s">
        <v>1146</v>
      </c>
      <c r="Q960" t="s">
        <v>357</v>
      </c>
      <c r="R960">
        <v>2069080</v>
      </c>
      <c r="S960" t="s">
        <v>355</v>
      </c>
      <c r="U960" t="s">
        <v>2301</v>
      </c>
      <c r="V960" t="s">
        <v>356</v>
      </c>
      <c r="W960">
        <v>49.5</v>
      </c>
      <c r="X960">
        <v>0.01</v>
      </c>
      <c r="Y960">
        <v>0.11</v>
      </c>
      <c r="Z960">
        <v>49.5</v>
      </c>
      <c r="AA960">
        <v>0</v>
      </c>
      <c r="AB960">
        <v>44321.690706597219</v>
      </c>
      <c r="AC960" t="s">
        <v>323</v>
      </c>
      <c r="AD960">
        <v>7</v>
      </c>
    </row>
    <row r="961" spans="1:30" x14ac:dyDescent="0.25">
      <c r="A961" t="s">
        <v>1051</v>
      </c>
      <c r="B961" t="s">
        <v>1106</v>
      </c>
      <c r="C961" t="s">
        <v>2288</v>
      </c>
      <c r="D961" t="s">
        <v>2300</v>
      </c>
      <c r="E961" t="s">
        <v>1060</v>
      </c>
      <c r="F961" t="s">
        <v>1061</v>
      </c>
      <c r="G961">
        <v>6100777</v>
      </c>
      <c r="H961">
        <v>202104</v>
      </c>
      <c r="I961">
        <v>44316</v>
      </c>
      <c r="J961" t="s">
        <v>1117</v>
      </c>
      <c r="K961" t="s">
        <v>1056</v>
      </c>
      <c r="M961" t="s">
        <v>355</v>
      </c>
      <c r="O961" t="s">
        <v>1145</v>
      </c>
      <c r="P961" t="s">
        <v>1146</v>
      </c>
      <c r="Q961" t="s">
        <v>357</v>
      </c>
      <c r="R961">
        <v>2069080</v>
      </c>
      <c r="S961" t="s">
        <v>355</v>
      </c>
      <c r="U961" t="s">
        <v>2302</v>
      </c>
      <c r="V961" t="s">
        <v>356</v>
      </c>
      <c r="W961">
        <v>-50</v>
      </c>
      <c r="X961">
        <v>-0.01</v>
      </c>
      <c r="Y961">
        <v>-0.11</v>
      </c>
      <c r="Z961">
        <v>-50</v>
      </c>
      <c r="AA961">
        <v>0</v>
      </c>
      <c r="AB961">
        <v>44320.914591932873</v>
      </c>
      <c r="AC961" t="s">
        <v>323</v>
      </c>
      <c r="AD961">
        <v>7</v>
      </c>
    </row>
    <row r="962" spans="1:30" x14ac:dyDescent="0.25">
      <c r="A962" t="s">
        <v>1051</v>
      </c>
      <c r="B962" t="s">
        <v>1106</v>
      </c>
      <c r="C962" t="s">
        <v>2288</v>
      </c>
      <c r="D962" t="s">
        <v>2300</v>
      </c>
      <c r="E962" t="s">
        <v>1060</v>
      </c>
      <c r="F962" t="s">
        <v>1061</v>
      </c>
      <c r="G962">
        <v>6100771</v>
      </c>
      <c r="H962">
        <v>202104</v>
      </c>
      <c r="I962">
        <v>44316</v>
      </c>
      <c r="J962" t="s">
        <v>1117</v>
      </c>
      <c r="K962" t="s">
        <v>1056</v>
      </c>
      <c r="M962" t="s">
        <v>355</v>
      </c>
      <c r="O962" t="s">
        <v>1145</v>
      </c>
      <c r="P962" t="s">
        <v>1146</v>
      </c>
      <c r="Q962" t="s">
        <v>357</v>
      </c>
      <c r="R962">
        <v>2069080</v>
      </c>
      <c r="S962" t="s">
        <v>355</v>
      </c>
      <c r="U962" t="s">
        <v>2303</v>
      </c>
      <c r="V962" t="s">
        <v>356</v>
      </c>
      <c r="W962">
        <v>2049671.77</v>
      </c>
      <c r="X962">
        <v>553.41</v>
      </c>
      <c r="Y962">
        <v>4585.12</v>
      </c>
      <c r="Z962">
        <v>2049671.77</v>
      </c>
      <c r="AA962">
        <v>0</v>
      </c>
      <c r="AB962">
        <v>44320.793317048614</v>
      </c>
      <c r="AC962" t="s">
        <v>323</v>
      </c>
      <c r="AD962">
        <v>7</v>
      </c>
    </row>
    <row r="963" spans="1:30" x14ac:dyDescent="0.25">
      <c r="A963" t="s">
        <v>1051</v>
      </c>
      <c r="B963" t="s">
        <v>1106</v>
      </c>
      <c r="C963" t="s">
        <v>2288</v>
      </c>
      <c r="D963" t="s">
        <v>2300</v>
      </c>
      <c r="E963" t="s">
        <v>1060</v>
      </c>
      <c r="F963" t="s">
        <v>1061</v>
      </c>
      <c r="G963">
        <v>6101188</v>
      </c>
      <c r="H963">
        <v>202106</v>
      </c>
      <c r="I963">
        <v>44377</v>
      </c>
      <c r="J963" t="s">
        <v>1117</v>
      </c>
      <c r="K963" t="s">
        <v>1056</v>
      </c>
      <c r="M963" t="s">
        <v>355</v>
      </c>
      <c r="O963" t="s">
        <v>1145</v>
      </c>
      <c r="P963" t="s">
        <v>1146</v>
      </c>
      <c r="Q963" t="s">
        <v>357</v>
      </c>
      <c r="R963">
        <v>2069080</v>
      </c>
      <c r="S963" t="s">
        <v>355</v>
      </c>
      <c r="U963" t="s">
        <v>2291</v>
      </c>
      <c r="V963" t="s">
        <v>356</v>
      </c>
      <c r="W963">
        <v>4455745.37</v>
      </c>
      <c r="X963">
        <v>1180.77</v>
      </c>
      <c r="Y963">
        <v>10029.879999999999</v>
      </c>
      <c r="Z963">
        <v>4455745.37</v>
      </c>
      <c r="AA963">
        <v>0</v>
      </c>
      <c r="AB963">
        <v>44383.219668634258</v>
      </c>
      <c r="AC963" t="s">
        <v>323</v>
      </c>
      <c r="AD963">
        <v>7</v>
      </c>
    </row>
    <row r="964" spans="1:30" x14ac:dyDescent="0.25">
      <c r="A964" t="s">
        <v>1051</v>
      </c>
      <c r="B964" t="s">
        <v>1106</v>
      </c>
      <c r="C964" t="s">
        <v>2288</v>
      </c>
      <c r="D964" t="s">
        <v>2300</v>
      </c>
      <c r="E964" t="s">
        <v>1060</v>
      </c>
      <c r="F964" t="s">
        <v>1061</v>
      </c>
      <c r="G964">
        <v>6101453</v>
      </c>
      <c r="H964">
        <v>202107</v>
      </c>
      <c r="I964">
        <v>44407</v>
      </c>
      <c r="J964" t="s">
        <v>1681</v>
      </c>
      <c r="K964" t="s">
        <v>1056</v>
      </c>
      <c r="M964" t="s">
        <v>355</v>
      </c>
      <c r="O964" t="s">
        <v>1145</v>
      </c>
      <c r="P964" t="s">
        <v>1146</v>
      </c>
      <c r="Q964" t="s">
        <v>357</v>
      </c>
      <c r="R964">
        <v>2069080</v>
      </c>
      <c r="S964" t="s">
        <v>355</v>
      </c>
      <c r="U964" t="s">
        <v>2304</v>
      </c>
      <c r="V964" t="s">
        <v>356</v>
      </c>
      <c r="W964">
        <v>3164724.62</v>
      </c>
      <c r="X964">
        <v>810.17</v>
      </c>
      <c r="Y964">
        <v>7000.37</v>
      </c>
      <c r="Z964">
        <v>3164724.62</v>
      </c>
      <c r="AA964">
        <v>0</v>
      </c>
      <c r="AB964">
        <v>44412.726487499996</v>
      </c>
      <c r="AC964" t="s">
        <v>323</v>
      </c>
      <c r="AD964">
        <v>7</v>
      </c>
    </row>
    <row r="965" spans="1:30" x14ac:dyDescent="0.25">
      <c r="A965" t="s">
        <v>1051</v>
      </c>
      <c r="B965" t="s">
        <v>1106</v>
      </c>
      <c r="C965" t="s">
        <v>2288</v>
      </c>
      <c r="D965" t="s">
        <v>2300</v>
      </c>
      <c r="E965" t="s">
        <v>1060</v>
      </c>
      <c r="F965" t="s">
        <v>1061</v>
      </c>
      <c r="G965">
        <v>6101833</v>
      </c>
      <c r="H965">
        <v>202108</v>
      </c>
      <c r="I965">
        <v>44439</v>
      </c>
      <c r="J965">
        <v>122536</v>
      </c>
      <c r="K965" t="s">
        <v>1056</v>
      </c>
      <c r="M965" t="s">
        <v>355</v>
      </c>
      <c r="O965" t="s">
        <v>1145</v>
      </c>
      <c r="P965" t="s">
        <v>1146</v>
      </c>
      <c r="Q965" t="s">
        <v>357</v>
      </c>
      <c r="R965">
        <v>2069080</v>
      </c>
      <c r="S965" t="s">
        <v>355</v>
      </c>
      <c r="U965" t="s">
        <v>2305</v>
      </c>
      <c r="V965" t="s">
        <v>356</v>
      </c>
      <c r="W965">
        <v>-33600</v>
      </c>
      <c r="X965">
        <v>-8.69</v>
      </c>
      <c r="Y965">
        <v>-75.7</v>
      </c>
      <c r="Z965">
        <v>-33600</v>
      </c>
      <c r="AA965">
        <v>0</v>
      </c>
      <c r="AB965">
        <v>44446.751416550927</v>
      </c>
      <c r="AC965" t="s">
        <v>323</v>
      </c>
      <c r="AD965">
        <v>7</v>
      </c>
    </row>
    <row r="966" spans="1:30" x14ac:dyDescent="0.25">
      <c r="A966" t="s">
        <v>1051</v>
      </c>
      <c r="B966" t="s">
        <v>1106</v>
      </c>
      <c r="C966" t="s">
        <v>2288</v>
      </c>
      <c r="D966" t="s">
        <v>2300</v>
      </c>
      <c r="E966" t="s">
        <v>1060</v>
      </c>
      <c r="F966" t="s">
        <v>1061</v>
      </c>
      <c r="G966">
        <v>6101717</v>
      </c>
      <c r="H966">
        <v>202108</v>
      </c>
      <c r="I966">
        <v>44439</v>
      </c>
      <c r="J966">
        <v>122536</v>
      </c>
      <c r="K966" t="s">
        <v>1056</v>
      </c>
      <c r="M966" t="s">
        <v>355</v>
      </c>
      <c r="O966" t="s">
        <v>1145</v>
      </c>
      <c r="P966" t="s">
        <v>1146</v>
      </c>
      <c r="Q966" t="s">
        <v>357</v>
      </c>
      <c r="R966">
        <v>2069080</v>
      </c>
      <c r="S966" t="s">
        <v>355</v>
      </c>
      <c r="U966" t="s">
        <v>2306</v>
      </c>
      <c r="V966" t="s">
        <v>356</v>
      </c>
      <c r="W966">
        <v>3990363.1</v>
      </c>
      <c r="X966">
        <v>1032.43</v>
      </c>
      <c r="Y966">
        <v>8990.77</v>
      </c>
      <c r="Z966">
        <v>3990363.1</v>
      </c>
      <c r="AA966">
        <v>0</v>
      </c>
      <c r="AB966">
        <v>44443.908521562502</v>
      </c>
      <c r="AC966" t="s">
        <v>323</v>
      </c>
      <c r="AD966">
        <v>7</v>
      </c>
    </row>
    <row r="967" spans="1:30" x14ac:dyDescent="0.25">
      <c r="A967" t="s">
        <v>1051</v>
      </c>
      <c r="B967" t="s">
        <v>1106</v>
      </c>
      <c r="C967" t="s">
        <v>2288</v>
      </c>
      <c r="D967" t="s">
        <v>2300</v>
      </c>
      <c r="E967" t="s">
        <v>1060</v>
      </c>
      <c r="F967" t="s">
        <v>1061</v>
      </c>
      <c r="G967">
        <v>6102249</v>
      </c>
      <c r="H967">
        <v>202109</v>
      </c>
      <c r="I967">
        <v>44469</v>
      </c>
      <c r="J967" t="s">
        <v>1681</v>
      </c>
      <c r="K967" t="s">
        <v>1056</v>
      </c>
      <c r="M967" t="s">
        <v>355</v>
      </c>
      <c r="O967" t="s">
        <v>1145</v>
      </c>
      <c r="P967" t="s">
        <v>1146</v>
      </c>
      <c r="Q967" t="s">
        <v>357</v>
      </c>
      <c r="R967">
        <v>2069080</v>
      </c>
      <c r="S967" t="s">
        <v>355</v>
      </c>
      <c r="U967" t="s">
        <v>2307</v>
      </c>
      <c r="V967" t="s">
        <v>356</v>
      </c>
      <c r="W967">
        <v>4029589.33</v>
      </c>
      <c r="X967">
        <v>1050.8399999999999</v>
      </c>
      <c r="Y967">
        <v>9137.34</v>
      </c>
      <c r="Z967">
        <v>4029589.33</v>
      </c>
      <c r="AA967">
        <v>0</v>
      </c>
      <c r="AB967">
        <v>44474.996316666664</v>
      </c>
      <c r="AC967" t="s">
        <v>323</v>
      </c>
      <c r="AD967">
        <v>7</v>
      </c>
    </row>
    <row r="968" spans="1:30" x14ac:dyDescent="0.25">
      <c r="A968" t="s">
        <v>1051</v>
      </c>
      <c r="B968" t="s">
        <v>1106</v>
      </c>
      <c r="C968" t="s">
        <v>2288</v>
      </c>
      <c r="D968" t="s">
        <v>2308</v>
      </c>
      <c r="E968" t="s">
        <v>1060</v>
      </c>
      <c r="F968" t="s">
        <v>1061</v>
      </c>
      <c r="G968">
        <v>6100771</v>
      </c>
      <c r="H968">
        <v>202104</v>
      </c>
      <c r="I968">
        <v>44316</v>
      </c>
      <c r="J968" t="s">
        <v>1117</v>
      </c>
      <c r="K968" t="s">
        <v>1056</v>
      </c>
      <c r="M968" t="s">
        <v>355</v>
      </c>
      <c r="O968" t="s">
        <v>1145</v>
      </c>
      <c r="P968" t="s">
        <v>1146</v>
      </c>
      <c r="Q968" t="s">
        <v>357</v>
      </c>
      <c r="R968">
        <v>2069080</v>
      </c>
      <c r="S968" t="s">
        <v>355</v>
      </c>
      <c r="U968" t="s">
        <v>2290</v>
      </c>
      <c r="V968" t="s">
        <v>356</v>
      </c>
      <c r="W968">
        <v>974650</v>
      </c>
      <c r="X968">
        <v>263.16000000000003</v>
      </c>
      <c r="Y968">
        <v>2180.29</v>
      </c>
      <c r="Z968">
        <v>974650</v>
      </c>
      <c r="AA968">
        <v>60</v>
      </c>
      <c r="AB968">
        <v>44320.793316898147</v>
      </c>
      <c r="AC968" t="s">
        <v>323</v>
      </c>
      <c r="AD968">
        <v>7</v>
      </c>
    </row>
    <row r="969" spans="1:30" x14ac:dyDescent="0.25">
      <c r="A969" t="s">
        <v>1051</v>
      </c>
      <c r="B969" t="s">
        <v>1106</v>
      </c>
      <c r="C969" t="s">
        <v>2288</v>
      </c>
      <c r="D969" t="s">
        <v>2308</v>
      </c>
      <c r="E969" t="s">
        <v>1060</v>
      </c>
      <c r="F969" t="s">
        <v>1061</v>
      </c>
      <c r="G969">
        <v>6101188</v>
      </c>
      <c r="H969">
        <v>202106</v>
      </c>
      <c r="I969">
        <v>44377</v>
      </c>
      <c r="J969" t="s">
        <v>1117</v>
      </c>
      <c r="K969" t="s">
        <v>1056</v>
      </c>
      <c r="M969" t="s">
        <v>355</v>
      </c>
      <c r="O969" t="s">
        <v>1145</v>
      </c>
      <c r="P969" t="s">
        <v>1146</v>
      </c>
      <c r="Q969" t="s">
        <v>357</v>
      </c>
      <c r="R969">
        <v>2069080</v>
      </c>
      <c r="S969" t="s">
        <v>355</v>
      </c>
      <c r="U969" t="s">
        <v>2291</v>
      </c>
      <c r="V969" t="s">
        <v>356</v>
      </c>
      <c r="W969">
        <v>100000</v>
      </c>
      <c r="X969">
        <v>26.5</v>
      </c>
      <c r="Y969">
        <v>225.1</v>
      </c>
      <c r="Z969">
        <v>100000</v>
      </c>
      <c r="AA969">
        <v>205</v>
      </c>
      <c r="AB969">
        <v>44383.219668634258</v>
      </c>
      <c r="AC969" t="s">
        <v>323</v>
      </c>
      <c r="AD969">
        <v>7</v>
      </c>
    </row>
    <row r="970" spans="1:30" x14ac:dyDescent="0.25">
      <c r="A970" t="s">
        <v>1051</v>
      </c>
      <c r="B970" t="s">
        <v>1106</v>
      </c>
      <c r="C970" t="s">
        <v>2288</v>
      </c>
      <c r="D970" t="s">
        <v>2308</v>
      </c>
      <c r="E970" t="s">
        <v>1060</v>
      </c>
      <c r="F970" t="s">
        <v>1061</v>
      </c>
      <c r="G970">
        <v>6101475</v>
      </c>
      <c r="H970">
        <v>202107</v>
      </c>
      <c r="I970">
        <v>44407</v>
      </c>
      <c r="J970" t="s">
        <v>1681</v>
      </c>
      <c r="K970" t="s">
        <v>1056</v>
      </c>
      <c r="M970" t="s">
        <v>355</v>
      </c>
      <c r="O970" t="s">
        <v>1145</v>
      </c>
      <c r="P970" t="s">
        <v>1146</v>
      </c>
      <c r="Q970" t="s">
        <v>357</v>
      </c>
      <c r="R970">
        <v>2069080</v>
      </c>
      <c r="S970" t="s">
        <v>355</v>
      </c>
      <c r="U970" t="s">
        <v>2309</v>
      </c>
      <c r="V970" t="s">
        <v>356</v>
      </c>
      <c r="W970">
        <v>2300</v>
      </c>
      <c r="X970">
        <v>0.59</v>
      </c>
      <c r="Y970">
        <v>5.09</v>
      </c>
      <c r="Z970">
        <v>2300</v>
      </c>
      <c r="AA970">
        <v>0</v>
      </c>
      <c r="AB970">
        <v>44413.018944675925</v>
      </c>
      <c r="AC970" t="s">
        <v>323</v>
      </c>
      <c r="AD970">
        <v>7</v>
      </c>
    </row>
    <row r="971" spans="1:30" x14ac:dyDescent="0.25">
      <c r="A971" t="s">
        <v>1051</v>
      </c>
      <c r="B971" t="s">
        <v>1106</v>
      </c>
      <c r="C971" t="s">
        <v>2288</v>
      </c>
      <c r="D971" t="s">
        <v>2308</v>
      </c>
      <c r="E971" t="s">
        <v>1060</v>
      </c>
      <c r="F971" t="s">
        <v>1061</v>
      </c>
      <c r="G971">
        <v>6101475</v>
      </c>
      <c r="H971">
        <v>202107</v>
      </c>
      <c r="I971">
        <v>44407</v>
      </c>
      <c r="J971" t="s">
        <v>1681</v>
      </c>
      <c r="K971" t="s">
        <v>1056</v>
      </c>
      <c r="M971" t="s">
        <v>355</v>
      </c>
      <c r="O971" t="s">
        <v>1145</v>
      </c>
      <c r="P971" t="s">
        <v>1146</v>
      </c>
      <c r="Q971" t="s">
        <v>357</v>
      </c>
      <c r="R971">
        <v>2069080</v>
      </c>
      <c r="S971" t="s">
        <v>355</v>
      </c>
      <c r="U971" t="s">
        <v>2309</v>
      </c>
      <c r="V971" t="s">
        <v>356</v>
      </c>
      <c r="W971">
        <v>2300</v>
      </c>
      <c r="X971">
        <v>0.59</v>
      </c>
      <c r="Y971">
        <v>5.09</v>
      </c>
      <c r="Z971">
        <v>2300</v>
      </c>
      <c r="AA971">
        <v>0</v>
      </c>
      <c r="AB971">
        <v>44413.018944675925</v>
      </c>
      <c r="AC971" t="s">
        <v>323</v>
      </c>
      <c r="AD971">
        <v>7</v>
      </c>
    </row>
    <row r="972" spans="1:30" x14ac:dyDescent="0.25">
      <c r="A972" t="s">
        <v>1051</v>
      </c>
      <c r="B972" t="s">
        <v>1106</v>
      </c>
      <c r="C972" t="s">
        <v>2288</v>
      </c>
      <c r="D972" t="s">
        <v>2308</v>
      </c>
      <c r="E972" t="s">
        <v>1060</v>
      </c>
      <c r="F972" t="s">
        <v>1061</v>
      </c>
      <c r="G972">
        <v>6101475</v>
      </c>
      <c r="H972">
        <v>202107</v>
      </c>
      <c r="I972">
        <v>44407</v>
      </c>
      <c r="J972" t="s">
        <v>1681</v>
      </c>
      <c r="K972" t="s">
        <v>1056</v>
      </c>
      <c r="M972" t="s">
        <v>355</v>
      </c>
      <c r="O972" t="s">
        <v>1145</v>
      </c>
      <c r="P972" t="s">
        <v>1146</v>
      </c>
      <c r="Q972" t="s">
        <v>357</v>
      </c>
      <c r="R972">
        <v>2069080</v>
      </c>
      <c r="S972" t="s">
        <v>355</v>
      </c>
      <c r="U972" t="s">
        <v>2309</v>
      </c>
      <c r="V972" t="s">
        <v>356</v>
      </c>
      <c r="W972">
        <v>2300</v>
      </c>
      <c r="X972">
        <v>0.59</v>
      </c>
      <c r="Y972">
        <v>5.09</v>
      </c>
      <c r="Z972">
        <v>2300</v>
      </c>
      <c r="AA972">
        <v>0</v>
      </c>
      <c r="AB972">
        <v>44413.018944675925</v>
      </c>
      <c r="AC972" t="s">
        <v>323</v>
      </c>
      <c r="AD972">
        <v>7</v>
      </c>
    </row>
    <row r="973" spans="1:30" x14ac:dyDescent="0.25">
      <c r="A973" t="s">
        <v>1051</v>
      </c>
      <c r="B973" t="s">
        <v>1106</v>
      </c>
      <c r="C973" t="s">
        <v>2288</v>
      </c>
      <c r="D973" t="s">
        <v>2308</v>
      </c>
      <c r="E973" t="s">
        <v>1060</v>
      </c>
      <c r="F973" t="s">
        <v>1061</v>
      </c>
      <c r="G973">
        <v>6101475</v>
      </c>
      <c r="H973">
        <v>202107</v>
      </c>
      <c r="I973">
        <v>44407</v>
      </c>
      <c r="J973" t="s">
        <v>1681</v>
      </c>
      <c r="K973" t="s">
        <v>1056</v>
      </c>
      <c r="M973" t="s">
        <v>355</v>
      </c>
      <c r="O973" t="s">
        <v>1145</v>
      </c>
      <c r="P973" t="s">
        <v>1146</v>
      </c>
      <c r="Q973" t="s">
        <v>357</v>
      </c>
      <c r="R973">
        <v>2069080</v>
      </c>
      <c r="S973" t="s">
        <v>355</v>
      </c>
      <c r="U973" t="s">
        <v>2309</v>
      </c>
      <c r="V973" t="s">
        <v>356</v>
      </c>
      <c r="W973">
        <v>2300</v>
      </c>
      <c r="X973">
        <v>0.59</v>
      </c>
      <c r="Y973">
        <v>5.09</v>
      </c>
      <c r="Z973">
        <v>2300</v>
      </c>
      <c r="AA973">
        <v>0</v>
      </c>
      <c r="AB973">
        <v>44413.018944675925</v>
      </c>
      <c r="AC973" t="s">
        <v>323</v>
      </c>
      <c r="AD973">
        <v>7</v>
      </c>
    </row>
    <row r="974" spans="1:30" x14ac:dyDescent="0.25">
      <c r="A974" t="s">
        <v>1051</v>
      </c>
      <c r="B974" t="s">
        <v>1106</v>
      </c>
      <c r="C974" t="s">
        <v>2288</v>
      </c>
      <c r="D974" t="s">
        <v>2308</v>
      </c>
      <c r="E974" t="s">
        <v>1060</v>
      </c>
      <c r="F974" t="s">
        <v>1061</v>
      </c>
      <c r="G974">
        <v>6101475</v>
      </c>
      <c r="H974">
        <v>202107</v>
      </c>
      <c r="I974">
        <v>44407</v>
      </c>
      <c r="J974" t="s">
        <v>1681</v>
      </c>
      <c r="K974" t="s">
        <v>1056</v>
      </c>
      <c r="M974" t="s">
        <v>355</v>
      </c>
      <c r="O974" t="s">
        <v>1145</v>
      </c>
      <c r="P974" t="s">
        <v>1146</v>
      </c>
      <c r="Q974" t="s">
        <v>357</v>
      </c>
      <c r="R974">
        <v>2069080</v>
      </c>
      <c r="S974" t="s">
        <v>355</v>
      </c>
      <c r="U974" t="s">
        <v>2309</v>
      </c>
      <c r="V974" t="s">
        <v>356</v>
      </c>
      <c r="W974">
        <v>2300</v>
      </c>
      <c r="X974">
        <v>0.59</v>
      </c>
      <c r="Y974">
        <v>5.09</v>
      </c>
      <c r="Z974">
        <v>2300</v>
      </c>
      <c r="AA974">
        <v>0</v>
      </c>
      <c r="AB974">
        <v>44413.018944675925</v>
      </c>
      <c r="AC974" t="s">
        <v>323</v>
      </c>
      <c r="AD974">
        <v>7</v>
      </c>
    </row>
    <row r="975" spans="1:30" x14ac:dyDescent="0.25">
      <c r="A975" t="s">
        <v>1051</v>
      </c>
      <c r="B975" t="s">
        <v>1106</v>
      </c>
      <c r="C975" t="s">
        <v>2288</v>
      </c>
      <c r="D975" t="s">
        <v>2308</v>
      </c>
      <c r="E975" t="s">
        <v>1060</v>
      </c>
      <c r="F975" t="s">
        <v>1061</v>
      </c>
      <c r="G975">
        <v>6101475</v>
      </c>
      <c r="H975">
        <v>202107</v>
      </c>
      <c r="I975">
        <v>44407</v>
      </c>
      <c r="J975" t="s">
        <v>1681</v>
      </c>
      <c r="K975" t="s">
        <v>1056</v>
      </c>
      <c r="M975" t="s">
        <v>355</v>
      </c>
      <c r="O975" t="s">
        <v>1145</v>
      </c>
      <c r="P975" t="s">
        <v>1146</v>
      </c>
      <c r="Q975" t="s">
        <v>357</v>
      </c>
      <c r="R975">
        <v>2069080</v>
      </c>
      <c r="S975" t="s">
        <v>355</v>
      </c>
      <c r="U975" t="s">
        <v>2309</v>
      </c>
      <c r="V975" t="s">
        <v>356</v>
      </c>
      <c r="W975">
        <v>2300</v>
      </c>
      <c r="X975">
        <v>0.59</v>
      </c>
      <c r="Y975">
        <v>5.09</v>
      </c>
      <c r="Z975">
        <v>2300</v>
      </c>
      <c r="AA975">
        <v>0</v>
      </c>
      <c r="AB975">
        <v>44413.018944872689</v>
      </c>
      <c r="AC975" t="s">
        <v>323</v>
      </c>
      <c r="AD975">
        <v>7</v>
      </c>
    </row>
    <row r="976" spans="1:30" x14ac:dyDescent="0.25">
      <c r="A976" t="s">
        <v>1051</v>
      </c>
      <c r="B976" t="s">
        <v>1106</v>
      </c>
      <c r="C976" t="s">
        <v>2288</v>
      </c>
      <c r="D976" t="s">
        <v>2308</v>
      </c>
      <c r="E976" t="s">
        <v>1060</v>
      </c>
      <c r="F976" t="s">
        <v>1061</v>
      </c>
      <c r="G976">
        <v>6101475</v>
      </c>
      <c r="H976">
        <v>202107</v>
      </c>
      <c r="I976">
        <v>44407</v>
      </c>
      <c r="J976" t="s">
        <v>1681</v>
      </c>
      <c r="K976" t="s">
        <v>1056</v>
      </c>
      <c r="M976" t="s">
        <v>355</v>
      </c>
      <c r="O976" t="s">
        <v>1145</v>
      </c>
      <c r="P976" t="s">
        <v>1146</v>
      </c>
      <c r="Q976" t="s">
        <v>357</v>
      </c>
      <c r="R976">
        <v>2069080</v>
      </c>
      <c r="S976" t="s">
        <v>355</v>
      </c>
      <c r="U976" t="s">
        <v>2309</v>
      </c>
      <c r="V976" t="s">
        <v>356</v>
      </c>
      <c r="W976">
        <v>2300</v>
      </c>
      <c r="X976">
        <v>0.59</v>
      </c>
      <c r="Y976">
        <v>5.09</v>
      </c>
      <c r="Z976">
        <v>2300</v>
      </c>
      <c r="AA976">
        <v>0</v>
      </c>
      <c r="AB976">
        <v>44413.018944872689</v>
      </c>
      <c r="AC976" t="s">
        <v>323</v>
      </c>
      <c r="AD976">
        <v>7</v>
      </c>
    </row>
    <row r="977" spans="1:30" x14ac:dyDescent="0.25">
      <c r="A977" t="s">
        <v>1051</v>
      </c>
      <c r="B977" t="s">
        <v>1106</v>
      </c>
      <c r="C977" t="s">
        <v>2288</v>
      </c>
      <c r="D977" t="s">
        <v>2308</v>
      </c>
      <c r="E977" t="s">
        <v>1060</v>
      </c>
      <c r="F977" t="s">
        <v>1061</v>
      </c>
      <c r="G977">
        <v>6101475</v>
      </c>
      <c r="H977">
        <v>202107</v>
      </c>
      <c r="I977">
        <v>44407</v>
      </c>
      <c r="J977" t="s">
        <v>1681</v>
      </c>
      <c r="K977" t="s">
        <v>1056</v>
      </c>
      <c r="M977" t="s">
        <v>355</v>
      </c>
      <c r="O977" t="s">
        <v>1145</v>
      </c>
      <c r="P977" t="s">
        <v>1146</v>
      </c>
      <c r="Q977" t="s">
        <v>357</v>
      </c>
      <c r="R977">
        <v>2069080</v>
      </c>
      <c r="S977" t="s">
        <v>355</v>
      </c>
      <c r="U977" t="s">
        <v>2309</v>
      </c>
      <c r="V977" t="s">
        <v>356</v>
      </c>
      <c r="W977">
        <v>2300</v>
      </c>
      <c r="X977">
        <v>0.59</v>
      </c>
      <c r="Y977">
        <v>5.09</v>
      </c>
      <c r="Z977">
        <v>2300</v>
      </c>
      <c r="AA977">
        <v>0</v>
      </c>
      <c r="AB977">
        <v>44413.018944872689</v>
      </c>
      <c r="AC977" t="s">
        <v>323</v>
      </c>
      <c r="AD977">
        <v>7</v>
      </c>
    </row>
    <row r="978" spans="1:30" x14ac:dyDescent="0.25">
      <c r="A978" t="s">
        <v>1051</v>
      </c>
      <c r="B978" t="s">
        <v>1106</v>
      </c>
      <c r="C978" t="s">
        <v>2288</v>
      </c>
      <c r="D978" t="s">
        <v>2308</v>
      </c>
      <c r="E978" t="s">
        <v>1060</v>
      </c>
      <c r="F978" t="s">
        <v>1061</v>
      </c>
      <c r="G978">
        <v>6101475</v>
      </c>
      <c r="H978">
        <v>202107</v>
      </c>
      <c r="I978">
        <v>44407</v>
      </c>
      <c r="J978" t="s">
        <v>1681</v>
      </c>
      <c r="K978" t="s">
        <v>1056</v>
      </c>
      <c r="M978" t="s">
        <v>355</v>
      </c>
      <c r="O978" t="s">
        <v>1145</v>
      </c>
      <c r="P978" t="s">
        <v>1146</v>
      </c>
      <c r="Q978" t="s">
        <v>357</v>
      </c>
      <c r="R978">
        <v>2069080</v>
      </c>
      <c r="S978" t="s">
        <v>355</v>
      </c>
      <c r="U978" t="s">
        <v>2309</v>
      </c>
      <c r="V978" t="s">
        <v>356</v>
      </c>
      <c r="W978">
        <v>2300</v>
      </c>
      <c r="X978">
        <v>0.59</v>
      </c>
      <c r="Y978">
        <v>5.09</v>
      </c>
      <c r="Z978">
        <v>2300</v>
      </c>
      <c r="AA978">
        <v>0</v>
      </c>
      <c r="AB978">
        <v>44413.018944872689</v>
      </c>
      <c r="AC978" t="s">
        <v>323</v>
      </c>
      <c r="AD978">
        <v>7</v>
      </c>
    </row>
    <row r="979" spans="1:30" x14ac:dyDescent="0.25">
      <c r="A979" t="s">
        <v>1051</v>
      </c>
      <c r="B979" t="s">
        <v>1106</v>
      </c>
      <c r="C979" t="s">
        <v>2288</v>
      </c>
      <c r="D979" t="s">
        <v>2308</v>
      </c>
      <c r="E979" t="s">
        <v>1060</v>
      </c>
      <c r="F979" t="s">
        <v>1061</v>
      </c>
      <c r="G979">
        <v>6101475</v>
      </c>
      <c r="H979">
        <v>202107</v>
      </c>
      <c r="I979">
        <v>44407</v>
      </c>
      <c r="J979" t="s">
        <v>1681</v>
      </c>
      <c r="K979" t="s">
        <v>1056</v>
      </c>
      <c r="M979" t="s">
        <v>355</v>
      </c>
      <c r="O979" t="s">
        <v>1145</v>
      </c>
      <c r="P979" t="s">
        <v>1146</v>
      </c>
      <c r="Q979" t="s">
        <v>357</v>
      </c>
      <c r="R979">
        <v>2069080</v>
      </c>
      <c r="S979" t="s">
        <v>355</v>
      </c>
      <c r="U979" t="s">
        <v>2309</v>
      </c>
      <c r="V979" t="s">
        <v>356</v>
      </c>
      <c r="W979">
        <v>2300</v>
      </c>
      <c r="X979">
        <v>0.59</v>
      </c>
      <c r="Y979">
        <v>5.09</v>
      </c>
      <c r="Z979">
        <v>2300</v>
      </c>
      <c r="AA979">
        <v>0</v>
      </c>
      <c r="AB979">
        <v>44413.018944872689</v>
      </c>
      <c r="AC979" t="s">
        <v>323</v>
      </c>
      <c r="AD979">
        <v>7</v>
      </c>
    </row>
    <row r="980" spans="1:30" x14ac:dyDescent="0.25">
      <c r="A980" t="s">
        <v>1051</v>
      </c>
      <c r="B980" t="s">
        <v>1106</v>
      </c>
      <c r="C980" t="s">
        <v>2288</v>
      </c>
      <c r="D980" t="s">
        <v>2308</v>
      </c>
      <c r="E980" t="s">
        <v>1060</v>
      </c>
      <c r="F980" t="s">
        <v>1061</v>
      </c>
      <c r="G980">
        <v>6101475</v>
      </c>
      <c r="H980">
        <v>202107</v>
      </c>
      <c r="I980">
        <v>44407</v>
      </c>
      <c r="J980" t="s">
        <v>1681</v>
      </c>
      <c r="K980" t="s">
        <v>1056</v>
      </c>
      <c r="M980" t="s">
        <v>355</v>
      </c>
      <c r="O980" t="s">
        <v>1145</v>
      </c>
      <c r="P980" t="s">
        <v>1146</v>
      </c>
      <c r="Q980" t="s">
        <v>357</v>
      </c>
      <c r="R980">
        <v>2069080</v>
      </c>
      <c r="S980" t="s">
        <v>355</v>
      </c>
      <c r="U980" t="s">
        <v>2309</v>
      </c>
      <c r="V980" t="s">
        <v>356</v>
      </c>
      <c r="W980">
        <v>2300</v>
      </c>
      <c r="X980">
        <v>0.59</v>
      </c>
      <c r="Y980">
        <v>5.09</v>
      </c>
      <c r="Z980">
        <v>2300</v>
      </c>
      <c r="AA980">
        <v>0</v>
      </c>
      <c r="AB980">
        <v>44413.018945057869</v>
      </c>
      <c r="AC980" t="s">
        <v>323</v>
      </c>
      <c r="AD980">
        <v>7</v>
      </c>
    </row>
    <row r="981" spans="1:30" x14ac:dyDescent="0.25">
      <c r="A981" t="s">
        <v>1051</v>
      </c>
      <c r="B981" t="s">
        <v>1106</v>
      </c>
      <c r="C981" t="s">
        <v>2288</v>
      </c>
      <c r="D981" t="s">
        <v>2308</v>
      </c>
      <c r="E981" t="s">
        <v>1060</v>
      </c>
      <c r="F981" t="s">
        <v>1061</v>
      </c>
      <c r="G981">
        <v>6101475</v>
      </c>
      <c r="H981">
        <v>202107</v>
      </c>
      <c r="I981">
        <v>44407</v>
      </c>
      <c r="J981" t="s">
        <v>1681</v>
      </c>
      <c r="K981" t="s">
        <v>1056</v>
      </c>
      <c r="M981" t="s">
        <v>355</v>
      </c>
      <c r="O981" t="s">
        <v>1145</v>
      </c>
      <c r="P981" t="s">
        <v>1146</v>
      </c>
      <c r="Q981" t="s">
        <v>357</v>
      </c>
      <c r="R981">
        <v>2069080</v>
      </c>
      <c r="S981" t="s">
        <v>355</v>
      </c>
      <c r="U981" t="s">
        <v>2309</v>
      </c>
      <c r="V981" t="s">
        <v>356</v>
      </c>
      <c r="W981">
        <v>2300</v>
      </c>
      <c r="X981">
        <v>0.59</v>
      </c>
      <c r="Y981">
        <v>5.09</v>
      </c>
      <c r="Z981">
        <v>2300</v>
      </c>
      <c r="AA981">
        <v>0</v>
      </c>
      <c r="AB981">
        <v>44413.018945057869</v>
      </c>
      <c r="AC981" t="s">
        <v>323</v>
      </c>
      <c r="AD981">
        <v>7</v>
      </c>
    </row>
    <row r="982" spans="1:30" x14ac:dyDescent="0.25">
      <c r="A982" t="s">
        <v>1051</v>
      </c>
      <c r="B982" t="s">
        <v>1106</v>
      </c>
      <c r="C982" t="s">
        <v>2288</v>
      </c>
      <c r="D982" t="s">
        <v>2308</v>
      </c>
      <c r="E982" t="s">
        <v>1060</v>
      </c>
      <c r="F982" t="s">
        <v>1061</v>
      </c>
      <c r="G982">
        <v>6101475</v>
      </c>
      <c r="H982">
        <v>202107</v>
      </c>
      <c r="I982">
        <v>44407</v>
      </c>
      <c r="J982" t="s">
        <v>1681</v>
      </c>
      <c r="K982" t="s">
        <v>1056</v>
      </c>
      <c r="M982" t="s">
        <v>355</v>
      </c>
      <c r="O982" t="s">
        <v>1145</v>
      </c>
      <c r="P982" t="s">
        <v>1146</v>
      </c>
      <c r="Q982" t="s">
        <v>357</v>
      </c>
      <c r="R982">
        <v>2069080</v>
      </c>
      <c r="S982" t="s">
        <v>355</v>
      </c>
      <c r="U982" t="s">
        <v>2309</v>
      </c>
      <c r="V982" t="s">
        <v>356</v>
      </c>
      <c r="W982">
        <v>2300</v>
      </c>
      <c r="X982">
        <v>0.59</v>
      </c>
      <c r="Y982">
        <v>5.09</v>
      </c>
      <c r="Z982">
        <v>2300</v>
      </c>
      <c r="AA982">
        <v>0</v>
      </c>
      <c r="AB982">
        <v>44413.018945057869</v>
      </c>
      <c r="AC982" t="s">
        <v>323</v>
      </c>
      <c r="AD982">
        <v>7</v>
      </c>
    </row>
    <row r="983" spans="1:30" x14ac:dyDescent="0.25">
      <c r="A983" t="s">
        <v>1051</v>
      </c>
      <c r="B983" t="s">
        <v>1106</v>
      </c>
      <c r="C983" t="s">
        <v>2288</v>
      </c>
      <c r="D983" t="s">
        <v>2308</v>
      </c>
      <c r="E983" t="s">
        <v>1060</v>
      </c>
      <c r="F983" t="s">
        <v>1061</v>
      </c>
      <c r="G983">
        <v>6101475</v>
      </c>
      <c r="H983">
        <v>202107</v>
      </c>
      <c r="I983">
        <v>44407</v>
      </c>
      <c r="J983" t="s">
        <v>1681</v>
      </c>
      <c r="K983" t="s">
        <v>1056</v>
      </c>
      <c r="M983" t="s">
        <v>355</v>
      </c>
      <c r="O983" t="s">
        <v>1145</v>
      </c>
      <c r="P983" t="s">
        <v>1146</v>
      </c>
      <c r="Q983" t="s">
        <v>357</v>
      </c>
      <c r="R983">
        <v>2069080</v>
      </c>
      <c r="S983" t="s">
        <v>355</v>
      </c>
      <c r="U983" t="s">
        <v>2309</v>
      </c>
      <c r="V983" t="s">
        <v>356</v>
      </c>
      <c r="W983">
        <v>2300</v>
      </c>
      <c r="X983">
        <v>0.59</v>
      </c>
      <c r="Y983">
        <v>5.09</v>
      </c>
      <c r="Z983">
        <v>2300</v>
      </c>
      <c r="AA983">
        <v>0</v>
      </c>
      <c r="AB983">
        <v>44413.018945057869</v>
      </c>
      <c r="AC983" t="s">
        <v>323</v>
      </c>
      <c r="AD983">
        <v>7</v>
      </c>
    </row>
    <row r="984" spans="1:30" x14ac:dyDescent="0.25">
      <c r="A984" t="s">
        <v>1051</v>
      </c>
      <c r="B984" t="s">
        <v>1106</v>
      </c>
      <c r="C984" t="s">
        <v>2288</v>
      </c>
      <c r="D984" t="s">
        <v>2308</v>
      </c>
      <c r="E984" t="s">
        <v>1060</v>
      </c>
      <c r="F984" t="s">
        <v>1061</v>
      </c>
      <c r="G984">
        <v>6101475</v>
      </c>
      <c r="H984">
        <v>202107</v>
      </c>
      <c r="I984">
        <v>44407</v>
      </c>
      <c r="J984" t="s">
        <v>1681</v>
      </c>
      <c r="K984" t="s">
        <v>1056</v>
      </c>
      <c r="M984" t="s">
        <v>355</v>
      </c>
      <c r="O984" t="s">
        <v>1145</v>
      </c>
      <c r="P984" t="s">
        <v>1146</v>
      </c>
      <c r="Q984" t="s">
        <v>357</v>
      </c>
      <c r="R984">
        <v>2069080</v>
      </c>
      <c r="S984" t="s">
        <v>355</v>
      </c>
      <c r="U984" t="s">
        <v>2309</v>
      </c>
      <c r="V984" t="s">
        <v>356</v>
      </c>
      <c r="W984">
        <v>2300</v>
      </c>
      <c r="X984">
        <v>0.59</v>
      </c>
      <c r="Y984">
        <v>5.09</v>
      </c>
      <c r="Z984">
        <v>2300</v>
      </c>
      <c r="AA984">
        <v>0</v>
      </c>
      <c r="AB984">
        <v>44413.018945057869</v>
      </c>
      <c r="AC984" t="s">
        <v>323</v>
      </c>
      <c r="AD984">
        <v>7</v>
      </c>
    </row>
    <row r="985" spans="1:30" x14ac:dyDescent="0.25">
      <c r="A985" t="s">
        <v>1051</v>
      </c>
      <c r="B985" t="s">
        <v>1106</v>
      </c>
      <c r="C985" t="s">
        <v>2288</v>
      </c>
      <c r="D985" t="s">
        <v>2308</v>
      </c>
      <c r="E985" t="s">
        <v>1060</v>
      </c>
      <c r="F985" t="s">
        <v>1061</v>
      </c>
      <c r="G985">
        <v>6101475</v>
      </c>
      <c r="H985">
        <v>202107</v>
      </c>
      <c r="I985">
        <v>44407</v>
      </c>
      <c r="J985" t="s">
        <v>1681</v>
      </c>
      <c r="K985" t="s">
        <v>1056</v>
      </c>
      <c r="M985" t="s">
        <v>355</v>
      </c>
      <c r="O985" t="s">
        <v>1145</v>
      </c>
      <c r="P985" t="s">
        <v>1146</v>
      </c>
      <c r="Q985" t="s">
        <v>357</v>
      </c>
      <c r="R985">
        <v>2069080</v>
      </c>
      <c r="S985" t="s">
        <v>355</v>
      </c>
      <c r="U985" t="s">
        <v>2309</v>
      </c>
      <c r="V985" t="s">
        <v>356</v>
      </c>
      <c r="W985">
        <v>2300</v>
      </c>
      <c r="X985">
        <v>0.59</v>
      </c>
      <c r="Y985">
        <v>5.09</v>
      </c>
      <c r="Z985">
        <v>2300</v>
      </c>
      <c r="AA985">
        <v>0</v>
      </c>
      <c r="AB985">
        <v>44413.018945057869</v>
      </c>
      <c r="AC985" t="s">
        <v>323</v>
      </c>
      <c r="AD985">
        <v>7</v>
      </c>
    </row>
    <row r="986" spans="1:30" x14ac:dyDescent="0.25">
      <c r="A986" t="s">
        <v>1051</v>
      </c>
      <c r="B986" t="s">
        <v>1106</v>
      </c>
      <c r="C986" t="s">
        <v>2288</v>
      </c>
      <c r="D986" t="s">
        <v>2308</v>
      </c>
      <c r="E986" t="s">
        <v>1060</v>
      </c>
      <c r="F986" t="s">
        <v>1061</v>
      </c>
      <c r="G986">
        <v>6101475</v>
      </c>
      <c r="H986">
        <v>202107</v>
      </c>
      <c r="I986">
        <v>44407</v>
      </c>
      <c r="J986" t="s">
        <v>1681</v>
      </c>
      <c r="K986" t="s">
        <v>1056</v>
      </c>
      <c r="M986" t="s">
        <v>355</v>
      </c>
      <c r="O986" t="s">
        <v>1145</v>
      </c>
      <c r="P986" t="s">
        <v>1146</v>
      </c>
      <c r="Q986" t="s">
        <v>357</v>
      </c>
      <c r="R986">
        <v>2069080</v>
      </c>
      <c r="S986" t="s">
        <v>355</v>
      </c>
      <c r="U986" t="s">
        <v>2309</v>
      </c>
      <c r="V986" t="s">
        <v>356</v>
      </c>
      <c r="W986">
        <v>2300</v>
      </c>
      <c r="X986">
        <v>0.59</v>
      </c>
      <c r="Y986">
        <v>5.09</v>
      </c>
      <c r="Z986">
        <v>2300</v>
      </c>
      <c r="AA986">
        <v>0</v>
      </c>
      <c r="AB986">
        <v>44413.018945254633</v>
      </c>
      <c r="AC986" t="s">
        <v>323</v>
      </c>
      <c r="AD986">
        <v>7</v>
      </c>
    </row>
    <row r="987" spans="1:30" x14ac:dyDescent="0.25">
      <c r="A987" t="s">
        <v>1051</v>
      </c>
      <c r="B987" t="s">
        <v>1106</v>
      </c>
      <c r="C987" t="s">
        <v>2288</v>
      </c>
      <c r="D987" t="s">
        <v>2308</v>
      </c>
      <c r="E987" t="s">
        <v>1060</v>
      </c>
      <c r="F987" t="s">
        <v>1061</v>
      </c>
      <c r="G987">
        <v>6101475</v>
      </c>
      <c r="H987">
        <v>202107</v>
      </c>
      <c r="I987">
        <v>44407</v>
      </c>
      <c r="J987" t="s">
        <v>1681</v>
      </c>
      <c r="K987" t="s">
        <v>1056</v>
      </c>
      <c r="M987" t="s">
        <v>355</v>
      </c>
      <c r="O987" t="s">
        <v>1145</v>
      </c>
      <c r="P987" t="s">
        <v>1146</v>
      </c>
      <c r="Q987" t="s">
        <v>357</v>
      </c>
      <c r="R987">
        <v>2069080</v>
      </c>
      <c r="S987" t="s">
        <v>355</v>
      </c>
      <c r="U987" t="s">
        <v>2309</v>
      </c>
      <c r="V987" t="s">
        <v>356</v>
      </c>
      <c r="W987">
        <v>2300</v>
      </c>
      <c r="X987">
        <v>0.59</v>
      </c>
      <c r="Y987">
        <v>5.09</v>
      </c>
      <c r="Z987">
        <v>2300</v>
      </c>
      <c r="AA987">
        <v>0</v>
      </c>
      <c r="AB987">
        <v>44413.018945254633</v>
      </c>
      <c r="AC987" t="s">
        <v>323</v>
      </c>
      <c r="AD987">
        <v>7</v>
      </c>
    </row>
    <row r="988" spans="1:30" x14ac:dyDescent="0.25">
      <c r="A988" t="s">
        <v>1051</v>
      </c>
      <c r="B988" t="s">
        <v>1106</v>
      </c>
      <c r="C988" t="s">
        <v>2288</v>
      </c>
      <c r="D988" t="s">
        <v>2308</v>
      </c>
      <c r="E988" t="s">
        <v>1060</v>
      </c>
      <c r="F988" t="s">
        <v>1061</v>
      </c>
      <c r="G988">
        <v>6101475</v>
      </c>
      <c r="H988">
        <v>202107</v>
      </c>
      <c r="I988">
        <v>44407</v>
      </c>
      <c r="J988" t="s">
        <v>1681</v>
      </c>
      <c r="K988" t="s">
        <v>1056</v>
      </c>
      <c r="M988" t="s">
        <v>355</v>
      </c>
      <c r="O988" t="s">
        <v>1145</v>
      </c>
      <c r="P988" t="s">
        <v>1146</v>
      </c>
      <c r="Q988" t="s">
        <v>357</v>
      </c>
      <c r="R988">
        <v>2069080</v>
      </c>
      <c r="S988" t="s">
        <v>355</v>
      </c>
      <c r="U988" t="s">
        <v>2309</v>
      </c>
      <c r="V988" t="s">
        <v>356</v>
      </c>
      <c r="W988">
        <v>2300</v>
      </c>
      <c r="X988">
        <v>0.59</v>
      </c>
      <c r="Y988">
        <v>5.09</v>
      </c>
      <c r="Z988">
        <v>2300</v>
      </c>
      <c r="AA988">
        <v>0</v>
      </c>
      <c r="AB988">
        <v>44413.018945254633</v>
      </c>
      <c r="AC988" t="s">
        <v>323</v>
      </c>
      <c r="AD988">
        <v>7</v>
      </c>
    </row>
    <row r="989" spans="1:30" x14ac:dyDescent="0.25">
      <c r="A989" t="s">
        <v>1051</v>
      </c>
      <c r="B989" t="s">
        <v>1106</v>
      </c>
      <c r="C989" t="s">
        <v>2288</v>
      </c>
      <c r="D989" t="s">
        <v>2308</v>
      </c>
      <c r="E989" t="s">
        <v>1060</v>
      </c>
      <c r="F989" t="s">
        <v>1061</v>
      </c>
      <c r="G989">
        <v>6101475</v>
      </c>
      <c r="H989">
        <v>202107</v>
      </c>
      <c r="I989">
        <v>44407</v>
      </c>
      <c r="J989" t="s">
        <v>1681</v>
      </c>
      <c r="K989" t="s">
        <v>1056</v>
      </c>
      <c r="M989" t="s">
        <v>355</v>
      </c>
      <c r="O989" t="s">
        <v>1145</v>
      </c>
      <c r="P989" t="s">
        <v>1146</v>
      </c>
      <c r="Q989" t="s">
        <v>357</v>
      </c>
      <c r="R989">
        <v>2069080</v>
      </c>
      <c r="S989" t="s">
        <v>355</v>
      </c>
      <c r="U989" t="s">
        <v>2309</v>
      </c>
      <c r="V989" t="s">
        <v>356</v>
      </c>
      <c r="W989">
        <v>2300</v>
      </c>
      <c r="X989">
        <v>0.59</v>
      </c>
      <c r="Y989">
        <v>5.09</v>
      </c>
      <c r="Z989">
        <v>2300</v>
      </c>
      <c r="AA989">
        <v>0</v>
      </c>
      <c r="AB989">
        <v>44413.018945254633</v>
      </c>
      <c r="AC989" t="s">
        <v>323</v>
      </c>
      <c r="AD989">
        <v>7</v>
      </c>
    </row>
    <row r="990" spans="1:30" x14ac:dyDescent="0.25">
      <c r="A990" t="s">
        <v>1051</v>
      </c>
      <c r="B990" t="s">
        <v>1106</v>
      </c>
      <c r="C990" t="s">
        <v>2288</v>
      </c>
      <c r="D990" t="s">
        <v>2308</v>
      </c>
      <c r="E990" t="s">
        <v>1060</v>
      </c>
      <c r="F990" t="s">
        <v>1061</v>
      </c>
      <c r="G990">
        <v>6101475</v>
      </c>
      <c r="H990">
        <v>202107</v>
      </c>
      <c r="I990">
        <v>44407</v>
      </c>
      <c r="J990" t="s">
        <v>1681</v>
      </c>
      <c r="K990" t="s">
        <v>1056</v>
      </c>
      <c r="M990" t="s">
        <v>355</v>
      </c>
      <c r="O990" t="s">
        <v>1145</v>
      </c>
      <c r="P990" t="s">
        <v>1146</v>
      </c>
      <c r="Q990" t="s">
        <v>357</v>
      </c>
      <c r="R990">
        <v>2069080</v>
      </c>
      <c r="S990" t="s">
        <v>355</v>
      </c>
      <c r="U990" t="s">
        <v>2309</v>
      </c>
      <c r="V990" t="s">
        <v>356</v>
      </c>
      <c r="W990">
        <v>2300</v>
      </c>
      <c r="X990">
        <v>0.59</v>
      </c>
      <c r="Y990">
        <v>5.09</v>
      </c>
      <c r="Z990">
        <v>2300</v>
      </c>
      <c r="AA990">
        <v>0</v>
      </c>
      <c r="AB990">
        <v>44413.018945254633</v>
      </c>
      <c r="AC990" t="s">
        <v>323</v>
      </c>
      <c r="AD990">
        <v>7</v>
      </c>
    </row>
    <row r="991" spans="1:30" x14ac:dyDescent="0.25">
      <c r="A991" t="s">
        <v>1051</v>
      </c>
      <c r="B991" t="s">
        <v>1106</v>
      </c>
      <c r="C991" t="s">
        <v>2288</v>
      </c>
      <c r="D991" t="s">
        <v>2308</v>
      </c>
      <c r="E991" t="s">
        <v>1060</v>
      </c>
      <c r="F991" t="s">
        <v>1061</v>
      </c>
      <c r="G991">
        <v>6101475</v>
      </c>
      <c r="H991">
        <v>202107</v>
      </c>
      <c r="I991">
        <v>44407</v>
      </c>
      <c r="J991" t="s">
        <v>1681</v>
      </c>
      <c r="K991" t="s">
        <v>1056</v>
      </c>
      <c r="M991" t="s">
        <v>355</v>
      </c>
      <c r="O991" t="s">
        <v>1145</v>
      </c>
      <c r="P991" t="s">
        <v>1146</v>
      </c>
      <c r="Q991" t="s">
        <v>357</v>
      </c>
      <c r="R991">
        <v>2069080</v>
      </c>
      <c r="S991" t="s">
        <v>355</v>
      </c>
      <c r="U991" t="s">
        <v>2309</v>
      </c>
      <c r="V991" t="s">
        <v>356</v>
      </c>
      <c r="W991">
        <v>2300</v>
      </c>
      <c r="X991">
        <v>0.59</v>
      </c>
      <c r="Y991">
        <v>5.09</v>
      </c>
      <c r="Z991">
        <v>2300</v>
      </c>
      <c r="AA991">
        <v>0</v>
      </c>
      <c r="AB991">
        <v>44413.018945254633</v>
      </c>
      <c r="AC991" t="s">
        <v>323</v>
      </c>
      <c r="AD991">
        <v>7</v>
      </c>
    </row>
    <row r="992" spans="1:30" x14ac:dyDescent="0.25">
      <c r="A992" t="s">
        <v>1051</v>
      </c>
      <c r="B992" t="s">
        <v>1106</v>
      </c>
      <c r="C992" t="s">
        <v>2288</v>
      </c>
      <c r="D992" t="s">
        <v>2308</v>
      </c>
      <c r="E992" t="s">
        <v>1060</v>
      </c>
      <c r="F992" t="s">
        <v>1061</v>
      </c>
      <c r="G992">
        <v>6101475</v>
      </c>
      <c r="H992">
        <v>202107</v>
      </c>
      <c r="I992">
        <v>44407</v>
      </c>
      <c r="J992" t="s">
        <v>1681</v>
      </c>
      <c r="K992" t="s">
        <v>1056</v>
      </c>
      <c r="M992" t="s">
        <v>355</v>
      </c>
      <c r="O992" t="s">
        <v>1145</v>
      </c>
      <c r="P992" t="s">
        <v>1146</v>
      </c>
      <c r="Q992" t="s">
        <v>357</v>
      </c>
      <c r="R992">
        <v>2069080</v>
      </c>
      <c r="S992" t="s">
        <v>355</v>
      </c>
      <c r="U992" t="s">
        <v>2309</v>
      </c>
      <c r="V992" t="s">
        <v>356</v>
      </c>
      <c r="W992">
        <v>2300</v>
      </c>
      <c r="X992">
        <v>0.59</v>
      </c>
      <c r="Y992">
        <v>5.09</v>
      </c>
      <c r="Z992">
        <v>2300</v>
      </c>
      <c r="AA992">
        <v>0</v>
      </c>
      <c r="AB992">
        <v>44413.018945405092</v>
      </c>
      <c r="AC992" t="s">
        <v>323</v>
      </c>
      <c r="AD992">
        <v>7</v>
      </c>
    </row>
    <row r="993" spans="1:30" x14ac:dyDescent="0.25">
      <c r="A993" t="s">
        <v>1051</v>
      </c>
      <c r="B993" t="s">
        <v>1106</v>
      </c>
      <c r="C993" t="s">
        <v>2288</v>
      </c>
      <c r="D993" t="s">
        <v>2308</v>
      </c>
      <c r="E993" t="s">
        <v>1060</v>
      </c>
      <c r="F993" t="s">
        <v>1061</v>
      </c>
      <c r="G993">
        <v>6101475</v>
      </c>
      <c r="H993">
        <v>202107</v>
      </c>
      <c r="I993">
        <v>44407</v>
      </c>
      <c r="J993" t="s">
        <v>1681</v>
      </c>
      <c r="K993" t="s">
        <v>1056</v>
      </c>
      <c r="M993" t="s">
        <v>355</v>
      </c>
      <c r="O993" t="s">
        <v>1145</v>
      </c>
      <c r="P993" t="s">
        <v>1146</v>
      </c>
      <c r="Q993" t="s">
        <v>357</v>
      </c>
      <c r="R993">
        <v>2069080</v>
      </c>
      <c r="S993" t="s">
        <v>355</v>
      </c>
      <c r="U993" t="s">
        <v>2309</v>
      </c>
      <c r="V993" t="s">
        <v>356</v>
      </c>
      <c r="W993">
        <v>2300</v>
      </c>
      <c r="X993">
        <v>0.59</v>
      </c>
      <c r="Y993">
        <v>5.09</v>
      </c>
      <c r="Z993">
        <v>2300</v>
      </c>
      <c r="AA993">
        <v>0</v>
      </c>
      <c r="AB993">
        <v>44413.018945405092</v>
      </c>
      <c r="AC993" t="s">
        <v>323</v>
      </c>
      <c r="AD993">
        <v>7</v>
      </c>
    </row>
    <row r="994" spans="1:30" x14ac:dyDescent="0.25">
      <c r="A994" t="s">
        <v>1051</v>
      </c>
      <c r="B994" t="s">
        <v>1106</v>
      </c>
      <c r="C994" t="s">
        <v>2288</v>
      </c>
      <c r="D994" t="s">
        <v>2308</v>
      </c>
      <c r="E994" t="s">
        <v>1060</v>
      </c>
      <c r="F994" t="s">
        <v>1061</v>
      </c>
      <c r="G994">
        <v>6101475</v>
      </c>
      <c r="H994">
        <v>202107</v>
      </c>
      <c r="I994">
        <v>44407</v>
      </c>
      <c r="J994" t="s">
        <v>1681</v>
      </c>
      <c r="K994" t="s">
        <v>1056</v>
      </c>
      <c r="M994" t="s">
        <v>355</v>
      </c>
      <c r="O994" t="s">
        <v>1145</v>
      </c>
      <c r="P994" t="s">
        <v>1146</v>
      </c>
      <c r="Q994" t="s">
        <v>357</v>
      </c>
      <c r="R994">
        <v>2069080</v>
      </c>
      <c r="S994" t="s">
        <v>355</v>
      </c>
      <c r="U994" t="s">
        <v>2309</v>
      </c>
      <c r="V994" t="s">
        <v>356</v>
      </c>
      <c r="W994">
        <v>2300</v>
      </c>
      <c r="X994">
        <v>0.59</v>
      </c>
      <c r="Y994">
        <v>5.09</v>
      </c>
      <c r="Z994">
        <v>2300</v>
      </c>
      <c r="AA994">
        <v>0</v>
      </c>
      <c r="AB994">
        <v>44413.018945405092</v>
      </c>
      <c r="AC994" t="s">
        <v>323</v>
      </c>
      <c r="AD994">
        <v>7</v>
      </c>
    </row>
    <row r="995" spans="1:30" x14ac:dyDescent="0.25">
      <c r="A995" t="s">
        <v>1051</v>
      </c>
      <c r="B995" t="s">
        <v>1106</v>
      </c>
      <c r="C995" t="s">
        <v>2288</v>
      </c>
      <c r="D995" t="s">
        <v>2308</v>
      </c>
      <c r="E995" t="s">
        <v>1060</v>
      </c>
      <c r="F995" t="s">
        <v>1061</v>
      </c>
      <c r="G995">
        <v>6101475</v>
      </c>
      <c r="H995">
        <v>202107</v>
      </c>
      <c r="I995">
        <v>44407</v>
      </c>
      <c r="J995" t="s">
        <v>1681</v>
      </c>
      <c r="K995" t="s">
        <v>1056</v>
      </c>
      <c r="M995" t="s">
        <v>355</v>
      </c>
      <c r="O995" t="s">
        <v>1145</v>
      </c>
      <c r="P995" t="s">
        <v>1146</v>
      </c>
      <c r="Q995" t="s">
        <v>357</v>
      </c>
      <c r="R995">
        <v>2069080</v>
      </c>
      <c r="S995" t="s">
        <v>355</v>
      </c>
      <c r="U995" t="s">
        <v>2309</v>
      </c>
      <c r="V995" t="s">
        <v>356</v>
      </c>
      <c r="W995">
        <v>2300</v>
      </c>
      <c r="X995">
        <v>0.59</v>
      </c>
      <c r="Y995">
        <v>5.09</v>
      </c>
      <c r="Z995">
        <v>2300</v>
      </c>
      <c r="AA995">
        <v>0</v>
      </c>
      <c r="AB995">
        <v>44413.018945405092</v>
      </c>
      <c r="AC995" t="s">
        <v>323</v>
      </c>
      <c r="AD995">
        <v>7</v>
      </c>
    </row>
    <row r="996" spans="1:30" x14ac:dyDescent="0.25">
      <c r="A996" t="s">
        <v>1051</v>
      </c>
      <c r="B996" t="s">
        <v>1106</v>
      </c>
      <c r="C996" t="s">
        <v>2288</v>
      </c>
      <c r="D996" t="s">
        <v>2308</v>
      </c>
      <c r="E996" t="s">
        <v>1060</v>
      </c>
      <c r="F996" t="s">
        <v>1061</v>
      </c>
      <c r="G996">
        <v>6101453</v>
      </c>
      <c r="H996">
        <v>202107</v>
      </c>
      <c r="I996">
        <v>44407</v>
      </c>
      <c r="J996" t="s">
        <v>1681</v>
      </c>
      <c r="K996" t="s">
        <v>1056</v>
      </c>
      <c r="M996" t="s">
        <v>355</v>
      </c>
      <c r="O996" t="s">
        <v>1145</v>
      </c>
      <c r="P996" t="s">
        <v>1146</v>
      </c>
      <c r="Q996" t="s">
        <v>357</v>
      </c>
      <c r="R996">
        <v>2069080</v>
      </c>
      <c r="S996" t="s">
        <v>355</v>
      </c>
      <c r="U996" t="s">
        <v>2310</v>
      </c>
      <c r="V996" t="s">
        <v>356</v>
      </c>
      <c r="W996">
        <v>1391050</v>
      </c>
      <c r="X996">
        <v>356.11</v>
      </c>
      <c r="Y996">
        <v>3077</v>
      </c>
      <c r="Z996">
        <v>1391050</v>
      </c>
      <c r="AA996">
        <v>0</v>
      </c>
      <c r="AB996">
        <v>44412.726487499996</v>
      </c>
      <c r="AC996" t="s">
        <v>323</v>
      </c>
      <c r="AD996">
        <v>7</v>
      </c>
    </row>
    <row r="997" spans="1:30" x14ac:dyDescent="0.25">
      <c r="A997" t="s">
        <v>1051</v>
      </c>
      <c r="B997" t="s">
        <v>1106</v>
      </c>
      <c r="C997" t="s">
        <v>2288</v>
      </c>
      <c r="D997" t="s">
        <v>2308</v>
      </c>
      <c r="E997" t="s">
        <v>1060</v>
      </c>
      <c r="F997" t="s">
        <v>1061</v>
      </c>
      <c r="G997">
        <v>6101469</v>
      </c>
      <c r="H997">
        <v>202107</v>
      </c>
      <c r="I997">
        <v>44407</v>
      </c>
      <c r="J997" t="s">
        <v>1681</v>
      </c>
      <c r="K997" t="s">
        <v>1056</v>
      </c>
      <c r="M997" t="s">
        <v>355</v>
      </c>
      <c r="O997" t="s">
        <v>1145</v>
      </c>
      <c r="P997" t="s">
        <v>1146</v>
      </c>
      <c r="Q997" t="s">
        <v>357</v>
      </c>
      <c r="R997">
        <v>2069080</v>
      </c>
      <c r="S997" t="s">
        <v>355</v>
      </c>
      <c r="U997" t="s">
        <v>2310</v>
      </c>
      <c r="V997" t="s">
        <v>356</v>
      </c>
      <c r="W997">
        <v>29900</v>
      </c>
      <c r="X997">
        <v>7.65</v>
      </c>
      <c r="Y997">
        <v>66.14</v>
      </c>
      <c r="Z997">
        <v>29900</v>
      </c>
      <c r="AA997">
        <v>0</v>
      </c>
      <c r="AB997">
        <v>44412.81572997685</v>
      </c>
      <c r="AC997" t="s">
        <v>323</v>
      </c>
      <c r="AD997">
        <v>7</v>
      </c>
    </row>
    <row r="998" spans="1:30" x14ac:dyDescent="0.25">
      <c r="A998" t="s">
        <v>1051</v>
      </c>
      <c r="B998" t="s">
        <v>1106</v>
      </c>
      <c r="C998" t="s">
        <v>2288</v>
      </c>
      <c r="D998" t="s">
        <v>2308</v>
      </c>
      <c r="E998" t="s">
        <v>1060</v>
      </c>
      <c r="F998" t="s">
        <v>1061</v>
      </c>
      <c r="G998">
        <v>6101766</v>
      </c>
      <c r="H998">
        <v>202108</v>
      </c>
      <c r="I998">
        <v>44439</v>
      </c>
      <c r="J998">
        <v>122536</v>
      </c>
      <c r="K998" t="s">
        <v>1056</v>
      </c>
      <c r="M998" t="s">
        <v>355</v>
      </c>
      <c r="O998" t="s">
        <v>1145</v>
      </c>
      <c r="P998" t="s">
        <v>1146</v>
      </c>
      <c r="Q998" t="s">
        <v>357</v>
      </c>
      <c r="R998">
        <v>2069080</v>
      </c>
      <c r="S998" t="s">
        <v>355</v>
      </c>
      <c r="U998" t="s">
        <v>2311</v>
      </c>
      <c r="V998" t="s">
        <v>356</v>
      </c>
      <c r="W998">
        <v>2300</v>
      </c>
      <c r="X998">
        <v>0.6</v>
      </c>
      <c r="Y998">
        <v>5.18</v>
      </c>
      <c r="Z998">
        <v>2300</v>
      </c>
      <c r="AA998">
        <v>0</v>
      </c>
      <c r="AB998">
        <v>44445.786312847224</v>
      </c>
      <c r="AC998" t="s">
        <v>323</v>
      </c>
      <c r="AD998">
        <v>7</v>
      </c>
    </row>
    <row r="999" spans="1:30" x14ac:dyDescent="0.25">
      <c r="A999" t="s">
        <v>1051</v>
      </c>
      <c r="B999" t="s">
        <v>1106</v>
      </c>
      <c r="C999" t="s">
        <v>2288</v>
      </c>
      <c r="D999" t="s">
        <v>2308</v>
      </c>
      <c r="E999" t="s">
        <v>1060</v>
      </c>
      <c r="F999" t="s">
        <v>1061</v>
      </c>
      <c r="G999">
        <v>6101766</v>
      </c>
      <c r="H999">
        <v>202108</v>
      </c>
      <c r="I999">
        <v>44439</v>
      </c>
      <c r="J999">
        <v>122536</v>
      </c>
      <c r="K999" t="s">
        <v>1056</v>
      </c>
      <c r="M999" t="s">
        <v>355</v>
      </c>
      <c r="O999" t="s">
        <v>1145</v>
      </c>
      <c r="P999" t="s">
        <v>1146</v>
      </c>
      <c r="Q999" t="s">
        <v>357</v>
      </c>
      <c r="R999">
        <v>2069080</v>
      </c>
      <c r="S999" t="s">
        <v>355</v>
      </c>
      <c r="U999" t="s">
        <v>2311</v>
      </c>
      <c r="V999" t="s">
        <v>356</v>
      </c>
      <c r="W999">
        <v>2300</v>
      </c>
      <c r="X999">
        <v>0.6</v>
      </c>
      <c r="Y999">
        <v>5.18</v>
      </c>
      <c r="Z999">
        <v>2300</v>
      </c>
      <c r="AA999">
        <v>0</v>
      </c>
      <c r="AB999">
        <v>44445.786312847224</v>
      </c>
      <c r="AC999" t="s">
        <v>323</v>
      </c>
      <c r="AD999">
        <v>7</v>
      </c>
    </row>
    <row r="1000" spans="1:30" x14ac:dyDescent="0.25">
      <c r="A1000" t="s">
        <v>1051</v>
      </c>
      <c r="B1000" t="s">
        <v>1106</v>
      </c>
      <c r="C1000" t="s">
        <v>2288</v>
      </c>
      <c r="D1000" t="s">
        <v>2308</v>
      </c>
      <c r="E1000" t="s">
        <v>1060</v>
      </c>
      <c r="F1000" t="s">
        <v>1061</v>
      </c>
      <c r="G1000">
        <v>6101766</v>
      </c>
      <c r="H1000">
        <v>202108</v>
      </c>
      <c r="I1000">
        <v>44439</v>
      </c>
      <c r="J1000">
        <v>122536</v>
      </c>
      <c r="K1000" t="s">
        <v>1056</v>
      </c>
      <c r="M1000" t="s">
        <v>355</v>
      </c>
      <c r="O1000" t="s">
        <v>1145</v>
      </c>
      <c r="P1000" t="s">
        <v>1146</v>
      </c>
      <c r="Q1000" t="s">
        <v>357</v>
      </c>
      <c r="R1000">
        <v>2069080</v>
      </c>
      <c r="S1000" t="s">
        <v>355</v>
      </c>
      <c r="U1000" t="s">
        <v>2311</v>
      </c>
      <c r="V1000" t="s">
        <v>356</v>
      </c>
      <c r="W1000">
        <v>2300</v>
      </c>
      <c r="X1000">
        <v>0.6</v>
      </c>
      <c r="Y1000">
        <v>5.18</v>
      </c>
      <c r="Z1000">
        <v>2300</v>
      </c>
      <c r="AA1000">
        <v>0</v>
      </c>
      <c r="AB1000">
        <v>44445.786312997683</v>
      </c>
      <c r="AC1000" t="s">
        <v>323</v>
      </c>
      <c r="AD1000">
        <v>7</v>
      </c>
    </row>
    <row r="1001" spans="1:30" x14ac:dyDescent="0.25">
      <c r="A1001" t="s">
        <v>1051</v>
      </c>
      <c r="B1001" t="s">
        <v>1106</v>
      </c>
      <c r="C1001" t="s">
        <v>2288</v>
      </c>
      <c r="D1001" t="s">
        <v>2308</v>
      </c>
      <c r="E1001" t="s">
        <v>1060</v>
      </c>
      <c r="F1001" t="s">
        <v>1061</v>
      </c>
      <c r="G1001">
        <v>6101766</v>
      </c>
      <c r="H1001">
        <v>202108</v>
      </c>
      <c r="I1001">
        <v>44439</v>
      </c>
      <c r="J1001">
        <v>122536</v>
      </c>
      <c r="K1001" t="s">
        <v>1056</v>
      </c>
      <c r="M1001" t="s">
        <v>355</v>
      </c>
      <c r="O1001" t="s">
        <v>1145</v>
      </c>
      <c r="P1001" t="s">
        <v>1146</v>
      </c>
      <c r="Q1001" t="s">
        <v>357</v>
      </c>
      <c r="R1001">
        <v>2069080</v>
      </c>
      <c r="S1001" t="s">
        <v>355</v>
      </c>
      <c r="U1001" t="s">
        <v>2311</v>
      </c>
      <c r="V1001" t="s">
        <v>356</v>
      </c>
      <c r="W1001">
        <v>2300</v>
      </c>
      <c r="X1001">
        <v>0.6</v>
      </c>
      <c r="Y1001">
        <v>5.18</v>
      </c>
      <c r="Z1001">
        <v>2300</v>
      </c>
      <c r="AA1001">
        <v>0</v>
      </c>
      <c r="AB1001">
        <v>44445.786312997683</v>
      </c>
      <c r="AC1001" t="s">
        <v>323</v>
      </c>
      <c r="AD1001">
        <v>7</v>
      </c>
    </row>
    <row r="1002" spans="1:30" x14ac:dyDescent="0.25">
      <c r="A1002" t="s">
        <v>1051</v>
      </c>
      <c r="B1002" t="s">
        <v>1106</v>
      </c>
      <c r="C1002" t="s">
        <v>2288</v>
      </c>
      <c r="D1002" t="s">
        <v>2308</v>
      </c>
      <c r="E1002" t="s">
        <v>1060</v>
      </c>
      <c r="F1002" t="s">
        <v>1061</v>
      </c>
      <c r="G1002">
        <v>6101766</v>
      </c>
      <c r="H1002">
        <v>202108</v>
      </c>
      <c r="I1002">
        <v>44439</v>
      </c>
      <c r="J1002">
        <v>122536</v>
      </c>
      <c r="K1002" t="s">
        <v>1056</v>
      </c>
      <c r="M1002" t="s">
        <v>355</v>
      </c>
      <c r="O1002" t="s">
        <v>1145</v>
      </c>
      <c r="P1002" t="s">
        <v>1146</v>
      </c>
      <c r="Q1002" t="s">
        <v>357</v>
      </c>
      <c r="R1002">
        <v>2069080</v>
      </c>
      <c r="S1002" t="s">
        <v>355</v>
      </c>
      <c r="U1002" t="s">
        <v>2311</v>
      </c>
      <c r="V1002" t="s">
        <v>356</v>
      </c>
      <c r="W1002">
        <v>2300</v>
      </c>
      <c r="X1002">
        <v>0.6</v>
      </c>
      <c r="Y1002">
        <v>5.18</v>
      </c>
      <c r="Z1002">
        <v>2300</v>
      </c>
      <c r="AA1002">
        <v>0</v>
      </c>
      <c r="AB1002">
        <v>44445.786312997683</v>
      </c>
      <c r="AC1002" t="s">
        <v>323</v>
      </c>
      <c r="AD1002">
        <v>7</v>
      </c>
    </row>
    <row r="1003" spans="1:30" x14ac:dyDescent="0.25">
      <c r="A1003" t="s">
        <v>1051</v>
      </c>
      <c r="B1003" t="s">
        <v>1106</v>
      </c>
      <c r="C1003" t="s">
        <v>2288</v>
      </c>
      <c r="D1003" t="s">
        <v>2308</v>
      </c>
      <c r="E1003" t="s">
        <v>1060</v>
      </c>
      <c r="F1003" t="s">
        <v>1061</v>
      </c>
      <c r="G1003">
        <v>6101766</v>
      </c>
      <c r="H1003">
        <v>202108</v>
      </c>
      <c r="I1003">
        <v>44439</v>
      </c>
      <c r="J1003">
        <v>122536</v>
      </c>
      <c r="K1003" t="s">
        <v>1056</v>
      </c>
      <c r="M1003" t="s">
        <v>355</v>
      </c>
      <c r="O1003" t="s">
        <v>1145</v>
      </c>
      <c r="P1003" t="s">
        <v>1146</v>
      </c>
      <c r="Q1003" t="s">
        <v>357</v>
      </c>
      <c r="R1003">
        <v>2069080</v>
      </c>
      <c r="S1003" t="s">
        <v>355</v>
      </c>
      <c r="U1003" t="s">
        <v>2312</v>
      </c>
      <c r="V1003" t="s">
        <v>356</v>
      </c>
      <c r="W1003">
        <v>2300</v>
      </c>
      <c r="X1003">
        <v>0.6</v>
      </c>
      <c r="Y1003">
        <v>5.18</v>
      </c>
      <c r="Z1003">
        <v>2300</v>
      </c>
      <c r="AA1003">
        <v>0</v>
      </c>
      <c r="AB1003">
        <v>44445.786312465279</v>
      </c>
      <c r="AC1003" t="s">
        <v>323</v>
      </c>
      <c r="AD1003">
        <v>7</v>
      </c>
    </row>
    <row r="1004" spans="1:30" x14ac:dyDescent="0.25">
      <c r="A1004" t="s">
        <v>1051</v>
      </c>
      <c r="B1004" t="s">
        <v>1106</v>
      </c>
      <c r="C1004" t="s">
        <v>2288</v>
      </c>
      <c r="D1004" t="s">
        <v>2308</v>
      </c>
      <c r="E1004" t="s">
        <v>1060</v>
      </c>
      <c r="F1004" t="s">
        <v>1061</v>
      </c>
      <c r="G1004">
        <v>6101766</v>
      </c>
      <c r="H1004">
        <v>202108</v>
      </c>
      <c r="I1004">
        <v>44439</v>
      </c>
      <c r="J1004">
        <v>122536</v>
      </c>
      <c r="K1004" t="s">
        <v>1056</v>
      </c>
      <c r="M1004" t="s">
        <v>355</v>
      </c>
      <c r="O1004" t="s">
        <v>1145</v>
      </c>
      <c r="P1004" t="s">
        <v>1146</v>
      </c>
      <c r="Q1004" t="s">
        <v>357</v>
      </c>
      <c r="R1004">
        <v>2069080</v>
      </c>
      <c r="S1004" t="s">
        <v>355</v>
      </c>
      <c r="U1004" t="s">
        <v>2312</v>
      </c>
      <c r="V1004" t="s">
        <v>356</v>
      </c>
      <c r="W1004">
        <v>2300</v>
      </c>
      <c r="X1004">
        <v>0.6</v>
      </c>
      <c r="Y1004">
        <v>5.18</v>
      </c>
      <c r="Z1004">
        <v>2300</v>
      </c>
      <c r="AA1004">
        <v>0</v>
      </c>
      <c r="AB1004">
        <v>44445.786312465279</v>
      </c>
      <c r="AC1004" t="s">
        <v>323</v>
      </c>
      <c r="AD1004">
        <v>7</v>
      </c>
    </row>
    <row r="1005" spans="1:30" x14ac:dyDescent="0.25">
      <c r="A1005" t="s">
        <v>1051</v>
      </c>
      <c r="B1005" t="s">
        <v>1106</v>
      </c>
      <c r="C1005" t="s">
        <v>2288</v>
      </c>
      <c r="D1005" t="s">
        <v>2308</v>
      </c>
      <c r="E1005" t="s">
        <v>1060</v>
      </c>
      <c r="F1005" t="s">
        <v>1061</v>
      </c>
      <c r="G1005">
        <v>6101766</v>
      </c>
      <c r="H1005">
        <v>202108</v>
      </c>
      <c r="I1005">
        <v>44439</v>
      </c>
      <c r="J1005">
        <v>122536</v>
      </c>
      <c r="K1005" t="s">
        <v>1056</v>
      </c>
      <c r="M1005" t="s">
        <v>355</v>
      </c>
      <c r="O1005" t="s">
        <v>1145</v>
      </c>
      <c r="P1005" t="s">
        <v>1146</v>
      </c>
      <c r="Q1005" t="s">
        <v>357</v>
      </c>
      <c r="R1005">
        <v>2069080</v>
      </c>
      <c r="S1005" t="s">
        <v>355</v>
      </c>
      <c r="U1005" t="s">
        <v>2312</v>
      </c>
      <c r="V1005" t="s">
        <v>356</v>
      </c>
      <c r="W1005">
        <v>2300</v>
      </c>
      <c r="X1005">
        <v>0.6</v>
      </c>
      <c r="Y1005">
        <v>5.18</v>
      </c>
      <c r="Z1005">
        <v>2300</v>
      </c>
      <c r="AA1005">
        <v>0</v>
      </c>
      <c r="AB1005">
        <v>44445.786312465279</v>
      </c>
      <c r="AC1005" t="s">
        <v>323</v>
      </c>
      <c r="AD1005">
        <v>7</v>
      </c>
    </row>
    <row r="1006" spans="1:30" x14ac:dyDescent="0.25">
      <c r="A1006" t="s">
        <v>1051</v>
      </c>
      <c r="B1006" t="s">
        <v>1106</v>
      </c>
      <c r="C1006" t="s">
        <v>2288</v>
      </c>
      <c r="D1006" t="s">
        <v>2308</v>
      </c>
      <c r="E1006" t="s">
        <v>1060</v>
      </c>
      <c r="F1006" t="s">
        <v>1061</v>
      </c>
      <c r="G1006">
        <v>6101766</v>
      </c>
      <c r="H1006">
        <v>202108</v>
      </c>
      <c r="I1006">
        <v>44439</v>
      </c>
      <c r="J1006">
        <v>122536</v>
      </c>
      <c r="K1006" t="s">
        <v>1056</v>
      </c>
      <c r="M1006" t="s">
        <v>355</v>
      </c>
      <c r="O1006" t="s">
        <v>1145</v>
      </c>
      <c r="P1006" t="s">
        <v>1146</v>
      </c>
      <c r="Q1006" t="s">
        <v>357</v>
      </c>
      <c r="R1006">
        <v>2069080</v>
      </c>
      <c r="S1006" t="s">
        <v>355</v>
      </c>
      <c r="U1006" t="s">
        <v>2311</v>
      </c>
      <c r="V1006" t="s">
        <v>356</v>
      </c>
      <c r="W1006">
        <v>2300</v>
      </c>
      <c r="X1006">
        <v>0.6</v>
      </c>
      <c r="Y1006">
        <v>5.18</v>
      </c>
      <c r="Z1006">
        <v>2300</v>
      </c>
      <c r="AA1006">
        <v>0</v>
      </c>
      <c r="AB1006">
        <v>44445.78631265046</v>
      </c>
      <c r="AC1006" t="s">
        <v>323</v>
      </c>
      <c r="AD1006">
        <v>7</v>
      </c>
    </row>
    <row r="1007" spans="1:30" x14ac:dyDescent="0.25">
      <c r="A1007" t="s">
        <v>1051</v>
      </c>
      <c r="B1007" t="s">
        <v>1106</v>
      </c>
      <c r="C1007" t="s">
        <v>2288</v>
      </c>
      <c r="D1007" t="s">
        <v>2308</v>
      </c>
      <c r="E1007" t="s">
        <v>1060</v>
      </c>
      <c r="F1007" t="s">
        <v>1061</v>
      </c>
      <c r="G1007">
        <v>6101766</v>
      </c>
      <c r="H1007">
        <v>202108</v>
      </c>
      <c r="I1007">
        <v>44439</v>
      </c>
      <c r="J1007">
        <v>122536</v>
      </c>
      <c r="K1007" t="s">
        <v>1056</v>
      </c>
      <c r="M1007" t="s">
        <v>355</v>
      </c>
      <c r="O1007" t="s">
        <v>1145</v>
      </c>
      <c r="P1007" t="s">
        <v>1146</v>
      </c>
      <c r="Q1007" t="s">
        <v>357</v>
      </c>
      <c r="R1007">
        <v>2069080</v>
      </c>
      <c r="S1007" t="s">
        <v>355</v>
      </c>
      <c r="U1007" t="s">
        <v>2311</v>
      </c>
      <c r="V1007" t="s">
        <v>356</v>
      </c>
      <c r="W1007">
        <v>2300</v>
      </c>
      <c r="X1007">
        <v>0.6</v>
      </c>
      <c r="Y1007">
        <v>5.18</v>
      </c>
      <c r="Z1007">
        <v>2300</v>
      </c>
      <c r="AA1007">
        <v>0</v>
      </c>
      <c r="AB1007">
        <v>44445.78631265046</v>
      </c>
      <c r="AC1007" t="s">
        <v>323</v>
      </c>
      <c r="AD1007">
        <v>7</v>
      </c>
    </row>
    <row r="1008" spans="1:30" x14ac:dyDescent="0.25">
      <c r="A1008" t="s">
        <v>1051</v>
      </c>
      <c r="B1008" t="s">
        <v>1106</v>
      </c>
      <c r="C1008" t="s">
        <v>2288</v>
      </c>
      <c r="D1008" t="s">
        <v>2308</v>
      </c>
      <c r="E1008" t="s">
        <v>1060</v>
      </c>
      <c r="F1008" t="s">
        <v>1061</v>
      </c>
      <c r="G1008">
        <v>6101766</v>
      </c>
      <c r="H1008">
        <v>202108</v>
      </c>
      <c r="I1008">
        <v>44439</v>
      </c>
      <c r="J1008">
        <v>122536</v>
      </c>
      <c r="K1008" t="s">
        <v>1056</v>
      </c>
      <c r="M1008" t="s">
        <v>355</v>
      </c>
      <c r="O1008" t="s">
        <v>1145</v>
      </c>
      <c r="P1008" t="s">
        <v>1146</v>
      </c>
      <c r="Q1008" t="s">
        <v>357</v>
      </c>
      <c r="R1008">
        <v>2069080</v>
      </c>
      <c r="S1008" t="s">
        <v>355</v>
      </c>
      <c r="U1008" t="s">
        <v>2311</v>
      </c>
      <c r="V1008" t="s">
        <v>356</v>
      </c>
      <c r="W1008">
        <v>2300</v>
      </c>
      <c r="X1008">
        <v>0.6</v>
      </c>
      <c r="Y1008">
        <v>5.18</v>
      </c>
      <c r="Z1008">
        <v>2300</v>
      </c>
      <c r="AA1008">
        <v>0</v>
      </c>
      <c r="AB1008">
        <v>44445.78631265046</v>
      </c>
      <c r="AC1008" t="s">
        <v>323</v>
      </c>
      <c r="AD1008">
        <v>7</v>
      </c>
    </row>
    <row r="1009" spans="1:30" x14ac:dyDescent="0.25">
      <c r="A1009" t="s">
        <v>1051</v>
      </c>
      <c r="B1009" t="s">
        <v>1106</v>
      </c>
      <c r="C1009" t="s">
        <v>2288</v>
      </c>
      <c r="D1009" t="s">
        <v>2308</v>
      </c>
      <c r="E1009" t="s">
        <v>1060</v>
      </c>
      <c r="F1009" t="s">
        <v>1061</v>
      </c>
      <c r="G1009">
        <v>6101766</v>
      </c>
      <c r="H1009">
        <v>202108</v>
      </c>
      <c r="I1009">
        <v>44439</v>
      </c>
      <c r="J1009">
        <v>122536</v>
      </c>
      <c r="K1009" t="s">
        <v>1056</v>
      </c>
      <c r="M1009" t="s">
        <v>355</v>
      </c>
      <c r="O1009" t="s">
        <v>1145</v>
      </c>
      <c r="P1009" t="s">
        <v>1146</v>
      </c>
      <c r="Q1009" t="s">
        <v>357</v>
      </c>
      <c r="R1009">
        <v>2069080</v>
      </c>
      <c r="S1009" t="s">
        <v>355</v>
      </c>
      <c r="U1009" t="s">
        <v>2311</v>
      </c>
      <c r="V1009" t="s">
        <v>356</v>
      </c>
      <c r="W1009">
        <v>2300</v>
      </c>
      <c r="X1009">
        <v>0.6</v>
      </c>
      <c r="Y1009">
        <v>5.18</v>
      </c>
      <c r="Z1009">
        <v>2300</v>
      </c>
      <c r="AA1009">
        <v>0</v>
      </c>
      <c r="AB1009">
        <v>44445.786312847224</v>
      </c>
      <c r="AC1009" t="s">
        <v>323</v>
      </c>
      <c r="AD1009">
        <v>7</v>
      </c>
    </row>
    <row r="1010" spans="1:30" x14ac:dyDescent="0.25">
      <c r="A1010" t="s">
        <v>1051</v>
      </c>
      <c r="B1010" t="s">
        <v>1106</v>
      </c>
      <c r="C1010" t="s">
        <v>2288</v>
      </c>
      <c r="D1010" t="s">
        <v>2308</v>
      </c>
      <c r="E1010" t="s">
        <v>1060</v>
      </c>
      <c r="F1010" t="s">
        <v>1061</v>
      </c>
      <c r="G1010">
        <v>6101766</v>
      </c>
      <c r="H1010">
        <v>202108</v>
      </c>
      <c r="I1010">
        <v>44439</v>
      </c>
      <c r="J1010">
        <v>122536</v>
      </c>
      <c r="K1010" t="s">
        <v>1056</v>
      </c>
      <c r="M1010" t="s">
        <v>355</v>
      </c>
      <c r="O1010" t="s">
        <v>1145</v>
      </c>
      <c r="P1010" t="s">
        <v>1146</v>
      </c>
      <c r="Q1010" t="s">
        <v>357</v>
      </c>
      <c r="R1010">
        <v>2069080</v>
      </c>
      <c r="S1010" t="s">
        <v>355</v>
      </c>
      <c r="U1010" t="s">
        <v>2311</v>
      </c>
      <c r="V1010" t="s">
        <v>356</v>
      </c>
      <c r="W1010">
        <v>2300</v>
      </c>
      <c r="X1010">
        <v>0.6</v>
      </c>
      <c r="Y1010">
        <v>5.18</v>
      </c>
      <c r="Z1010">
        <v>2300</v>
      </c>
      <c r="AA1010">
        <v>0</v>
      </c>
      <c r="AB1010">
        <v>44445.786312847224</v>
      </c>
      <c r="AC1010" t="s">
        <v>323</v>
      </c>
      <c r="AD1010">
        <v>7</v>
      </c>
    </row>
    <row r="1011" spans="1:30" x14ac:dyDescent="0.25">
      <c r="A1011" t="s">
        <v>1051</v>
      </c>
      <c r="B1011" t="s">
        <v>1106</v>
      </c>
      <c r="C1011" t="s">
        <v>2288</v>
      </c>
      <c r="D1011" t="s">
        <v>2308</v>
      </c>
      <c r="E1011" t="s">
        <v>1060</v>
      </c>
      <c r="F1011" t="s">
        <v>1061</v>
      </c>
      <c r="G1011">
        <v>6101766</v>
      </c>
      <c r="H1011">
        <v>202108</v>
      </c>
      <c r="I1011">
        <v>44439</v>
      </c>
      <c r="J1011">
        <v>122536</v>
      </c>
      <c r="K1011" t="s">
        <v>1056</v>
      </c>
      <c r="M1011" t="s">
        <v>355</v>
      </c>
      <c r="O1011" t="s">
        <v>1145</v>
      </c>
      <c r="P1011" t="s">
        <v>1146</v>
      </c>
      <c r="Q1011" t="s">
        <v>357</v>
      </c>
      <c r="R1011">
        <v>2069080</v>
      </c>
      <c r="S1011" t="s">
        <v>355</v>
      </c>
      <c r="U1011" t="s">
        <v>2311</v>
      </c>
      <c r="V1011" t="s">
        <v>356</v>
      </c>
      <c r="W1011">
        <v>2300</v>
      </c>
      <c r="X1011">
        <v>0.6</v>
      </c>
      <c r="Y1011">
        <v>5.18</v>
      </c>
      <c r="Z1011">
        <v>2300</v>
      </c>
      <c r="AA1011">
        <v>0</v>
      </c>
      <c r="AB1011">
        <v>44445.786312847224</v>
      </c>
      <c r="AC1011" t="s">
        <v>323</v>
      </c>
      <c r="AD1011">
        <v>7</v>
      </c>
    </row>
    <row r="1012" spans="1:30" x14ac:dyDescent="0.25">
      <c r="A1012" t="s">
        <v>1051</v>
      </c>
      <c r="B1012" t="s">
        <v>1106</v>
      </c>
      <c r="C1012" t="s">
        <v>2288</v>
      </c>
      <c r="D1012" t="s">
        <v>2308</v>
      </c>
      <c r="E1012" t="s">
        <v>1060</v>
      </c>
      <c r="F1012" t="s">
        <v>1061</v>
      </c>
      <c r="G1012">
        <v>6101766</v>
      </c>
      <c r="H1012">
        <v>202108</v>
      </c>
      <c r="I1012">
        <v>44439</v>
      </c>
      <c r="J1012">
        <v>122536</v>
      </c>
      <c r="K1012" t="s">
        <v>1056</v>
      </c>
      <c r="M1012" t="s">
        <v>355</v>
      </c>
      <c r="O1012" t="s">
        <v>1145</v>
      </c>
      <c r="P1012" t="s">
        <v>1146</v>
      </c>
      <c r="Q1012" t="s">
        <v>357</v>
      </c>
      <c r="R1012">
        <v>2069080</v>
      </c>
      <c r="S1012" t="s">
        <v>355</v>
      </c>
      <c r="U1012" t="s">
        <v>2311</v>
      </c>
      <c r="V1012" t="s">
        <v>356</v>
      </c>
      <c r="W1012">
        <v>2300</v>
      </c>
      <c r="X1012">
        <v>0.6</v>
      </c>
      <c r="Y1012">
        <v>5.18</v>
      </c>
      <c r="Z1012">
        <v>2300</v>
      </c>
      <c r="AA1012">
        <v>0</v>
      </c>
      <c r="AB1012">
        <v>44445.786312847224</v>
      </c>
      <c r="AC1012" t="s">
        <v>323</v>
      </c>
      <c r="AD1012">
        <v>7</v>
      </c>
    </row>
    <row r="1013" spans="1:30" x14ac:dyDescent="0.25">
      <c r="A1013" t="s">
        <v>1051</v>
      </c>
      <c r="B1013" t="s">
        <v>1106</v>
      </c>
      <c r="C1013" t="s">
        <v>2288</v>
      </c>
      <c r="D1013" t="s">
        <v>2308</v>
      </c>
      <c r="E1013" t="s">
        <v>1060</v>
      </c>
      <c r="F1013" t="s">
        <v>1061</v>
      </c>
      <c r="G1013">
        <v>6101766</v>
      </c>
      <c r="H1013">
        <v>202108</v>
      </c>
      <c r="I1013">
        <v>44439</v>
      </c>
      <c r="J1013">
        <v>122536</v>
      </c>
      <c r="K1013" t="s">
        <v>1056</v>
      </c>
      <c r="M1013" t="s">
        <v>355</v>
      </c>
      <c r="O1013" t="s">
        <v>1145</v>
      </c>
      <c r="P1013" t="s">
        <v>1146</v>
      </c>
      <c r="Q1013" t="s">
        <v>357</v>
      </c>
      <c r="R1013">
        <v>2069080</v>
      </c>
      <c r="S1013" t="s">
        <v>355</v>
      </c>
      <c r="U1013" t="s">
        <v>2311</v>
      </c>
      <c r="V1013" t="s">
        <v>356</v>
      </c>
      <c r="W1013">
        <v>2300</v>
      </c>
      <c r="X1013">
        <v>0.6</v>
      </c>
      <c r="Y1013">
        <v>5.18</v>
      </c>
      <c r="Z1013">
        <v>2300</v>
      </c>
      <c r="AA1013">
        <v>0</v>
      </c>
      <c r="AB1013">
        <v>44445.786312847224</v>
      </c>
      <c r="AC1013" t="s">
        <v>323</v>
      </c>
      <c r="AD1013">
        <v>7</v>
      </c>
    </row>
    <row r="1014" spans="1:30" x14ac:dyDescent="0.25">
      <c r="A1014" t="s">
        <v>1051</v>
      </c>
      <c r="B1014" t="s">
        <v>1106</v>
      </c>
      <c r="C1014" t="s">
        <v>2288</v>
      </c>
      <c r="D1014" t="s">
        <v>2308</v>
      </c>
      <c r="E1014" t="s">
        <v>1060</v>
      </c>
      <c r="F1014" t="s">
        <v>1061</v>
      </c>
      <c r="G1014">
        <v>6101719</v>
      </c>
      <c r="H1014">
        <v>202108</v>
      </c>
      <c r="I1014">
        <v>44439</v>
      </c>
      <c r="J1014">
        <v>122536</v>
      </c>
      <c r="K1014" t="s">
        <v>1056</v>
      </c>
      <c r="M1014" t="s">
        <v>355</v>
      </c>
      <c r="O1014" t="s">
        <v>1145</v>
      </c>
      <c r="P1014" t="s">
        <v>1146</v>
      </c>
      <c r="Q1014" t="s">
        <v>357</v>
      </c>
      <c r="R1014">
        <v>2069080</v>
      </c>
      <c r="S1014" t="s">
        <v>355</v>
      </c>
      <c r="U1014" t="s">
        <v>2311</v>
      </c>
      <c r="V1014" t="s">
        <v>356</v>
      </c>
      <c r="W1014">
        <v>2300</v>
      </c>
      <c r="X1014">
        <v>0.6</v>
      </c>
      <c r="Y1014">
        <v>5.18</v>
      </c>
      <c r="Z1014">
        <v>2300</v>
      </c>
      <c r="AA1014">
        <v>0</v>
      </c>
      <c r="AB1014">
        <v>44443.928684375001</v>
      </c>
      <c r="AC1014" t="s">
        <v>323</v>
      </c>
      <c r="AD1014">
        <v>7</v>
      </c>
    </row>
    <row r="1015" spans="1:30" x14ac:dyDescent="0.25">
      <c r="A1015" t="s">
        <v>1051</v>
      </c>
      <c r="B1015" t="s">
        <v>1106</v>
      </c>
      <c r="C1015" t="s">
        <v>2288</v>
      </c>
      <c r="D1015" t="s">
        <v>2308</v>
      </c>
      <c r="E1015" t="s">
        <v>1060</v>
      </c>
      <c r="F1015" t="s">
        <v>1061</v>
      </c>
      <c r="G1015">
        <v>6101719</v>
      </c>
      <c r="H1015">
        <v>202108</v>
      </c>
      <c r="I1015">
        <v>44439</v>
      </c>
      <c r="J1015">
        <v>122536</v>
      </c>
      <c r="K1015" t="s">
        <v>1056</v>
      </c>
      <c r="M1015" t="s">
        <v>355</v>
      </c>
      <c r="O1015" t="s">
        <v>1145</v>
      </c>
      <c r="P1015" t="s">
        <v>1146</v>
      </c>
      <c r="Q1015" t="s">
        <v>357</v>
      </c>
      <c r="R1015">
        <v>2069080</v>
      </c>
      <c r="S1015" t="s">
        <v>355</v>
      </c>
      <c r="U1015" t="s">
        <v>2311</v>
      </c>
      <c r="V1015" t="s">
        <v>356</v>
      </c>
      <c r="W1015">
        <v>2300</v>
      </c>
      <c r="X1015">
        <v>0.6</v>
      </c>
      <c r="Y1015">
        <v>5.18</v>
      </c>
      <c r="Z1015">
        <v>2300</v>
      </c>
      <c r="AA1015">
        <v>0</v>
      </c>
      <c r="AB1015">
        <v>44443.928684375001</v>
      </c>
      <c r="AC1015" t="s">
        <v>323</v>
      </c>
      <c r="AD1015">
        <v>7</v>
      </c>
    </row>
    <row r="1016" spans="1:30" x14ac:dyDescent="0.25">
      <c r="A1016" t="s">
        <v>1051</v>
      </c>
      <c r="B1016" t="s">
        <v>1106</v>
      </c>
      <c r="C1016" t="s">
        <v>2288</v>
      </c>
      <c r="D1016" t="s">
        <v>2308</v>
      </c>
      <c r="E1016" t="s">
        <v>1060</v>
      </c>
      <c r="F1016" t="s">
        <v>1061</v>
      </c>
      <c r="G1016">
        <v>6101719</v>
      </c>
      <c r="H1016">
        <v>202108</v>
      </c>
      <c r="I1016">
        <v>44439</v>
      </c>
      <c r="J1016">
        <v>122536</v>
      </c>
      <c r="K1016" t="s">
        <v>1056</v>
      </c>
      <c r="M1016" t="s">
        <v>355</v>
      </c>
      <c r="O1016" t="s">
        <v>1145</v>
      </c>
      <c r="P1016" t="s">
        <v>1146</v>
      </c>
      <c r="Q1016" t="s">
        <v>357</v>
      </c>
      <c r="R1016">
        <v>2069080</v>
      </c>
      <c r="S1016" t="s">
        <v>355</v>
      </c>
      <c r="U1016" t="s">
        <v>2311</v>
      </c>
      <c r="V1016" t="s">
        <v>356</v>
      </c>
      <c r="W1016">
        <v>2300</v>
      </c>
      <c r="X1016">
        <v>0.6</v>
      </c>
      <c r="Y1016">
        <v>5.18</v>
      </c>
      <c r="Z1016">
        <v>2300</v>
      </c>
      <c r="AA1016">
        <v>0</v>
      </c>
      <c r="AB1016">
        <v>44443.928684571758</v>
      </c>
      <c r="AC1016" t="s">
        <v>323</v>
      </c>
      <c r="AD1016">
        <v>7</v>
      </c>
    </row>
    <row r="1017" spans="1:30" x14ac:dyDescent="0.25">
      <c r="A1017" t="s">
        <v>1051</v>
      </c>
      <c r="B1017" t="s">
        <v>1106</v>
      </c>
      <c r="C1017" t="s">
        <v>2288</v>
      </c>
      <c r="D1017" t="s">
        <v>2308</v>
      </c>
      <c r="E1017" t="s">
        <v>1060</v>
      </c>
      <c r="F1017" t="s">
        <v>1061</v>
      </c>
      <c r="G1017">
        <v>6101719</v>
      </c>
      <c r="H1017">
        <v>202108</v>
      </c>
      <c r="I1017">
        <v>44439</v>
      </c>
      <c r="J1017">
        <v>122536</v>
      </c>
      <c r="K1017" t="s">
        <v>1056</v>
      </c>
      <c r="M1017" t="s">
        <v>355</v>
      </c>
      <c r="O1017" t="s">
        <v>1145</v>
      </c>
      <c r="P1017" t="s">
        <v>1146</v>
      </c>
      <c r="Q1017" t="s">
        <v>357</v>
      </c>
      <c r="R1017">
        <v>2069080</v>
      </c>
      <c r="S1017" t="s">
        <v>355</v>
      </c>
      <c r="U1017" t="s">
        <v>2311</v>
      </c>
      <c r="V1017" t="s">
        <v>356</v>
      </c>
      <c r="W1017">
        <v>2300</v>
      </c>
      <c r="X1017">
        <v>0.6</v>
      </c>
      <c r="Y1017">
        <v>5.18</v>
      </c>
      <c r="Z1017">
        <v>2300</v>
      </c>
      <c r="AA1017">
        <v>0</v>
      </c>
      <c r="AB1017">
        <v>44443.928684571758</v>
      </c>
      <c r="AC1017" t="s">
        <v>323</v>
      </c>
      <c r="AD1017">
        <v>7</v>
      </c>
    </row>
    <row r="1018" spans="1:30" x14ac:dyDescent="0.25">
      <c r="A1018" t="s">
        <v>1051</v>
      </c>
      <c r="B1018" t="s">
        <v>1106</v>
      </c>
      <c r="C1018" t="s">
        <v>2288</v>
      </c>
      <c r="D1018" t="s">
        <v>2308</v>
      </c>
      <c r="E1018" t="s">
        <v>1060</v>
      </c>
      <c r="F1018" t="s">
        <v>1061</v>
      </c>
      <c r="G1018">
        <v>6101719</v>
      </c>
      <c r="H1018">
        <v>202108</v>
      </c>
      <c r="I1018">
        <v>44439</v>
      </c>
      <c r="J1018">
        <v>122536</v>
      </c>
      <c r="K1018" t="s">
        <v>1056</v>
      </c>
      <c r="M1018" t="s">
        <v>355</v>
      </c>
      <c r="O1018" t="s">
        <v>1145</v>
      </c>
      <c r="P1018" t="s">
        <v>1146</v>
      </c>
      <c r="Q1018" t="s">
        <v>357</v>
      </c>
      <c r="R1018">
        <v>2069080</v>
      </c>
      <c r="S1018" t="s">
        <v>355</v>
      </c>
      <c r="U1018" t="s">
        <v>2311</v>
      </c>
      <c r="V1018" t="s">
        <v>356</v>
      </c>
      <c r="W1018">
        <v>2300</v>
      </c>
      <c r="X1018">
        <v>0.6</v>
      </c>
      <c r="Y1018">
        <v>5.18</v>
      </c>
      <c r="Z1018">
        <v>2300</v>
      </c>
      <c r="AA1018">
        <v>0</v>
      </c>
      <c r="AB1018">
        <v>44443.928684571758</v>
      </c>
      <c r="AC1018" t="s">
        <v>323</v>
      </c>
      <c r="AD1018">
        <v>7</v>
      </c>
    </row>
    <row r="1019" spans="1:30" x14ac:dyDescent="0.25">
      <c r="A1019" t="s">
        <v>1051</v>
      </c>
      <c r="B1019" t="s">
        <v>1106</v>
      </c>
      <c r="C1019" t="s">
        <v>2288</v>
      </c>
      <c r="D1019" t="s">
        <v>2308</v>
      </c>
      <c r="E1019" t="s">
        <v>1060</v>
      </c>
      <c r="F1019" t="s">
        <v>1061</v>
      </c>
      <c r="G1019">
        <v>6101719</v>
      </c>
      <c r="H1019">
        <v>202108</v>
      </c>
      <c r="I1019">
        <v>44439</v>
      </c>
      <c r="J1019">
        <v>122536</v>
      </c>
      <c r="K1019" t="s">
        <v>1056</v>
      </c>
      <c r="M1019" t="s">
        <v>355</v>
      </c>
      <c r="O1019" t="s">
        <v>1145</v>
      </c>
      <c r="P1019" t="s">
        <v>1146</v>
      </c>
      <c r="Q1019" t="s">
        <v>357</v>
      </c>
      <c r="R1019">
        <v>2069080</v>
      </c>
      <c r="S1019" t="s">
        <v>355</v>
      </c>
      <c r="U1019" t="s">
        <v>2311</v>
      </c>
      <c r="V1019" t="s">
        <v>356</v>
      </c>
      <c r="W1019">
        <v>2300</v>
      </c>
      <c r="X1019">
        <v>0.6</v>
      </c>
      <c r="Y1019">
        <v>5.18</v>
      </c>
      <c r="Z1019">
        <v>2300</v>
      </c>
      <c r="AA1019">
        <v>0</v>
      </c>
      <c r="AB1019">
        <v>44443.928684571758</v>
      </c>
      <c r="AC1019" t="s">
        <v>323</v>
      </c>
      <c r="AD1019">
        <v>7</v>
      </c>
    </row>
    <row r="1020" spans="1:30" x14ac:dyDescent="0.25">
      <c r="A1020" t="s">
        <v>1051</v>
      </c>
      <c r="B1020" t="s">
        <v>1106</v>
      </c>
      <c r="C1020" t="s">
        <v>2288</v>
      </c>
      <c r="D1020" t="s">
        <v>2308</v>
      </c>
      <c r="E1020" t="s">
        <v>1060</v>
      </c>
      <c r="F1020" t="s">
        <v>1061</v>
      </c>
      <c r="G1020">
        <v>6101719</v>
      </c>
      <c r="H1020">
        <v>202108</v>
      </c>
      <c r="I1020">
        <v>44439</v>
      </c>
      <c r="J1020">
        <v>122536</v>
      </c>
      <c r="K1020" t="s">
        <v>1056</v>
      </c>
      <c r="M1020" t="s">
        <v>355</v>
      </c>
      <c r="O1020" t="s">
        <v>1145</v>
      </c>
      <c r="P1020" t="s">
        <v>1146</v>
      </c>
      <c r="Q1020" t="s">
        <v>357</v>
      </c>
      <c r="R1020">
        <v>2069080</v>
      </c>
      <c r="S1020" t="s">
        <v>355</v>
      </c>
      <c r="U1020" t="s">
        <v>2311</v>
      </c>
      <c r="V1020" t="s">
        <v>356</v>
      </c>
      <c r="W1020">
        <v>2300</v>
      </c>
      <c r="X1020">
        <v>0.6</v>
      </c>
      <c r="Y1020">
        <v>5.18</v>
      </c>
      <c r="Z1020">
        <v>2300</v>
      </c>
      <c r="AA1020">
        <v>0</v>
      </c>
      <c r="AB1020">
        <v>44443.928684571758</v>
      </c>
      <c r="AC1020" t="s">
        <v>323</v>
      </c>
      <c r="AD1020">
        <v>7</v>
      </c>
    </row>
    <row r="1021" spans="1:30" x14ac:dyDescent="0.25">
      <c r="A1021" t="s">
        <v>1051</v>
      </c>
      <c r="B1021" t="s">
        <v>1106</v>
      </c>
      <c r="C1021" t="s">
        <v>2288</v>
      </c>
      <c r="D1021" t="s">
        <v>2308</v>
      </c>
      <c r="E1021" t="s">
        <v>1060</v>
      </c>
      <c r="F1021" t="s">
        <v>1061</v>
      </c>
      <c r="G1021">
        <v>6101719</v>
      </c>
      <c r="H1021">
        <v>202108</v>
      </c>
      <c r="I1021">
        <v>44439</v>
      </c>
      <c r="J1021">
        <v>122536</v>
      </c>
      <c r="K1021" t="s">
        <v>1056</v>
      </c>
      <c r="M1021" t="s">
        <v>355</v>
      </c>
      <c r="O1021" t="s">
        <v>1145</v>
      </c>
      <c r="P1021" t="s">
        <v>1146</v>
      </c>
      <c r="Q1021" t="s">
        <v>357</v>
      </c>
      <c r="R1021">
        <v>2069080</v>
      </c>
      <c r="S1021" t="s">
        <v>355</v>
      </c>
      <c r="U1021" t="s">
        <v>2311</v>
      </c>
      <c r="V1021" t="s">
        <v>356</v>
      </c>
      <c r="W1021">
        <v>2300</v>
      </c>
      <c r="X1021">
        <v>0.6</v>
      </c>
      <c r="Y1021">
        <v>5.18</v>
      </c>
      <c r="Z1021">
        <v>2300</v>
      </c>
      <c r="AA1021">
        <v>0</v>
      </c>
      <c r="AB1021">
        <v>44443.928684571758</v>
      </c>
      <c r="AC1021" t="s">
        <v>323</v>
      </c>
      <c r="AD1021">
        <v>7</v>
      </c>
    </row>
    <row r="1022" spans="1:30" x14ac:dyDescent="0.25">
      <c r="A1022" t="s">
        <v>1051</v>
      </c>
      <c r="B1022" t="s">
        <v>1106</v>
      </c>
      <c r="C1022" t="s">
        <v>2288</v>
      </c>
      <c r="D1022" t="s">
        <v>2308</v>
      </c>
      <c r="E1022" t="s">
        <v>1060</v>
      </c>
      <c r="F1022" t="s">
        <v>1061</v>
      </c>
      <c r="G1022">
        <v>6101719</v>
      </c>
      <c r="H1022">
        <v>202108</v>
      </c>
      <c r="I1022">
        <v>44439</v>
      </c>
      <c r="J1022">
        <v>122536</v>
      </c>
      <c r="K1022" t="s">
        <v>1056</v>
      </c>
      <c r="M1022" t="s">
        <v>355</v>
      </c>
      <c r="O1022" t="s">
        <v>1145</v>
      </c>
      <c r="P1022" t="s">
        <v>1146</v>
      </c>
      <c r="Q1022" t="s">
        <v>357</v>
      </c>
      <c r="R1022">
        <v>2069080</v>
      </c>
      <c r="S1022" t="s">
        <v>355</v>
      </c>
      <c r="U1022" t="s">
        <v>2311</v>
      </c>
      <c r="V1022" t="s">
        <v>356</v>
      </c>
      <c r="W1022">
        <v>2300</v>
      </c>
      <c r="X1022">
        <v>0.6</v>
      </c>
      <c r="Y1022">
        <v>5.18</v>
      </c>
      <c r="Z1022">
        <v>2300</v>
      </c>
      <c r="AA1022">
        <v>0</v>
      </c>
      <c r="AB1022">
        <v>44443.928684756946</v>
      </c>
      <c r="AC1022" t="s">
        <v>323</v>
      </c>
      <c r="AD1022">
        <v>7</v>
      </c>
    </row>
    <row r="1023" spans="1:30" x14ac:dyDescent="0.25">
      <c r="A1023" t="s">
        <v>1051</v>
      </c>
      <c r="B1023" t="s">
        <v>1106</v>
      </c>
      <c r="C1023" t="s">
        <v>2288</v>
      </c>
      <c r="D1023" t="s">
        <v>2308</v>
      </c>
      <c r="E1023" t="s">
        <v>1060</v>
      </c>
      <c r="F1023" t="s">
        <v>1061</v>
      </c>
      <c r="G1023">
        <v>6101719</v>
      </c>
      <c r="H1023">
        <v>202108</v>
      </c>
      <c r="I1023">
        <v>44439</v>
      </c>
      <c r="J1023">
        <v>122536</v>
      </c>
      <c r="K1023" t="s">
        <v>1056</v>
      </c>
      <c r="M1023" t="s">
        <v>355</v>
      </c>
      <c r="O1023" t="s">
        <v>1145</v>
      </c>
      <c r="P1023" t="s">
        <v>1146</v>
      </c>
      <c r="Q1023" t="s">
        <v>357</v>
      </c>
      <c r="R1023">
        <v>2069080</v>
      </c>
      <c r="S1023" t="s">
        <v>355</v>
      </c>
      <c r="U1023" t="s">
        <v>2311</v>
      </c>
      <c r="V1023" t="s">
        <v>356</v>
      </c>
      <c r="W1023">
        <v>2300</v>
      </c>
      <c r="X1023">
        <v>0.6</v>
      </c>
      <c r="Y1023">
        <v>5.18</v>
      </c>
      <c r="Z1023">
        <v>2300</v>
      </c>
      <c r="AA1023">
        <v>0</v>
      </c>
      <c r="AB1023">
        <v>44443.928684756946</v>
      </c>
      <c r="AC1023" t="s">
        <v>323</v>
      </c>
      <c r="AD1023">
        <v>7</v>
      </c>
    </row>
    <row r="1024" spans="1:30" x14ac:dyDescent="0.25">
      <c r="A1024" t="s">
        <v>1051</v>
      </c>
      <c r="B1024" t="s">
        <v>1106</v>
      </c>
      <c r="C1024" t="s">
        <v>2288</v>
      </c>
      <c r="D1024" t="s">
        <v>2308</v>
      </c>
      <c r="E1024" t="s">
        <v>1060</v>
      </c>
      <c r="F1024" t="s">
        <v>1061</v>
      </c>
      <c r="G1024">
        <v>6101719</v>
      </c>
      <c r="H1024">
        <v>202108</v>
      </c>
      <c r="I1024">
        <v>44439</v>
      </c>
      <c r="J1024">
        <v>122536</v>
      </c>
      <c r="K1024" t="s">
        <v>1056</v>
      </c>
      <c r="M1024" t="s">
        <v>355</v>
      </c>
      <c r="O1024" t="s">
        <v>1145</v>
      </c>
      <c r="P1024" t="s">
        <v>1146</v>
      </c>
      <c r="Q1024" t="s">
        <v>357</v>
      </c>
      <c r="R1024">
        <v>2069080</v>
      </c>
      <c r="S1024" t="s">
        <v>355</v>
      </c>
      <c r="U1024" t="s">
        <v>2311</v>
      </c>
      <c r="V1024" t="s">
        <v>356</v>
      </c>
      <c r="W1024">
        <v>2300</v>
      </c>
      <c r="X1024">
        <v>0.6</v>
      </c>
      <c r="Y1024">
        <v>5.18</v>
      </c>
      <c r="Z1024">
        <v>2300</v>
      </c>
      <c r="AA1024">
        <v>0</v>
      </c>
      <c r="AB1024">
        <v>44443.928684756946</v>
      </c>
      <c r="AC1024" t="s">
        <v>323</v>
      </c>
      <c r="AD1024">
        <v>7</v>
      </c>
    </row>
    <row r="1025" spans="1:30" x14ac:dyDescent="0.25">
      <c r="A1025" t="s">
        <v>1051</v>
      </c>
      <c r="B1025" t="s">
        <v>1106</v>
      </c>
      <c r="C1025" t="s">
        <v>2288</v>
      </c>
      <c r="D1025" t="s">
        <v>2308</v>
      </c>
      <c r="E1025" t="s">
        <v>1060</v>
      </c>
      <c r="F1025" t="s">
        <v>1061</v>
      </c>
      <c r="G1025">
        <v>6101719</v>
      </c>
      <c r="H1025">
        <v>202108</v>
      </c>
      <c r="I1025">
        <v>44439</v>
      </c>
      <c r="J1025">
        <v>122536</v>
      </c>
      <c r="K1025" t="s">
        <v>1056</v>
      </c>
      <c r="M1025" t="s">
        <v>355</v>
      </c>
      <c r="O1025" t="s">
        <v>1145</v>
      </c>
      <c r="P1025" t="s">
        <v>1146</v>
      </c>
      <c r="Q1025" t="s">
        <v>357</v>
      </c>
      <c r="R1025">
        <v>2069080</v>
      </c>
      <c r="S1025" t="s">
        <v>355</v>
      </c>
      <c r="U1025" t="s">
        <v>2311</v>
      </c>
      <c r="V1025" t="s">
        <v>356</v>
      </c>
      <c r="W1025">
        <v>2300</v>
      </c>
      <c r="X1025">
        <v>0.6</v>
      </c>
      <c r="Y1025">
        <v>5.18</v>
      </c>
      <c r="Z1025">
        <v>2300</v>
      </c>
      <c r="AA1025">
        <v>0</v>
      </c>
      <c r="AB1025">
        <v>44443.928684756946</v>
      </c>
      <c r="AC1025" t="s">
        <v>323</v>
      </c>
      <c r="AD1025">
        <v>7</v>
      </c>
    </row>
    <row r="1026" spans="1:30" x14ac:dyDescent="0.25">
      <c r="A1026" t="s">
        <v>1051</v>
      </c>
      <c r="B1026" t="s">
        <v>1106</v>
      </c>
      <c r="C1026" t="s">
        <v>2288</v>
      </c>
      <c r="D1026" t="s">
        <v>2308</v>
      </c>
      <c r="E1026" t="s">
        <v>1060</v>
      </c>
      <c r="F1026" t="s">
        <v>1061</v>
      </c>
      <c r="G1026">
        <v>6101719</v>
      </c>
      <c r="H1026">
        <v>202108</v>
      </c>
      <c r="I1026">
        <v>44439</v>
      </c>
      <c r="J1026">
        <v>122536</v>
      </c>
      <c r="K1026" t="s">
        <v>1056</v>
      </c>
      <c r="M1026" t="s">
        <v>355</v>
      </c>
      <c r="O1026" t="s">
        <v>1145</v>
      </c>
      <c r="P1026" t="s">
        <v>1146</v>
      </c>
      <c r="Q1026" t="s">
        <v>357</v>
      </c>
      <c r="R1026">
        <v>2069080</v>
      </c>
      <c r="S1026" t="s">
        <v>355</v>
      </c>
      <c r="U1026" t="s">
        <v>2311</v>
      </c>
      <c r="V1026" t="s">
        <v>356</v>
      </c>
      <c r="W1026">
        <v>2300</v>
      </c>
      <c r="X1026">
        <v>0.6</v>
      </c>
      <c r="Y1026">
        <v>5.18</v>
      </c>
      <c r="Z1026">
        <v>2300</v>
      </c>
      <c r="AA1026">
        <v>0</v>
      </c>
      <c r="AB1026">
        <v>44443.928684756946</v>
      </c>
      <c r="AC1026" t="s">
        <v>323</v>
      </c>
      <c r="AD1026">
        <v>7</v>
      </c>
    </row>
    <row r="1027" spans="1:30" x14ac:dyDescent="0.25">
      <c r="A1027" t="s">
        <v>1051</v>
      </c>
      <c r="B1027" t="s">
        <v>1106</v>
      </c>
      <c r="C1027" t="s">
        <v>2288</v>
      </c>
      <c r="D1027" t="s">
        <v>2308</v>
      </c>
      <c r="E1027" t="s">
        <v>1060</v>
      </c>
      <c r="F1027" t="s">
        <v>1061</v>
      </c>
      <c r="G1027">
        <v>6101719</v>
      </c>
      <c r="H1027">
        <v>202108</v>
      </c>
      <c r="I1027">
        <v>44439</v>
      </c>
      <c r="J1027">
        <v>122536</v>
      </c>
      <c r="K1027" t="s">
        <v>1056</v>
      </c>
      <c r="M1027" t="s">
        <v>355</v>
      </c>
      <c r="O1027" t="s">
        <v>1145</v>
      </c>
      <c r="P1027" t="s">
        <v>1146</v>
      </c>
      <c r="Q1027" t="s">
        <v>357</v>
      </c>
      <c r="R1027">
        <v>2069080</v>
      </c>
      <c r="S1027" t="s">
        <v>355</v>
      </c>
      <c r="U1027" t="s">
        <v>2311</v>
      </c>
      <c r="V1027" t="s">
        <v>356</v>
      </c>
      <c r="W1027">
        <v>2300</v>
      </c>
      <c r="X1027">
        <v>0.6</v>
      </c>
      <c r="Y1027">
        <v>5.18</v>
      </c>
      <c r="Z1027">
        <v>2300</v>
      </c>
      <c r="AA1027">
        <v>0</v>
      </c>
      <c r="AB1027">
        <v>44443.928684224535</v>
      </c>
      <c r="AC1027" t="s">
        <v>323</v>
      </c>
      <c r="AD1027">
        <v>7</v>
      </c>
    </row>
    <row r="1028" spans="1:30" x14ac:dyDescent="0.25">
      <c r="A1028" t="s">
        <v>1051</v>
      </c>
      <c r="B1028" t="s">
        <v>1106</v>
      </c>
      <c r="C1028" t="s">
        <v>2288</v>
      </c>
      <c r="D1028" t="s">
        <v>2308</v>
      </c>
      <c r="E1028" t="s">
        <v>1060</v>
      </c>
      <c r="F1028" t="s">
        <v>1061</v>
      </c>
      <c r="G1028">
        <v>6101719</v>
      </c>
      <c r="H1028">
        <v>202108</v>
      </c>
      <c r="I1028">
        <v>44439</v>
      </c>
      <c r="J1028">
        <v>122536</v>
      </c>
      <c r="K1028" t="s">
        <v>1056</v>
      </c>
      <c r="M1028" t="s">
        <v>355</v>
      </c>
      <c r="O1028" t="s">
        <v>1145</v>
      </c>
      <c r="P1028" t="s">
        <v>1146</v>
      </c>
      <c r="Q1028" t="s">
        <v>357</v>
      </c>
      <c r="R1028">
        <v>2069080</v>
      </c>
      <c r="S1028" t="s">
        <v>355</v>
      </c>
      <c r="U1028" t="s">
        <v>2311</v>
      </c>
      <c r="V1028" t="s">
        <v>356</v>
      </c>
      <c r="W1028">
        <v>2300</v>
      </c>
      <c r="X1028">
        <v>0.6</v>
      </c>
      <c r="Y1028">
        <v>5.18</v>
      </c>
      <c r="Z1028">
        <v>2300</v>
      </c>
      <c r="AA1028">
        <v>0</v>
      </c>
      <c r="AB1028">
        <v>44443.928684375001</v>
      </c>
      <c r="AC1028" t="s">
        <v>323</v>
      </c>
      <c r="AD1028">
        <v>7</v>
      </c>
    </row>
    <row r="1029" spans="1:30" x14ac:dyDescent="0.25">
      <c r="A1029" t="s">
        <v>1051</v>
      </c>
      <c r="B1029" t="s">
        <v>1106</v>
      </c>
      <c r="C1029" t="s">
        <v>2288</v>
      </c>
      <c r="D1029" t="s">
        <v>2308</v>
      </c>
      <c r="E1029" t="s">
        <v>1060</v>
      </c>
      <c r="F1029" t="s">
        <v>1061</v>
      </c>
      <c r="G1029">
        <v>6101719</v>
      </c>
      <c r="H1029">
        <v>202108</v>
      </c>
      <c r="I1029">
        <v>44439</v>
      </c>
      <c r="J1029">
        <v>122536</v>
      </c>
      <c r="K1029" t="s">
        <v>1056</v>
      </c>
      <c r="M1029" t="s">
        <v>355</v>
      </c>
      <c r="O1029" t="s">
        <v>1145</v>
      </c>
      <c r="P1029" t="s">
        <v>1146</v>
      </c>
      <c r="Q1029" t="s">
        <v>357</v>
      </c>
      <c r="R1029">
        <v>2069080</v>
      </c>
      <c r="S1029" t="s">
        <v>355</v>
      </c>
      <c r="U1029" t="s">
        <v>2311</v>
      </c>
      <c r="V1029" t="s">
        <v>356</v>
      </c>
      <c r="W1029">
        <v>2300</v>
      </c>
      <c r="X1029">
        <v>0.6</v>
      </c>
      <c r="Y1029">
        <v>5.18</v>
      </c>
      <c r="Z1029">
        <v>2300</v>
      </c>
      <c r="AA1029">
        <v>0</v>
      </c>
      <c r="AB1029">
        <v>44443.928684375001</v>
      </c>
      <c r="AC1029" t="s">
        <v>323</v>
      </c>
      <c r="AD1029">
        <v>7</v>
      </c>
    </row>
    <row r="1030" spans="1:30" x14ac:dyDescent="0.25">
      <c r="A1030" t="s">
        <v>1051</v>
      </c>
      <c r="B1030" t="s">
        <v>1106</v>
      </c>
      <c r="C1030" t="s">
        <v>2288</v>
      </c>
      <c r="D1030" t="s">
        <v>2308</v>
      </c>
      <c r="E1030" t="s">
        <v>1060</v>
      </c>
      <c r="F1030" t="s">
        <v>1061</v>
      </c>
      <c r="G1030">
        <v>6101719</v>
      </c>
      <c r="H1030">
        <v>202108</v>
      </c>
      <c r="I1030">
        <v>44439</v>
      </c>
      <c r="J1030">
        <v>122536</v>
      </c>
      <c r="K1030" t="s">
        <v>1056</v>
      </c>
      <c r="M1030" t="s">
        <v>355</v>
      </c>
      <c r="O1030" t="s">
        <v>1145</v>
      </c>
      <c r="P1030" t="s">
        <v>1146</v>
      </c>
      <c r="Q1030" t="s">
        <v>357</v>
      </c>
      <c r="R1030">
        <v>2069080</v>
      </c>
      <c r="S1030" t="s">
        <v>355</v>
      </c>
      <c r="U1030" t="s">
        <v>2311</v>
      </c>
      <c r="V1030" t="s">
        <v>356</v>
      </c>
      <c r="W1030">
        <v>2300</v>
      </c>
      <c r="X1030">
        <v>0.6</v>
      </c>
      <c r="Y1030">
        <v>5.18</v>
      </c>
      <c r="Z1030">
        <v>2300</v>
      </c>
      <c r="AA1030">
        <v>0</v>
      </c>
      <c r="AB1030">
        <v>44443.928684375001</v>
      </c>
      <c r="AC1030" t="s">
        <v>323</v>
      </c>
      <c r="AD1030">
        <v>7</v>
      </c>
    </row>
    <row r="1031" spans="1:30" x14ac:dyDescent="0.25">
      <c r="A1031" t="s">
        <v>1051</v>
      </c>
      <c r="B1031" t="s">
        <v>1106</v>
      </c>
      <c r="C1031" t="s">
        <v>2288</v>
      </c>
      <c r="D1031" t="s">
        <v>2308</v>
      </c>
      <c r="E1031" t="s">
        <v>1060</v>
      </c>
      <c r="F1031" t="s">
        <v>1061</v>
      </c>
      <c r="G1031">
        <v>6101855</v>
      </c>
      <c r="H1031">
        <v>202108</v>
      </c>
      <c r="I1031">
        <v>44439</v>
      </c>
      <c r="J1031">
        <v>122536</v>
      </c>
      <c r="K1031" t="s">
        <v>1056</v>
      </c>
      <c r="M1031" t="s">
        <v>355</v>
      </c>
      <c r="O1031" t="s">
        <v>1145</v>
      </c>
      <c r="P1031" t="s">
        <v>1146</v>
      </c>
      <c r="Q1031" t="s">
        <v>357</v>
      </c>
      <c r="R1031">
        <v>2069080</v>
      </c>
      <c r="S1031" t="s">
        <v>355</v>
      </c>
      <c r="U1031" t="s">
        <v>2313</v>
      </c>
      <c r="V1031" t="s">
        <v>356</v>
      </c>
      <c r="W1031">
        <v>2300</v>
      </c>
      <c r="X1031">
        <v>0.6</v>
      </c>
      <c r="Y1031">
        <v>5.18</v>
      </c>
      <c r="Z1031">
        <v>2300</v>
      </c>
      <c r="AA1031">
        <v>0</v>
      </c>
      <c r="AB1031">
        <v>44448.02035590278</v>
      </c>
      <c r="AC1031" t="s">
        <v>323</v>
      </c>
      <c r="AD1031">
        <v>7</v>
      </c>
    </row>
    <row r="1032" spans="1:30" x14ac:dyDescent="0.25">
      <c r="A1032" t="s">
        <v>1051</v>
      </c>
      <c r="B1032" t="s">
        <v>1106</v>
      </c>
      <c r="C1032" t="s">
        <v>2288</v>
      </c>
      <c r="D1032" t="s">
        <v>2308</v>
      </c>
      <c r="E1032" t="s">
        <v>1060</v>
      </c>
      <c r="F1032" t="s">
        <v>1061</v>
      </c>
      <c r="G1032">
        <v>6101855</v>
      </c>
      <c r="H1032">
        <v>202108</v>
      </c>
      <c r="I1032">
        <v>44439</v>
      </c>
      <c r="J1032">
        <v>122536</v>
      </c>
      <c r="K1032" t="s">
        <v>1056</v>
      </c>
      <c r="M1032" t="s">
        <v>355</v>
      </c>
      <c r="O1032" t="s">
        <v>1145</v>
      </c>
      <c r="P1032" t="s">
        <v>1146</v>
      </c>
      <c r="Q1032" t="s">
        <v>357</v>
      </c>
      <c r="R1032">
        <v>2069080</v>
      </c>
      <c r="S1032" t="s">
        <v>355</v>
      </c>
      <c r="U1032" t="s">
        <v>2313</v>
      </c>
      <c r="V1032" t="s">
        <v>356</v>
      </c>
      <c r="W1032">
        <v>2300</v>
      </c>
      <c r="X1032">
        <v>0.6</v>
      </c>
      <c r="Y1032">
        <v>5.18</v>
      </c>
      <c r="Z1032">
        <v>2300</v>
      </c>
      <c r="AA1032">
        <v>0</v>
      </c>
      <c r="AB1032">
        <v>44448.02035590278</v>
      </c>
      <c r="AC1032" t="s">
        <v>323</v>
      </c>
      <c r="AD1032">
        <v>7</v>
      </c>
    </row>
    <row r="1033" spans="1:30" x14ac:dyDescent="0.25">
      <c r="A1033" t="s">
        <v>1051</v>
      </c>
      <c r="B1033" t="s">
        <v>1106</v>
      </c>
      <c r="C1033" t="s">
        <v>2288</v>
      </c>
      <c r="D1033" t="s">
        <v>2308</v>
      </c>
      <c r="E1033" t="s">
        <v>1060</v>
      </c>
      <c r="F1033" t="s">
        <v>1061</v>
      </c>
      <c r="G1033">
        <v>6101855</v>
      </c>
      <c r="H1033">
        <v>202108</v>
      </c>
      <c r="I1033">
        <v>44439</v>
      </c>
      <c r="J1033">
        <v>122536</v>
      </c>
      <c r="K1033" t="s">
        <v>1056</v>
      </c>
      <c r="M1033" t="s">
        <v>355</v>
      </c>
      <c r="O1033" t="s">
        <v>1145</v>
      </c>
      <c r="P1033" t="s">
        <v>1146</v>
      </c>
      <c r="Q1033" t="s">
        <v>357</v>
      </c>
      <c r="R1033">
        <v>2069080</v>
      </c>
      <c r="S1033" t="s">
        <v>355</v>
      </c>
      <c r="U1033" t="s">
        <v>2313</v>
      </c>
      <c r="V1033" t="s">
        <v>356</v>
      </c>
      <c r="W1033">
        <v>2300</v>
      </c>
      <c r="X1033">
        <v>0.6</v>
      </c>
      <c r="Y1033">
        <v>5.18</v>
      </c>
      <c r="Z1033">
        <v>2300</v>
      </c>
      <c r="AA1033">
        <v>0</v>
      </c>
      <c r="AB1033">
        <v>44448.020356099536</v>
      </c>
      <c r="AC1033" t="s">
        <v>323</v>
      </c>
      <c r="AD1033">
        <v>7</v>
      </c>
    </row>
    <row r="1034" spans="1:30" x14ac:dyDescent="0.25">
      <c r="A1034" t="s">
        <v>1051</v>
      </c>
      <c r="B1034" t="s">
        <v>1106</v>
      </c>
      <c r="C1034" t="s">
        <v>2288</v>
      </c>
      <c r="D1034" t="s">
        <v>2308</v>
      </c>
      <c r="E1034" t="s">
        <v>1060</v>
      </c>
      <c r="F1034" t="s">
        <v>1061</v>
      </c>
      <c r="G1034">
        <v>6101855</v>
      </c>
      <c r="H1034">
        <v>202108</v>
      </c>
      <c r="I1034">
        <v>44439</v>
      </c>
      <c r="J1034">
        <v>122536</v>
      </c>
      <c r="K1034" t="s">
        <v>1056</v>
      </c>
      <c r="M1034" t="s">
        <v>355</v>
      </c>
      <c r="O1034" t="s">
        <v>1145</v>
      </c>
      <c r="P1034" t="s">
        <v>1146</v>
      </c>
      <c r="Q1034" t="s">
        <v>357</v>
      </c>
      <c r="R1034">
        <v>2069080</v>
      </c>
      <c r="S1034" t="s">
        <v>355</v>
      </c>
      <c r="U1034" t="s">
        <v>2313</v>
      </c>
      <c r="V1034" t="s">
        <v>356</v>
      </c>
      <c r="W1034">
        <v>2300</v>
      </c>
      <c r="X1034">
        <v>0.6</v>
      </c>
      <c r="Y1034">
        <v>5.18</v>
      </c>
      <c r="Z1034">
        <v>2300</v>
      </c>
      <c r="AA1034">
        <v>0</v>
      </c>
      <c r="AB1034">
        <v>44448.020356099536</v>
      </c>
      <c r="AC1034" t="s">
        <v>323</v>
      </c>
      <c r="AD1034">
        <v>7</v>
      </c>
    </row>
    <row r="1035" spans="1:30" x14ac:dyDescent="0.25">
      <c r="A1035" t="s">
        <v>1051</v>
      </c>
      <c r="B1035" t="s">
        <v>1106</v>
      </c>
      <c r="C1035" t="s">
        <v>2288</v>
      </c>
      <c r="D1035" t="s">
        <v>2308</v>
      </c>
      <c r="E1035" t="s">
        <v>1060</v>
      </c>
      <c r="F1035" t="s">
        <v>1061</v>
      </c>
      <c r="G1035">
        <v>6101855</v>
      </c>
      <c r="H1035">
        <v>202108</v>
      </c>
      <c r="I1035">
        <v>44439</v>
      </c>
      <c r="J1035">
        <v>122536</v>
      </c>
      <c r="K1035" t="s">
        <v>1056</v>
      </c>
      <c r="M1035" t="s">
        <v>355</v>
      </c>
      <c r="O1035" t="s">
        <v>1145</v>
      </c>
      <c r="P1035" t="s">
        <v>1146</v>
      </c>
      <c r="Q1035" t="s">
        <v>357</v>
      </c>
      <c r="R1035">
        <v>2069080</v>
      </c>
      <c r="S1035" t="s">
        <v>355</v>
      </c>
      <c r="U1035" t="s">
        <v>2313</v>
      </c>
      <c r="V1035" t="s">
        <v>356</v>
      </c>
      <c r="W1035">
        <v>2300</v>
      </c>
      <c r="X1035">
        <v>0.6</v>
      </c>
      <c r="Y1035">
        <v>5.18</v>
      </c>
      <c r="Z1035">
        <v>2300</v>
      </c>
      <c r="AA1035">
        <v>0</v>
      </c>
      <c r="AB1035">
        <v>44448.020356099536</v>
      </c>
      <c r="AC1035" t="s">
        <v>323</v>
      </c>
      <c r="AD1035">
        <v>7</v>
      </c>
    </row>
    <row r="1036" spans="1:30" x14ac:dyDescent="0.25">
      <c r="A1036" t="s">
        <v>1051</v>
      </c>
      <c r="B1036" t="s">
        <v>1106</v>
      </c>
      <c r="C1036" t="s">
        <v>2288</v>
      </c>
      <c r="D1036" t="s">
        <v>2308</v>
      </c>
      <c r="E1036" t="s">
        <v>1060</v>
      </c>
      <c r="F1036" t="s">
        <v>1061</v>
      </c>
      <c r="G1036">
        <v>6101855</v>
      </c>
      <c r="H1036">
        <v>202108</v>
      </c>
      <c r="I1036">
        <v>44439</v>
      </c>
      <c r="J1036">
        <v>122536</v>
      </c>
      <c r="K1036" t="s">
        <v>1056</v>
      </c>
      <c r="M1036" t="s">
        <v>355</v>
      </c>
      <c r="O1036" t="s">
        <v>1145</v>
      </c>
      <c r="P1036" t="s">
        <v>1146</v>
      </c>
      <c r="Q1036" t="s">
        <v>357</v>
      </c>
      <c r="R1036">
        <v>2069080</v>
      </c>
      <c r="S1036" t="s">
        <v>355</v>
      </c>
      <c r="U1036" t="s">
        <v>2313</v>
      </c>
      <c r="V1036" t="s">
        <v>356</v>
      </c>
      <c r="W1036">
        <v>2300</v>
      </c>
      <c r="X1036">
        <v>0.6</v>
      </c>
      <c r="Y1036">
        <v>5.18</v>
      </c>
      <c r="Z1036">
        <v>2300</v>
      </c>
      <c r="AA1036">
        <v>0</v>
      </c>
      <c r="AB1036">
        <v>44448.020356099536</v>
      </c>
      <c r="AC1036" t="s">
        <v>323</v>
      </c>
      <c r="AD1036">
        <v>7</v>
      </c>
    </row>
    <row r="1037" spans="1:30" x14ac:dyDescent="0.25">
      <c r="A1037" t="s">
        <v>1051</v>
      </c>
      <c r="B1037" t="s">
        <v>1106</v>
      </c>
      <c r="C1037" t="s">
        <v>2288</v>
      </c>
      <c r="D1037" t="s">
        <v>2308</v>
      </c>
      <c r="E1037" t="s">
        <v>1060</v>
      </c>
      <c r="F1037" t="s">
        <v>1061</v>
      </c>
      <c r="G1037">
        <v>6101855</v>
      </c>
      <c r="H1037">
        <v>202108</v>
      </c>
      <c r="I1037">
        <v>44439</v>
      </c>
      <c r="J1037">
        <v>122536</v>
      </c>
      <c r="K1037" t="s">
        <v>1056</v>
      </c>
      <c r="M1037" t="s">
        <v>355</v>
      </c>
      <c r="O1037" t="s">
        <v>1145</v>
      </c>
      <c r="P1037" t="s">
        <v>1146</v>
      </c>
      <c r="Q1037" t="s">
        <v>357</v>
      </c>
      <c r="R1037">
        <v>2069080</v>
      </c>
      <c r="S1037" t="s">
        <v>355</v>
      </c>
      <c r="U1037" t="s">
        <v>2313</v>
      </c>
      <c r="V1037" t="s">
        <v>356</v>
      </c>
      <c r="W1037">
        <v>2300</v>
      </c>
      <c r="X1037">
        <v>0.6</v>
      </c>
      <c r="Y1037">
        <v>5.18</v>
      </c>
      <c r="Z1037">
        <v>2300</v>
      </c>
      <c r="AA1037">
        <v>0</v>
      </c>
      <c r="AB1037">
        <v>44448.020356099536</v>
      </c>
      <c r="AC1037" t="s">
        <v>323</v>
      </c>
      <c r="AD1037">
        <v>7</v>
      </c>
    </row>
    <row r="1038" spans="1:30" x14ac:dyDescent="0.25">
      <c r="A1038" t="s">
        <v>1051</v>
      </c>
      <c r="B1038" t="s">
        <v>1106</v>
      </c>
      <c r="C1038" t="s">
        <v>2288</v>
      </c>
      <c r="D1038" t="s">
        <v>2308</v>
      </c>
      <c r="E1038" t="s">
        <v>1060</v>
      </c>
      <c r="F1038" t="s">
        <v>1061</v>
      </c>
      <c r="G1038">
        <v>6101855</v>
      </c>
      <c r="H1038">
        <v>202108</v>
      </c>
      <c r="I1038">
        <v>44439</v>
      </c>
      <c r="J1038">
        <v>122536</v>
      </c>
      <c r="K1038" t="s">
        <v>1056</v>
      </c>
      <c r="M1038" t="s">
        <v>355</v>
      </c>
      <c r="O1038" t="s">
        <v>1145</v>
      </c>
      <c r="P1038" t="s">
        <v>1146</v>
      </c>
      <c r="Q1038" t="s">
        <v>357</v>
      </c>
      <c r="R1038">
        <v>2069080</v>
      </c>
      <c r="S1038" t="s">
        <v>355</v>
      </c>
      <c r="U1038" t="s">
        <v>2313</v>
      </c>
      <c r="V1038" t="s">
        <v>356</v>
      </c>
      <c r="W1038">
        <v>2300</v>
      </c>
      <c r="X1038">
        <v>0.6</v>
      </c>
      <c r="Y1038">
        <v>5.18</v>
      </c>
      <c r="Z1038">
        <v>2300</v>
      </c>
      <c r="AA1038">
        <v>0</v>
      </c>
      <c r="AB1038">
        <v>44448.020356099536</v>
      </c>
      <c r="AC1038" t="s">
        <v>323</v>
      </c>
      <c r="AD1038">
        <v>7</v>
      </c>
    </row>
    <row r="1039" spans="1:30" x14ac:dyDescent="0.25">
      <c r="A1039" t="s">
        <v>1051</v>
      </c>
      <c r="B1039" t="s">
        <v>1106</v>
      </c>
      <c r="C1039" t="s">
        <v>2288</v>
      </c>
      <c r="D1039" t="s">
        <v>2308</v>
      </c>
      <c r="E1039" t="s">
        <v>1060</v>
      </c>
      <c r="F1039" t="s">
        <v>1061</v>
      </c>
      <c r="G1039">
        <v>6101855</v>
      </c>
      <c r="H1039">
        <v>202108</v>
      </c>
      <c r="I1039">
        <v>44439</v>
      </c>
      <c r="J1039">
        <v>122536</v>
      </c>
      <c r="K1039" t="s">
        <v>1056</v>
      </c>
      <c r="M1039" t="s">
        <v>355</v>
      </c>
      <c r="O1039" t="s">
        <v>1145</v>
      </c>
      <c r="P1039" t="s">
        <v>1146</v>
      </c>
      <c r="Q1039" t="s">
        <v>357</v>
      </c>
      <c r="R1039">
        <v>2069080</v>
      </c>
      <c r="S1039" t="s">
        <v>355</v>
      </c>
      <c r="U1039" t="s">
        <v>2313</v>
      </c>
      <c r="V1039" t="s">
        <v>356</v>
      </c>
      <c r="W1039">
        <v>2300</v>
      </c>
      <c r="X1039">
        <v>0.6</v>
      </c>
      <c r="Y1039">
        <v>5.18</v>
      </c>
      <c r="Z1039">
        <v>2300</v>
      </c>
      <c r="AA1039">
        <v>0</v>
      </c>
      <c r="AB1039">
        <v>44448.02035648148</v>
      </c>
      <c r="AC1039" t="s">
        <v>323</v>
      </c>
      <c r="AD1039">
        <v>7</v>
      </c>
    </row>
    <row r="1040" spans="1:30" x14ac:dyDescent="0.25">
      <c r="A1040" t="s">
        <v>1051</v>
      </c>
      <c r="B1040" t="s">
        <v>1106</v>
      </c>
      <c r="C1040" t="s">
        <v>2288</v>
      </c>
      <c r="D1040" t="s">
        <v>2308</v>
      </c>
      <c r="E1040" t="s">
        <v>1060</v>
      </c>
      <c r="F1040" t="s">
        <v>1061</v>
      </c>
      <c r="G1040">
        <v>6101717</v>
      </c>
      <c r="H1040">
        <v>202108</v>
      </c>
      <c r="I1040">
        <v>44439</v>
      </c>
      <c r="J1040">
        <v>122536</v>
      </c>
      <c r="K1040" t="s">
        <v>1056</v>
      </c>
      <c r="M1040" t="s">
        <v>355</v>
      </c>
      <c r="O1040" t="s">
        <v>1145</v>
      </c>
      <c r="P1040" t="s">
        <v>1146</v>
      </c>
      <c r="Q1040" t="s">
        <v>357</v>
      </c>
      <c r="R1040">
        <v>2069080</v>
      </c>
      <c r="S1040" t="s">
        <v>355</v>
      </c>
      <c r="U1040" t="s">
        <v>2314</v>
      </c>
      <c r="V1040" t="s">
        <v>356</v>
      </c>
      <c r="W1040">
        <v>1261000</v>
      </c>
      <c r="X1040">
        <v>326.26</v>
      </c>
      <c r="Y1040">
        <v>2841.18</v>
      </c>
      <c r="Z1040">
        <v>1261000</v>
      </c>
      <c r="AA1040">
        <v>0</v>
      </c>
      <c r="AB1040">
        <v>44443.908521724537</v>
      </c>
      <c r="AC1040" t="s">
        <v>323</v>
      </c>
      <c r="AD1040">
        <v>7</v>
      </c>
    </row>
    <row r="1041" spans="1:30" x14ac:dyDescent="0.25">
      <c r="A1041" t="s">
        <v>1051</v>
      </c>
      <c r="B1041" t="s">
        <v>1106</v>
      </c>
      <c r="C1041" t="s">
        <v>2288</v>
      </c>
      <c r="D1041" t="s">
        <v>2308</v>
      </c>
      <c r="E1041" t="s">
        <v>1060</v>
      </c>
      <c r="F1041" t="s">
        <v>1061</v>
      </c>
      <c r="G1041">
        <v>6101855</v>
      </c>
      <c r="H1041">
        <v>202108</v>
      </c>
      <c r="I1041">
        <v>44439</v>
      </c>
      <c r="J1041">
        <v>122536</v>
      </c>
      <c r="K1041" t="s">
        <v>1056</v>
      </c>
      <c r="M1041" t="s">
        <v>355</v>
      </c>
      <c r="O1041" t="s">
        <v>1145</v>
      </c>
      <c r="P1041" t="s">
        <v>1146</v>
      </c>
      <c r="Q1041" t="s">
        <v>357</v>
      </c>
      <c r="R1041">
        <v>2069080</v>
      </c>
      <c r="S1041" t="s">
        <v>355</v>
      </c>
      <c r="U1041" t="s">
        <v>2313</v>
      </c>
      <c r="V1041" t="s">
        <v>356</v>
      </c>
      <c r="W1041">
        <v>2300</v>
      </c>
      <c r="X1041">
        <v>0.6</v>
      </c>
      <c r="Y1041">
        <v>5.18</v>
      </c>
      <c r="Z1041">
        <v>2300</v>
      </c>
      <c r="AA1041">
        <v>0</v>
      </c>
      <c r="AB1041">
        <v>44448.020355752313</v>
      </c>
      <c r="AC1041" t="s">
        <v>323</v>
      </c>
      <c r="AD1041">
        <v>7</v>
      </c>
    </row>
    <row r="1042" spans="1:30" x14ac:dyDescent="0.25">
      <c r="A1042" t="s">
        <v>1051</v>
      </c>
      <c r="B1042" t="s">
        <v>1106</v>
      </c>
      <c r="C1042" t="s">
        <v>2288</v>
      </c>
      <c r="D1042" t="s">
        <v>2308</v>
      </c>
      <c r="E1042" t="s">
        <v>1060</v>
      </c>
      <c r="F1042" t="s">
        <v>1061</v>
      </c>
      <c r="G1042">
        <v>6101855</v>
      </c>
      <c r="H1042">
        <v>202108</v>
      </c>
      <c r="I1042">
        <v>44439</v>
      </c>
      <c r="J1042">
        <v>122536</v>
      </c>
      <c r="K1042" t="s">
        <v>1056</v>
      </c>
      <c r="M1042" t="s">
        <v>355</v>
      </c>
      <c r="O1042" t="s">
        <v>1145</v>
      </c>
      <c r="P1042" t="s">
        <v>1146</v>
      </c>
      <c r="Q1042" t="s">
        <v>357</v>
      </c>
      <c r="R1042">
        <v>2069080</v>
      </c>
      <c r="S1042" t="s">
        <v>355</v>
      </c>
      <c r="U1042" t="s">
        <v>2313</v>
      </c>
      <c r="V1042" t="s">
        <v>356</v>
      </c>
      <c r="W1042">
        <v>2300</v>
      </c>
      <c r="X1042">
        <v>0.6</v>
      </c>
      <c r="Y1042">
        <v>5.18</v>
      </c>
      <c r="Z1042">
        <v>2300</v>
      </c>
      <c r="AA1042">
        <v>0</v>
      </c>
      <c r="AB1042">
        <v>44448.020355752313</v>
      </c>
      <c r="AC1042" t="s">
        <v>323</v>
      </c>
      <c r="AD1042">
        <v>7</v>
      </c>
    </row>
    <row r="1043" spans="1:30" x14ac:dyDescent="0.25">
      <c r="A1043" t="s">
        <v>1051</v>
      </c>
      <c r="B1043" t="s">
        <v>1106</v>
      </c>
      <c r="C1043" t="s">
        <v>2288</v>
      </c>
      <c r="D1043" t="s">
        <v>2308</v>
      </c>
      <c r="E1043" t="s">
        <v>1060</v>
      </c>
      <c r="F1043" t="s">
        <v>1061</v>
      </c>
      <c r="G1043">
        <v>6101855</v>
      </c>
      <c r="H1043">
        <v>202108</v>
      </c>
      <c r="I1043">
        <v>44439</v>
      </c>
      <c r="J1043">
        <v>122536</v>
      </c>
      <c r="K1043" t="s">
        <v>1056</v>
      </c>
      <c r="M1043" t="s">
        <v>355</v>
      </c>
      <c r="O1043" t="s">
        <v>1145</v>
      </c>
      <c r="P1043" t="s">
        <v>1146</v>
      </c>
      <c r="Q1043" t="s">
        <v>357</v>
      </c>
      <c r="R1043">
        <v>2069080</v>
      </c>
      <c r="S1043" t="s">
        <v>355</v>
      </c>
      <c r="U1043" t="s">
        <v>2313</v>
      </c>
      <c r="V1043" t="s">
        <v>356</v>
      </c>
      <c r="W1043">
        <v>2300</v>
      </c>
      <c r="X1043">
        <v>0.6</v>
      </c>
      <c r="Y1043">
        <v>5.18</v>
      </c>
      <c r="Z1043">
        <v>2300</v>
      </c>
      <c r="AA1043">
        <v>0</v>
      </c>
      <c r="AB1043">
        <v>44448.02035590278</v>
      </c>
      <c r="AC1043" t="s">
        <v>323</v>
      </c>
      <c r="AD1043">
        <v>7</v>
      </c>
    </row>
    <row r="1044" spans="1:30" x14ac:dyDescent="0.25">
      <c r="A1044" t="s">
        <v>1051</v>
      </c>
      <c r="B1044" t="s">
        <v>1106</v>
      </c>
      <c r="C1044" t="s">
        <v>2288</v>
      </c>
      <c r="D1044" t="s">
        <v>2308</v>
      </c>
      <c r="E1044" t="s">
        <v>1060</v>
      </c>
      <c r="F1044" t="s">
        <v>1061</v>
      </c>
      <c r="G1044">
        <v>6101855</v>
      </c>
      <c r="H1044">
        <v>202108</v>
      </c>
      <c r="I1044">
        <v>44439</v>
      </c>
      <c r="J1044">
        <v>122536</v>
      </c>
      <c r="K1044" t="s">
        <v>1056</v>
      </c>
      <c r="M1044" t="s">
        <v>355</v>
      </c>
      <c r="O1044" t="s">
        <v>1145</v>
      </c>
      <c r="P1044" t="s">
        <v>1146</v>
      </c>
      <c r="Q1044" t="s">
        <v>357</v>
      </c>
      <c r="R1044">
        <v>2069080</v>
      </c>
      <c r="S1044" t="s">
        <v>355</v>
      </c>
      <c r="U1044" t="s">
        <v>2313</v>
      </c>
      <c r="V1044" t="s">
        <v>356</v>
      </c>
      <c r="W1044">
        <v>2300</v>
      </c>
      <c r="X1044">
        <v>0.6</v>
      </c>
      <c r="Y1044">
        <v>5.18</v>
      </c>
      <c r="Z1044">
        <v>2300</v>
      </c>
      <c r="AA1044">
        <v>0</v>
      </c>
      <c r="AB1044">
        <v>44448.02035590278</v>
      </c>
      <c r="AC1044" t="s">
        <v>323</v>
      </c>
      <c r="AD1044">
        <v>7</v>
      </c>
    </row>
    <row r="1045" spans="1:30" x14ac:dyDescent="0.25">
      <c r="A1045" t="s">
        <v>1051</v>
      </c>
      <c r="B1045" t="s">
        <v>1106</v>
      </c>
      <c r="C1045" t="s">
        <v>2288</v>
      </c>
      <c r="D1045" t="s">
        <v>2308</v>
      </c>
      <c r="E1045" t="s">
        <v>1060</v>
      </c>
      <c r="F1045" t="s">
        <v>1061</v>
      </c>
      <c r="G1045">
        <v>6101761</v>
      </c>
      <c r="H1045">
        <v>202108</v>
      </c>
      <c r="I1045">
        <v>44439</v>
      </c>
      <c r="J1045">
        <v>122536</v>
      </c>
      <c r="K1045" t="s">
        <v>1056</v>
      </c>
      <c r="M1045" t="s">
        <v>355</v>
      </c>
      <c r="O1045" t="s">
        <v>1145</v>
      </c>
      <c r="P1045" t="s">
        <v>1146</v>
      </c>
      <c r="Q1045" t="s">
        <v>357</v>
      </c>
      <c r="R1045">
        <v>2069080</v>
      </c>
      <c r="S1045" t="s">
        <v>355</v>
      </c>
      <c r="U1045" t="s">
        <v>2311</v>
      </c>
      <c r="V1045" t="s">
        <v>356</v>
      </c>
      <c r="W1045">
        <v>4600</v>
      </c>
      <c r="X1045">
        <v>1.19</v>
      </c>
      <c r="Y1045">
        <v>10.36</v>
      </c>
      <c r="Z1045">
        <v>4600</v>
      </c>
      <c r="AA1045">
        <v>0</v>
      </c>
      <c r="AB1045">
        <v>44445.714547766205</v>
      </c>
      <c r="AC1045" t="s">
        <v>323</v>
      </c>
      <c r="AD1045">
        <v>7</v>
      </c>
    </row>
    <row r="1046" spans="1:30" x14ac:dyDescent="0.25">
      <c r="A1046" t="s">
        <v>1051</v>
      </c>
      <c r="B1046" t="s">
        <v>1106</v>
      </c>
      <c r="C1046" t="s">
        <v>2288</v>
      </c>
      <c r="D1046" t="s">
        <v>2308</v>
      </c>
      <c r="E1046" t="s">
        <v>1060</v>
      </c>
      <c r="F1046" t="s">
        <v>1061</v>
      </c>
      <c r="G1046">
        <v>6101766</v>
      </c>
      <c r="H1046">
        <v>202108</v>
      </c>
      <c r="I1046">
        <v>44439</v>
      </c>
      <c r="J1046">
        <v>122536</v>
      </c>
      <c r="K1046" t="s">
        <v>1056</v>
      </c>
      <c r="M1046" t="s">
        <v>355</v>
      </c>
      <c r="O1046" t="s">
        <v>1145</v>
      </c>
      <c r="P1046" t="s">
        <v>1146</v>
      </c>
      <c r="Q1046" t="s">
        <v>357</v>
      </c>
      <c r="R1046">
        <v>2069080</v>
      </c>
      <c r="S1046" t="s">
        <v>355</v>
      </c>
      <c r="U1046" t="s">
        <v>2298</v>
      </c>
      <c r="V1046" t="s">
        <v>356</v>
      </c>
      <c r="W1046">
        <v>437</v>
      </c>
      <c r="X1046">
        <v>0.11</v>
      </c>
      <c r="Y1046">
        <v>0.98</v>
      </c>
      <c r="Z1046">
        <v>437</v>
      </c>
      <c r="AA1046">
        <v>0</v>
      </c>
      <c r="AB1046">
        <v>44445.78631265046</v>
      </c>
      <c r="AC1046" t="s">
        <v>323</v>
      </c>
      <c r="AD1046">
        <v>7</v>
      </c>
    </row>
    <row r="1047" spans="1:30" x14ac:dyDescent="0.25">
      <c r="A1047" t="s">
        <v>1051</v>
      </c>
      <c r="B1047" t="s">
        <v>1106</v>
      </c>
      <c r="C1047" t="s">
        <v>2288</v>
      </c>
      <c r="D1047" t="s">
        <v>2308</v>
      </c>
      <c r="E1047" t="s">
        <v>1060</v>
      </c>
      <c r="F1047" t="s">
        <v>1061</v>
      </c>
      <c r="G1047">
        <v>6101761</v>
      </c>
      <c r="H1047">
        <v>202108</v>
      </c>
      <c r="I1047">
        <v>44439</v>
      </c>
      <c r="J1047">
        <v>122536</v>
      </c>
      <c r="K1047" t="s">
        <v>1056</v>
      </c>
      <c r="M1047" t="s">
        <v>355</v>
      </c>
      <c r="O1047" t="s">
        <v>1145</v>
      </c>
      <c r="P1047" t="s">
        <v>1146</v>
      </c>
      <c r="Q1047" t="s">
        <v>357</v>
      </c>
      <c r="R1047">
        <v>2069080</v>
      </c>
      <c r="S1047" t="s">
        <v>355</v>
      </c>
      <c r="U1047" t="s">
        <v>2311</v>
      </c>
      <c r="V1047" t="s">
        <v>356</v>
      </c>
      <c r="W1047">
        <v>6900</v>
      </c>
      <c r="X1047">
        <v>1.79</v>
      </c>
      <c r="Y1047">
        <v>15.55</v>
      </c>
      <c r="Z1047">
        <v>6900</v>
      </c>
      <c r="AA1047">
        <v>0</v>
      </c>
      <c r="AB1047">
        <v>44445.714547766205</v>
      </c>
      <c r="AC1047" t="s">
        <v>323</v>
      </c>
      <c r="AD1047">
        <v>7</v>
      </c>
    </row>
    <row r="1048" spans="1:30" x14ac:dyDescent="0.25">
      <c r="A1048" t="s">
        <v>1051</v>
      </c>
      <c r="B1048" t="s">
        <v>1106</v>
      </c>
      <c r="C1048" t="s">
        <v>2288</v>
      </c>
      <c r="D1048" t="s">
        <v>2308</v>
      </c>
      <c r="E1048" t="s">
        <v>1060</v>
      </c>
      <c r="F1048" t="s">
        <v>1061</v>
      </c>
      <c r="G1048">
        <v>6101761</v>
      </c>
      <c r="H1048">
        <v>202108</v>
      </c>
      <c r="I1048">
        <v>44439</v>
      </c>
      <c r="J1048">
        <v>122536</v>
      </c>
      <c r="K1048" t="s">
        <v>1056</v>
      </c>
      <c r="M1048" t="s">
        <v>355</v>
      </c>
      <c r="O1048" t="s">
        <v>1145</v>
      </c>
      <c r="P1048" t="s">
        <v>1146</v>
      </c>
      <c r="Q1048" t="s">
        <v>357</v>
      </c>
      <c r="R1048">
        <v>2069080</v>
      </c>
      <c r="S1048" t="s">
        <v>355</v>
      </c>
      <c r="U1048" t="s">
        <v>2311</v>
      </c>
      <c r="V1048" t="s">
        <v>356</v>
      </c>
      <c r="W1048">
        <v>4600</v>
      </c>
      <c r="X1048">
        <v>1.19</v>
      </c>
      <c r="Y1048">
        <v>10.36</v>
      </c>
      <c r="Z1048">
        <v>4600</v>
      </c>
      <c r="AA1048">
        <v>0</v>
      </c>
      <c r="AB1048">
        <v>44445.714547916665</v>
      </c>
      <c r="AC1048" t="s">
        <v>323</v>
      </c>
      <c r="AD1048">
        <v>7</v>
      </c>
    </row>
    <row r="1049" spans="1:30" x14ac:dyDescent="0.25">
      <c r="A1049" t="s">
        <v>1051</v>
      </c>
      <c r="B1049" t="s">
        <v>1106</v>
      </c>
      <c r="C1049" t="s">
        <v>2288</v>
      </c>
      <c r="D1049" t="s">
        <v>2308</v>
      </c>
      <c r="E1049" t="s">
        <v>1060</v>
      </c>
      <c r="F1049" t="s">
        <v>1061</v>
      </c>
      <c r="G1049">
        <v>6101761</v>
      </c>
      <c r="H1049">
        <v>202108</v>
      </c>
      <c r="I1049">
        <v>44439</v>
      </c>
      <c r="J1049">
        <v>122536</v>
      </c>
      <c r="K1049" t="s">
        <v>1056</v>
      </c>
      <c r="M1049" t="s">
        <v>355</v>
      </c>
      <c r="O1049" t="s">
        <v>1145</v>
      </c>
      <c r="P1049" t="s">
        <v>1146</v>
      </c>
      <c r="Q1049" t="s">
        <v>357</v>
      </c>
      <c r="R1049">
        <v>2069080</v>
      </c>
      <c r="S1049" t="s">
        <v>355</v>
      </c>
      <c r="U1049" t="s">
        <v>2311</v>
      </c>
      <c r="V1049" t="s">
        <v>356</v>
      </c>
      <c r="W1049">
        <v>1099400</v>
      </c>
      <c r="X1049">
        <v>284.45</v>
      </c>
      <c r="Y1049">
        <v>2477.08</v>
      </c>
      <c r="Z1049">
        <v>1099400</v>
      </c>
      <c r="AA1049">
        <v>0</v>
      </c>
      <c r="AB1049">
        <v>44445.714547916665</v>
      </c>
      <c r="AC1049" t="s">
        <v>323</v>
      </c>
      <c r="AD1049">
        <v>7</v>
      </c>
    </row>
    <row r="1050" spans="1:30" x14ac:dyDescent="0.25">
      <c r="A1050" t="s">
        <v>1051</v>
      </c>
      <c r="B1050" t="s">
        <v>1106</v>
      </c>
      <c r="C1050" t="s">
        <v>2288</v>
      </c>
      <c r="D1050" t="s">
        <v>2308</v>
      </c>
      <c r="E1050" t="s">
        <v>1060</v>
      </c>
      <c r="F1050" t="s">
        <v>1061</v>
      </c>
      <c r="G1050">
        <v>6102249</v>
      </c>
      <c r="H1050">
        <v>202109</v>
      </c>
      <c r="I1050">
        <v>44469</v>
      </c>
      <c r="J1050" t="s">
        <v>1681</v>
      </c>
      <c r="K1050" t="s">
        <v>1056</v>
      </c>
      <c r="M1050" t="s">
        <v>355</v>
      </c>
      <c r="O1050" t="s">
        <v>1145</v>
      </c>
      <c r="P1050" t="s">
        <v>1146</v>
      </c>
      <c r="Q1050" t="s">
        <v>357</v>
      </c>
      <c r="R1050">
        <v>2069080</v>
      </c>
      <c r="S1050" t="s">
        <v>355</v>
      </c>
      <c r="U1050" t="s">
        <v>2315</v>
      </c>
      <c r="V1050" t="s">
        <v>356</v>
      </c>
      <c r="W1050">
        <v>1325550</v>
      </c>
      <c r="X1050">
        <v>345.68</v>
      </c>
      <c r="Y1050">
        <v>3005.76</v>
      </c>
      <c r="Z1050">
        <v>1325550</v>
      </c>
      <c r="AA1050">
        <v>0</v>
      </c>
      <c r="AB1050">
        <v>44474.996316469907</v>
      </c>
      <c r="AC1050" t="s">
        <v>323</v>
      </c>
      <c r="AD1050">
        <v>7</v>
      </c>
    </row>
    <row r="1051" spans="1:30" x14ac:dyDescent="0.25">
      <c r="A1051" t="s">
        <v>1051</v>
      </c>
      <c r="B1051" t="s">
        <v>1106</v>
      </c>
      <c r="C1051" t="s">
        <v>2288</v>
      </c>
      <c r="D1051" t="s">
        <v>2308</v>
      </c>
      <c r="E1051" t="s">
        <v>1060</v>
      </c>
      <c r="F1051" t="s">
        <v>1061</v>
      </c>
      <c r="G1051">
        <v>6101941</v>
      </c>
      <c r="H1051">
        <v>202109</v>
      </c>
      <c r="I1051">
        <v>44445</v>
      </c>
      <c r="J1051">
        <v>124932</v>
      </c>
      <c r="K1051" t="s">
        <v>1056</v>
      </c>
      <c r="M1051" t="s">
        <v>355</v>
      </c>
      <c r="O1051" t="s">
        <v>1145</v>
      </c>
      <c r="P1051" t="s">
        <v>1146</v>
      </c>
      <c r="Q1051" t="s">
        <v>357</v>
      </c>
      <c r="R1051">
        <v>2069080</v>
      </c>
      <c r="S1051" t="s">
        <v>2316</v>
      </c>
      <c r="U1051" t="s">
        <v>2317</v>
      </c>
      <c r="V1051" t="s">
        <v>356</v>
      </c>
      <c r="W1051">
        <v>880</v>
      </c>
      <c r="X1051">
        <v>0.23</v>
      </c>
      <c r="Y1051">
        <v>2.04</v>
      </c>
      <c r="Z1051">
        <v>880</v>
      </c>
      <c r="AA1051">
        <v>0</v>
      </c>
      <c r="AB1051">
        <v>44459.110483368058</v>
      </c>
      <c r="AC1051" t="s">
        <v>323</v>
      </c>
      <c r="AD1051">
        <v>7</v>
      </c>
    </row>
    <row r="1052" spans="1:30" x14ac:dyDescent="0.25">
      <c r="A1052" t="s">
        <v>1051</v>
      </c>
      <c r="B1052" t="s">
        <v>1106</v>
      </c>
      <c r="C1052" t="s">
        <v>2288</v>
      </c>
      <c r="D1052" t="s">
        <v>2308</v>
      </c>
      <c r="E1052" t="s">
        <v>1060</v>
      </c>
      <c r="F1052" t="s">
        <v>1061</v>
      </c>
      <c r="G1052">
        <v>6102272</v>
      </c>
      <c r="H1052">
        <v>202109</v>
      </c>
      <c r="I1052">
        <v>44469</v>
      </c>
      <c r="J1052">
        <v>125062</v>
      </c>
      <c r="K1052" t="s">
        <v>1056</v>
      </c>
      <c r="M1052" t="s">
        <v>355</v>
      </c>
      <c r="O1052" t="s">
        <v>1145</v>
      </c>
      <c r="P1052" t="s">
        <v>1146</v>
      </c>
      <c r="Q1052" t="s">
        <v>357</v>
      </c>
      <c r="R1052">
        <v>2069080</v>
      </c>
      <c r="S1052" t="s">
        <v>355</v>
      </c>
      <c r="U1052" t="s">
        <v>2318</v>
      </c>
      <c r="V1052" t="s">
        <v>356</v>
      </c>
      <c r="W1052">
        <v>23100</v>
      </c>
      <c r="X1052">
        <v>6.02</v>
      </c>
      <c r="Y1052">
        <v>52.38</v>
      </c>
      <c r="Z1052">
        <v>23100</v>
      </c>
      <c r="AA1052">
        <v>0</v>
      </c>
      <c r="AB1052">
        <v>44475.17009359954</v>
      </c>
      <c r="AC1052" t="s">
        <v>323</v>
      </c>
      <c r="AD1052">
        <v>7</v>
      </c>
    </row>
    <row r="1053" spans="1:30" x14ac:dyDescent="0.25">
      <c r="A1053" t="s">
        <v>1051</v>
      </c>
      <c r="B1053" t="s">
        <v>1106</v>
      </c>
      <c r="C1053" t="s">
        <v>2288</v>
      </c>
      <c r="D1053" t="s">
        <v>2308</v>
      </c>
      <c r="E1053" t="s">
        <v>1060</v>
      </c>
      <c r="F1053" t="s">
        <v>1061</v>
      </c>
      <c r="G1053">
        <v>6102272</v>
      </c>
      <c r="H1053">
        <v>202109</v>
      </c>
      <c r="I1053">
        <v>44469</v>
      </c>
      <c r="J1053">
        <v>125062</v>
      </c>
      <c r="K1053" t="s">
        <v>1056</v>
      </c>
      <c r="M1053" t="s">
        <v>355</v>
      </c>
      <c r="O1053" t="s">
        <v>1145</v>
      </c>
      <c r="P1053" t="s">
        <v>1146</v>
      </c>
      <c r="Q1053" t="s">
        <v>357</v>
      </c>
      <c r="R1053">
        <v>2069080</v>
      </c>
      <c r="S1053" t="s">
        <v>355</v>
      </c>
      <c r="U1053" t="s">
        <v>2318</v>
      </c>
      <c r="V1053" t="s">
        <v>356</v>
      </c>
      <c r="W1053">
        <v>6840</v>
      </c>
      <c r="X1053">
        <v>1.78</v>
      </c>
      <c r="Y1053">
        <v>15.51</v>
      </c>
      <c r="Z1053">
        <v>6840</v>
      </c>
      <c r="AA1053">
        <v>0</v>
      </c>
      <c r="AB1053">
        <v>44475.17009359954</v>
      </c>
      <c r="AC1053" t="s">
        <v>323</v>
      </c>
      <c r="AD1053">
        <v>7</v>
      </c>
    </row>
    <row r="1054" spans="1:30" x14ac:dyDescent="0.25">
      <c r="A1054" t="s">
        <v>1051</v>
      </c>
      <c r="B1054" t="s">
        <v>1106</v>
      </c>
      <c r="C1054" t="s">
        <v>2288</v>
      </c>
      <c r="D1054" t="s">
        <v>2319</v>
      </c>
      <c r="E1054" t="s">
        <v>1060</v>
      </c>
      <c r="F1054" t="s">
        <v>1061</v>
      </c>
      <c r="G1054">
        <v>6102284</v>
      </c>
      <c r="H1054">
        <v>202109</v>
      </c>
      <c r="I1054">
        <v>44469</v>
      </c>
      <c r="J1054">
        <v>125062</v>
      </c>
      <c r="K1054" t="s">
        <v>1056</v>
      </c>
      <c r="M1054" t="s">
        <v>355</v>
      </c>
      <c r="O1054" t="s">
        <v>2320</v>
      </c>
      <c r="P1054" t="s">
        <v>2321</v>
      </c>
      <c r="Q1054" t="s">
        <v>357</v>
      </c>
      <c r="R1054">
        <v>2069080</v>
      </c>
      <c r="S1054" t="s">
        <v>2322</v>
      </c>
      <c r="U1054" t="s">
        <v>2323</v>
      </c>
      <c r="V1054" t="s">
        <v>356</v>
      </c>
      <c r="W1054">
        <v>-100</v>
      </c>
      <c r="X1054">
        <v>-0.03</v>
      </c>
      <c r="Y1054">
        <v>-0.23</v>
      </c>
      <c r="Z1054">
        <v>-100</v>
      </c>
      <c r="AA1054">
        <v>0</v>
      </c>
      <c r="AB1054">
        <v>44476.949520752314</v>
      </c>
      <c r="AC1054" t="s">
        <v>323</v>
      </c>
      <c r="AD1054">
        <v>7</v>
      </c>
    </row>
  </sheetData>
  <autoFilter ref="A1:AD1054">
    <filterColumn colId="2">
      <filters>
        <filter val="4240"/>
        <filter val="4251"/>
        <filter val="4491"/>
        <filter val="4500"/>
        <filter val="4900"/>
        <filter val="5290"/>
        <filter val="5295"/>
        <filter val="6520"/>
        <filter val="6600"/>
        <filter val="6800"/>
        <filter val="6860"/>
        <filter val="6910"/>
        <filter val="6920"/>
        <filter val="6960"/>
        <filter val="7040"/>
        <filter val="7140"/>
        <filter val="7770"/>
        <filter val="8170"/>
      </filters>
    </filterColumn>
  </autoFilter>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R159"/>
  <sheetViews>
    <sheetView zoomScale="60" zoomScaleNormal="60" workbookViewId="0">
      <selection activeCell="R2" sqref="R2"/>
    </sheetView>
  </sheetViews>
  <sheetFormatPr baseColWidth="10" defaultColWidth="11.42578125" defaultRowHeight="15" x14ac:dyDescent="0.25"/>
  <cols>
    <col min="1" max="1" width="18.5703125" style="282" customWidth="1"/>
    <col min="2" max="2" width="27.140625" style="282" bestFit="1" customWidth="1"/>
    <col min="3" max="3" width="14.7109375" style="283" customWidth="1"/>
    <col min="4" max="4" width="9.85546875" style="284" customWidth="1"/>
    <col min="5" max="5" width="9.140625" style="284" customWidth="1"/>
    <col min="6" max="6" width="98.42578125" style="284" customWidth="1"/>
    <col min="7" max="7" width="20.7109375" style="284" customWidth="1"/>
    <col min="8" max="8" width="20" style="284" customWidth="1"/>
    <col min="9" max="9" width="19.140625" style="285" customWidth="1"/>
    <col min="10" max="10" width="18.85546875" style="284" customWidth="1"/>
    <col min="11" max="11" width="15.5703125" style="284" customWidth="1"/>
    <col min="12" max="12" width="21.28515625" style="284" customWidth="1"/>
    <col min="13" max="13" width="19.85546875" style="284" customWidth="1"/>
    <col min="14" max="14" width="13.7109375" style="284" customWidth="1"/>
    <col min="15" max="15" width="22" style="284" customWidth="1"/>
    <col min="16" max="16" width="12.85546875" style="284" customWidth="1"/>
    <col min="17" max="17" width="34.140625" style="284" customWidth="1"/>
    <col min="18" max="16384" width="11.42578125" style="284"/>
  </cols>
  <sheetData>
    <row r="1" spans="1:18" ht="63.6" customHeight="1" thickBot="1" x14ac:dyDescent="0.3">
      <c r="C1" s="282"/>
      <c r="D1" s="282"/>
      <c r="E1" s="287"/>
      <c r="F1" s="287"/>
      <c r="G1" s="460" t="s">
        <v>873</v>
      </c>
      <c r="H1" s="461" t="s">
        <v>874</v>
      </c>
      <c r="I1" s="461" t="s">
        <v>875</v>
      </c>
      <c r="J1" s="462" t="s">
        <v>876</v>
      </c>
      <c r="K1" s="463"/>
      <c r="L1" s="461" t="s">
        <v>877</v>
      </c>
      <c r="M1" s="462" t="s">
        <v>878</v>
      </c>
      <c r="N1" s="463"/>
      <c r="O1" s="462" t="s">
        <v>879</v>
      </c>
      <c r="P1" s="464"/>
    </row>
    <row r="2" spans="1:18" ht="30.75" thickBot="1" x14ac:dyDescent="0.3">
      <c r="A2" s="289" t="s">
        <v>880</v>
      </c>
      <c r="B2" s="290" t="s">
        <v>881</v>
      </c>
      <c r="C2" s="291" t="s">
        <v>882</v>
      </c>
      <c r="D2" s="292" t="s">
        <v>883</v>
      </c>
      <c r="E2" s="292" t="s">
        <v>884</v>
      </c>
      <c r="F2" s="293" t="s">
        <v>885</v>
      </c>
      <c r="G2" s="294"/>
      <c r="H2" s="295"/>
      <c r="I2" s="296"/>
      <c r="J2" s="297" t="s">
        <v>886</v>
      </c>
      <c r="K2" s="298" t="s">
        <v>429</v>
      </c>
      <c r="L2" s="298"/>
      <c r="M2" s="297" t="s">
        <v>886</v>
      </c>
      <c r="N2" s="298" t="s">
        <v>429</v>
      </c>
      <c r="O2" s="297" t="s">
        <v>886</v>
      </c>
      <c r="P2" s="299" t="s">
        <v>429</v>
      </c>
      <c r="Q2" s="286" t="s">
        <v>1023</v>
      </c>
      <c r="R2" s="425">
        <v>3636.3636363636365</v>
      </c>
    </row>
    <row r="3" spans="1:18" s="287" customFormat="1" x14ac:dyDescent="0.25">
      <c r="A3" s="300"/>
      <c r="B3" s="301"/>
      <c r="C3" s="300"/>
      <c r="D3" s="302" t="s">
        <v>887</v>
      </c>
      <c r="E3" s="302"/>
      <c r="F3" s="288" t="s">
        <v>888</v>
      </c>
      <c r="G3" s="303"/>
      <c r="H3" s="304"/>
      <c r="I3" s="305"/>
      <c r="J3" s="306"/>
      <c r="K3" s="305"/>
      <c r="L3" s="307"/>
      <c r="M3" s="305"/>
      <c r="N3" s="305"/>
      <c r="O3" s="307"/>
      <c r="P3" s="308"/>
    </row>
    <row r="4" spans="1:18" x14ac:dyDescent="0.25">
      <c r="A4" s="309"/>
      <c r="B4" s="310"/>
      <c r="C4" s="309"/>
      <c r="D4" s="311"/>
      <c r="E4" s="311"/>
      <c r="F4" s="287" t="s">
        <v>889</v>
      </c>
      <c r="G4" s="312"/>
      <c r="H4" s="313"/>
      <c r="I4" s="305"/>
      <c r="J4" s="314">
        <f>+H4+I4</f>
        <v>0</v>
      </c>
      <c r="K4" s="315">
        <f>+IF(G4&lt;&gt;0,+J4/G4,0)</f>
        <v>0</v>
      </c>
      <c r="L4" s="314">
        <f t="shared" ref="L4:L12" si="0">+G4-J4</f>
        <v>0</v>
      </c>
      <c r="M4" s="316"/>
      <c r="N4" s="315">
        <f t="shared" ref="N4:N12" si="1">+IF(G4&lt;&gt;0,M4/G4,0)</f>
        <v>0</v>
      </c>
      <c r="O4" s="314">
        <f t="shared" ref="O4:O12" si="2">+G4-J4-M4</f>
        <v>0</v>
      </c>
      <c r="P4" s="317">
        <f t="shared" ref="P4:P13" si="3">+IF(+G4&lt;&gt;0,O4/G4,0)</f>
        <v>0</v>
      </c>
    </row>
    <row r="5" spans="1:18" x14ac:dyDescent="0.25">
      <c r="A5" s="309"/>
      <c r="B5" s="310" t="s">
        <v>890</v>
      </c>
      <c r="C5" s="309" t="s">
        <v>160</v>
      </c>
      <c r="D5" s="311"/>
      <c r="E5" s="311"/>
      <c r="F5" s="287" t="s">
        <v>891</v>
      </c>
      <c r="G5" s="318">
        <v>5000000</v>
      </c>
      <c r="H5" s="319"/>
      <c r="I5" s="305"/>
      <c r="J5" s="314">
        <f t="shared" ref="J5:J12" si="4">+H5+I5</f>
        <v>0</v>
      </c>
      <c r="K5" s="315">
        <f t="shared" ref="K5:K12" si="5">+IF(G5&lt;&gt;0,+J5/G5,0)</f>
        <v>0</v>
      </c>
      <c r="L5" s="314">
        <f t="shared" si="0"/>
        <v>5000000</v>
      </c>
      <c r="M5" s="306">
        <f>G5</f>
        <v>5000000</v>
      </c>
      <c r="N5" s="315">
        <f>+IF(G5&lt;&gt;0,M5/G5,0)</f>
        <v>1</v>
      </c>
      <c r="O5" s="320">
        <f t="shared" si="2"/>
        <v>0</v>
      </c>
      <c r="P5" s="317">
        <f t="shared" si="3"/>
        <v>0</v>
      </c>
    </row>
    <row r="6" spans="1:18" x14ac:dyDescent="0.25">
      <c r="A6" s="309"/>
      <c r="B6" s="310"/>
      <c r="C6" s="309" t="s">
        <v>160</v>
      </c>
      <c r="D6" s="311"/>
      <c r="E6" s="311"/>
      <c r="F6" s="287" t="s">
        <v>892</v>
      </c>
      <c r="G6" s="318">
        <v>10500000</v>
      </c>
      <c r="H6" s="319"/>
      <c r="I6" s="305"/>
      <c r="J6" s="314">
        <f t="shared" si="4"/>
        <v>0</v>
      </c>
      <c r="K6" s="315">
        <f t="shared" si="5"/>
        <v>0</v>
      </c>
      <c r="L6" s="314">
        <f t="shared" si="0"/>
        <v>10500000</v>
      </c>
      <c r="M6" s="306">
        <f t="shared" ref="M6:M7" si="6">G6</f>
        <v>10500000</v>
      </c>
      <c r="N6" s="315">
        <f t="shared" si="1"/>
        <v>1</v>
      </c>
      <c r="O6" s="320">
        <f t="shared" si="2"/>
        <v>0</v>
      </c>
      <c r="P6" s="317">
        <f t="shared" si="3"/>
        <v>0</v>
      </c>
    </row>
    <row r="7" spans="1:18" x14ac:dyDescent="0.25">
      <c r="A7" s="309"/>
      <c r="B7" s="310"/>
      <c r="C7" s="309" t="s">
        <v>160</v>
      </c>
      <c r="D7" s="311"/>
      <c r="E7" s="311"/>
      <c r="F7" s="287" t="s">
        <v>893</v>
      </c>
      <c r="G7" s="318">
        <v>16000000</v>
      </c>
      <c r="H7" s="319"/>
      <c r="I7" s="305"/>
      <c r="J7" s="314">
        <f t="shared" si="4"/>
        <v>0</v>
      </c>
      <c r="K7" s="315">
        <f t="shared" si="5"/>
        <v>0</v>
      </c>
      <c r="L7" s="314">
        <f t="shared" si="0"/>
        <v>16000000</v>
      </c>
      <c r="M7" s="306">
        <f t="shared" si="6"/>
        <v>16000000</v>
      </c>
      <c r="N7" s="315">
        <f t="shared" si="1"/>
        <v>1</v>
      </c>
      <c r="O7" s="320">
        <f t="shared" si="2"/>
        <v>0</v>
      </c>
      <c r="P7" s="317">
        <f t="shared" si="3"/>
        <v>0</v>
      </c>
    </row>
    <row r="8" spans="1:18" x14ac:dyDescent="0.25">
      <c r="A8" s="309"/>
      <c r="B8" s="310"/>
      <c r="C8" s="309" t="s">
        <v>160</v>
      </c>
      <c r="D8" s="311"/>
      <c r="E8" s="311"/>
      <c r="F8" s="287" t="s">
        <v>894</v>
      </c>
      <c r="G8" s="318">
        <v>5000000</v>
      </c>
      <c r="H8" s="319"/>
      <c r="I8" s="305"/>
      <c r="J8" s="314">
        <f t="shared" si="4"/>
        <v>0</v>
      </c>
      <c r="K8" s="315">
        <f t="shared" si="5"/>
        <v>0</v>
      </c>
      <c r="L8" s="314">
        <f t="shared" si="0"/>
        <v>5000000</v>
      </c>
      <c r="M8" s="316"/>
      <c r="N8" s="315">
        <f t="shared" si="1"/>
        <v>0</v>
      </c>
      <c r="O8" s="320">
        <f t="shared" si="2"/>
        <v>5000000</v>
      </c>
      <c r="P8" s="317">
        <f t="shared" si="3"/>
        <v>1</v>
      </c>
    </row>
    <row r="9" spans="1:18" x14ac:dyDescent="0.25">
      <c r="A9" s="309"/>
      <c r="B9" s="310"/>
      <c r="C9" s="309"/>
      <c r="D9" s="311"/>
      <c r="E9" s="311"/>
      <c r="F9" s="287" t="s">
        <v>895</v>
      </c>
      <c r="G9" s="318"/>
      <c r="H9" s="319"/>
      <c r="I9" s="305"/>
      <c r="J9" s="314">
        <f t="shared" si="4"/>
        <v>0</v>
      </c>
      <c r="K9" s="315">
        <f t="shared" si="5"/>
        <v>0</v>
      </c>
      <c r="L9" s="314">
        <f t="shared" si="0"/>
        <v>0</v>
      </c>
      <c r="M9" s="316"/>
      <c r="N9" s="315">
        <f t="shared" si="1"/>
        <v>0</v>
      </c>
      <c r="O9" s="320">
        <f t="shared" si="2"/>
        <v>0</v>
      </c>
      <c r="P9" s="317">
        <f t="shared" si="3"/>
        <v>0</v>
      </c>
    </row>
    <row r="10" spans="1:18" ht="27.75" customHeight="1" x14ac:dyDescent="0.25">
      <c r="A10" s="309"/>
      <c r="B10" s="310"/>
      <c r="C10" s="309"/>
      <c r="D10" s="311"/>
      <c r="E10" s="311"/>
      <c r="F10" s="321" t="s">
        <v>896</v>
      </c>
      <c r="G10" s="318">
        <v>0</v>
      </c>
      <c r="H10" s="319"/>
      <c r="I10" s="305"/>
      <c r="J10" s="314">
        <f t="shared" si="4"/>
        <v>0</v>
      </c>
      <c r="K10" s="315">
        <f t="shared" si="5"/>
        <v>0</v>
      </c>
      <c r="L10" s="314">
        <f t="shared" si="0"/>
        <v>0</v>
      </c>
      <c r="M10" s="316"/>
      <c r="N10" s="315">
        <f t="shared" si="1"/>
        <v>0</v>
      </c>
      <c r="O10" s="320">
        <f t="shared" si="2"/>
        <v>0</v>
      </c>
      <c r="P10" s="317">
        <f t="shared" si="3"/>
        <v>0</v>
      </c>
    </row>
    <row r="11" spans="1:18" x14ac:dyDescent="0.25">
      <c r="A11" s="309"/>
      <c r="B11" s="310"/>
      <c r="C11" s="309"/>
      <c r="D11" s="311"/>
      <c r="E11" s="311"/>
      <c r="F11" s="287"/>
      <c r="G11" s="318"/>
      <c r="H11" s="319"/>
      <c r="I11" s="305"/>
      <c r="J11" s="314">
        <f t="shared" si="4"/>
        <v>0</v>
      </c>
      <c r="K11" s="315">
        <f t="shared" si="5"/>
        <v>0</v>
      </c>
      <c r="L11" s="314">
        <f t="shared" si="0"/>
        <v>0</v>
      </c>
      <c r="M11" s="316"/>
      <c r="N11" s="315">
        <f t="shared" si="1"/>
        <v>0</v>
      </c>
      <c r="O11" s="320">
        <f t="shared" si="2"/>
        <v>0</v>
      </c>
      <c r="P11" s="317">
        <f t="shared" si="3"/>
        <v>0</v>
      </c>
    </row>
    <row r="12" spans="1:18" ht="18" customHeight="1" x14ac:dyDescent="0.25">
      <c r="A12" s="309"/>
      <c r="B12" s="310"/>
      <c r="C12" s="309"/>
      <c r="D12" s="311"/>
      <c r="E12" s="311"/>
      <c r="G12" s="318"/>
      <c r="H12" s="319"/>
      <c r="I12" s="305"/>
      <c r="J12" s="314">
        <f t="shared" si="4"/>
        <v>0</v>
      </c>
      <c r="K12" s="315">
        <f t="shared" si="5"/>
        <v>0</v>
      </c>
      <c r="L12" s="314">
        <f t="shared" si="0"/>
        <v>0</v>
      </c>
      <c r="M12" s="316"/>
      <c r="N12" s="315">
        <f t="shared" si="1"/>
        <v>0</v>
      </c>
      <c r="O12" s="320">
        <f t="shared" si="2"/>
        <v>0</v>
      </c>
      <c r="P12" s="317">
        <f t="shared" si="3"/>
        <v>0</v>
      </c>
    </row>
    <row r="13" spans="1:18" ht="15.75" thickBot="1" x14ac:dyDescent="0.3">
      <c r="A13" s="322"/>
      <c r="B13" s="323"/>
      <c r="C13" s="324">
        <v>4041</v>
      </c>
      <c r="D13" s="325">
        <v>1</v>
      </c>
      <c r="E13" s="325"/>
      <c r="F13" s="326" t="s">
        <v>897</v>
      </c>
      <c r="G13" s="327">
        <f t="shared" ref="G13:O13" si="7">SUM(G4:G12)</f>
        <v>36500000</v>
      </c>
      <c r="H13" s="328">
        <f t="shared" si="7"/>
        <v>0</v>
      </c>
      <c r="I13" s="329">
        <f t="shared" si="7"/>
        <v>0</v>
      </c>
      <c r="J13" s="329">
        <f t="shared" si="7"/>
        <v>0</v>
      </c>
      <c r="K13" s="330">
        <f t="shared" si="7"/>
        <v>0</v>
      </c>
      <c r="L13" s="329">
        <f t="shared" si="7"/>
        <v>36500000</v>
      </c>
      <c r="M13" s="329">
        <f t="shared" si="7"/>
        <v>31500000</v>
      </c>
      <c r="N13" s="330">
        <f>+AVERAGE(N5,N6,N7)</f>
        <v>1</v>
      </c>
      <c r="O13" s="329">
        <f t="shared" si="7"/>
        <v>5000000</v>
      </c>
      <c r="P13" s="331">
        <f t="shared" si="3"/>
        <v>0.13698630136986301</v>
      </c>
    </row>
    <row r="14" spans="1:18" x14ac:dyDescent="0.25">
      <c r="A14" s="309"/>
      <c r="B14" s="310"/>
      <c r="C14" s="309"/>
      <c r="D14" s="311"/>
      <c r="E14" s="311"/>
      <c r="F14" s="332"/>
      <c r="G14" s="333"/>
      <c r="H14" s="304"/>
      <c r="I14" s="305"/>
      <c r="J14" s="306"/>
      <c r="K14" s="334"/>
      <c r="L14" s="305"/>
      <c r="M14" s="305"/>
      <c r="N14" s="334"/>
      <c r="O14" s="305"/>
      <c r="P14" s="335"/>
    </row>
    <row r="15" spans="1:18" x14ac:dyDescent="0.25">
      <c r="A15" s="309"/>
      <c r="B15" s="310"/>
      <c r="C15" s="309"/>
      <c r="D15" s="336" t="s">
        <v>898</v>
      </c>
      <c r="E15" s="336"/>
      <c r="F15" s="337" t="s">
        <v>899</v>
      </c>
      <c r="G15" s="320"/>
      <c r="H15" s="304"/>
      <c r="I15" s="305"/>
      <c r="J15" s="306"/>
      <c r="K15" s="334"/>
      <c r="L15" s="305"/>
      <c r="M15" s="314"/>
      <c r="N15" s="334"/>
      <c r="O15" s="305"/>
      <c r="P15" s="335"/>
    </row>
    <row r="16" spans="1:18" x14ac:dyDescent="0.25">
      <c r="A16" s="309"/>
      <c r="B16" s="310"/>
      <c r="C16" s="309" t="s">
        <v>95</v>
      </c>
      <c r="D16" s="311"/>
      <c r="E16" s="311"/>
      <c r="F16" s="311" t="s">
        <v>900</v>
      </c>
      <c r="G16" s="320">
        <v>88000000</v>
      </c>
      <c r="H16" s="319">
        <v>22000000</v>
      </c>
      <c r="I16" s="314">
        <v>5500000</v>
      </c>
      <c r="J16" s="314">
        <f>+H16+I16</f>
        <v>27500000</v>
      </c>
      <c r="K16" s="315">
        <f t="shared" ref="K16:K25" si="8">+IF(G16&lt;&gt;0,+J16/G16,0)</f>
        <v>0.3125</v>
      </c>
      <c r="L16" s="314">
        <f>+G16-J16</f>
        <v>60500000</v>
      </c>
      <c r="M16" s="314">
        <f>(G16/16)*3</f>
        <v>16500000</v>
      </c>
      <c r="N16" s="315">
        <f t="shared" ref="N16:N25" si="9">+IF(G16&lt;&gt;0,M16/G16,0)</f>
        <v>0.1875</v>
      </c>
      <c r="O16" s="320">
        <f t="shared" ref="O16:O25" si="10">+G16-J16-M16</f>
        <v>44000000</v>
      </c>
      <c r="P16" s="317">
        <f t="shared" ref="P16:P26" si="11">+IF(+G16&lt;&gt;0,O16/G16,0)</f>
        <v>0.5</v>
      </c>
    </row>
    <row r="17" spans="1:16" x14ac:dyDescent="0.25">
      <c r="A17" s="309"/>
      <c r="B17" s="310"/>
      <c r="C17" s="309" t="s">
        <v>79</v>
      </c>
      <c r="D17" s="311"/>
      <c r="E17" s="311"/>
      <c r="F17" s="311" t="s">
        <v>901</v>
      </c>
      <c r="G17" s="320">
        <v>18000000</v>
      </c>
      <c r="H17" s="319">
        <v>9000000</v>
      </c>
      <c r="I17" s="314">
        <v>3000000</v>
      </c>
      <c r="J17" s="314">
        <f t="shared" ref="J17:J25" si="12">+H17+I17</f>
        <v>12000000</v>
      </c>
      <c r="K17" s="315">
        <f t="shared" si="8"/>
        <v>0.66666666666666663</v>
      </c>
      <c r="L17" s="314">
        <f t="shared" ref="L17:L25" si="13">+G17-J17</f>
        <v>6000000</v>
      </c>
      <c r="M17" s="314">
        <f>1500000*3</f>
        <v>4500000</v>
      </c>
      <c r="N17" s="315">
        <f t="shared" si="9"/>
        <v>0.25</v>
      </c>
      <c r="O17" s="320">
        <f t="shared" si="10"/>
        <v>1500000</v>
      </c>
      <c r="P17" s="317">
        <f t="shared" si="11"/>
        <v>8.3333333333333329E-2</v>
      </c>
    </row>
    <row r="18" spans="1:16" x14ac:dyDescent="0.25">
      <c r="A18" s="309"/>
      <c r="B18" s="310"/>
      <c r="C18" s="338" t="s">
        <v>79</v>
      </c>
      <c r="D18" s="311"/>
      <c r="E18" s="311"/>
      <c r="F18" s="311" t="s">
        <v>902</v>
      </c>
      <c r="G18" s="320">
        <v>48000000</v>
      </c>
      <c r="H18" s="319">
        <v>12000000</v>
      </c>
      <c r="I18" s="314">
        <v>3000000</v>
      </c>
      <c r="J18" s="314">
        <f t="shared" si="12"/>
        <v>15000000</v>
      </c>
      <c r="K18" s="315">
        <f t="shared" si="8"/>
        <v>0.3125</v>
      </c>
      <c r="L18" s="314">
        <f t="shared" si="13"/>
        <v>33000000</v>
      </c>
      <c r="M18" s="314">
        <f>3000000*3</f>
        <v>9000000</v>
      </c>
      <c r="N18" s="315">
        <f t="shared" si="9"/>
        <v>0.1875</v>
      </c>
      <c r="O18" s="320">
        <f t="shared" si="10"/>
        <v>24000000</v>
      </c>
      <c r="P18" s="317">
        <f t="shared" si="11"/>
        <v>0.5</v>
      </c>
    </row>
    <row r="19" spans="1:16" x14ac:dyDescent="0.25">
      <c r="A19" s="309"/>
      <c r="B19" s="310"/>
      <c r="C19" s="338" t="s">
        <v>102</v>
      </c>
      <c r="D19" s="311"/>
      <c r="E19" s="311"/>
      <c r="F19" s="311" t="s">
        <v>903</v>
      </c>
      <c r="G19" s="320">
        <v>24000000</v>
      </c>
      <c r="H19" s="319">
        <v>6000000</v>
      </c>
      <c r="I19" s="314">
        <v>1500000</v>
      </c>
      <c r="J19" s="314">
        <f t="shared" si="12"/>
        <v>7500000</v>
      </c>
      <c r="K19" s="315">
        <f t="shared" si="8"/>
        <v>0.3125</v>
      </c>
      <c r="L19" s="314">
        <f t="shared" si="13"/>
        <v>16500000</v>
      </c>
      <c r="M19" s="314">
        <f>1500000*3</f>
        <v>4500000</v>
      </c>
      <c r="N19" s="315">
        <f t="shared" si="9"/>
        <v>0.1875</v>
      </c>
      <c r="O19" s="320">
        <f t="shared" si="10"/>
        <v>12000000</v>
      </c>
      <c r="P19" s="317">
        <f t="shared" si="11"/>
        <v>0.5</v>
      </c>
    </row>
    <row r="20" spans="1:16" x14ac:dyDescent="0.25">
      <c r="A20" s="309"/>
      <c r="B20" s="310"/>
      <c r="C20" s="309" t="s">
        <v>160</v>
      </c>
      <c r="D20" s="311"/>
      <c r="E20" s="311"/>
      <c r="F20" s="311" t="s">
        <v>904</v>
      </c>
      <c r="G20" s="320">
        <v>32000000</v>
      </c>
      <c r="H20" s="319">
        <v>8000000</v>
      </c>
      <c r="I20" s="314">
        <v>2000000</v>
      </c>
      <c r="J20" s="314">
        <f t="shared" si="12"/>
        <v>10000000</v>
      </c>
      <c r="K20" s="315">
        <f t="shared" si="8"/>
        <v>0.3125</v>
      </c>
      <c r="L20" s="314">
        <f t="shared" si="13"/>
        <v>22000000</v>
      </c>
      <c r="M20" s="314">
        <f>(G20/16)*3</f>
        <v>6000000</v>
      </c>
      <c r="N20" s="315">
        <f t="shared" si="9"/>
        <v>0.1875</v>
      </c>
      <c r="O20" s="320">
        <f t="shared" si="10"/>
        <v>16000000</v>
      </c>
      <c r="P20" s="317">
        <f t="shared" si="11"/>
        <v>0.5</v>
      </c>
    </row>
    <row r="21" spans="1:16" x14ac:dyDescent="0.25">
      <c r="A21" s="309"/>
      <c r="B21" s="310"/>
      <c r="C21" s="309" t="s">
        <v>160</v>
      </c>
      <c r="D21" s="311"/>
      <c r="E21" s="311"/>
      <c r="F21" s="311" t="s">
        <v>905</v>
      </c>
      <c r="G21" s="320">
        <v>40000000</v>
      </c>
      <c r="H21" s="319">
        <v>10000000</v>
      </c>
      <c r="I21" s="314">
        <v>2500000</v>
      </c>
      <c r="J21" s="314">
        <f t="shared" si="12"/>
        <v>12500000</v>
      </c>
      <c r="K21" s="315">
        <f t="shared" si="8"/>
        <v>0.3125</v>
      </c>
      <c r="L21" s="314">
        <f t="shared" si="13"/>
        <v>27500000</v>
      </c>
      <c r="M21" s="314">
        <f>2700000*3</f>
        <v>8100000</v>
      </c>
      <c r="N21" s="315">
        <f t="shared" si="9"/>
        <v>0.20250000000000001</v>
      </c>
      <c r="O21" s="320">
        <f t="shared" si="10"/>
        <v>19400000</v>
      </c>
      <c r="P21" s="317">
        <f t="shared" si="11"/>
        <v>0.48499999999999999</v>
      </c>
    </row>
    <row r="22" spans="1:16" ht="15" customHeight="1" x14ac:dyDescent="0.25">
      <c r="A22" s="309"/>
      <c r="B22" s="310"/>
      <c r="C22" s="309" t="s">
        <v>95</v>
      </c>
      <c r="D22" s="311"/>
      <c r="E22" s="311"/>
      <c r="F22" s="311" t="s">
        <v>906</v>
      </c>
      <c r="G22" s="320">
        <v>48000000</v>
      </c>
      <c r="H22" s="319">
        <v>12000000</v>
      </c>
      <c r="I22" s="314">
        <v>3000000</v>
      </c>
      <c r="J22" s="314">
        <f t="shared" si="12"/>
        <v>15000000</v>
      </c>
      <c r="K22" s="315">
        <f t="shared" si="8"/>
        <v>0.3125</v>
      </c>
      <c r="L22" s="314">
        <f t="shared" si="13"/>
        <v>33000000</v>
      </c>
      <c r="M22" s="314">
        <f>(G22/16)*3</f>
        <v>9000000</v>
      </c>
      <c r="N22" s="315">
        <f t="shared" si="9"/>
        <v>0.1875</v>
      </c>
      <c r="O22" s="320">
        <f t="shared" si="10"/>
        <v>24000000</v>
      </c>
      <c r="P22" s="317">
        <f t="shared" si="11"/>
        <v>0.5</v>
      </c>
    </row>
    <row r="23" spans="1:16" ht="15" customHeight="1" x14ac:dyDescent="0.25">
      <c r="A23" s="309"/>
      <c r="B23" s="310"/>
      <c r="C23" s="309" t="s">
        <v>99</v>
      </c>
      <c r="D23" s="311"/>
      <c r="E23" s="311"/>
      <c r="F23" s="311" t="s">
        <v>907</v>
      </c>
      <c r="G23" s="320">
        <v>16800000</v>
      </c>
      <c r="H23" s="319"/>
      <c r="I23" s="305"/>
      <c r="J23" s="314">
        <f t="shared" si="12"/>
        <v>0</v>
      </c>
      <c r="K23" s="315">
        <f t="shared" si="8"/>
        <v>0</v>
      </c>
      <c r="L23" s="314">
        <f t="shared" si="13"/>
        <v>16800000</v>
      </c>
      <c r="M23" s="314">
        <v>0</v>
      </c>
      <c r="N23" s="315">
        <f t="shared" si="9"/>
        <v>0</v>
      </c>
      <c r="O23" s="320">
        <f t="shared" si="10"/>
        <v>16800000</v>
      </c>
      <c r="P23" s="317">
        <f t="shared" si="11"/>
        <v>1</v>
      </c>
    </row>
    <row r="24" spans="1:16" x14ac:dyDescent="0.25">
      <c r="A24" s="309"/>
      <c r="B24" s="310"/>
      <c r="C24" s="309" t="s">
        <v>99</v>
      </c>
      <c r="D24" s="311"/>
      <c r="E24" s="311"/>
      <c r="F24" s="311" t="s">
        <v>908</v>
      </c>
      <c r="G24" s="320">
        <v>16800000</v>
      </c>
      <c r="H24" s="319"/>
      <c r="I24" s="305"/>
      <c r="J24" s="314">
        <f t="shared" si="12"/>
        <v>0</v>
      </c>
      <c r="K24" s="315">
        <f t="shared" si="8"/>
        <v>0</v>
      </c>
      <c r="L24" s="314">
        <f t="shared" si="13"/>
        <v>16800000</v>
      </c>
      <c r="M24" s="314">
        <v>0</v>
      </c>
      <c r="N24" s="315">
        <f t="shared" si="9"/>
        <v>0</v>
      </c>
      <c r="O24" s="320">
        <f t="shared" si="10"/>
        <v>16800000</v>
      </c>
      <c r="P24" s="317">
        <f t="shared" si="11"/>
        <v>1</v>
      </c>
    </row>
    <row r="25" spans="1:16" ht="15" customHeight="1" thickBot="1" x14ac:dyDescent="0.3">
      <c r="A25" s="309"/>
      <c r="B25" s="310"/>
      <c r="C25" s="309" t="s">
        <v>99</v>
      </c>
      <c r="D25" s="339"/>
      <c r="E25" s="339"/>
      <c r="F25" s="340" t="s">
        <v>909</v>
      </c>
      <c r="G25" s="320">
        <v>16800000</v>
      </c>
      <c r="H25" s="319"/>
      <c r="I25" s="305"/>
      <c r="J25" s="314">
        <f t="shared" si="12"/>
        <v>0</v>
      </c>
      <c r="K25" s="315">
        <f t="shared" si="8"/>
        <v>0</v>
      </c>
      <c r="L25" s="314">
        <f t="shared" si="13"/>
        <v>16800000</v>
      </c>
      <c r="M25" s="314"/>
      <c r="N25" s="315">
        <f t="shared" si="9"/>
        <v>0</v>
      </c>
      <c r="O25" s="320">
        <f t="shared" si="10"/>
        <v>16800000</v>
      </c>
      <c r="P25" s="317">
        <f t="shared" si="11"/>
        <v>1</v>
      </c>
    </row>
    <row r="26" spans="1:16" ht="15.75" thickBot="1" x14ac:dyDescent="0.3">
      <c r="A26" s="309"/>
      <c r="B26" s="310"/>
      <c r="C26" s="324">
        <v>4042</v>
      </c>
      <c r="D26" s="341">
        <v>2</v>
      </c>
      <c r="E26" s="341"/>
      <c r="F26" s="326" t="s">
        <v>910</v>
      </c>
      <c r="G26" s="327">
        <f>SUM(G16:G25)</f>
        <v>348400000</v>
      </c>
      <c r="H26" s="328">
        <f t="shared" ref="H26:O26" si="14">SUM(H16:H25)</f>
        <v>79000000</v>
      </c>
      <c r="I26" s="329">
        <f t="shared" si="14"/>
        <v>20500000</v>
      </c>
      <c r="J26" s="329">
        <f t="shared" si="14"/>
        <v>99500000</v>
      </c>
      <c r="K26" s="330">
        <f t="shared" si="14"/>
        <v>2.5416666666666665</v>
      </c>
      <c r="L26" s="329">
        <f t="shared" si="14"/>
        <v>248900000</v>
      </c>
      <c r="M26" s="329">
        <f>SUM(M16:M25)</f>
        <v>57600000</v>
      </c>
      <c r="N26" s="330">
        <f>+AVERAGE(N16,N17,N18,N19,N20,N21,N22,N23,N24)</f>
        <v>0.15444444444444447</v>
      </c>
      <c r="O26" s="329">
        <f t="shared" si="14"/>
        <v>191300000</v>
      </c>
      <c r="P26" s="331">
        <f t="shared" si="11"/>
        <v>0.54908151549942597</v>
      </c>
    </row>
    <row r="27" spans="1:16" x14ac:dyDescent="0.25">
      <c r="A27" s="300"/>
      <c r="B27" s="301"/>
      <c r="C27" s="300"/>
      <c r="D27" s="342"/>
      <c r="E27" s="342"/>
      <c r="F27" s="287"/>
      <c r="G27" s="343"/>
      <c r="H27" s="304"/>
      <c r="I27" s="305"/>
      <c r="J27" s="306"/>
      <c r="K27" s="334"/>
      <c r="L27" s="305"/>
      <c r="M27" s="305"/>
      <c r="N27" s="334"/>
      <c r="O27" s="305"/>
      <c r="P27" s="335"/>
    </row>
    <row r="28" spans="1:16" x14ac:dyDescent="0.25">
      <c r="A28" s="309"/>
      <c r="B28" s="310"/>
      <c r="C28" s="309"/>
      <c r="D28" s="336" t="s">
        <v>911</v>
      </c>
      <c r="E28" s="336"/>
      <c r="F28" s="344" t="s">
        <v>912</v>
      </c>
      <c r="G28" s="345"/>
      <c r="H28" s="304"/>
      <c r="I28" s="305"/>
      <c r="J28" s="306"/>
      <c r="K28" s="334"/>
      <c r="L28" s="305"/>
      <c r="M28" s="305"/>
      <c r="N28" s="334"/>
      <c r="O28" s="305"/>
      <c r="P28" s="335"/>
    </row>
    <row r="29" spans="1:16" x14ac:dyDescent="0.25">
      <c r="A29" s="309"/>
      <c r="B29" s="310"/>
      <c r="C29" s="309" t="s">
        <v>172</v>
      </c>
      <c r="D29" s="311"/>
      <c r="E29" s="311"/>
      <c r="F29" s="287" t="s">
        <v>913</v>
      </c>
      <c r="G29" s="318">
        <v>6080000</v>
      </c>
      <c r="H29" s="319"/>
      <c r="I29" s="305"/>
      <c r="J29" s="314">
        <f t="shared" ref="J29:J39" si="15">+H29+I29</f>
        <v>0</v>
      </c>
      <c r="K29" s="315">
        <f t="shared" ref="K29:K39" si="16">+IF(G29&lt;&gt;0,+J29/G29,0)</f>
        <v>0</v>
      </c>
      <c r="L29" s="314">
        <f t="shared" ref="L29:L39" si="17">+G29-J29</f>
        <v>6080000</v>
      </c>
      <c r="M29" s="314">
        <f>850000*3</f>
        <v>2550000</v>
      </c>
      <c r="N29" s="315">
        <f>+IF(G29&lt;&gt;0,M29/G29,0)</f>
        <v>0.41940789473684209</v>
      </c>
      <c r="O29" s="320">
        <f t="shared" ref="O29:O39" si="18">+G29-J29-M29</f>
        <v>3530000</v>
      </c>
      <c r="P29" s="317">
        <f t="shared" ref="P29:P40" si="19">+IF(+G29&lt;&gt;0,O29/G29,0)</f>
        <v>0.58059210526315785</v>
      </c>
    </row>
    <row r="30" spans="1:16" x14ac:dyDescent="0.25">
      <c r="A30" s="309"/>
      <c r="B30" s="310"/>
      <c r="C30" s="309" t="s">
        <v>172</v>
      </c>
      <c r="D30" s="311"/>
      <c r="E30" s="311"/>
      <c r="F30" s="287" t="s">
        <v>914</v>
      </c>
      <c r="G30" s="318">
        <v>4000000</v>
      </c>
      <c r="H30" s="319">
        <v>139500</v>
      </c>
      <c r="I30" s="305">
        <v>0</v>
      </c>
      <c r="J30" s="314">
        <f t="shared" si="15"/>
        <v>139500</v>
      </c>
      <c r="K30" s="315">
        <f t="shared" si="16"/>
        <v>3.4875000000000003E-2</v>
      </c>
      <c r="L30" s="314">
        <f t="shared" si="17"/>
        <v>3860500</v>
      </c>
      <c r="M30" s="314">
        <f>250000*3</f>
        <v>750000</v>
      </c>
      <c r="N30" s="315">
        <f t="shared" ref="N30:N39" si="20">+IF(G30&lt;&gt;0,M30/G30,0)</f>
        <v>0.1875</v>
      </c>
      <c r="O30" s="320">
        <f t="shared" si="18"/>
        <v>3110500</v>
      </c>
      <c r="P30" s="317">
        <f t="shared" si="19"/>
        <v>0.77762500000000001</v>
      </c>
    </row>
    <row r="31" spans="1:16" x14ac:dyDescent="0.25">
      <c r="A31" s="309"/>
      <c r="B31" s="310"/>
      <c r="C31" s="309" t="s">
        <v>172</v>
      </c>
      <c r="D31" s="311"/>
      <c r="E31" s="311"/>
      <c r="F31" s="287" t="s">
        <v>915</v>
      </c>
      <c r="G31" s="318">
        <v>1600000</v>
      </c>
      <c r="H31" s="319">
        <v>60400</v>
      </c>
      <c r="I31" s="305">
        <v>0</v>
      </c>
      <c r="J31" s="314">
        <f t="shared" si="15"/>
        <v>60400</v>
      </c>
      <c r="K31" s="315">
        <f t="shared" si="16"/>
        <v>3.7749999999999999E-2</v>
      </c>
      <c r="L31" s="314">
        <f t="shared" si="17"/>
        <v>1539600</v>
      </c>
      <c r="M31" s="314">
        <f>100000*3</f>
        <v>300000</v>
      </c>
      <c r="N31" s="315">
        <f t="shared" si="20"/>
        <v>0.1875</v>
      </c>
      <c r="O31" s="320">
        <f t="shared" si="18"/>
        <v>1239600</v>
      </c>
      <c r="P31" s="317">
        <f t="shared" si="19"/>
        <v>0.77475000000000005</v>
      </c>
    </row>
    <row r="32" spans="1:16" x14ac:dyDescent="0.25">
      <c r="A32" s="309"/>
      <c r="B32" s="310"/>
      <c r="C32" s="309" t="s">
        <v>172</v>
      </c>
      <c r="D32" s="311"/>
      <c r="E32" s="311"/>
      <c r="F32" s="287" t="s">
        <v>916</v>
      </c>
      <c r="G32" s="318">
        <v>4000000</v>
      </c>
      <c r="H32" s="319"/>
      <c r="I32" s="305"/>
      <c r="J32" s="314">
        <f t="shared" si="15"/>
        <v>0</v>
      </c>
      <c r="K32" s="315">
        <f t="shared" si="16"/>
        <v>0</v>
      </c>
      <c r="L32" s="314">
        <f t="shared" si="17"/>
        <v>4000000</v>
      </c>
      <c r="M32" s="314">
        <f>250000*3</f>
        <v>750000</v>
      </c>
      <c r="N32" s="315">
        <f t="shared" si="20"/>
        <v>0.1875</v>
      </c>
      <c r="O32" s="320">
        <f t="shared" si="18"/>
        <v>3250000</v>
      </c>
      <c r="P32" s="317">
        <f t="shared" si="19"/>
        <v>0.8125</v>
      </c>
    </row>
    <row r="33" spans="1:16" x14ac:dyDescent="0.25">
      <c r="A33" s="309"/>
      <c r="B33" s="310"/>
      <c r="C33" s="309" t="s">
        <v>172</v>
      </c>
      <c r="D33" s="311"/>
      <c r="E33" s="311"/>
      <c r="F33" s="287" t="s">
        <v>917</v>
      </c>
      <c r="G33" s="318">
        <v>10400000</v>
      </c>
      <c r="H33" s="319"/>
      <c r="I33" s="305"/>
      <c r="J33" s="314">
        <f t="shared" si="15"/>
        <v>0</v>
      </c>
      <c r="K33" s="315">
        <f t="shared" si="16"/>
        <v>0</v>
      </c>
      <c r="L33" s="314">
        <f t="shared" si="17"/>
        <v>10400000</v>
      </c>
      <c r="M33" s="314">
        <f>631250*3</f>
        <v>1893750</v>
      </c>
      <c r="N33" s="315">
        <f t="shared" si="20"/>
        <v>0.18209134615384615</v>
      </c>
      <c r="O33" s="320">
        <f t="shared" si="18"/>
        <v>8506250</v>
      </c>
      <c r="P33" s="317">
        <f t="shared" si="19"/>
        <v>0.81790865384615385</v>
      </c>
    </row>
    <row r="34" spans="1:16" x14ac:dyDescent="0.25">
      <c r="A34" s="309"/>
      <c r="B34" s="310"/>
      <c r="C34" s="309" t="s">
        <v>172</v>
      </c>
      <c r="D34" s="311"/>
      <c r="E34" s="311"/>
      <c r="F34" s="287" t="s">
        <v>918</v>
      </c>
      <c r="G34" s="318">
        <v>1400000</v>
      </c>
      <c r="H34" s="319"/>
      <c r="I34" s="305"/>
      <c r="J34" s="314">
        <f t="shared" si="15"/>
        <v>0</v>
      </c>
      <c r="K34" s="315">
        <f t="shared" si="16"/>
        <v>0</v>
      </c>
      <c r="L34" s="314">
        <f t="shared" si="17"/>
        <v>1400000</v>
      </c>
      <c r="M34" s="314"/>
      <c r="N34" s="315">
        <f t="shared" si="20"/>
        <v>0</v>
      </c>
      <c r="O34" s="320">
        <f t="shared" si="18"/>
        <v>1400000</v>
      </c>
      <c r="P34" s="317">
        <f t="shared" si="19"/>
        <v>1</v>
      </c>
    </row>
    <row r="35" spans="1:16" x14ac:dyDescent="0.25">
      <c r="A35" s="309"/>
      <c r="B35" s="310"/>
      <c r="C35" s="309" t="s">
        <v>172</v>
      </c>
      <c r="D35" s="311"/>
      <c r="E35" s="311"/>
      <c r="F35" s="287" t="s">
        <v>919</v>
      </c>
      <c r="G35" s="318">
        <v>0</v>
      </c>
      <c r="H35" s="319"/>
      <c r="I35" s="305"/>
      <c r="J35" s="314">
        <f t="shared" si="15"/>
        <v>0</v>
      </c>
      <c r="K35" s="315">
        <f t="shared" si="16"/>
        <v>0</v>
      </c>
      <c r="L35" s="314">
        <f t="shared" si="17"/>
        <v>0</v>
      </c>
      <c r="M35" s="314"/>
      <c r="N35" s="315">
        <f t="shared" si="20"/>
        <v>0</v>
      </c>
      <c r="O35" s="320">
        <f t="shared" si="18"/>
        <v>0</v>
      </c>
      <c r="P35" s="317">
        <f t="shared" si="19"/>
        <v>0</v>
      </c>
    </row>
    <row r="36" spans="1:16" x14ac:dyDescent="0.25">
      <c r="A36" s="309"/>
      <c r="B36" s="310"/>
      <c r="C36" s="309" t="s">
        <v>172</v>
      </c>
      <c r="D36" s="311"/>
      <c r="E36" s="311"/>
      <c r="F36" s="287" t="s">
        <v>920</v>
      </c>
      <c r="G36" s="318">
        <v>0</v>
      </c>
      <c r="H36" s="319"/>
      <c r="I36" s="305"/>
      <c r="J36" s="314">
        <f t="shared" si="15"/>
        <v>0</v>
      </c>
      <c r="K36" s="315">
        <f t="shared" si="16"/>
        <v>0</v>
      </c>
      <c r="L36" s="314">
        <f t="shared" si="17"/>
        <v>0</v>
      </c>
      <c r="M36" s="314"/>
      <c r="N36" s="315">
        <f t="shared" si="20"/>
        <v>0</v>
      </c>
      <c r="O36" s="320">
        <f t="shared" si="18"/>
        <v>0</v>
      </c>
      <c r="P36" s="317">
        <f t="shared" si="19"/>
        <v>0</v>
      </c>
    </row>
    <row r="37" spans="1:16" x14ac:dyDescent="0.25">
      <c r="A37" s="309"/>
      <c r="B37" s="310"/>
      <c r="C37" s="309" t="s">
        <v>172</v>
      </c>
      <c r="D37" s="311"/>
      <c r="E37" s="311"/>
      <c r="F37" s="287" t="s">
        <v>921</v>
      </c>
      <c r="G37" s="318">
        <v>10000000</v>
      </c>
      <c r="H37" s="346">
        <v>868796.31</v>
      </c>
      <c r="I37" s="347">
        <v>300840.92</v>
      </c>
      <c r="J37" s="314">
        <f>+H37+I37</f>
        <v>1169637.23</v>
      </c>
      <c r="K37" s="315">
        <f t="shared" si="16"/>
        <v>0.11696372299999999</v>
      </c>
      <c r="L37" s="314">
        <f t="shared" si="17"/>
        <v>8830362.7699999996</v>
      </c>
      <c r="M37" s="314">
        <f>300000*3</f>
        <v>900000</v>
      </c>
      <c r="N37" s="315">
        <f t="shared" si="20"/>
        <v>0.09</v>
      </c>
      <c r="O37" s="320">
        <f t="shared" si="18"/>
        <v>7930362.7699999996</v>
      </c>
      <c r="P37" s="317">
        <f t="shared" si="19"/>
        <v>0.7930362769999999</v>
      </c>
    </row>
    <row r="38" spans="1:16" x14ac:dyDescent="0.25">
      <c r="A38" s="309"/>
      <c r="B38" s="310"/>
      <c r="C38" s="309" t="s">
        <v>172</v>
      </c>
      <c r="D38" s="311"/>
      <c r="E38" s="311"/>
      <c r="F38" s="284" t="s">
        <v>922</v>
      </c>
      <c r="G38" s="318">
        <v>0</v>
      </c>
      <c r="H38" s="319"/>
      <c r="I38" s="305"/>
      <c r="J38" s="314">
        <f t="shared" si="15"/>
        <v>0</v>
      </c>
      <c r="K38" s="315">
        <f t="shared" si="16"/>
        <v>0</v>
      </c>
      <c r="L38" s="314">
        <f t="shared" si="17"/>
        <v>0</v>
      </c>
      <c r="M38" s="320"/>
      <c r="N38" s="315">
        <f t="shared" si="20"/>
        <v>0</v>
      </c>
      <c r="O38" s="320">
        <f t="shared" si="18"/>
        <v>0</v>
      </c>
      <c r="P38" s="317">
        <f t="shared" si="19"/>
        <v>0</v>
      </c>
    </row>
    <row r="39" spans="1:16" ht="14.25" customHeight="1" x14ac:dyDescent="0.25">
      <c r="A39" s="309"/>
      <c r="B39" s="310"/>
      <c r="C39" s="309" t="s">
        <v>172</v>
      </c>
      <c r="D39" s="339"/>
      <c r="E39" s="339"/>
      <c r="F39" s="348"/>
      <c r="G39" s="318"/>
      <c r="H39" s="319"/>
      <c r="I39" s="305"/>
      <c r="J39" s="314">
        <f t="shared" si="15"/>
        <v>0</v>
      </c>
      <c r="K39" s="315">
        <f t="shared" si="16"/>
        <v>0</v>
      </c>
      <c r="L39" s="314">
        <f t="shared" si="17"/>
        <v>0</v>
      </c>
      <c r="M39" s="316"/>
      <c r="N39" s="315">
        <f t="shared" si="20"/>
        <v>0</v>
      </c>
      <c r="O39" s="320">
        <f t="shared" si="18"/>
        <v>0</v>
      </c>
      <c r="P39" s="317">
        <f t="shared" si="19"/>
        <v>0</v>
      </c>
    </row>
    <row r="40" spans="1:16" ht="15.75" thickBot="1" x14ac:dyDescent="0.3">
      <c r="A40" s="322"/>
      <c r="B40" s="323"/>
      <c r="C40" s="324">
        <v>4043</v>
      </c>
      <c r="D40" s="325">
        <v>3</v>
      </c>
      <c r="E40" s="325"/>
      <c r="F40" s="326" t="s">
        <v>923</v>
      </c>
      <c r="G40" s="327">
        <f t="shared" ref="G40:O40" si="21">SUM(G29:G39)</f>
        <v>37480000</v>
      </c>
      <c r="H40" s="328">
        <f t="shared" si="21"/>
        <v>1068696.31</v>
      </c>
      <c r="I40" s="329">
        <f t="shared" si="21"/>
        <v>300840.92</v>
      </c>
      <c r="J40" s="329">
        <f t="shared" si="21"/>
        <v>1369537.23</v>
      </c>
      <c r="K40" s="330">
        <f t="shared" si="21"/>
        <v>0.18958872299999999</v>
      </c>
      <c r="L40" s="329">
        <f t="shared" si="21"/>
        <v>36110462.769999996</v>
      </c>
      <c r="M40" s="329">
        <f t="shared" si="21"/>
        <v>7143750</v>
      </c>
      <c r="N40" s="330">
        <f>+AVERAGE(N29,N30,N31,N32,N33,N34,N35,N36,N37,N38)</f>
        <v>0.12539992408906883</v>
      </c>
      <c r="O40" s="329">
        <f t="shared" si="21"/>
        <v>28966712.77</v>
      </c>
      <c r="P40" s="331">
        <f t="shared" si="19"/>
        <v>0.77285786472785489</v>
      </c>
    </row>
    <row r="41" spans="1:16" x14ac:dyDescent="0.25">
      <c r="A41" s="309"/>
      <c r="B41" s="310"/>
      <c r="C41" s="309"/>
      <c r="D41" s="337"/>
      <c r="E41" s="337"/>
      <c r="F41" s="349"/>
      <c r="G41" s="350"/>
      <c r="H41" s="304"/>
      <c r="I41" s="305"/>
      <c r="J41" s="306"/>
      <c r="K41" s="334"/>
      <c r="L41" s="305"/>
      <c r="M41" s="305"/>
      <c r="N41" s="334"/>
      <c r="O41" s="305"/>
      <c r="P41" s="335"/>
    </row>
    <row r="42" spans="1:16" x14ac:dyDescent="0.25">
      <c r="A42" s="309"/>
      <c r="B42" s="310"/>
      <c r="C42" s="309"/>
      <c r="D42" s="336" t="s">
        <v>924</v>
      </c>
      <c r="E42" s="336"/>
      <c r="F42" s="344" t="s">
        <v>925</v>
      </c>
      <c r="G42" s="343"/>
      <c r="H42" s="304"/>
      <c r="I42" s="305"/>
      <c r="J42" s="306"/>
      <c r="K42" s="334"/>
      <c r="L42" s="305"/>
      <c r="M42" s="314"/>
      <c r="N42" s="334"/>
      <c r="O42" s="305"/>
      <c r="P42" s="335"/>
    </row>
    <row r="43" spans="1:16" x14ac:dyDescent="0.25">
      <c r="A43" s="309"/>
      <c r="B43" s="310"/>
      <c r="C43" s="309"/>
      <c r="D43" s="311"/>
      <c r="E43" s="311"/>
      <c r="F43" s="287" t="s">
        <v>926</v>
      </c>
      <c r="G43" s="318">
        <v>0</v>
      </c>
      <c r="H43" s="319"/>
      <c r="I43" s="305"/>
      <c r="J43" s="314">
        <f t="shared" ref="J43:J50" si="22">+H43+I43</f>
        <v>0</v>
      </c>
      <c r="K43" s="315">
        <f t="shared" ref="K43:K50" si="23">+IF(G43&lt;&gt;0,+J43/G43,0)</f>
        <v>0</v>
      </c>
      <c r="L43" s="314">
        <f t="shared" ref="L43:L50" si="24">+G43-J43</f>
        <v>0</v>
      </c>
      <c r="M43" s="314"/>
      <c r="N43" s="315">
        <f t="shared" ref="N43:N50" si="25">+IF(G43&lt;&gt;0,M43/G43,0)</f>
        <v>0</v>
      </c>
      <c r="O43" s="320">
        <f t="shared" ref="O43:O50" si="26">+G43-J43-M43</f>
        <v>0</v>
      </c>
      <c r="P43" s="317">
        <f t="shared" ref="P43:P51" si="27">+IF(+G43&lt;&gt;0,O43/G43,0)</f>
        <v>0</v>
      </c>
    </row>
    <row r="44" spans="1:16" x14ac:dyDescent="0.25">
      <c r="A44" s="309"/>
      <c r="B44" s="310"/>
      <c r="C44" s="309"/>
      <c r="D44" s="311"/>
      <c r="E44" s="311"/>
      <c r="F44" s="287" t="s">
        <v>927</v>
      </c>
      <c r="G44" s="318">
        <v>0</v>
      </c>
      <c r="H44" s="319"/>
      <c r="I44" s="305"/>
      <c r="J44" s="314">
        <f t="shared" si="22"/>
        <v>0</v>
      </c>
      <c r="K44" s="315">
        <f t="shared" si="23"/>
        <v>0</v>
      </c>
      <c r="L44" s="314">
        <f t="shared" si="24"/>
        <v>0</v>
      </c>
      <c r="M44" s="314"/>
      <c r="N44" s="315">
        <f t="shared" si="25"/>
        <v>0</v>
      </c>
      <c r="O44" s="320">
        <f t="shared" si="26"/>
        <v>0</v>
      </c>
      <c r="P44" s="317">
        <f t="shared" si="27"/>
        <v>0</v>
      </c>
    </row>
    <row r="45" spans="1:16" x14ac:dyDescent="0.25">
      <c r="A45" s="309"/>
      <c r="B45" s="310"/>
      <c r="C45" s="309"/>
      <c r="D45" s="311"/>
      <c r="E45" s="311"/>
      <c r="F45" s="287" t="s">
        <v>928</v>
      </c>
      <c r="G45" s="318">
        <v>0</v>
      </c>
      <c r="H45" s="319"/>
      <c r="I45" s="305"/>
      <c r="J45" s="314">
        <f t="shared" si="22"/>
        <v>0</v>
      </c>
      <c r="K45" s="315">
        <f t="shared" si="23"/>
        <v>0</v>
      </c>
      <c r="L45" s="314">
        <f t="shared" si="24"/>
        <v>0</v>
      </c>
      <c r="M45" s="314"/>
      <c r="N45" s="315">
        <f t="shared" si="25"/>
        <v>0</v>
      </c>
      <c r="O45" s="320">
        <f t="shared" si="26"/>
        <v>0</v>
      </c>
      <c r="P45" s="317">
        <f t="shared" si="27"/>
        <v>0</v>
      </c>
    </row>
    <row r="46" spans="1:16" x14ac:dyDescent="0.25">
      <c r="A46" s="309"/>
      <c r="B46" s="310"/>
      <c r="C46" s="309" t="s">
        <v>160</v>
      </c>
      <c r="D46" s="311"/>
      <c r="E46" s="311"/>
      <c r="F46" s="287" t="s">
        <v>929</v>
      </c>
      <c r="G46" s="318">
        <v>16000000</v>
      </c>
      <c r="H46" s="319"/>
      <c r="I46" s="305"/>
      <c r="J46" s="314">
        <f t="shared" si="22"/>
        <v>0</v>
      </c>
      <c r="K46" s="315">
        <f t="shared" si="23"/>
        <v>0</v>
      </c>
      <c r="L46" s="314">
        <f t="shared" si="24"/>
        <v>16000000</v>
      </c>
      <c r="M46" s="314">
        <f>1000000*5</f>
        <v>5000000</v>
      </c>
      <c r="N46" s="315">
        <f t="shared" si="25"/>
        <v>0.3125</v>
      </c>
      <c r="O46" s="320">
        <f t="shared" si="26"/>
        <v>11000000</v>
      </c>
      <c r="P46" s="317">
        <f t="shared" si="27"/>
        <v>0.6875</v>
      </c>
    </row>
    <row r="47" spans="1:16" x14ac:dyDescent="0.25">
      <c r="A47" s="309"/>
      <c r="B47" s="310"/>
      <c r="C47" s="309"/>
      <c r="D47" s="311"/>
      <c r="E47" s="311"/>
      <c r="F47" s="287" t="s">
        <v>930</v>
      </c>
      <c r="G47" s="318">
        <v>0</v>
      </c>
      <c r="H47" s="319"/>
      <c r="I47" s="305"/>
      <c r="J47" s="314">
        <f t="shared" si="22"/>
        <v>0</v>
      </c>
      <c r="K47" s="315">
        <f t="shared" si="23"/>
        <v>0</v>
      </c>
      <c r="L47" s="314">
        <f t="shared" si="24"/>
        <v>0</v>
      </c>
      <c r="M47" s="314"/>
      <c r="N47" s="315">
        <f t="shared" si="25"/>
        <v>0</v>
      </c>
      <c r="O47" s="320">
        <f t="shared" si="26"/>
        <v>0</v>
      </c>
      <c r="P47" s="317">
        <f t="shared" si="27"/>
        <v>0</v>
      </c>
    </row>
    <row r="48" spans="1:16" x14ac:dyDescent="0.25">
      <c r="A48" s="309"/>
      <c r="B48" s="310"/>
      <c r="C48" s="309"/>
      <c r="D48" s="311"/>
      <c r="E48" s="311"/>
      <c r="F48" s="287" t="s">
        <v>931</v>
      </c>
      <c r="G48" s="318">
        <v>0</v>
      </c>
      <c r="H48" s="319"/>
      <c r="I48" s="305"/>
      <c r="J48" s="314">
        <f t="shared" si="22"/>
        <v>0</v>
      </c>
      <c r="K48" s="315">
        <f t="shared" si="23"/>
        <v>0</v>
      </c>
      <c r="L48" s="314">
        <f t="shared" si="24"/>
        <v>0</v>
      </c>
      <c r="M48" s="314"/>
      <c r="N48" s="315">
        <f t="shared" si="25"/>
        <v>0</v>
      </c>
      <c r="O48" s="320">
        <f t="shared" si="26"/>
        <v>0</v>
      </c>
      <c r="P48" s="317">
        <f t="shared" si="27"/>
        <v>0</v>
      </c>
    </row>
    <row r="49" spans="1:16" x14ac:dyDescent="0.25">
      <c r="A49" s="309"/>
      <c r="B49" s="310"/>
      <c r="C49" s="309"/>
      <c r="D49" s="311"/>
      <c r="E49" s="311"/>
      <c r="F49" s="287"/>
      <c r="G49" s="318"/>
      <c r="H49" s="319"/>
      <c r="I49" s="305"/>
      <c r="J49" s="314">
        <f t="shared" si="22"/>
        <v>0</v>
      </c>
      <c r="K49" s="315">
        <f t="shared" si="23"/>
        <v>0</v>
      </c>
      <c r="L49" s="314">
        <f t="shared" si="24"/>
        <v>0</v>
      </c>
      <c r="M49" s="314"/>
      <c r="N49" s="315">
        <f t="shared" si="25"/>
        <v>0</v>
      </c>
      <c r="O49" s="320">
        <f t="shared" si="26"/>
        <v>0</v>
      </c>
      <c r="P49" s="317">
        <f t="shared" si="27"/>
        <v>0</v>
      </c>
    </row>
    <row r="50" spans="1:16" ht="15" customHeight="1" x14ac:dyDescent="0.25">
      <c r="A50" s="309"/>
      <c r="B50" s="310"/>
      <c r="C50" s="309"/>
      <c r="D50" s="311"/>
      <c r="E50" s="311"/>
      <c r="F50" s="348"/>
      <c r="G50" s="318"/>
      <c r="H50" s="319"/>
      <c r="I50" s="305"/>
      <c r="J50" s="314">
        <f t="shared" si="22"/>
        <v>0</v>
      </c>
      <c r="K50" s="315">
        <f t="shared" si="23"/>
        <v>0</v>
      </c>
      <c r="L50" s="314">
        <f t="shared" si="24"/>
        <v>0</v>
      </c>
      <c r="M50" s="314"/>
      <c r="N50" s="315">
        <f t="shared" si="25"/>
        <v>0</v>
      </c>
      <c r="O50" s="320">
        <f t="shared" si="26"/>
        <v>0</v>
      </c>
      <c r="P50" s="317">
        <f t="shared" si="27"/>
        <v>0</v>
      </c>
    </row>
    <row r="51" spans="1:16" s="354" customFormat="1" ht="15.75" thickBot="1" x14ac:dyDescent="0.3">
      <c r="A51" s="351"/>
      <c r="B51" s="352"/>
      <c r="C51" s="353">
        <v>4044</v>
      </c>
      <c r="D51" s="341">
        <v>4</v>
      </c>
      <c r="E51" s="341"/>
      <c r="F51" s="326" t="s">
        <v>932</v>
      </c>
      <c r="G51" s="327">
        <f t="shared" ref="G51:O51" si="28">SUM(G43:G50)</f>
        <v>16000000</v>
      </c>
      <c r="H51" s="328">
        <f t="shared" si="28"/>
        <v>0</v>
      </c>
      <c r="I51" s="329">
        <f t="shared" si="28"/>
        <v>0</v>
      </c>
      <c r="J51" s="329">
        <f t="shared" si="28"/>
        <v>0</v>
      </c>
      <c r="K51" s="330">
        <f>SUM(K43:K50)</f>
        <v>0</v>
      </c>
      <c r="L51" s="329">
        <f t="shared" si="28"/>
        <v>16000000</v>
      </c>
      <c r="M51" s="329">
        <f t="shared" si="28"/>
        <v>5000000</v>
      </c>
      <c r="N51" s="330">
        <f>+AVERAGE(N41,N42,N43,N44,N45,N46,N47,N48,N49)</f>
        <v>4.4642857142857144E-2</v>
      </c>
      <c r="O51" s="329">
        <f t="shared" si="28"/>
        <v>11000000</v>
      </c>
      <c r="P51" s="331">
        <f t="shared" si="27"/>
        <v>0.6875</v>
      </c>
    </row>
    <row r="52" spans="1:16" s="354" customFormat="1" ht="15.75" thickBot="1" x14ac:dyDescent="0.3">
      <c r="A52" s="355"/>
      <c r="B52" s="356"/>
      <c r="C52" s="355"/>
      <c r="D52" s="357"/>
      <c r="E52" s="357"/>
      <c r="F52" s="358" t="s">
        <v>933</v>
      </c>
      <c r="G52" s="359"/>
      <c r="H52" s="360"/>
      <c r="I52" s="361"/>
      <c r="J52" s="362"/>
      <c r="K52" s="363"/>
      <c r="L52" s="361"/>
      <c r="M52" s="361"/>
      <c r="N52" s="363"/>
      <c r="O52" s="361"/>
      <c r="P52" s="364"/>
    </row>
    <row r="53" spans="1:16" s="354" customFormat="1" x14ac:dyDescent="0.25">
      <c r="A53" s="351"/>
      <c r="B53" s="352"/>
      <c r="C53" s="351"/>
      <c r="D53" s="365" t="s">
        <v>934</v>
      </c>
      <c r="E53" s="366"/>
      <c r="F53" s="367" t="s">
        <v>935</v>
      </c>
      <c r="G53" s="368"/>
      <c r="H53" s="360"/>
      <c r="I53" s="361"/>
      <c r="J53" s="362"/>
      <c r="K53" s="363"/>
      <c r="L53" s="361"/>
      <c r="M53" s="361"/>
      <c r="N53" s="363"/>
      <c r="O53" s="361"/>
      <c r="P53" s="364"/>
    </row>
    <row r="54" spans="1:16" ht="78" customHeight="1" x14ac:dyDescent="0.25">
      <c r="A54" s="309"/>
      <c r="B54" s="310"/>
      <c r="C54" s="309"/>
      <c r="D54" s="311"/>
      <c r="E54" s="369"/>
      <c r="F54" s="370" t="s">
        <v>936</v>
      </c>
      <c r="G54" s="371"/>
      <c r="H54" s="319"/>
      <c r="I54" s="305"/>
      <c r="J54" s="314">
        <f t="shared" ref="J54:J115" si="29">+H54+I54</f>
        <v>0</v>
      </c>
      <c r="K54" s="315"/>
      <c r="L54" s="314"/>
      <c r="M54" s="316"/>
      <c r="N54" s="315"/>
      <c r="O54" s="320"/>
      <c r="P54" s="317"/>
    </row>
    <row r="55" spans="1:16" x14ac:dyDescent="0.25">
      <c r="A55" s="309"/>
      <c r="B55" s="310"/>
      <c r="C55" s="309" t="s">
        <v>79</v>
      </c>
      <c r="D55" s="311"/>
      <c r="E55" s="369"/>
      <c r="F55" s="372" t="s">
        <v>937</v>
      </c>
      <c r="G55" s="373">
        <v>40000000</v>
      </c>
      <c r="H55" s="319"/>
      <c r="I55" s="305"/>
      <c r="J55" s="314">
        <f t="shared" si="29"/>
        <v>0</v>
      </c>
      <c r="K55" s="315">
        <f t="shared" ref="K55:K118" si="30">+IF(G55&lt;&gt;0,+J55/G55,0)</f>
        <v>0</v>
      </c>
      <c r="L55" s="314">
        <f t="shared" ref="L55:L118" si="31">+G55-J55</f>
        <v>40000000</v>
      </c>
      <c r="M55" s="314">
        <f>100*3*40000</f>
        <v>12000000</v>
      </c>
      <c r="N55" s="315">
        <f t="shared" ref="N55:N118" si="32">+IF(G55&lt;&gt;0,M55/G55,0)</f>
        <v>0.3</v>
      </c>
      <c r="O55" s="320">
        <f t="shared" ref="O55:O118" si="33">+G55-J55-M55</f>
        <v>28000000</v>
      </c>
      <c r="P55" s="317">
        <f t="shared" ref="P55:P129" si="34">+IF(+G55&lt;&gt;0,O55/G55,0)</f>
        <v>0.7</v>
      </c>
    </row>
    <row r="56" spans="1:16" x14ac:dyDescent="0.25">
      <c r="A56" s="309"/>
      <c r="B56" s="310"/>
      <c r="C56" s="309" t="s">
        <v>79</v>
      </c>
      <c r="D56" s="311"/>
      <c r="E56" s="369"/>
      <c r="F56" s="372" t="s">
        <v>938</v>
      </c>
      <c r="G56" s="373">
        <v>3000000</v>
      </c>
      <c r="H56" s="319">
        <v>2129533</v>
      </c>
      <c r="I56" s="347">
        <v>0</v>
      </c>
      <c r="J56" s="314">
        <f t="shared" si="29"/>
        <v>2129533</v>
      </c>
      <c r="K56" s="315">
        <f t="shared" si="30"/>
        <v>0.7098443333333333</v>
      </c>
      <c r="L56" s="314">
        <f t="shared" si="31"/>
        <v>870467</v>
      </c>
      <c r="M56" s="314">
        <f>1600000*3</f>
        <v>4800000</v>
      </c>
      <c r="N56" s="315">
        <f t="shared" si="32"/>
        <v>1.6</v>
      </c>
      <c r="O56" s="320">
        <f t="shared" si="33"/>
        <v>-3929533</v>
      </c>
      <c r="P56" s="317">
        <f t="shared" si="34"/>
        <v>-1.3098443333333334</v>
      </c>
    </row>
    <row r="57" spans="1:16" x14ac:dyDescent="0.25">
      <c r="A57" s="309"/>
      <c r="B57" s="310"/>
      <c r="C57" s="309" t="s">
        <v>79</v>
      </c>
      <c r="D57" s="311"/>
      <c r="E57" s="369"/>
      <c r="F57" s="372" t="s">
        <v>939</v>
      </c>
      <c r="G57" s="373">
        <v>2500000</v>
      </c>
      <c r="H57" s="319">
        <v>0</v>
      </c>
      <c r="I57" s="305"/>
      <c r="J57" s="314">
        <f t="shared" si="29"/>
        <v>0</v>
      </c>
      <c r="K57" s="315">
        <f t="shared" si="30"/>
        <v>0</v>
      </c>
      <c r="L57" s="314">
        <f t="shared" si="31"/>
        <v>2500000</v>
      </c>
      <c r="M57" s="314">
        <v>0</v>
      </c>
      <c r="N57" s="315">
        <f t="shared" si="32"/>
        <v>0</v>
      </c>
      <c r="O57" s="320">
        <f t="shared" si="33"/>
        <v>2500000</v>
      </c>
      <c r="P57" s="317">
        <f t="shared" si="34"/>
        <v>1</v>
      </c>
    </row>
    <row r="58" spans="1:16" x14ac:dyDescent="0.25">
      <c r="A58" s="309"/>
      <c r="B58" s="310"/>
      <c r="C58" s="309" t="s">
        <v>79</v>
      </c>
      <c r="D58" s="311"/>
      <c r="E58" s="369"/>
      <c r="F58" s="372" t="s">
        <v>940</v>
      </c>
      <c r="G58" s="373">
        <v>20000000</v>
      </c>
      <c r="H58" s="319">
        <v>5200000</v>
      </c>
      <c r="I58" s="347">
        <v>0</v>
      </c>
      <c r="J58" s="314">
        <f t="shared" si="29"/>
        <v>5200000</v>
      </c>
      <c r="K58" s="315">
        <f t="shared" si="30"/>
        <v>0.26</v>
      </c>
      <c r="L58" s="314">
        <f t="shared" si="31"/>
        <v>14800000</v>
      </c>
      <c r="M58" s="314">
        <f>100*3*20000</f>
        <v>6000000</v>
      </c>
      <c r="N58" s="315">
        <f t="shared" si="32"/>
        <v>0.3</v>
      </c>
      <c r="O58" s="320">
        <f t="shared" si="33"/>
        <v>8800000</v>
      </c>
      <c r="P58" s="317">
        <f t="shared" si="34"/>
        <v>0.44</v>
      </c>
    </row>
    <row r="59" spans="1:16" ht="15.75" thickBot="1" x14ac:dyDescent="0.3">
      <c r="A59" s="309"/>
      <c r="B59" s="310"/>
      <c r="C59" s="309" t="s">
        <v>79</v>
      </c>
      <c r="D59" s="311"/>
      <c r="E59" s="369"/>
      <c r="F59" s="374" t="s">
        <v>941</v>
      </c>
      <c r="G59" s="375">
        <v>14000000</v>
      </c>
      <c r="H59" s="319"/>
      <c r="I59" s="305"/>
      <c r="J59" s="314">
        <f t="shared" si="29"/>
        <v>0</v>
      </c>
      <c r="K59" s="315">
        <f t="shared" si="30"/>
        <v>0</v>
      </c>
      <c r="L59" s="314">
        <f t="shared" si="31"/>
        <v>14000000</v>
      </c>
      <c r="M59" s="314">
        <v>0</v>
      </c>
      <c r="N59" s="315">
        <f t="shared" si="32"/>
        <v>0</v>
      </c>
      <c r="O59" s="320">
        <f t="shared" si="33"/>
        <v>14000000</v>
      </c>
      <c r="P59" s="317">
        <f t="shared" si="34"/>
        <v>1</v>
      </c>
    </row>
    <row r="60" spans="1:16" ht="15.75" thickBot="1" x14ac:dyDescent="0.3">
      <c r="A60" s="322"/>
      <c r="B60" s="323"/>
      <c r="C60" s="376">
        <v>4045</v>
      </c>
      <c r="D60" s="377"/>
      <c r="E60" s="378"/>
      <c r="F60" s="326" t="s">
        <v>942</v>
      </c>
      <c r="G60" s="327">
        <f>SUM(G55:G59)</f>
        <v>79500000</v>
      </c>
      <c r="H60" s="328">
        <f t="shared" ref="H60:O60" si="35">SUM(H55:H59)</f>
        <v>7329533</v>
      </c>
      <c r="I60" s="329">
        <f t="shared" si="35"/>
        <v>0</v>
      </c>
      <c r="J60" s="329">
        <f t="shared" si="35"/>
        <v>7329533</v>
      </c>
      <c r="K60" s="330">
        <f>SUM(K55:K59)</f>
        <v>0.96984433333333331</v>
      </c>
      <c r="L60" s="329">
        <f t="shared" si="35"/>
        <v>72170467</v>
      </c>
      <c r="M60" s="329">
        <f t="shared" si="35"/>
        <v>22800000</v>
      </c>
      <c r="N60" s="330">
        <f>+AVERAGE(N55,N56,N57,N58)</f>
        <v>0.55000000000000004</v>
      </c>
      <c r="O60" s="329">
        <f t="shared" si="35"/>
        <v>49370467</v>
      </c>
      <c r="P60" s="331">
        <f t="shared" si="34"/>
        <v>0.62101216352201261</v>
      </c>
    </row>
    <row r="61" spans="1:16" ht="62.25" customHeight="1" x14ac:dyDescent="0.3">
      <c r="A61" s="309"/>
      <c r="B61" s="310"/>
      <c r="C61" s="309"/>
      <c r="D61" s="311"/>
      <c r="E61" s="311"/>
      <c r="F61" s="379" t="s">
        <v>943</v>
      </c>
      <c r="G61" s="380"/>
      <c r="H61" s="319"/>
      <c r="I61" s="305"/>
      <c r="J61" s="314"/>
      <c r="K61" s="315"/>
      <c r="L61" s="314"/>
      <c r="M61" s="314"/>
      <c r="N61" s="315"/>
      <c r="O61" s="320"/>
      <c r="P61" s="317"/>
    </row>
    <row r="62" spans="1:16" ht="43.5" customHeight="1" x14ac:dyDescent="0.3">
      <c r="A62" s="309"/>
      <c r="B62" s="310"/>
      <c r="C62" s="309" t="s">
        <v>95</v>
      </c>
      <c r="D62" s="311"/>
      <c r="E62" s="311"/>
      <c r="F62" s="358" t="s">
        <v>944</v>
      </c>
      <c r="G62" s="381">
        <v>2500000</v>
      </c>
      <c r="H62" s="319"/>
      <c r="I62" s="305"/>
      <c r="J62" s="314">
        <f t="shared" si="29"/>
        <v>0</v>
      </c>
      <c r="K62" s="315">
        <f t="shared" si="30"/>
        <v>0</v>
      </c>
      <c r="L62" s="314">
        <f t="shared" si="31"/>
        <v>2500000</v>
      </c>
      <c r="M62" s="382">
        <f>1000000*5</f>
        <v>5000000</v>
      </c>
      <c r="N62" s="315">
        <f>+IF(G62&lt;&gt;0,M62/G62,0)</f>
        <v>2</v>
      </c>
      <c r="O62" s="320">
        <f t="shared" si="33"/>
        <v>-2500000</v>
      </c>
      <c r="P62" s="317">
        <f t="shared" si="34"/>
        <v>-1</v>
      </c>
    </row>
    <row r="63" spans="1:16" ht="14.1" x14ac:dyDescent="0.3">
      <c r="A63" s="309"/>
      <c r="B63" s="310"/>
      <c r="C63" s="309" t="s">
        <v>95</v>
      </c>
      <c r="D63" s="311"/>
      <c r="E63" s="311"/>
      <c r="F63" s="358" t="s">
        <v>937</v>
      </c>
      <c r="G63" s="381">
        <v>20000000</v>
      </c>
      <c r="H63" s="319">
        <v>700000</v>
      </c>
      <c r="I63" s="347">
        <v>0</v>
      </c>
      <c r="J63" s="314">
        <f t="shared" si="29"/>
        <v>700000</v>
      </c>
      <c r="K63" s="315">
        <f t="shared" si="30"/>
        <v>3.5000000000000003E-2</v>
      </c>
      <c r="L63" s="314">
        <f t="shared" si="31"/>
        <v>19300000</v>
      </c>
      <c r="M63" s="382">
        <f>4000000*5</f>
        <v>20000000</v>
      </c>
      <c r="N63" s="315">
        <f t="shared" si="32"/>
        <v>1</v>
      </c>
      <c r="O63" s="320">
        <f t="shared" si="33"/>
        <v>-700000</v>
      </c>
      <c r="P63" s="317">
        <f t="shared" si="34"/>
        <v>-3.5000000000000003E-2</v>
      </c>
    </row>
    <row r="64" spans="1:16" ht="15" customHeight="1" x14ac:dyDescent="0.3">
      <c r="A64" s="309"/>
      <c r="B64" s="310"/>
      <c r="C64" s="309" t="s">
        <v>95</v>
      </c>
      <c r="D64" s="311"/>
      <c r="E64" s="311"/>
      <c r="F64" s="358" t="s">
        <v>945</v>
      </c>
      <c r="G64" s="381">
        <v>2000000</v>
      </c>
      <c r="H64" s="319"/>
      <c r="I64" s="305"/>
      <c r="J64" s="314">
        <f t="shared" si="29"/>
        <v>0</v>
      </c>
      <c r="K64" s="315">
        <f t="shared" si="30"/>
        <v>0</v>
      </c>
      <c r="L64" s="314">
        <f t="shared" si="31"/>
        <v>2000000</v>
      </c>
      <c r="M64" s="382">
        <v>0</v>
      </c>
      <c r="N64" s="315">
        <f>+IF(G64&lt;&gt;0,M64/G64,0)</f>
        <v>0</v>
      </c>
      <c r="O64" s="320">
        <f>+G64-J64-M64</f>
        <v>2000000</v>
      </c>
      <c r="P64" s="317">
        <f t="shared" si="34"/>
        <v>1</v>
      </c>
    </row>
    <row r="65" spans="1:16" ht="15" customHeight="1" x14ac:dyDescent="0.3">
      <c r="A65" s="309"/>
      <c r="B65" s="310"/>
      <c r="C65" s="309" t="s">
        <v>95</v>
      </c>
      <c r="D65" s="311"/>
      <c r="E65" s="311"/>
      <c r="F65" s="358" t="s">
        <v>938</v>
      </c>
      <c r="G65" s="381">
        <v>1500000</v>
      </c>
      <c r="H65" s="319"/>
      <c r="I65" s="305"/>
      <c r="J65" s="314">
        <f t="shared" si="29"/>
        <v>0</v>
      </c>
      <c r="K65" s="315">
        <f t="shared" si="30"/>
        <v>0</v>
      </c>
      <c r="L65" s="314">
        <f t="shared" si="31"/>
        <v>1500000</v>
      </c>
      <c r="M65" s="382">
        <f>1600000*5</f>
        <v>8000000</v>
      </c>
      <c r="N65" s="315">
        <f>+IF(G65&lt;&gt;0,M65/G65,0)</f>
        <v>5.333333333333333</v>
      </c>
      <c r="O65" s="320">
        <f>+G65-J65-M65</f>
        <v>-6500000</v>
      </c>
      <c r="P65" s="317">
        <f t="shared" si="34"/>
        <v>-4.333333333333333</v>
      </c>
    </row>
    <row r="66" spans="1:16" ht="15" customHeight="1" x14ac:dyDescent="0.3">
      <c r="A66" s="309"/>
      <c r="B66" s="310"/>
      <c r="C66" s="309" t="s">
        <v>95</v>
      </c>
      <c r="D66" s="311"/>
      <c r="E66" s="311"/>
      <c r="F66" s="358" t="s">
        <v>939</v>
      </c>
      <c r="G66" s="381">
        <v>1250000</v>
      </c>
      <c r="H66" s="319"/>
      <c r="I66" s="305"/>
      <c r="J66" s="314">
        <f t="shared" si="29"/>
        <v>0</v>
      </c>
      <c r="K66" s="315">
        <f t="shared" si="30"/>
        <v>0</v>
      </c>
      <c r="L66" s="314">
        <f t="shared" si="31"/>
        <v>1250000</v>
      </c>
      <c r="M66" s="382">
        <v>0</v>
      </c>
      <c r="N66" s="315">
        <f t="shared" si="32"/>
        <v>0</v>
      </c>
      <c r="O66" s="320">
        <f t="shared" si="33"/>
        <v>1250000</v>
      </c>
      <c r="P66" s="317">
        <f t="shared" si="34"/>
        <v>1</v>
      </c>
    </row>
    <row r="67" spans="1:16" ht="15" customHeight="1" x14ac:dyDescent="0.3">
      <c r="A67" s="309"/>
      <c r="B67" s="310"/>
      <c r="C67" s="309" t="s">
        <v>95</v>
      </c>
      <c r="D67" s="311"/>
      <c r="E67" s="311"/>
      <c r="F67" s="358" t="s">
        <v>946</v>
      </c>
      <c r="G67" s="381">
        <v>3500000</v>
      </c>
      <c r="H67" s="319"/>
      <c r="I67" s="305"/>
      <c r="J67" s="314">
        <f t="shared" si="29"/>
        <v>0</v>
      </c>
      <c r="K67" s="315">
        <f t="shared" si="30"/>
        <v>0</v>
      </c>
      <c r="L67" s="314">
        <f t="shared" si="31"/>
        <v>3500000</v>
      </c>
      <c r="M67" s="382">
        <v>0</v>
      </c>
      <c r="N67" s="315">
        <f t="shared" si="32"/>
        <v>0</v>
      </c>
      <c r="O67" s="320">
        <f t="shared" si="33"/>
        <v>3500000</v>
      </c>
      <c r="P67" s="317">
        <f t="shared" si="34"/>
        <v>1</v>
      </c>
    </row>
    <row r="68" spans="1:16" ht="15" customHeight="1" x14ac:dyDescent="0.3">
      <c r="A68" s="309"/>
      <c r="B68" s="310"/>
      <c r="C68" s="309" t="s">
        <v>95</v>
      </c>
      <c r="D68" s="311"/>
      <c r="E68" s="311"/>
      <c r="F68" s="358" t="s">
        <v>947</v>
      </c>
      <c r="G68" s="381">
        <v>10000000</v>
      </c>
      <c r="H68" s="319"/>
      <c r="I68" s="305"/>
      <c r="J68" s="314">
        <f t="shared" si="29"/>
        <v>0</v>
      </c>
      <c r="K68" s="315">
        <f t="shared" si="30"/>
        <v>0</v>
      </c>
      <c r="L68" s="314">
        <f t="shared" si="31"/>
        <v>10000000</v>
      </c>
      <c r="M68" s="382">
        <f>(80*20000)*2*5</f>
        <v>16000000</v>
      </c>
      <c r="N68" s="315">
        <f t="shared" si="32"/>
        <v>1.6</v>
      </c>
      <c r="O68" s="320">
        <f t="shared" si="33"/>
        <v>-6000000</v>
      </c>
      <c r="P68" s="317">
        <f t="shared" si="34"/>
        <v>-0.6</v>
      </c>
    </row>
    <row r="69" spans="1:16" ht="14.1" x14ac:dyDescent="0.3">
      <c r="A69" s="309"/>
      <c r="B69" s="310"/>
      <c r="C69" s="309" t="s">
        <v>95</v>
      </c>
      <c r="D69" s="311"/>
      <c r="E69" s="311"/>
      <c r="F69" s="358" t="s">
        <v>941</v>
      </c>
      <c r="G69" s="383">
        <v>14000000</v>
      </c>
      <c r="H69" s="319"/>
      <c r="I69" s="305"/>
      <c r="J69" s="314">
        <f t="shared" si="29"/>
        <v>0</v>
      </c>
      <c r="K69" s="315">
        <f t="shared" si="30"/>
        <v>0</v>
      </c>
      <c r="L69" s="314">
        <f t="shared" si="31"/>
        <v>14000000</v>
      </c>
      <c r="M69" s="382">
        <v>0</v>
      </c>
      <c r="N69" s="315">
        <f t="shared" si="32"/>
        <v>0</v>
      </c>
      <c r="O69" s="320">
        <f t="shared" si="33"/>
        <v>14000000</v>
      </c>
      <c r="P69" s="317">
        <f t="shared" si="34"/>
        <v>1</v>
      </c>
    </row>
    <row r="70" spans="1:16" ht="14.45" thickBot="1" x14ac:dyDescent="0.35">
      <c r="A70" s="309"/>
      <c r="B70" s="310"/>
      <c r="C70" s="309" t="s">
        <v>95</v>
      </c>
      <c r="D70" s="311"/>
      <c r="E70" s="311"/>
      <c r="F70" s="358" t="s">
        <v>948</v>
      </c>
      <c r="G70" s="384">
        <v>1500000</v>
      </c>
      <c r="H70" s="319"/>
      <c r="I70" s="305"/>
      <c r="J70" s="314">
        <f t="shared" si="29"/>
        <v>0</v>
      </c>
      <c r="K70" s="315">
        <f t="shared" si="30"/>
        <v>0</v>
      </c>
      <c r="L70" s="314">
        <f t="shared" si="31"/>
        <v>1500000</v>
      </c>
      <c r="M70" s="382">
        <v>0</v>
      </c>
      <c r="N70" s="315">
        <f t="shared" si="32"/>
        <v>0</v>
      </c>
      <c r="O70" s="320">
        <f t="shared" si="33"/>
        <v>1500000</v>
      </c>
      <c r="P70" s="317">
        <f t="shared" si="34"/>
        <v>1</v>
      </c>
    </row>
    <row r="71" spans="1:16" ht="14.45" thickBot="1" x14ac:dyDescent="0.35">
      <c r="A71" s="322"/>
      <c r="B71" s="323"/>
      <c r="C71" s="376">
        <v>4045</v>
      </c>
      <c r="D71" s="377"/>
      <c r="E71" s="378"/>
      <c r="F71" s="326" t="s">
        <v>949</v>
      </c>
      <c r="G71" s="327">
        <f>SUM(G62:G70)</f>
        <v>56250000</v>
      </c>
      <c r="H71" s="328">
        <f t="shared" ref="H71:O71" si="36">SUM(H62:H70)</f>
        <v>700000</v>
      </c>
      <c r="I71" s="329">
        <f t="shared" si="36"/>
        <v>0</v>
      </c>
      <c r="J71" s="329">
        <f t="shared" si="36"/>
        <v>700000</v>
      </c>
      <c r="K71" s="330">
        <f t="shared" si="36"/>
        <v>3.5000000000000003E-2</v>
      </c>
      <c r="L71" s="329">
        <f t="shared" si="36"/>
        <v>55550000</v>
      </c>
      <c r="M71" s="329">
        <f>SUM(M62:M70)</f>
        <v>49000000</v>
      </c>
      <c r="N71" s="330">
        <f>+AVERAGE(N62,N63,N64,N65,N66,N67,N68,N69,N70)</f>
        <v>1.1037037037037036</v>
      </c>
      <c r="O71" s="329">
        <f t="shared" si="36"/>
        <v>6550000</v>
      </c>
      <c r="P71" s="331">
        <f t="shared" si="34"/>
        <v>0.11644444444444445</v>
      </c>
    </row>
    <row r="72" spans="1:16" ht="95.25" customHeight="1" x14ac:dyDescent="0.3">
      <c r="A72" s="309"/>
      <c r="B72" s="310"/>
      <c r="C72" s="309"/>
      <c r="D72" s="311"/>
      <c r="E72" s="311"/>
      <c r="F72" s="385" t="s">
        <v>950</v>
      </c>
      <c r="G72" s="386"/>
      <c r="H72" s="319"/>
      <c r="I72" s="305"/>
      <c r="J72" s="314"/>
      <c r="K72" s="315"/>
      <c r="L72" s="314"/>
      <c r="M72" s="387"/>
      <c r="N72" s="315"/>
      <c r="O72" s="320"/>
      <c r="P72" s="317"/>
    </row>
    <row r="73" spans="1:16" ht="30" customHeight="1" x14ac:dyDescent="0.3">
      <c r="A73" s="309"/>
      <c r="B73" s="310"/>
      <c r="C73" s="309" t="s">
        <v>102</v>
      </c>
      <c r="D73" s="311"/>
      <c r="E73" s="311"/>
      <c r="F73" s="372" t="s">
        <v>951</v>
      </c>
      <c r="G73" s="373">
        <v>6000000</v>
      </c>
      <c r="H73" s="319"/>
      <c r="I73" s="305"/>
      <c r="J73" s="314">
        <f t="shared" si="29"/>
        <v>0</v>
      </c>
      <c r="K73" s="315">
        <f t="shared" si="30"/>
        <v>0</v>
      </c>
      <c r="L73" s="314">
        <f t="shared" si="31"/>
        <v>6000000</v>
      </c>
      <c r="M73" s="382">
        <f>1000000*3</f>
        <v>3000000</v>
      </c>
      <c r="N73" s="315">
        <f t="shared" si="32"/>
        <v>0.5</v>
      </c>
      <c r="O73" s="320">
        <f t="shared" si="33"/>
        <v>3000000</v>
      </c>
      <c r="P73" s="317">
        <f t="shared" si="34"/>
        <v>0.5</v>
      </c>
    </row>
    <row r="74" spans="1:16" ht="14.1" x14ac:dyDescent="0.3">
      <c r="A74" s="309"/>
      <c r="B74" s="310"/>
      <c r="C74" s="309" t="s">
        <v>102</v>
      </c>
      <c r="D74" s="311"/>
      <c r="E74" s="311"/>
      <c r="F74" s="372" t="s">
        <v>952</v>
      </c>
      <c r="G74" s="373">
        <v>68000000</v>
      </c>
      <c r="H74" s="319"/>
      <c r="I74" s="305"/>
      <c r="J74" s="314">
        <f t="shared" si="29"/>
        <v>0</v>
      </c>
      <c r="K74" s="315">
        <f t="shared" si="30"/>
        <v>0</v>
      </c>
      <c r="L74" s="314">
        <f t="shared" si="31"/>
        <v>68000000</v>
      </c>
      <c r="M74" s="382">
        <f>510*40000</f>
        <v>20400000</v>
      </c>
      <c r="N74" s="315">
        <f t="shared" si="32"/>
        <v>0.3</v>
      </c>
      <c r="O74" s="320">
        <f t="shared" si="33"/>
        <v>47600000</v>
      </c>
      <c r="P74" s="317">
        <f t="shared" si="34"/>
        <v>0.7</v>
      </c>
    </row>
    <row r="75" spans="1:16" ht="14.1" x14ac:dyDescent="0.3">
      <c r="A75" s="309"/>
      <c r="B75" s="310"/>
      <c r="C75" s="309" t="s">
        <v>102</v>
      </c>
      <c r="D75" s="311"/>
      <c r="E75" s="311"/>
      <c r="F75" s="372" t="s">
        <v>938</v>
      </c>
      <c r="G75" s="373">
        <v>3000000</v>
      </c>
      <c r="H75" s="319"/>
      <c r="I75" s="305"/>
      <c r="J75" s="314">
        <f t="shared" si="29"/>
        <v>0</v>
      </c>
      <c r="K75" s="315">
        <f t="shared" si="30"/>
        <v>0</v>
      </c>
      <c r="L75" s="314">
        <f t="shared" si="31"/>
        <v>3000000</v>
      </c>
      <c r="M75" s="382"/>
      <c r="N75" s="315">
        <f t="shared" si="32"/>
        <v>0</v>
      </c>
      <c r="O75" s="320">
        <f t="shared" si="33"/>
        <v>3000000</v>
      </c>
      <c r="P75" s="317">
        <f t="shared" si="34"/>
        <v>1</v>
      </c>
    </row>
    <row r="76" spans="1:16" ht="14.1" x14ac:dyDescent="0.3">
      <c r="A76" s="309"/>
      <c r="B76" s="310"/>
      <c r="C76" s="309" t="s">
        <v>102</v>
      </c>
      <c r="D76" s="311"/>
      <c r="E76" s="311"/>
      <c r="F76" s="372" t="s">
        <v>939</v>
      </c>
      <c r="G76" s="373">
        <v>2500000</v>
      </c>
      <c r="H76" s="319"/>
      <c r="I76" s="305"/>
      <c r="J76" s="314">
        <f t="shared" si="29"/>
        <v>0</v>
      </c>
      <c r="K76" s="315">
        <f t="shared" si="30"/>
        <v>0</v>
      </c>
      <c r="L76" s="314">
        <f t="shared" si="31"/>
        <v>2500000</v>
      </c>
      <c r="M76" s="382">
        <v>0</v>
      </c>
      <c r="N76" s="315">
        <f t="shared" si="32"/>
        <v>0</v>
      </c>
      <c r="O76" s="320">
        <f t="shared" si="33"/>
        <v>2500000</v>
      </c>
      <c r="P76" s="317">
        <f t="shared" si="34"/>
        <v>1</v>
      </c>
    </row>
    <row r="77" spans="1:16" ht="14.1" x14ac:dyDescent="0.3">
      <c r="A77" s="309"/>
      <c r="B77" s="310"/>
      <c r="C77" s="309" t="s">
        <v>102</v>
      </c>
      <c r="D77" s="311"/>
      <c r="E77" s="311"/>
      <c r="F77" s="372" t="s">
        <v>947</v>
      </c>
      <c r="G77" s="373">
        <v>34000000</v>
      </c>
      <c r="H77" s="319"/>
      <c r="I77" s="305"/>
      <c r="J77" s="314">
        <f t="shared" si="29"/>
        <v>0</v>
      </c>
      <c r="K77" s="315">
        <f t="shared" si="30"/>
        <v>0</v>
      </c>
      <c r="L77" s="314">
        <f t="shared" si="31"/>
        <v>34000000</v>
      </c>
      <c r="M77" s="382">
        <f>510*20000</f>
        <v>10200000</v>
      </c>
      <c r="N77" s="315">
        <f t="shared" si="32"/>
        <v>0.3</v>
      </c>
      <c r="O77" s="320">
        <f t="shared" si="33"/>
        <v>23800000</v>
      </c>
      <c r="P77" s="317">
        <f t="shared" si="34"/>
        <v>0.7</v>
      </c>
    </row>
    <row r="78" spans="1:16" ht="15" customHeight="1" thickBot="1" x14ac:dyDescent="0.35">
      <c r="A78" s="309"/>
      <c r="B78" s="310"/>
      <c r="C78" s="309" t="s">
        <v>102</v>
      </c>
      <c r="D78" s="311"/>
      <c r="E78" s="311"/>
      <c r="F78" s="374" t="s">
        <v>953</v>
      </c>
      <c r="G78" s="373">
        <v>5000000</v>
      </c>
      <c r="H78" s="319"/>
      <c r="I78" s="305"/>
      <c r="J78" s="314">
        <f t="shared" si="29"/>
        <v>0</v>
      </c>
      <c r="K78" s="315">
        <f t="shared" si="30"/>
        <v>0</v>
      </c>
      <c r="L78" s="314">
        <f t="shared" si="31"/>
        <v>5000000</v>
      </c>
      <c r="M78" s="362">
        <v>0</v>
      </c>
      <c r="N78" s="315">
        <f t="shared" si="32"/>
        <v>0</v>
      </c>
      <c r="O78" s="320">
        <f t="shared" si="33"/>
        <v>5000000</v>
      </c>
      <c r="P78" s="317">
        <f t="shared" si="34"/>
        <v>1</v>
      </c>
    </row>
    <row r="79" spans="1:16" ht="14.45" thickBot="1" x14ac:dyDescent="0.35">
      <c r="A79" s="322"/>
      <c r="B79" s="323"/>
      <c r="C79" s="376">
        <v>4045</v>
      </c>
      <c r="D79" s="377"/>
      <c r="E79" s="378"/>
      <c r="F79" s="326" t="s">
        <v>954</v>
      </c>
      <c r="G79" s="327">
        <f>SUM(G73:G78)</f>
        <v>118500000</v>
      </c>
      <c r="H79" s="328">
        <f t="shared" ref="H79:O79" si="37">SUM(H73:H78)</f>
        <v>0</v>
      </c>
      <c r="I79" s="329">
        <f t="shared" si="37"/>
        <v>0</v>
      </c>
      <c r="J79" s="329">
        <f t="shared" si="37"/>
        <v>0</v>
      </c>
      <c r="K79" s="330">
        <f t="shared" si="37"/>
        <v>0</v>
      </c>
      <c r="L79" s="329">
        <f t="shared" si="37"/>
        <v>118500000</v>
      </c>
      <c r="M79" s="329">
        <f t="shared" si="37"/>
        <v>33600000</v>
      </c>
      <c r="N79" s="330">
        <f>+AVERAGE(N73,N74,N75,N76,N77,N78)</f>
        <v>0.18333333333333335</v>
      </c>
      <c r="O79" s="329">
        <f t="shared" si="37"/>
        <v>84900000</v>
      </c>
      <c r="P79" s="331">
        <f t="shared" si="34"/>
        <v>0.71645569620253169</v>
      </c>
    </row>
    <row r="80" spans="1:16" ht="50.25" customHeight="1" x14ac:dyDescent="0.3">
      <c r="A80" s="309"/>
      <c r="B80" s="310"/>
      <c r="C80" s="309"/>
      <c r="D80" s="311"/>
      <c r="E80" s="311"/>
      <c r="F80" s="385" t="s">
        <v>955</v>
      </c>
      <c r="G80" s="386"/>
      <c r="H80" s="319"/>
      <c r="I80" s="305"/>
      <c r="J80" s="314"/>
      <c r="K80" s="315"/>
      <c r="L80" s="314"/>
      <c r="M80" s="316"/>
      <c r="N80" s="315"/>
      <c r="O80" s="320"/>
      <c r="P80" s="317"/>
    </row>
    <row r="81" spans="1:16" ht="14.1" x14ac:dyDescent="0.3">
      <c r="A81" s="309"/>
      <c r="B81" s="310"/>
      <c r="C81" s="309" t="s">
        <v>102</v>
      </c>
      <c r="D81" s="311"/>
      <c r="E81" s="311"/>
      <c r="F81" s="372" t="s">
        <v>937</v>
      </c>
      <c r="G81" s="373">
        <v>8400000</v>
      </c>
      <c r="H81" s="319"/>
      <c r="I81" s="305"/>
      <c r="J81" s="314">
        <f t="shared" si="29"/>
        <v>0</v>
      </c>
      <c r="K81" s="315">
        <f t="shared" si="30"/>
        <v>0</v>
      </c>
      <c r="L81" s="314">
        <f t="shared" si="31"/>
        <v>8400000</v>
      </c>
      <c r="M81" s="314">
        <f>G81/3</f>
        <v>2800000</v>
      </c>
      <c r="N81" s="315">
        <f t="shared" si="32"/>
        <v>0.33333333333333331</v>
      </c>
      <c r="O81" s="320">
        <f t="shared" si="33"/>
        <v>5600000</v>
      </c>
      <c r="P81" s="317">
        <f t="shared" si="34"/>
        <v>0.66666666666666663</v>
      </c>
    </row>
    <row r="82" spans="1:16" ht="14.45" thickBot="1" x14ac:dyDescent="0.35">
      <c r="A82" s="309"/>
      <c r="B82" s="310"/>
      <c r="C82" s="309" t="s">
        <v>102</v>
      </c>
      <c r="D82" s="311"/>
      <c r="E82" s="311"/>
      <c r="F82" s="374" t="s">
        <v>940</v>
      </c>
      <c r="G82" s="373">
        <v>4200000</v>
      </c>
      <c r="H82" s="319"/>
      <c r="I82" s="320"/>
      <c r="J82" s="314">
        <f t="shared" si="29"/>
        <v>0</v>
      </c>
      <c r="K82" s="315">
        <f t="shared" si="30"/>
        <v>0</v>
      </c>
      <c r="L82" s="314">
        <f t="shared" si="31"/>
        <v>4200000</v>
      </c>
      <c r="M82" s="314">
        <f>G82/3</f>
        <v>1400000</v>
      </c>
      <c r="N82" s="315">
        <f t="shared" si="32"/>
        <v>0.33333333333333331</v>
      </c>
      <c r="O82" s="320">
        <f t="shared" si="33"/>
        <v>2800000</v>
      </c>
      <c r="P82" s="317">
        <f t="shared" si="34"/>
        <v>0.66666666666666663</v>
      </c>
    </row>
    <row r="83" spans="1:16" ht="14.45" thickBot="1" x14ac:dyDescent="0.35">
      <c r="A83" s="322"/>
      <c r="B83" s="323"/>
      <c r="C83" s="376">
        <v>4045</v>
      </c>
      <c r="D83" s="377"/>
      <c r="E83" s="378"/>
      <c r="F83" s="388" t="s">
        <v>956</v>
      </c>
      <c r="G83" s="327">
        <f>SUM(G81:G82)</f>
        <v>12600000</v>
      </c>
      <c r="H83" s="328"/>
      <c r="I83" s="329"/>
      <c r="J83" s="329">
        <f t="shared" si="29"/>
        <v>0</v>
      </c>
      <c r="K83" s="330">
        <f t="shared" si="30"/>
        <v>0</v>
      </c>
      <c r="L83" s="329">
        <f t="shared" si="31"/>
        <v>12600000</v>
      </c>
      <c r="M83" s="329"/>
      <c r="N83" s="330">
        <f>+AVERAGE(,N81,N82)</f>
        <v>0.22222222222222221</v>
      </c>
      <c r="O83" s="329">
        <f t="shared" si="33"/>
        <v>12600000</v>
      </c>
      <c r="P83" s="331">
        <f t="shared" si="34"/>
        <v>1</v>
      </c>
    </row>
    <row r="84" spans="1:16" ht="41.25" customHeight="1" x14ac:dyDescent="0.3">
      <c r="A84" s="309"/>
      <c r="B84" s="310"/>
      <c r="C84" s="309"/>
      <c r="D84" s="311"/>
      <c r="E84" s="311"/>
      <c r="F84" s="385" t="s">
        <v>957</v>
      </c>
      <c r="G84" s="386"/>
      <c r="H84" s="319"/>
      <c r="I84" s="305"/>
      <c r="J84" s="314"/>
      <c r="K84" s="315"/>
      <c r="L84" s="314"/>
      <c r="M84" s="316"/>
      <c r="N84" s="315"/>
      <c r="O84" s="320"/>
      <c r="P84" s="317"/>
    </row>
    <row r="85" spans="1:16" ht="33" customHeight="1" x14ac:dyDescent="0.3">
      <c r="A85" s="309"/>
      <c r="B85" s="310"/>
      <c r="C85" s="309" t="s">
        <v>160</v>
      </c>
      <c r="D85" s="311"/>
      <c r="E85" s="311"/>
      <c r="F85" s="372" t="s">
        <v>958</v>
      </c>
      <c r="G85" s="389">
        <v>9770000</v>
      </c>
      <c r="H85" s="319"/>
      <c r="I85" s="305"/>
      <c r="J85" s="314">
        <f t="shared" si="29"/>
        <v>0</v>
      </c>
      <c r="K85" s="315">
        <f t="shared" si="30"/>
        <v>0</v>
      </c>
      <c r="L85" s="314">
        <f t="shared" si="31"/>
        <v>9770000</v>
      </c>
      <c r="M85" s="314">
        <v>0</v>
      </c>
      <c r="N85" s="315">
        <f t="shared" si="32"/>
        <v>0</v>
      </c>
      <c r="O85" s="320">
        <f t="shared" si="33"/>
        <v>9770000</v>
      </c>
      <c r="P85" s="317">
        <f t="shared" si="34"/>
        <v>1</v>
      </c>
    </row>
    <row r="86" spans="1:16" ht="15" customHeight="1" x14ac:dyDescent="0.3">
      <c r="A86" s="309"/>
      <c r="B86" s="310"/>
      <c r="C86" s="309"/>
      <c r="D86" s="311"/>
      <c r="E86" s="311"/>
      <c r="F86" s="372" t="s">
        <v>959</v>
      </c>
      <c r="G86" s="373">
        <v>6000000</v>
      </c>
      <c r="H86" s="319"/>
      <c r="I86" s="305"/>
      <c r="J86" s="314">
        <f t="shared" si="29"/>
        <v>0</v>
      </c>
      <c r="K86" s="315">
        <f t="shared" si="30"/>
        <v>0</v>
      </c>
      <c r="L86" s="314">
        <f t="shared" si="31"/>
        <v>6000000</v>
      </c>
      <c r="M86" s="306">
        <v>6000000</v>
      </c>
      <c r="N86" s="315">
        <f t="shared" si="32"/>
        <v>1</v>
      </c>
      <c r="O86" s="320">
        <f t="shared" si="33"/>
        <v>0</v>
      </c>
      <c r="P86" s="317">
        <f t="shared" si="34"/>
        <v>0</v>
      </c>
    </row>
    <row r="87" spans="1:16" ht="68.25" customHeight="1" x14ac:dyDescent="0.3">
      <c r="A87" s="309"/>
      <c r="B87" s="310"/>
      <c r="C87" s="309"/>
      <c r="D87" s="311"/>
      <c r="E87" s="311"/>
      <c r="F87" s="390" t="s">
        <v>960</v>
      </c>
      <c r="G87" s="391"/>
      <c r="H87" s="392"/>
      <c r="I87" s="361"/>
      <c r="J87" s="382"/>
      <c r="K87" s="393"/>
      <c r="L87" s="382"/>
      <c r="M87" s="382"/>
      <c r="N87" s="315"/>
      <c r="O87" s="320"/>
      <c r="P87" s="317"/>
    </row>
    <row r="88" spans="1:16" ht="15" customHeight="1" x14ac:dyDescent="0.3">
      <c r="A88" s="309"/>
      <c r="B88" s="310"/>
      <c r="C88" s="309" t="s">
        <v>172</v>
      </c>
      <c r="D88" s="311"/>
      <c r="E88" s="311"/>
      <c r="F88" s="394" t="s">
        <v>961</v>
      </c>
      <c r="G88" s="391">
        <v>192000000</v>
      </c>
      <c r="H88" s="392"/>
      <c r="I88" s="362">
        <v>24000000</v>
      </c>
      <c r="J88" s="382">
        <f t="shared" si="29"/>
        <v>24000000</v>
      </c>
      <c r="K88" s="393">
        <f t="shared" si="30"/>
        <v>0.125</v>
      </c>
      <c r="L88" s="382">
        <f t="shared" si="31"/>
        <v>168000000</v>
      </c>
      <c r="M88" s="382">
        <f>(L88/16)*3</f>
        <v>31500000</v>
      </c>
      <c r="N88" s="315">
        <f t="shared" si="32"/>
        <v>0.1640625</v>
      </c>
      <c r="O88" s="320">
        <f t="shared" si="33"/>
        <v>136500000</v>
      </c>
      <c r="P88" s="317">
        <f t="shared" si="34"/>
        <v>0.7109375</v>
      </c>
    </row>
    <row r="89" spans="1:16" ht="14.1" x14ac:dyDescent="0.3">
      <c r="A89" s="309"/>
      <c r="B89" s="310"/>
      <c r="C89" s="309" t="s">
        <v>172</v>
      </c>
      <c r="D89" s="311"/>
      <c r="E89" s="311"/>
      <c r="F89" s="394" t="s">
        <v>937</v>
      </c>
      <c r="G89" s="391">
        <v>18000000</v>
      </c>
      <c r="H89" s="392"/>
      <c r="I89" s="361"/>
      <c r="J89" s="382">
        <f t="shared" si="29"/>
        <v>0</v>
      </c>
      <c r="K89" s="393">
        <f t="shared" si="30"/>
        <v>0</v>
      </c>
      <c r="L89" s="382">
        <f t="shared" si="31"/>
        <v>18000000</v>
      </c>
      <c r="M89" s="382">
        <f>30*3*40000</f>
        <v>3600000</v>
      </c>
      <c r="N89" s="315">
        <f t="shared" si="32"/>
        <v>0.2</v>
      </c>
      <c r="O89" s="320">
        <f t="shared" si="33"/>
        <v>14400000</v>
      </c>
      <c r="P89" s="317">
        <f t="shared" si="34"/>
        <v>0.8</v>
      </c>
    </row>
    <row r="90" spans="1:16" ht="15" customHeight="1" x14ac:dyDescent="0.3">
      <c r="A90" s="309"/>
      <c r="B90" s="310"/>
      <c r="C90" s="309" t="s">
        <v>172</v>
      </c>
      <c r="D90" s="311"/>
      <c r="E90" s="311"/>
      <c r="F90" s="394" t="s">
        <v>938</v>
      </c>
      <c r="G90" s="391">
        <v>4500000</v>
      </c>
      <c r="H90" s="392"/>
      <c r="I90" s="361"/>
      <c r="J90" s="382">
        <f t="shared" si="29"/>
        <v>0</v>
      </c>
      <c r="K90" s="393">
        <f t="shared" si="30"/>
        <v>0</v>
      </c>
      <c r="L90" s="382">
        <f t="shared" si="31"/>
        <v>4500000</v>
      </c>
      <c r="M90" s="382">
        <f>800000*3</f>
        <v>2400000</v>
      </c>
      <c r="N90" s="315">
        <f t="shared" si="32"/>
        <v>0.53333333333333333</v>
      </c>
      <c r="O90" s="320">
        <f t="shared" si="33"/>
        <v>2100000</v>
      </c>
      <c r="P90" s="317">
        <f t="shared" si="34"/>
        <v>0.46666666666666667</v>
      </c>
    </row>
    <row r="91" spans="1:16" ht="14.1" x14ac:dyDescent="0.3">
      <c r="A91" s="309"/>
      <c r="B91" s="310"/>
      <c r="C91" s="309" t="s">
        <v>172</v>
      </c>
      <c r="D91" s="311"/>
      <c r="E91" s="311"/>
      <c r="F91" s="394" t="s">
        <v>940</v>
      </c>
      <c r="G91" s="391">
        <v>9000000</v>
      </c>
      <c r="H91" s="392"/>
      <c r="I91" s="361"/>
      <c r="J91" s="382">
        <f t="shared" si="29"/>
        <v>0</v>
      </c>
      <c r="K91" s="393">
        <f t="shared" si="30"/>
        <v>0</v>
      </c>
      <c r="L91" s="382">
        <f t="shared" si="31"/>
        <v>9000000</v>
      </c>
      <c r="M91" s="382">
        <f>30*3*20000</f>
        <v>1800000</v>
      </c>
      <c r="N91" s="315">
        <f t="shared" si="32"/>
        <v>0.2</v>
      </c>
      <c r="O91" s="320">
        <f t="shared" si="33"/>
        <v>7200000</v>
      </c>
      <c r="P91" s="317">
        <f t="shared" si="34"/>
        <v>0.8</v>
      </c>
    </row>
    <row r="92" spans="1:16" ht="62.25" customHeight="1" x14ac:dyDescent="0.3">
      <c r="A92" s="309"/>
      <c r="B92" s="310"/>
      <c r="C92" s="309"/>
      <c r="D92" s="311"/>
      <c r="E92" s="311"/>
      <c r="F92" s="395" t="s">
        <v>962</v>
      </c>
      <c r="G92" s="373"/>
      <c r="H92" s="319"/>
      <c r="I92" s="305"/>
      <c r="J92" s="314"/>
      <c r="K92" s="315"/>
      <c r="L92" s="314"/>
      <c r="M92" s="314"/>
      <c r="N92" s="315"/>
      <c r="O92" s="320"/>
      <c r="P92" s="317"/>
    </row>
    <row r="93" spans="1:16" ht="14.1" x14ac:dyDescent="0.3">
      <c r="A93" s="309"/>
      <c r="B93" s="310"/>
      <c r="C93" s="309" t="s">
        <v>160</v>
      </c>
      <c r="D93" s="311"/>
      <c r="E93" s="311"/>
      <c r="F93" s="372" t="s">
        <v>937</v>
      </c>
      <c r="G93" s="396">
        <f>50*40000*25</f>
        <v>50000000</v>
      </c>
      <c r="H93" s="319"/>
      <c r="I93" s="305"/>
      <c r="J93" s="314">
        <f t="shared" si="29"/>
        <v>0</v>
      </c>
      <c r="K93" s="315">
        <f t="shared" si="30"/>
        <v>0</v>
      </c>
      <c r="L93" s="314">
        <f t="shared" si="31"/>
        <v>50000000</v>
      </c>
      <c r="M93" s="306"/>
      <c r="N93" s="315">
        <f t="shared" si="32"/>
        <v>0</v>
      </c>
      <c r="O93" s="320">
        <f t="shared" si="33"/>
        <v>50000000</v>
      </c>
      <c r="P93" s="317">
        <f t="shared" si="34"/>
        <v>1</v>
      </c>
    </row>
    <row r="94" spans="1:16" ht="14.1" x14ac:dyDescent="0.3">
      <c r="A94" s="309"/>
      <c r="B94" s="310"/>
      <c r="C94" s="309" t="s">
        <v>160</v>
      </c>
      <c r="D94" s="311"/>
      <c r="E94" s="311"/>
      <c r="F94" s="372" t="s">
        <v>963</v>
      </c>
      <c r="G94" s="396">
        <f>600000*25</f>
        <v>15000000</v>
      </c>
      <c r="H94" s="319"/>
      <c r="I94" s="305"/>
      <c r="J94" s="314">
        <f t="shared" si="29"/>
        <v>0</v>
      </c>
      <c r="K94" s="315">
        <f t="shared" si="30"/>
        <v>0</v>
      </c>
      <c r="L94" s="314">
        <f t="shared" si="31"/>
        <v>15000000</v>
      </c>
      <c r="M94" s="306">
        <v>0</v>
      </c>
      <c r="N94" s="315">
        <f t="shared" si="32"/>
        <v>0</v>
      </c>
      <c r="O94" s="320">
        <f t="shared" si="33"/>
        <v>15000000</v>
      </c>
      <c r="P94" s="317">
        <f t="shared" si="34"/>
        <v>1</v>
      </c>
    </row>
    <row r="95" spans="1:16" ht="14.1" x14ac:dyDescent="0.3">
      <c r="A95" s="309"/>
      <c r="B95" s="310"/>
      <c r="C95" s="309" t="s">
        <v>160</v>
      </c>
      <c r="D95" s="311"/>
      <c r="E95" s="311"/>
      <c r="F95" s="372" t="s">
        <v>938</v>
      </c>
      <c r="G95" s="396">
        <f>300000*25</f>
        <v>7500000</v>
      </c>
      <c r="H95" s="319"/>
      <c r="I95" s="305"/>
      <c r="J95" s="314">
        <f t="shared" si="29"/>
        <v>0</v>
      </c>
      <c r="K95" s="315">
        <f t="shared" si="30"/>
        <v>0</v>
      </c>
      <c r="L95" s="314">
        <f t="shared" si="31"/>
        <v>7500000</v>
      </c>
      <c r="M95" s="306"/>
      <c r="N95" s="315">
        <f t="shared" si="32"/>
        <v>0</v>
      </c>
      <c r="O95" s="320">
        <f t="shared" si="33"/>
        <v>7500000</v>
      </c>
      <c r="P95" s="317">
        <f t="shared" si="34"/>
        <v>1</v>
      </c>
    </row>
    <row r="96" spans="1:16" ht="14.1" x14ac:dyDescent="0.3">
      <c r="A96" s="309"/>
      <c r="B96" s="310"/>
      <c r="C96" s="309" t="s">
        <v>160</v>
      </c>
      <c r="D96" s="311"/>
      <c r="E96" s="311"/>
      <c r="F96" s="372" t="s">
        <v>940</v>
      </c>
      <c r="G96" s="396">
        <f>20000*50*25</f>
        <v>25000000</v>
      </c>
      <c r="H96" s="319"/>
      <c r="I96" s="305"/>
      <c r="J96" s="314">
        <f t="shared" si="29"/>
        <v>0</v>
      </c>
      <c r="K96" s="315">
        <f t="shared" si="30"/>
        <v>0</v>
      </c>
      <c r="L96" s="314">
        <f t="shared" si="31"/>
        <v>25000000</v>
      </c>
      <c r="M96" s="306"/>
      <c r="N96" s="315">
        <f t="shared" si="32"/>
        <v>0</v>
      </c>
      <c r="O96" s="320">
        <f t="shared" si="33"/>
        <v>25000000</v>
      </c>
      <c r="P96" s="317">
        <f t="shared" si="34"/>
        <v>1</v>
      </c>
    </row>
    <row r="97" spans="1:16" ht="15" customHeight="1" x14ac:dyDescent="0.3">
      <c r="A97" s="309"/>
      <c r="B97" s="310"/>
      <c r="C97" s="309" t="s">
        <v>160</v>
      </c>
      <c r="D97" s="311"/>
      <c r="E97" s="311"/>
      <c r="F97" s="372" t="s">
        <v>964</v>
      </c>
      <c r="G97" s="397">
        <v>20000000</v>
      </c>
      <c r="H97" s="319"/>
      <c r="I97" s="305"/>
      <c r="J97" s="314">
        <f t="shared" si="29"/>
        <v>0</v>
      </c>
      <c r="K97" s="315">
        <f t="shared" si="30"/>
        <v>0</v>
      </c>
      <c r="L97" s="314">
        <f t="shared" si="31"/>
        <v>20000000</v>
      </c>
      <c r="M97" s="306">
        <v>0</v>
      </c>
      <c r="N97" s="315">
        <f t="shared" si="32"/>
        <v>0</v>
      </c>
      <c r="O97" s="320">
        <f t="shared" si="33"/>
        <v>20000000</v>
      </c>
      <c r="P97" s="317">
        <f t="shared" si="34"/>
        <v>1</v>
      </c>
    </row>
    <row r="98" spans="1:16" ht="88.5" customHeight="1" x14ac:dyDescent="0.3">
      <c r="A98" s="309"/>
      <c r="B98" s="310"/>
      <c r="C98" s="309"/>
      <c r="D98" s="311"/>
      <c r="E98" s="311"/>
      <c r="F98" s="395" t="s">
        <v>965</v>
      </c>
      <c r="G98" s="389"/>
      <c r="H98" s="319"/>
      <c r="I98" s="305"/>
      <c r="J98" s="314">
        <f t="shared" si="29"/>
        <v>0</v>
      </c>
      <c r="K98" s="315">
        <f t="shared" si="30"/>
        <v>0</v>
      </c>
      <c r="L98" s="314">
        <f t="shared" si="31"/>
        <v>0</v>
      </c>
      <c r="M98" s="314"/>
      <c r="N98" s="315">
        <f t="shared" si="32"/>
        <v>0</v>
      </c>
      <c r="O98" s="320">
        <f t="shared" si="33"/>
        <v>0</v>
      </c>
      <c r="P98" s="317">
        <f t="shared" si="34"/>
        <v>0</v>
      </c>
    </row>
    <row r="99" spans="1:16" ht="15" customHeight="1" x14ac:dyDescent="0.3">
      <c r="A99" s="309"/>
      <c r="B99" s="310"/>
      <c r="C99" s="309" t="s">
        <v>168</v>
      </c>
      <c r="D99" s="311"/>
      <c r="E99" s="311"/>
      <c r="F99" s="372" t="s">
        <v>966</v>
      </c>
      <c r="G99" s="396">
        <f>2000000*6</f>
        <v>12000000</v>
      </c>
      <c r="H99" s="319"/>
      <c r="I99" s="305"/>
      <c r="J99" s="314">
        <f t="shared" si="29"/>
        <v>0</v>
      </c>
      <c r="K99" s="315">
        <f t="shared" si="30"/>
        <v>0</v>
      </c>
      <c r="L99" s="314">
        <f t="shared" si="31"/>
        <v>12000000</v>
      </c>
      <c r="M99" s="314"/>
      <c r="N99" s="315">
        <f t="shared" si="32"/>
        <v>0</v>
      </c>
      <c r="O99" s="320">
        <f t="shared" si="33"/>
        <v>12000000</v>
      </c>
      <c r="P99" s="317">
        <f t="shared" si="34"/>
        <v>1</v>
      </c>
    </row>
    <row r="100" spans="1:16" ht="14.1" x14ac:dyDescent="0.3">
      <c r="A100" s="309"/>
      <c r="B100" s="310"/>
      <c r="C100" s="309" t="s">
        <v>168</v>
      </c>
      <c r="D100" s="311"/>
      <c r="E100" s="311"/>
      <c r="F100" s="372" t="s">
        <v>937</v>
      </c>
      <c r="G100" s="396">
        <f>20*40000*5</f>
        <v>4000000</v>
      </c>
      <c r="H100" s="319"/>
      <c r="I100" s="305"/>
      <c r="J100" s="314">
        <f t="shared" si="29"/>
        <v>0</v>
      </c>
      <c r="K100" s="315">
        <f t="shared" si="30"/>
        <v>0</v>
      </c>
      <c r="L100" s="314">
        <f t="shared" si="31"/>
        <v>4000000</v>
      </c>
      <c r="M100" s="314">
        <f>2*20*40000</f>
        <v>1600000</v>
      </c>
      <c r="N100" s="315">
        <f t="shared" si="32"/>
        <v>0.4</v>
      </c>
      <c r="O100" s="320">
        <f t="shared" si="33"/>
        <v>2400000</v>
      </c>
      <c r="P100" s="317">
        <f t="shared" si="34"/>
        <v>0.6</v>
      </c>
    </row>
    <row r="101" spans="1:16" ht="14.1" x14ac:dyDescent="0.3">
      <c r="A101" s="309"/>
      <c r="B101" s="310"/>
      <c r="C101" s="309" t="s">
        <v>168</v>
      </c>
      <c r="D101" s="311"/>
      <c r="E101" s="311"/>
      <c r="F101" s="372" t="s">
        <v>967</v>
      </c>
      <c r="G101" s="396">
        <f>600000*5</f>
        <v>3000000</v>
      </c>
      <c r="H101" s="319"/>
      <c r="I101" s="305"/>
      <c r="J101" s="314">
        <f t="shared" si="29"/>
        <v>0</v>
      </c>
      <c r="K101" s="315">
        <f t="shared" si="30"/>
        <v>0</v>
      </c>
      <c r="L101" s="314">
        <f t="shared" si="31"/>
        <v>3000000</v>
      </c>
      <c r="M101" s="314"/>
      <c r="N101" s="315">
        <f t="shared" si="32"/>
        <v>0</v>
      </c>
      <c r="O101" s="320">
        <f t="shared" si="33"/>
        <v>3000000</v>
      </c>
      <c r="P101" s="317">
        <f t="shared" si="34"/>
        <v>1</v>
      </c>
    </row>
    <row r="102" spans="1:16" ht="14.1" x14ac:dyDescent="0.3">
      <c r="A102" s="309"/>
      <c r="B102" s="310"/>
      <c r="C102" s="309" t="s">
        <v>168</v>
      </c>
      <c r="D102" s="311"/>
      <c r="E102" s="311"/>
      <c r="F102" s="372" t="s">
        <v>968</v>
      </c>
      <c r="G102" s="396">
        <f>300000*5</f>
        <v>1500000</v>
      </c>
      <c r="H102" s="319"/>
      <c r="I102" s="305"/>
      <c r="J102" s="314">
        <f t="shared" si="29"/>
        <v>0</v>
      </c>
      <c r="K102" s="315">
        <f t="shared" si="30"/>
        <v>0</v>
      </c>
      <c r="L102" s="314">
        <f t="shared" si="31"/>
        <v>1500000</v>
      </c>
      <c r="M102" s="314">
        <v>0</v>
      </c>
      <c r="N102" s="315">
        <f t="shared" si="32"/>
        <v>0</v>
      </c>
      <c r="O102" s="320">
        <f t="shared" si="33"/>
        <v>1500000</v>
      </c>
      <c r="P102" s="317">
        <f t="shared" si="34"/>
        <v>1</v>
      </c>
    </row>
    <row r="103" spans="1:16" ht="15" customHeight="1" x14ac:dyDescent="0.3">
      <c r="A103" s="309"/>
      <c r="B103" s="310"/>
      <c r="C103" s="309"/>
      <c r="D103" s="311"/>
      <c r="E103" s="311"/>
      <c r="F103" s="372" t="s">
        <v>940</v>
      </c>
      <c r="G103" s="396">
        <f>20000*20*5</f>
        <v>2000000</v>
      </c>
      <c r="H103" s="319"/>
      <c r="I103" s="305"/>
      <c r="J103" s="314">
        <f t="shared" si="29"/>
        <v>0</v>
      </c>
      <c r="K103" s="315">
        <f t="shared" si="30"/>
        <v>0</v>
      </c>
      <c r="L103" s="314">
        <f t="shared" si="31"/>
        <v>2000000</v>
      </c>
      <c r="M103" s="314">
        <f>20*20000*2</f>
        <v>800000</v>
      </c>
      <c r="N103" s="315">
        <f t="shared" si="32"/>
        <v>0.4</v>
      </c>
      <c r="O103" s="320">
        <f t="shared" si="33"/>
        <v>1200000</v>
      </c>
      <c r="P103" s="317">
        <f t="shared" si="34"/>
        <v>0.6</v>
      </c>
    </row>
    <row r="104" spans="1:16" ht="71.25" customHeight="1" x14ac:dyDescent="0.3">
      <c r="A104" s="309"/>
      <c r="B104" s="310"/>
      <c r="C104" s="309"/>
      <c r="D104" s="311"/>
      <c r="E104" s="311"/>
      <c r="F104" s="395" t="s">
        <v>969</v>
      </c>
      <c r="G104" s="373"/>
      <c r="H104" s="319"/>
      <c r="I104" s="305"/>
      <c r="J104" s="314"/>
      <c r="K104" s="315"/>
      <c r="L104" s="314"/>
      <c r="M104" s="314"/>
      <c r="N104" s="315"/>
      <c r="O104" s="320"/>
      <c r="P104" s="317"/>
    </row>
    <row r="105" spans="1:16" ht="14.1" x14ac:dyDescent="0.3">
      <c r="A105" s="309"/>
      <c r="B105" s="310"/>
      <c r="C105" s="309" t="s">
        <v>160</v>
      </c>
      <c r="D105" s="311"/>
      <c r="E105" s="311"/>
      <c r="F105" s="372" t="s">
        <v>937</v>
      </c>
      <c r="G105" s="396">
        <f>(30*5*40000)+(70*40000)</f>
        <v>8800000</v>
      </c>
      <c r="H105" s="319"/>
      <c r="I105" s="305"/>
      <c r="J105" s="314">
        <f t="shared" si="29"/>
        <v>0</v>
      </c>
      <c r="K105" s="315">
        <f t="shared" si="30"/>
        <v>0</v>
      </c>
      <c r="L105" s="314">
        <f t="shared" si="31"/>
        <v>8800000</v>
      </c>
      <c r="M105" s="314">
        <v>0</v>
      </c>
      <c r="N105" s="315">
        <f t="shared" si="32"/>
        <v>0</v>
      </c>
      <c r="O105" s="320">
        <f t="shared" si="33"/>
        <v>8800000</v>
      </c>
      <c r="P105" s="317">
        <f t="shared" si="34"/>
        <v>1</v>
      </c>
    </row>
    <row r="106" spans="1:16" ht="14.1" x14ac:dyDescent="0.3">
      <c r="A106" s="309"/>
      <c r="B106" s="310"/>
      <c r="C106" s="309" t="s">
        <v>160</v>
      </c>
      <c r="D106" s="311"/>
      <c r="E106" s="311"/>
      <c r="F106" s="372" t="s">
        <v>970</v>
      </c>
      <c r="G106" s="396">
        <f>20*100000</f>
        <v>2000000</v>
      </c>
      <c r="H106" s="319"/>
      <c r="I106" s="305"/>
      <c r="J106" s="314">
        <f t="shared" si="29"/>
        <v>0</v>
      </c>
      <c r="K106" s="315">
        <f t="shared" si="30"/>
        <v>0</v>
      </c>
      <c r="L106" s="314">
        <f t="shared" si="31"/>
        <v>2000000</v>
      </c>
      <c r="M106" s="314">
        <v>0</v>
      </c>
      <c r="N106" s="315">
        <f t="shared" si="32"/>
        <v>0</v>
      </c>
      <c r="O106" s="320">
        <f t="shared" si="33"/>
        <v>2000000</v>
      </c>
      <c r="P106" s="317">
        <f t="shared" si="34"/>
        <v>1</v>
      </c>
    </row>
    <row r="107" spans="1:16" ht="14.1" x14ac:dyDescent="0.3">
      <c r="A107" s="309"/>
      <c r="B107" s="310"/>
      <c r="C107" s="309" t="s">
        <v>160</v>
      </c>
      <c r="D107" s="311"/>
      <c r="E107" s="311"/>
      <c r="F107" s="372" t="s">
        <v>940</v>
      </c>
      <c r="G107" s="396">
        <f>(30*5*20000)+(70*20000)</f>
        <v>4400000</v>
      </c>
      <c r="H107" s="319"/>
      <c r="I107" s="305"/>
      <c r="J107" s="314">
        <f t="shared" si="29"/>
        <v>0</v>
      </c>
      <c r="K107" s="315">
        <f t="shared" si="30"/>
        <v>0</v>
      </c>
      <c r="L107" s="314">
        <f t="shared" si="31"/>
        <v>4400000</v>
      </c>
      <c r="M107" s="314">
        <v>0</v>
      </c>
      <c r="N107" s="315">
        <f t="shared" si="32"/>
        <v>0</v>
      </c>
      <c r="O107" s="320">
        <f t="shared" si="33"/>
        <v>4400000</v>
      </c>
      <c r="P107" s="317">
        <f t="shared" si="34"/>
        <v>1</v>
      </c>
    </row>
    <row r="108" spans="1:16" ht="39.75" customHeight="1" x14ac:dyDescent="0.3">
      <c r="A108" s="309"/>
      <c r="B108" s="310"/>
      <c r="C108" s="309"/>
      <c r="D108" s="311"/>
      <c r="E108" s="311"/>
      <c r="F108" s="395" t="s">
        <v>971</v>
      </c>
      <c r="G108" s="373"/>
      <c r="H108" s="319"/>
      <c r="I108" s="305"/>
      <c r="J108" s="314">
        <f t="shared" si="29"/>
        <v>0</v>
      </c>
      <c r="K108" s="315">
        <f t="shared" si="30"/>
        <v>0</v>
      </c>
      <c r="L108" s="314">
        <f t="shared" si="31"/>
        <v>0</v>
      </c>
      <c r="M108" s="314"/>
      <c r="N108" s="315">
        <f t="shared" si="32"/>
        <v>0</v>
      </c>
      <c r="O108" s="320">
        <f t="shared" si="33"/>
        <v>0</v>
      </c>
      <c r="P108" s="317">
        <f t="shared" si="34"/>
        <v>0</v>
      </c>
    </row>
    <row r="109" spans="1:16" ht="14.1" x14ac:dyDescent="0.3">
      <c r="A109" s="309"/>
      <c r="B109" s="310"/>
      <c r="C109" s="309" t="s">
        <v>160</v>
      </c>
      <c r="D109" s="311"/>
      <c r="E109" s="311"/>
      <c r="F109" s="394" t="s">
        <v>972</v>
      </c>
      <c r="G109" s="397">
        <v>49000000</v>
      </c>
      <c r="H109" s="392"/>
      <c r="I109" s="361"/>
      <c r="J109" s="382">
        <f t="shared" si="29"/>
        <v>0</v>
      </c>
      <c r="K109" s="393">
        <f t="shared" si="30"/>
        <v>0</v>
      </c>
      <c r="L109" s="382">
        <f t="shared" si="31"/>
        <v>49000000</v>
      </c>
      <c r="M109" s="382">
        <v>5000000</v>
      </c>
      <c r="N109" s="315">
        <f t="shared" si="32"/>
        <v>0.10204081632653061</v>
      </c>
      <c r="O109" s="320">
        <f t="shared" si="33"/>
        <v>44000000</v>
      </c>
      <c r="P109" s="317">
        <f t="shared" si="34"/>
        <v>0.89795918367346939</v>
      </c>
    </row>
    <row r="110" spans="1:16" ht="51.75" customHeight="1" x14ac:dyDescent="0.3">
      <c r="A110" s="309"/>
      <c r="B110" s="310"/>
      <c r="C110" s="309"/>
      <c r="D110" s="311"/>
      <c r="E110" s="311"/>
      <c r="F110" s="395" t="s">
        <v>973</v>
      </c>
      <c r="G110" s="373"/>
      <c r="H110" s="319"/>
      <c r="I110" s="305"/>
      <c r="J110" s="314"/>
      <c r="K110" s="315"/>
      <c r="L110" s="314"/>
      <c r="M110" s="314"/>
      <c r="N110" s="315"/>
      <c r="O110" s="320"/>
      <c r="P110" s="317"/>
    </row>
    <row r="111" spans="1:16" ht="14.1" x14ac:dyDescent="0.3">
      <c r="A111" s="309"/>
      <c r="B111" s="310"/>
      <c r="C111" s="309" t="s">
        <v>172</v>
      </c>
      <c r="D111" s="311"/>
      <c r="E111" s="311"/>
      <c r="F111" s="372" t="s">
        <v>937</v>
      </c>
      <c r="G111" s="373">
        <v>32000000</v>
      </c>
      <c r="H111" s="319"/>
      <c r="I111" s="305"/>
      <c r="J111" s="314">
        <f t="shared" si="29"/>
        <v>0</v>
      </c>
      <c r="K111" s="315">
        <f t="shared" si="30"/>
        <v>0</v>
      </c>
      <c r="L111" s="314">
        <f t="shared" si="31"/>
        <v>32000000</v>
      </c>
      <c r="M111" s="314">
        <f>300*40000</f>
        <v>12000000</v>
      </c>
      <c r="N111" s="315">
        <f t="shared" si="32"/>
        <v>0.375</v>
      </c>
      <c r="O111" s="320">
        <f t="shared" si="33"/>
        <v>20000000</v>
      </c>
      <c r="P111" s="317">
        <f t="shared" si="34"/>
        <v>0.625</v>
      </c>
    </row>
    <row r="112" spans="1:16" ht="14.1" x14ac:dyDescent="0.3">
      <c r="A112" s="309"/>
      <c r="B112" s="310"/>
      <c r="C112" s="309" t="s">
        <v>172</v>
      </c>
      <c r="D112" s="311"/>
      <c r="E112" s="311"/>
      <c r="F112" s="372" t="s">
        <v>938</v>
      </c>
      <c r="G112" s="373">
        <v>1500000</v>
      </c>
      <c r="H112" s="319"/>
      <c r="I112" s="305"/>
      <c r="J112" s="314">
        <f t="shared" si="29"/>
        <v>0</v>
      </c>
      <c r="K112" s="315">
        <f t="shared" si="30"/>
        <v>0</v>
      </c>
      <c r="L112" s="314">
        <f t="shared" si="31"/>
        <v>1500000</v>
      </c>
      <c r="M112" s="314">
        <v>1500000</v>
      </c>
      <c r="N112" s="315">
        <f t="shared" si="32"/>
        <v>1</v>
      </c>
      <c r="O112" s="320">
        <f t="shared" si="33"/>
        <v>0</v>
      </c>
      <c r="P112" s="317">
        <f t="shared" si="34"/>
        <v>0</v>
      </c>
    </row>
    <row r="113" spans="1:16" ht="14.1" x14ac:dyDescent="0.3">
      <c r="A113" s="309"/>
      <c r="B113" s="310"/>
      <c r="C113" s="309" t="s">
        <v>172</v>
      </c>
      <c r="D113" s="311"/>
      <c r="E113" s="311"/>
      <c r="F113" s="372" t="s">
        <v>940</v>
      </c>
      <c r="G113" s="373">
        <v>16000000</v>
      </c>
      <c r="H113" s="319"/>
      <c r="I113" s="305"/>
      <c r="J113" s="314">
        <f t="shared" si="29"/>
        <v>0</v>
      </c>
      <c r="K113" s="315">
        <f t="shared" si="30"/>
        <v>0</v>
      </c>
      <c r="L113" s="314">
        <f t="shared" si="31"/>
        <v>16000000</v>
      </c>
      <c r="M113" s="314">
        <f>300*20000</f>
        <v>6000000</v>
      </c>
      <c r="N113" s="315">
        <f t="shared" si="32"/>
        <v>0.375</v>
      </c>
      <c r="O113" s="320">
        <f t="shared" si="33"/>
        <v>10000000</v>
      </c>
      <c r="P113" s="317">
        <f t="shared" si="34"/>
        <v>0.625</v>
      </c>
    </row>
    <row r="114" spans="1:16" ht="14.1" x14ac:dyDescent="0.3">
      <c r="A114" s="309"/>
      <c r="B114" s="310"/>
      <c r="C114" s="309" t="s">
        <v>172</v>
      </c>
      <c r="D114" s="311"/>
      <c r="E114" s="311"/>
      <c r="F114" s="394" t="s">
        <v>951</v>
      </c>
      <c r="G114" s="391">
        <v>2500000</v>
      </c>
      <c r="H114" s="392"/>
      <c r="I114" s="361"/>
      <c r="J114" s="382">
        <f t="shared" si="29"/>
        <v>0</v>
      </c>
      <c r="K114" s="393">
        <f t="shared" si="30"/>
        <v>0</v>
      </c>
      <c r="L114" s="382">
        <f t="shared" si="31"/>
        <v>2500000</v>
      </c>
      <c r="M114" s="382">
        <v>2500000</v>
      </c>
      <c r="N114" s="315">
        <f t="shared" si="32"/>
        <v>1</v>
      </c>
      <c r="O114" s="320">
        <f t="shared" si="33"/>
        <v>0</v>
      </c>
      <c r="P114" s="317">
        <f t="shared" si="34"/>
        <v>0</v>
      </c>
    </row>
    <row r="115" spans="1:16" ht="14.45" thickBot="1" x14ac:dyDescent="0.35">
      <c r="A115" s="309"/>
      <c r="B115" s="310"/>
      <c r="C115" s="309" t="s">
        <v>172</v>
      </c>
      <c r="D115" s="311"/>
      <c r="E115" s="311"/>
      <c r="F115" s="374" t="s">
        <v>974</v>
      </c>
      <c r="G115" s="373">
        <v>5000000</v>
      </c>
      <c r="H115" s="319"/>
      <c r="I115" s="305"/>
      <c r="J115" s="314">
        <f t="shared" si="29"/>
        <v>0</v>
      </c>
      <c r="K115" s="315">
        <f t="shared" si="30"/>
        <v>0</v>
      </c>
      <c r="L115" s="314">
        <f t="shared" si="31"/>
        <v>5000000</v>
      </c>
      <c r="M115" s="314">
        <v>0</v>
      </c>
      <c r="N115" s="315">
        <f t="shared" si="32"/>
        <v>0</v>
      </c>
      <c r="O115" s="320">
        <f t="shared" si="33"/>
        <v>5000000</v>
      </c>
      <c r="P115" s="317">
        <f t="shared" si="34"/>
        <v>1</v>
      </c>
    </row>
    <row r="116" spans="1:16" ht="14.45" thickBot="1" x14ac:dyDescent="0.35">
      <c r="A116" s="322"/>
      <c r="B116" s="323"/>
      <c r="C116" s="376">
        <v>4045</v>
      </c>
      <c r="D116" s="377"/>
      <c r="E116" s="378"/>
      <c r="F116" s="388" t="s">
        <v>975</v>
      </c>
      <c r="G116" s="327">
        <f>SUM(G84:G115)</f>
        <v>500470000</v>
      </c>
      <c r="H116" s="327">
        <f t="shared" ref="H116:O116" si="38">SUM(H84:H115)</f>
        <v>0</v>
      </c>
      <c r="I116" s="327">
        <f t="shared" si="38"/>
        <v>24000000</v>
      </c>
      <c r="J116" s="327">
        <f t="shared" si="38"/>
        <v>24000000</v>
      </c>
      <c r="K116" s="327">
        <f t="shared" si="38"/>
        <v>0.125</v>
      </c>
      <c r="L116" s="327">
        <f t="shared" si="38"/>
        <v>476470000</v>
      </c>
      <c r="M116" s="327">
        <f t="shared" si="38"/>
        <v>74700000</v>
      </c>
      <c r="N116" s="398">
        <f>+AVERAGE(N85:N115)</f>
        <v>0.21294209813555051</v>
      </c>
      <c r="O116" s="327">
        <f t="shared" si="38"/>
        <v>401770000</v>
      </c>
      <c r="P116" s="331">
        <f>+IF(+G116&lt;&gt;0,O116/G116,0)</f>
        <v>0.80278538174116332</v>
      </c>
    </row>
    <row r="117" spans="1:16" ht="51" customHeight="1" x14ac:dyDescent="0.3">
      <c r="A117" s="309"/>
      <c r="B117" s="310"/>
      <c r="C117" s="309"/>
      <c r="D117" s="311"/>
      <c r="E117" s="311"/>
      <c r="F117" s="379" t="s">
        <v>976</v>
      </c>
      <c r="G117" s="380"/>
      <c r="H117" s="319"/>
      <c r="I117" s="305"/>
      <c r="J117" s="314"/>
      <c r="K117" s="315"/>
      <c r="L117" s="314"/>
      <c r="M117" s="314"/>
      <c r="N117" s="315"/>
      <c r="O117" s="320"/>
      <c r="P117" s="317"/>
    </row>
    <row r="118" spans="1:16" ht="14.1" x14ac:dyDescent="0.3">
      <c r="A118" s="309"/>
      <c r="B118" s="310"/>
      <c r="C118" s="309" t="s">
        <v>172</v>
      </c>
      <c r="D118" s="311"/>
      <c r="E118" s="311"/>
      <c r="F118" s="287" t="s">
        <v>937</v>
      </c>
      <c r="G118" s="381">
        <v>16000000</v>
      </c>
      <c r="H118" s="319"/>
      <c r="I118" s="305"/>
      <c r="J118" s="314">
        <f t="shared" ref="J118:J125" si="39">+H118+I118</f>
        <v>0</v>
      </c>
      <c r="K118" s="315">
        <f t="shared" si="30"/>
        <v>0</v>
      </c>
      <c r="L118" s="314">
        <f t="shared" si="31"/>
        <v>16000000</v>
      </c>
      <c r="M118" s="314">
        <v>0</v>
      </c>
      <c r="N118" s="315">
        <f t="shared" si="32"/>
        <v>0</v>
      </c>
      <c r="O118" s="320">
        <f t="shared" si="33"/>
        <v>16000000</v>
      </c>
      <c r="P118" s="317">
        <f t="shared" si="34"/>
        <v>1</v>
      </c>
    </row>
    <row r="119" spans="1:16" ht="14.1" x14ac:dyDescent="0.3">
      <c r="A119" s="309"/>
      <c r="B119" s="310"/>
      <c r="C119" s="309" t="s">
        <v>172</v>
      </c>
      <c r="D119" s="311"/>
      <c r="E119" s="311"/>
      <c r="F119" s="287" t="s">
        <v>938</v>
      </c>
      <c r="G119" s="381">
        <v>2400000</v>
      </c>
      <c r="H119" s="319"/>
      <c r="I119" s="305"/>
      <c r="J119" s="314">
        <f t="shared" si="39"/>
        <v>0</v>
      </c>
      <c r="K119" s="315">
        <f t="shared" ref="K119:K125" si="40">+IF(G119&lt;&gt;0,+J119/G119,0)</f>
        <v>0</v>
      </c>
      <c r="L119" s="314">
        <f t="shared" ref="L119:L125" si="41">+G119-J119</f>
        <v>2400000</v>
      </c>
      <c r="M119" s="314">
        <v>0</v>
      </c>
      <c r="N119" s="315">
        <f t="shared" ref="N119:N125" si="42">+IF(G119&lt;&gt;0,M119/G119,0)</f>
        <v>0</v>
      </c>
      <c r="O119" s="320">
        <f t="shared" ref="O119:O125" si="43">+G119-J119-M119</f>
        <v>2400000</v>
      </c>
      <c r="P119" s="317">
        <f t="shared" si="34"/>
        <v>1</v>
      </c>
    </row>
    <row r="120" spans="1:16" ht="14.1" x14ac:dyDescent="0.3">
      <c r="A120" s="309"/>
      <c r="B120" s="310"/>
      <c r="C120" s="309" t="s">
        <v>172</v>
      </c>
      <c r="D120" s="311"/>
      <c r="E120" s="311"/>
      <c r="F120" s="287" t="s">
        <v>940</v>
      </c>
      <c r="G120" s="381">
        <v>14000000</v>
      </c>
      <c r="H120" s="319"/>
      <c r="I120" s="305"/>
      <c r="J120" s="314">
        <f t="shared" si="39"/>
        <v>0</v>
      </c>
      <c r="K120" s="315">
        <f t="shared" si="40"/>
        <v>0</v>
      </c>
      <c r="L120" s="314">
        <f t="shared" si="41"/>
        <v>14000000</v>
      </c>
      <c r="M120" s="314">
        <v>0</v>
      </c>
      <c r="N120" s="315">
        <f t="shared" si="42"/>
        <v>0</v>
      </c>
      <c r="O120" s="320">
        <f t="shared" si="43"/>
        <v>14000000</v>
      </c>
      <c r="P120" s="317">
        <f t="shared" si="34"/>
        <v>1</v>
      </c>
    </row>
    <row r="121" spans="1:16" ht="14.45" thickBot="1" x14ac:dyDescent="0.35">
      <c r="A121" s="309"/>
      <c r="B121" s="310"/>
      <c r="C121" s="310" t="s">
        <v>172</v>
      </c>
      <c r="D121" s="311"/>
      <c r="E121" s="311"/>
      <c r="F121" s="287" t="s">
        <v>977</v>
      </c>
      <c r="G121" s="399">
        <v>12000000</v>
      </c>
      <c r="H121" s="319"/>
      <c r="I121" s="305"/>
      <c r="J121" s="314">
        <f t="shared" si="39"/>
        <v>0</v>
      </c>
      <c r="K121" s="315">
        <f t="shared" si="40"/>
        <v>0</v>
      </c>
      <c r="L121" s="314">
        <f t="shared" si="41"/>
        <v>12000000</v>
      </c>
      <c r="M121" s="314">
        <v>0</v>
      </c>
      <c r="N121" s="315">
        <f t="shared" si="42"/>
        <v>0</v>
      </c>
      <c r="O121" s="320">
        <f t="shared" si="43"/>
        <v>12000000</v>
      </c>
      <c r="P121" s="317">
        <f t="shared" si="34"/>
        <v>1</v>
      </c>
    </row>
    <row r="122" spans="1:16" ht="14.45" thickBot="1" x14ac:dyDescent="0.35">
      <c r="A122" s="322"/>
      <c r="B122" s="323"/>
      <c r="C122" s="376">
        <v>4045</v>
      </c>
      <c r="D122" s="377"/>
      <c r="E122" s="378"/>
      <c r="F122" s="326" t="s">
        <v>978</v>
      </c>
      <c r="G122" s="400">
        <f>SUM(G118:G121)</f>
        <v>44400000</v>
      </c>
      <c r="H122" s="328"/>
      <c r="I122" s="329"/>
      <c r="J122" s="329">
        <f t="shared" si="39"/>
        <v>0</v>
      </c>
      <c r="K122" s="330">
        <f t="shared" si="40"/>
        <v>0</v>
      </c>
      <c r="L122" s="329">
        <f t="shared" si="41"/>
        <v>44400000</v>
      </c>
      <c r="M122" s="329"/>
      <c r="N122" s="330">
        <f>+IF(G122&lt;&gt;0,M122/G122,0)</f>
        <v>0</v>
      </c>
      <c r="O122" s="329">
        <f t="shared" si="43"/>
        <v>44400000</v>
      </c>
      <c r="P122" s="331">
        <f t="shared" si="34"/>
        <v>1</v>
      </c>
    </row>
    <row r="123" spans="1:16" ht="37.5" customHeight="1" x14ac:dyDescent="0.3">
      <c r="A123" s="309"/>
      <c r="B123" s="310"/>
      <c r="C123" s="309"/>
      <c r="D123" s="311"/>
      <c r="E123" s="311"/>
      <c r="F123" s="379" t="s">
        <v>979</v>
      </c>
      <c r="G123" s="380"/>
      <c r="H123" s="319"/>
      <c r="I123" s="305"/>
      <c r="J123" s="314"/>
      <c r="K123" s="315"/>
      <c r="L123" s="314"/>
      <c r="M123" s="316"/>
      <c r="N123" s="315"/>
      <c r="O123" s="320"/>
      <c r="P123" s="317"/>
    </row>
    <row r="124" spans="1:16" ht="14.1" x14ac:dyDescent="0.3">
      <c r="A124" s="309"/>
      <c r="B124" s="310"/>
      <c r="C124" s="309" t="s">
        <v>172</v>
      </c>
      <c r="D124" s="311"/>
      <c r="E124" s="311"/>
      <c r="F124" s="287" t="s">
        <v>937</v>
      </c>
      <c r="G124" s="381">
        <f>11*40000*15</f>
        <v>6600000</v>
      </c>
      <c r="H124" s="319"/>
      <c r="I124" s="305"/>
      <c r="J124" s="314">
        <f t="shared" si="39"/>
        <v>0</v>
      </c>
      <c r="K124" s="315">
        <f t="shared" si="40"/>
        <v>0</v>
      </c>
      <c r="L124" s="314">
        <f t="shared" si="41"/>
        <v>6600000</v>
      </c>
      <c r="M124" s="314">
        <f>+L124/2</f>
        <v>3300000</v>
      </c>
      <c r="N124" s="315">
        <f t="shared" si="42"/>
        <v>0.5</v>
      </c>
      <c r="O124" s="320">
        <f t="shared" si="43"/>
        <v>3300000</v>
      </c>
      <c r="P124" s="317">
        <f t="shared" si="34"/>
        <v>0.5</v>
      </c>
    </row>
    <row r="125" spans="1:16" ht="14.45" thickBot="1" x14ac:dyDescent="0.35">
      <c r="A125" s="309"/>
      <c r="B125" s="310"/>
      <c r="C125" s="309" t="s">
        <v>172</v>
      </c>
      <c r="D125" s="311"/>
      <c r="E125" s="311"/>
      <c r="F125" s="287" t="s">
        <v>940</v>
      </c>
      <c r="G125" s="399">
        <f>11*20000*15</f>
        <v>3300000</v>
      </c>
      <c r="H125" s="319"/>
      <c r="I125" s="305"/>
      <c r="J125" s="314">
        <f t="shared" si="39"/>
        <v>0</v>
      </c>
      <c r="K125" s="315">
        <f t="shared" si="40"/>
        <v>0</v>
      </c>
      <c r="L125" s="314">
        <f t="shared" si="41"/>
        <v>3300000</v>
      </c>
      <c r="M125" s="314">
        <f>+L125/2</f>
        <v>1650000</v>
      </c>
      <c r="N125" s="315">
        <f t="shared" si="42"/>
        <v>0.5</v>
      </c>
      <c r="O125" s="320">
        <f t="shared" si="43"/>
        <v>1650000</v>
      </c>
      <c r="P125" s="317">
        <f t="shared" si="34"/>
        <v>0.5</v>
      </c>
    </row>
    <row r="126" spans="1:16" ht="14.45" thickBot="1" x14ac:dyDescent="0.35">
      <c r="A126" s="322"/>
      <c r="B126" s="323"/>
      <c r="C126" s="376">
        <v>4045</v>
      </c>
      <c r="D126" s="377"/>
      <c r="E126" s="378"/>
      <c r="F126" s="326" t="s">
        <v>980</v>
      </c>
      <c r="G126" s="400">
        <f>SUM(G124:G125)</f>
        <v>9900000</v>
      </c>
      <c r="H126" s="327">
        <f t="shared" ref="H126:O126" si="44">SUM(H124:H125)</f>
        <v>0</v>
      </c>
      <c r="I126" s="327">
        <f t="shared" si="44"/>
        <v>0</v>
      </c>
      <c r="J126" s="327">
        <f t="shared" si="44"/>
        <v>0</v>
      </c>
      <c r="K126" s="327">
        <f t="shared" si="44"/>
        <v>0</v>
      </c>
      <c r="L126" s="327">
        <f t="shared" si="44"/>
        <v>9900000</v>
      </c>
      <c r="M126" s="327">
        <f t="shared" si="44"/>
        <v>4950000</v>
      </c>
      <c r="N126" s="398">
        <f>+AVERAGE(N124:N125)</f>
        <v>0.5</v>
      </c>
      <c r="O126" s="327">
        <f t="shared" si="44"/>
        <v>4950000</v>
      </c>
      <c r="P126" s="331">
        <f t="shared" si="34"/>
        <v>0.5</v>
      </c>
    </row>
    <row r="127" spans="1:16" ht="14.1" x14ac:dyDescent="0.3">
      <c r="A127" s="309"/>
      <c r="B127" s="310"/>
      <c r="C127" s="309"/>
      <c r="D127" s="311"/>
      <c r="E127" s="311"/>
      <c r="F127" s="287"/>
      <c r="G127" s="318"/>
      <c r="H127" s="319"/>
      <c r="I127" s="305"/>
      <c r="J127" s="314"/>
      <c r="K127" s="315"/>
      <c r="L127" s="314"/>
      <c r="M127" s="316"/>
      <c r="N127" s="315"/>
      <c r="O127" s="320"/>
      <c r="P127" s="317"/>
    </row>
    <row r="128" spans="1:16" ht="14.45" thickBot="1" x14ac:dyDescent="0.35">
      <c r="A128" s="309"/>
      <c r="B128" s="310"/>
      <c r="C128" s="309"/>
      <c r="D128" s="339"/>
      <c r="E128" s="339"/>
      <c r="F128" s="401"/>
      <c r="G128" s="402"/>
      <c r="H128" s="319"/>
      <c r="I128" s="305"/>
      <c r="J128" s="314"/>
      <c r="K128" s="315"/>
      <c r="L128" s="314"/>
      <c r="M128" s="316"/>
      <c r="N128" s="315"/>
      <c r="O128" s="320"/>
      <c r="P128" s="317"/>
    </row>
    <row r="129" spans="1:16" s="283" customFormat="1" ht="14.45" thickBot="1" x14ac:dyDescent="0.35">
      <c r="A129" s="322"/>
      <c r="B129" s="323"/>
      <c r="C129" s="376">
        <v>4045</v>
      </c>
      <c r="D129" s="325">
        <v>5</v>
      </c>
      <c r="E129" s="325"/>
      <c r="F129" s="326" t="s">
        <v>981</v>
      </c>
      <c r="G129" s="325">
        <f>G122+G116+G83+G71+G60+G126+G79</f>
        <v>821620000</v>
      </c>
      <c r="H129" s="325">
        <f t="shared" ref="H129:O129" si="45">H122+H116+H83+H71+H60+H126+H79</f>
        <v>8029533</v>
      </c>
      <c r="I129" s="325">
        <f t="shared" si="45"/>
        <v>24000000</v>
      </c>
      <c r="J129" s="325">
        <f t="shared" si="45"/>
        <v>32029533</v>
      </c>
      <c r="K129" s="325"/>
      <c r="L129" s="325">
        <f t="shared" si="45"/>
        <v>789590467</v>
      </c>
      <c r="M129" s="325">
        <f t="shared" si="45"/>
        <v>185050000</v>
      </c>
      <c r="N129" s="325"/>
      <c r="O129" s="325">
        <f t="shared" si="45"/>
        <v>604540467</v>
      </c>
      <c r="P129" s="331">
        <f t="shared" si="34"/>
        <v>0.73579083639638765</v>
      </c>
    </row>
    <row r="130" spans="1:16" ht="14.45" thickBot="1" x14ac:dyDescent="0.35">
      <c r="A130" s="309"/>
      <c r="B130" s="310"/>
      <c r="C130" s="403"/>
      <c r="D130" s="287"/>
      <c r="E130" s="287"/>
      <c r="F130" s="287"/>
      <c r="G130" s="345"/>
      <c r="H130" s="404"/>
      <c r="I130" s="405"/>
      <c r="J130" s="405"/>
      <c r="K130" s="406"/>
      <c r="L130" s="405"/>
      <c r="M130" s="405"/>
      <c r="N130" s="406"/>
      <c r="O130" s="405"/>
      <c r="P130" s="407"/>
    </row>
    <row r="131" spans="1:16" ht="14.45" thickBot="1" x14ac:dyDescent="0.35">
      <c r="A131" s="322"/>
      <c r="B131" s="323"/>
      <c r="C131" s="408" t="s">
        <v>982</v>
      </c>
      <c r="D131" s="293"/>
      <c r="E131" s="409"/>
      <c r="F131" s="409"/>
      <c r="G131" s="325">
        <f t="shared" ref="G131:O131" si="46">+G13+G26+G40+G51+G129</f>
        <v>1260000000</v>
      </c>
      <c r="H131" s="328">
        <f t="shared" si="46"/>
        <v>88098229.310000002</v>
      </c>
      <c r="I131" s="329">
        <f>+I13+I26+I40+I51+I129</f>
        <v>44800840.920000002</v>
      </c>
      <c r="J131" s="410">
        <f>+J13+J26+J40+J51+J129</f>
        <v>132899070.23</v>
      </c>
      <c r="K131" s="411"/>
      <c r="L131" s="410">
        <f t="shared" si="46"/>
        <v>1127100929.77</v>
      </c>
      <c r="M131" s="410">
        <f t="shared" si="46"/>
        <v>286293750</v>
      </c>
      <c r="N131" s="411"/>
      <c r="O131" s="410">
        <f t="shared" si="46"/>
        <v>840807179.76999998</v>
      </c>
      <c r="P131" s="331">
        <f>+IF(+G131&lt;&gt;0,O131/G131,0)</f>
        <v>0.66730728553174601</v>
      </c>
    </row>
    <row r="132" spans="1:16" ht="14.1" x14ac:dyDescent="0.3">
      <c r="C132" s="288"/>
      <c r="D132" s="288"/>
      <c r="E132" s="287"/>
      <c r="F132" s="287"/>
    </row>
    <row r="133" spans="1:16" ht="14.1" x14ac:dyDescent="0.3">
      <c r="J133" s="467">
        <f>+J131/R2</f>
        <v>36547.244313249998</v>
      </c>
    </row>
    <row r="134" spans="1:16" ht="14.1" x14ac:dyDescent="0.3">
      <c r="F134" s="284" t="s">
        <v>983</v>
      </c>
    </row>
    <row r="136" spans="1:16" ht="14.1" x14ac:dyDescent="0.3">
      <c r="F136" s="412"/>
      <c r="G136" s="413"/>
    </row>
    <row r="137" spans="1:16" ht="14.1" x14ac:dyDescent="0.3">
      <c r="F137" s="414"/>
      <c r="G137" s="413"/>
    </row>
    <row r="138" spans="1:16" ht="14.1" x14ac:dyDescent="0.3">
      <c r="F138" s="413"/>
      <c r="G138" s="413"/>
    </row>
    <row r="139" spans="1:16" ht="15.6" x14ac:dyDescent="0.35">
      <c r="F139" s="415" t="s">
        <v>984</v>
      </c>
      <c r="G139" s="416"/>
      <c r="H139" s="417"/>
      <c r="I139" s="418"/>
      <c r="J139" s="417"/>
      <c r="K139" s="417"/>
      <c r="L139" s="417"/>
      <c r="M139" s="417"/>
      <c r="N139" s="417"/>
      <c r="O139" s="417"/>
    </row>
    <row r="140" spans="1:16" ht="15.6" x14ac:dyDescent="0.35">
      <c r="B140" s="419" t="s">
        <v>985</v>
      </c>
      <c r="D140" s="420"/>
      <c r="E140" s="420"/>
      <c r="F140" s="421" t="s">
        <v>986</v>
      </c>
      <c r="G140" s="417"/>
      <c r="H140" s="465"/>
      <c r="I140" s="465"/>
      <c r="J140" s="465"/>
      <c r="K140" s="417"/>
      <c r="L140" s="507">
        <v>44471</v>
      </c>
      <c r="M140" s="508"/>
      <c r="N140" s="508"/>
      <c r="O140" s="508"/>
    </row>
    <row r="141" spans="1:16" ht="20.45" x14ac:dyDescent="0.35">
      <c r="D141" s="509" t="s">
        <v>987</v>
      </c>
      <c r="E141" s="509"/>
      <c r="F141" s="510"/>
      <c r="G141" s="422"/>
      <c r="H141" s="466" t="s">
        <v>988</v>
      </c>
      <c r="I141" s="466"/>
      <c r="J141" s="466"/>
      <c r="K141" s="422"/>
      <c r="L141" s="510" t="s">
        <v>989</v>
      </c>
      <c r="M141" s="510"/>
      <c r="N141" s="510"/>
      <c r="O141" s="510"/>
    </row>
    <row r="142" spans="1:16" ht="17.45" x14ac:dyDescent="0.35">
      <c r="D142" s="422"/>
      <c r="E142" s="422"/>
      <c r="F142" s="422"/>
      <c r="G142" s="422"/>
      <c r="H142" s="422"/>
      <c r="I142" s="423"/>
      <c r="J142" s="422"/>
      <c r="K142" s="422"/>
      <c r="L142" s="422"/>
      <c r="M142" s="422"/>
      <c r="N142" s="422"/>
      <c r="O142" s="422"/>
    </row>
    <row r="143" spans="1:16" ht="17.45" x14ac:dyDescent="0.35">
      <c r="D143" s="422"/>
      <c r="E143" s="422"/>
      <c r="F143" s="422"/>
      <c r="G143" s="422"/>
      <c r="H143" s="422"/>
      <c r="I143" s="423"/>
      <c r="J143" s="422"/>
      <c r="K143" s="422"/>
      <c r="L143" s="422"/>
      <c r="M143" s="422"/>
      <c r="N143" s="422"/>
      <c r="O143" s="422"/>
    </row>
    <row r="150" spans="1:2" ht="14.1" x14ac:dyDescent="0.3">
      <c r="A150" s="424"/>
      <c r="B150" s="283"/>
    </row>
    <row r="151" spans="1:2" ht="14.1" x14ac:dyDescent="0.3">
      <c r="A151" s="424"/>
      <c r="B151" s="283"/>
    </row>
    <row r="152" spans="1:2" ht="14.1" x14ac:dyDescent="0.3">
      <c r="A152" s="424"/>
      <c r="B152" s="283"/>
    </row>
    <row r="153" spans="1:2" ht="14.1" x14ac:dyDescent="0.3">
      <c r="A153" s="424"/>
      <c r="B153" s="283"/>
    </row>
    <row r="154" spans="1:2" ht="14.1" x14ac:dyDescent="0.3">
      <c r="A154" s="424"/>
      <c r="B154" s="283"/>
    </row>
    <row r="155" spans="1:2" ht="14.1" x14ac:dyDescent="0.3">
      <c r="A155" s="424"/>
      <c r="B155" s="283"/>
    </row>
    <row r="156" spans="1:2" ht="14.1" x14ac:dyDescent="0.3">
      <c r="A156" s="424"/>
      <c r="B156" s="283"/>
    </row>
    <row r="157" spans="1:2" ht="14.1" x14ac:dyDescent="0.3">
      <c r="A157" s="424"/>
      <c r="B157" s="283"/>
    </row>
    <row r="158" spans="1:2" ht="14.1" x14ac:dyDescent="0.3">
      <c r="B158" s="283"/>
    </row>
    <row r="159" spans="1:2" ht="14.1" x14ac:dyDescent="0.3">
      <c r="B159" s="283"/>
    </row>
  </sheetData>
  <mergeCells count="3">
    <mergeCell ref="L140:O140"/>
    <mergeCell ref="D141:F141"/>
    <mergeCell ref="L141:O14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R55"/>
  <sheetViews>
    <sheetView topLeftCell="A2" zoomScale="70" zoomScaleNormal="70" workbookViewId="0">
      <selection activeCell="R2" sqref="R2"/>
    </sheetView>
  </sheetViews>
  <sheetFormatPr baseColWidth="10" defaultRowHeight="15" x14ac:dyDescent="0.25"/>
  <cols>
    <col min="6" max="6" width="73.140625" bestFit="1" customWidth="1"/>
    <col min="7" max="7" width="27.42578125" bestFit="1" customWidth="1"/>
    <col min="8" max="8" width="36.5703125" bestFit="1" customWidth="1"/>
    <col min="9" max="9" width="23.42578125" bestFit="1" customWidth="1"/>
    <col min="10" max="10" width="11.28515625" bestFit="1" customWidth="1"/>
    <col min="12" max="12" width="28.5703125" bestFit="1" customWidth="1"/>
    <col min="13" max="13" width="14.5703125" bestFit="1" customWidth="1"/>
    <col min="15" max="15" width="12.28515625" bestFit="1" customWidth="1"/>
    <col min="17" max="17" width="17.5703125" customWidth="1"/>
  </cols>
  <sheetData>
    <row r="1" spans="1:18" ht="90.75" thickBot="1" x14ac:dyDescent="0.3">
      <c r="A1" s="282"/>
      <c r="B1" s="282"/>
      <c r="C1" s="282"/>
      <c r="D1" s="282"/>
      <c r="E1" s="287"/>
      <c r="F1" s="287"/>
      <c r="G1" s="460" t="s">
        <v>873</v>
      </c>
      <c r="H1" s="461" t="s">
        <v>874</v>
      </c>
      <c r="I1" s="461" t="s">
        <v>875</v>
      </c>
      <c r="J1" s="462" t="s">
        <v>876</v>
      </c>
      <c r="K1" s="463"/>
      <c r="L1" s="461" t="s">
        <v>877</v>
      </c>
      <c r="M1" s="462" t="s">
        <v>878</v>
      </c>
      <c r="N1" s="463"/>
      <c r="O1" s="462" t="s">
        <v>879</v>
      </c>
      <c r="P1" s="464"/>
    </row>
    <row r="2" spans="1:18" ht="45.75" thickBot="1" x14ac:dyDescent="0.3">
      <c r="A2" s="289" t="s">
        <v>880</v>
      </c>
      <c r="B2" s="290" t="s">
        <v>881</v>
      </c>
      <c r="C2" s="291" t="s">
        <v>882</v>
      </c>
      <c r="D2" s="292" t="s">
        <v>883</v>
      </c>
      <c r="E2" s="292" t="s">
        <v>884</v>
      </c>
      <c r="F2" s="293" t="s">
        <v>885</v>
      </c>
      <c r="G2" s="294"/>
      <c r="H2" s="295"/>
      <c r="I2" s="296"/>
      <c r="J2" s="297" t="s">
        <v>886</v>
      </c>
      <c r="K2" s="298" t="s">
        <v>429</v>
      </c>
      <c r="L2" s="298"/>
      <c r="M2" s="297" t="s">
        <v>886</v>
      </c>
      <c r="N2" s="298" t="s">
        <v>429</v>
      </c>
      <c r="O2" s="297" t="s">
        <v>886</v>
      </c>
      <c r="P2" s="299" t="s">
        <v>429</v>
      </c>
      <c r="Q2" t="s">
        <v>1023</v>
      </c>
      <c r="R2" s="468">
        <v>3584.2293906810037</v>
      </c>
    </row>
    <row r="3" spans="1:18" x14ac:dyDescent="0.25">
      <c r="A3" s="309"/>
      <c r="B3" s="426"/>
      <c r="C3" s="427"/>
      <c r="D3" s="311"/>
      <c r="E3" s="311"/>
      <c r="F3" s="349"/>
      <c r="G3" s="359"/>
      <c r="H3" s="304"/>
      <c r="I3" s="305"/>
      <c r="J3" s="306"/>
      <c r="K3" s="334"/>
      <c r="L3" s="305"/>
      <c r="M3" s="305"/>
      <c r="N3" s="334"/>
      <c r="O3" s="305"/>
      <c r="P3" s="335"/>
    </row>
    <row r="4" spans="1:18" x14ac:dyDescent="0.25">
      <c r="A4" s="309"/>
      <c r="B4" s="426"/>
      <c r="C4" s="427"/>
      <c r="D4" s="336" t="s">
        <v>887</v>
      </c>
      <c r="E4" s="336"/>
      <c r="F4" s="288" t="s">
        <v>899</v>
      </c>
      <c r="G4" s="345"/>
      <c r="H4" s="304"/>
      <c r="I4" s="305"/>
      <c r="J4" s="306"/>
      <c r="K4" s="334"/>
      <c r="L4" s="305"/>
      <c r="M4" s="305"/>
      <c r="N4" s="334"/>
      <c r="O4" s="305"/>
      <c r="P4" s="335"/>
    </row>
    <row r="5" spans="1:18" x14ac:dyDescent="0.25">
      <c r="A5" s="309"/>
      <c r="B5" s="426"/>
      <c r="C5" s="427"/>
      <c r="D5" s="311" t="s">
        <v>198</v>
      </c>
      <c r="E5" s="311"/>
      <c r="F5" s="287" t="s">
        <v>990</v>
      </c>
      <c r="G5" s="318">
        <v>17145000</v>
      </c>
      <c r="H5" s="319">
        <v>1071563</v>
      </c>
      <c r="I5" s="428">
        <f>H5*3</f>
        <v>3214689</v>
      </c>
      <c r="J5" s="314">
        <f t="shared" ref="J5:J14" si="0">+H5+I5</f>
        <v>4286252</v>
      </c>
      <c r="K5" s="315">
        <f t="shared" ref="K5:K14" si="1">+IF(G5&lt;&gt;0,+J5/G5,0)</f>
        <v>0.25000011665208516</v>
      </c>
      <c r="L5" s="314">
        <f t="shared" ref="L5:L14" si="2">+G5-J5</f>
        <v>12858748</v>
      </c>
      <c r="M5" s="429">
        <f>1071563*3</f>
        <v>3214689</v>
      </c>
      <c r="N5" s="315">
        <f t="shared" ref="N5:N14" si="3">+IF(G5&lt;&gt;0,M5/G5,0)</f>
        <v>0.18750008748906385</v>
      </c>
      <c r="O5" s="320">
        <f t="shared" ref="O5:O14" si="4">+G5-J5-M5</f>
        <v>9644059</v>
      </c>
      <c r="P5" s="317">
        <f t="shared" ref="P5:P14" si="5">+IF(+G5&lt;&gt;0,O5/G5,0)</f>
        <v>0.56249979585885101</v>
      </c>
    </row>
    <row r="6" spans="1:18" x14ac:dyDescent="0.25">
      <c r="A6" s="309"/>
      <c r="B6" s="426"/>
      <c r="C6" s="427"/>
      <c r="D6" s="311" t="s">
        <v>198</v>
      </c>
      <c r="E6" s="311"/>
      <c r="F6" s="287" t="s">
        <v>991</v>
      </c>
      <c r="G6" s="318">
        <v>22500000</v>
      </c>
      <c r="H6" s="319">
        <v>0</v>
      </c>
      <c r="I6" s="428">
        <f>1500000*3</f>
        <v>4500000</v>
      </c>
      <c r="J6" s="314">
        <f t="shared" si="0"/>
        <v>4500000</v>
      </c>
      <c r="K6" s="315">
        <f t="shared" si="1"/>
        <v>0.2</v>
      </c>
      <c r="L6" s="314">
        <f t="shared" si="2"/>
        <v>18000000</v>
      </c>
      <c r="M6" s="429">
        <f>1500000*3</f>
        <v>4500000</v>
      </c>
      <c r="N6" s="315">
        <f t="shared" si="3"/>
        <v>0.2</v>
      </c>
      <c r="O6" s="320">
        <f t="shared" si="4"/>
        <v>13500000</v>
      </c>
      <c r="P6" s="317">
        <f t="shared" si="5"/>
        <v>0.6</v>
      </c>
    </row>
    <row r="7" spans="1:18" x14ac:dyDescent="0.25">
      <c r="A7" s="309"/>
      <c r="B7" s="426"/>
      <c r="C7" s="427"/>
      <c r="D7" s="311" t="s">
        <v>198</v>
      </c>
      <c r="E7" s="311"/>
      <c r="F7" s="287" t="s">
        <v>992</v>
      </c>
      <c r="G7" s="318">
        <v>11850000</v>
      </c>
      <c r="H7" s="319">
        <v>0</v>
      </c>
      <c r="I7" s="428">
        <f>790000*3</f>
        <v>2370000</v>
      </c>
      <c r="J7" s="314">
        <f t="shared" si="0"/>
        <v>2370000</v>
      </c>
      <c r="K7" s="315">
        <f t="shared" si="1"/>
        <v>0.2</v>
      </c>
      <c r="L7" s="314">
        <f t="shared" si="2"/>
        <v>9480000</v>
      </c>
      <c r="M7" s="429">
        <f>790000*3</f>
        <v>2370000</v>
      </c>
      <c r="N7" s="315">
        <f t="shared" si="3"/>
        <v>0.2</v>
      </c>
      <c r="O7" s="320">
        <f t="shared" si="4"/>
        <v>7110000</v>
      </c>
      <c r="P7" s="317">
        <f t="shared" si="5"/>
        <v>0.6</v>
      </c>
    </row>
    <row r="8" spans="1:18" x14ac:dyDescent="0.25">
      <c r="A8" s="309"/>
      <c r="B8" s="426"/>
      <c r="C8" s="427"/>
      <c r="D8" s="311" t="s">
        <v>198</v>
      </c>
      <c r="E8" s="311"/>
      <c r="F8" s="287" t="s">
        <v>993</v>
      </c>
      <c r="G8" s="318">
        <v>26460000</v>
      </c>
      <c r="H8" s="319"/>
      <c r="I8" s="428">
        <f>1890000*2</f>
        <v>3780000</v>
      </c>
      <c r="J8" s="314">
        <f t="shared" si="0"/>
        <v>3780000</v>
      </c>
      <c r="K8" s="315">
        <f t="shared" si="1"/>
        <v>0.14285714285714285</v>
      </c>
      <c r="L8" s="314">
        <f t="shared" si="2"/>
        <v>22680000</v>
      </c>
      <c r="M8" s="429">
        <f>1890000*3</f>
        <v>5670000</v>
      </c>
      <c r="N8" s="315">
        <f t="shared" si="3"/>
        <v>0.21428571428571427</v>
      </c>
      <c r="O8" s="320">
        <f t="shared" si="4"/>
        <v>17010000</v>
      </c>
      <c r="P8" s="317">
        <f t="shared" si="5"/>
        <v>0.6428571428571429</v>
      </c>
    </row>
    <row r="9" spans="1:18" x14ac:dyDescent="0.25">
      <c r="A9" s="309"/>
      <c r="B9" s="426"/>
      <c r="C9" s="427"/>
      <c r="D9" s="311" t="s">
        <v>198</v>
      </c>
      <c r="E9" s="311"/>
      <c r="F9" s="287" t="s">
        <v>994</v>
      </c>
      <c r="G9" s="318">
        <v>20300000</v>
      </c>
      <c r="H9" s="319"/>
      <c r="I9" s="428"/>
      <c r="J9" s="314">
        <f t="shared" si="0"/>
        <v>0</v>
      </c>
      <c r="K9" s="315">
        <f t="shared" si="1"/>
        <v>0</v>
      </c>
      <c r="L9" s="314">
        <f t="shared" si="2"/>
        <v>20300000</v>
      </c>
      <c r="M9" s="430">
        <f>2900000*3</f>
        <v>8700000</v>
      </c>
      <c r="N9" s="315">
        <f t="shared" si="3"/>
        <v>0.42857142857142855</v>
      </c>
      <c r="O9" s="320">
        <f t="shared" si="4"/>
        <v>11600000</v>
      </c>
      <c r="P9" s="317">
        <f t="shared" si="5"/>
        <v>0.5714285714285714</v>
      </c>
    </row>
    <row r="10" spans="1:18" x14ac:dyDescent="0.25">
      <c r="A10" s="309"/>
      <c r="B10" s="426"/>
      <c r="C10" s="427"/>
      <c r="D10" s="311" t="s">
        <v>198</v>
      </c>
      <c r="E10" s="311"/>
      <c r="F10" s="287" t="s">
        <v>995</v>
      </c>
      <c r="G10" s="318">
        <v>32500000</v>
      </c>
      <c r="H10" s="319"/>
      <c r="I10" s="428">
        <v>2000000</v>
      </c>
      <c r="J10" s="314">
        <f t="shared" si="0"/>
        <v>2000000</v>
      </c>
      <c r="K10" s="315">
        <f t="shared" si="1"/>
        <v>6.1538461538461542E-2</v>
      </c>
      <c r="L10" s="314">
        <f t="shared" si="2"/>
        <v>30500000</v>
      </c>
      <c r="M10" s="429">
        <f>2500000*3</f>
        <v>7500000</v>
      </c>
      <c r="N10" s="315">
        <f t="shared" si="3"/>
        <v>0.23076923076923078</v>
      </c>
      <c r="O10" s="320">
        <f t="shared" si="4"/>
        <v>23000000</v>
      </c>
      <c r="P10" s="317">
        <f t="shared" si="5"/>
        <v>0.70769230769230773</v>
      </c>
    </row>
    <row r="11" spans="1:18" x14ac:dyDescent="0.25">
      <c r="A11" s="309"/>
      <c r="B11" s="426"/>
      <c r="C11" s="427"/>
      <c r="D11" s="311" t="s">
        <v>198</v>
      </c>
      <c r="E11" s="311"/>
      <c r="F11" s="287" t="s">
        <v>996</v>
      </c>
      <c r="G11" s="318">
        <v>17500000</v>
      </c>
      <c r="H11" s="319"/>
      <c r="I11" s="428"/>
      <c r="J11" s="314">
        <f t="shared" si="0"/>
        <v>0</v>
      </c>
      <c r="K11" s="315">
        <f t="shared" si="1"/>
        <v>0</v>
      </c>
      <c r="L11" s="314">
        <f t="shared" si="2"/>
        <v>17500000</v>
      </c>
      <c r="M11" s="430"/>
      <c r="N11" s="315">
        <f t="shared" si="3"/>
        <v>0</v>
      </c>
      <c r="O11" s="320">
        <f t="shared" si="4"/>
        <v>17500000</v>
      </c>
      <c r="P11" s="317">
        <f t="shared" si="5"/>
        <v>1</v>
      </c>
    </row>
    <row r="12" spans="1:18" x14ac:dyDescent="0.25">
      <c r="A12" s="309"/>
      <c r="B12" s="426"/>
      <c r="C12" s="427"/>
      <c r="D12" s="311"/>
      <c r="E12" s="311"/>
      <c r="F12" s="287" t="s">
        <v>997</v>
      </c>
      <c r="G12" s="318">
        <v>18000000</v>
      </c>
      <c r="H12" s="319"/>
      <c r="I12" s="428"/>
      <c r="J12" s="314">
        <f t="shared" si="0"/>
        <v>0</v>
      </c>
      <c r="K12" s="315">
        <f t="shared" si="1"/>
        <v>0</v>
      </c>
      <c r="L12" s="314">
        <f t="shared" si="2"/>
        <v>18000000</v>
      </c>
      <c r="M12" s="430"/>
      <c r="N12" s="315">
        <f t="shared" si="3"/>
        <v>0</v>
      </c>
      <c r="O12" s="320">
        <f t="shared" si="4"/>
        <v>18000000</v>
      </c>
      <c r="P12" s="317">
        <f t="shared" si="5"/>
        <v>1</v>
      </c>
    </row>
    <row r="13" spans="1:18" x14ac:dyDescent="0.25">
      <c r="A13" s="309"/>
      <c r="B13" s="426"/>
      <c r="C13" s="427"/>
      <c r="D13" s="311"/>
      <c r="E13" s="311"/>
      <c r="F13" s="284"/>
      <c r="G13" s="318"/>
      <c r="H13" s="319"/>
      <c r="I13" s="305"/>
      <c r="J13" s="314">
        <f t="shared" si="0"/>
        <v>0</v>
      </c>
      <c r="K13" s="315">
        <f t="shared" si="1"/>
        <v>0</v>
      </c>
      <c r="L13" s="314">
        <f t="shared" si="2"/>
        <v>0</v>
      </c>
      <c r="M13" s="430"/>
      <c r="N13" s="315">
        <f t="shared" si="3"/>
        <v>0</v>
      </c>
      <c r="O13" s="320">
        <f t="shared" si="4"/>
        <v>0</v>
      </c>
      <c r="P13" s="317">
        <f t="shared" si="5"/>
        <v>0</v>
      </c>
    </row>
    <row r="14" spans="1:18" x14ac:dyDescent="0.25">
      <c r="A14" s="309"/>
      <c r="B14" s="426"/>
      <c r="C14" s="427"/>
      <c r="D14" s="339"/>
      <c r="E14" s="339"/>
      <c r="F14" s="284"/>
      <c r="G14" s="318"/>
      <c r="H14" s="319"/>
      <c r="I14" s="305"/>
      <c r="J14" s="314">
        <f t="shared" si="0"/>
        <v>0</v>
      </c>
      <c r="K14" s="315">
        <f t="shared" si="1"/>
        <v>0</v>
      </c>
      <c r="L14" s="314">
        <f t="shared" si="2"/>
        <v>0</v>
      </c>
      <c r="M14" s="430"/>
      <c r="N14" s="315">
        <f t="shared" si="3"/>
        <v>0</v>
      </c>
      <c r="O14" s="320">
        <f t="shared" si="4"/>
        <v>0</v>
      </c>
      <c r="P14" s="317">
        <f t="shared" si="5"/>
        <v>0</v>
      </c>
    </row>
    <row r="15" spans="1:18" ht="15.75" thickBot="1" x14ac:dyDescent="0.3">
      <c r="A15" s="309"/>
      <c r="B15" s="426"/>
      <c r="C15" s="324">
        <v>4042</v>
      </c>
      <c r="D15" s="341">
        <v>1</v>
      </c>
      <c r="E15" s="341"/>
      <c r="F15" s="326" t="s">
        <v>910</v>
      </c>
      <c r="G15" s="325">
        <f t="shared" ref="G15:O15" si="6">SUM(G5:G14)</f>
        <v>166255000</v>
      </c>
      <c r="H15" s="431">
        <f t="shared" si="6"/>
        <v>1071563</v>
      </c>
      <c r="I15" s="432">
        <f>SUM(I5:I14)</f>
        <v>15864689</v>
      </c>
      <c r="J15" s="432">
        <f t="shared" si="6"/>
        <v>16936252</v>
      </c>
      <c r="K15" s="433">
        <f t="shared" si="6"/>
        <v>0.85439572104768957</v>
      </c>
      <c r="L15" s="432">
        <f t="shared" si="6"/>
        <v>149318748</v>
      </c>
      <c r="M15" s="432">
        <f t="shared" si="6"/>
        <v>31954689</v>
      </c>
      <c r="N15" s="433">
        <f t="shared" si="6"/>
        <v>1.4611264611154375</v>
      </c>
      <c r="O15" s="432">
        <f t="shared" si="6"/>
        <v>117364059</v>
      </c>
      <c r="P15" s="434">
        <f>SUM(P5:P14)</f>
        <v>5.6844778178368731</v>
      </c>
    </row>
    <row r="16" spans="1:18" x14ac:dyDescent="0.25">
      <c r="A16" s="300"/>
      <c r="B16" s="435"/>
      <c r="C16" s="436"/>
      <c r="D16" s="342"/>
      <c r="E16" s="342"/>
      <c r="F16" s="287"/>
      <c r="G16" s="343"/>
      <c r="H16" s="437"/>
      <c r="I16" s="438"/>
      <c r="J16" s="439"/>
      <c r="K16" s="440"/>
      <c r="L16" s="438"/>
      <c r="M16" s="438"/>
      <c r="N16" s="440"/>
      <c r="O16" s="438"/>
      <c r="P16" s="441"/>
    </row>
    <row r="17" spans="1:16" x14ac:dyDescent="0.25">
      <c r="A17" s="309"/>
      <c r="B17" s="426"/>
      <c r="C17" s="427"/>
      <c r="D17" s="336" t="s">
        <v>898</v>
      </c>
      <c r="E17" s="336"/>
      <c r="F17" s="344" t="s">
        <v>912</v>
      </c>
      <c r="G17" s="345"/>
      <c r="H17" s="369"/>
      <c r="I17" s="305"/>
      <c r="J17" s="306"/>
      <c r="K17" s="334"/>
      <c r="L17" s="305"/>
      <c r="M17" s="305"/>
      <c r="N17" s="334"/>
      <c r="O17" s="305"/>
      <c r="P17" s="335"/>
    </row>
    <row r="18" spans="1:16" x14ac:dyDescent="0.25">
      <c r="A18" s="309"/>
      <c r="B18" s="426"/>
      <c r="C18" s="427"/>
      <c r="D18" s="311" t="s">
        <v>198</v>
      </c>
      <c r="E18" s="311"/>
      <c r="F18" s="287" t="s">
        <v>998</v>
      </c>
      <c r="G18" s="318">
        <v>40950000</v>
      </c>
      <c r="H18" s="442"/>
      <c r="I18" s="305"/>
      <c r="J18" s="314">
        <f t="shared" ref="J18:J27" si="7">+H18+I18</f>
        <v>0</v>
      </c>
      <c r="K18" s="315">
        <f t="shared" ref="K18:K27" si="8">+IF(G18&lt;&gt;0,+J18/G18,0)</f>
        <v>0</v>
      </c>
      <c r="L18" s="314">
        <f t="shared" ref="L18:L27" si="9">+G18-J18</f>
        <v>40950000</v>
      </c>
      <c r="M18" s="429">
        <v>16635937</v>
      </c>
      <c r="N18" s="315">
        <f t="shared" ref="N18:N27" si="10">+IF(G18&lt;&gt;0,M18/G18,0)</f>
        <v>0.40624998778998778</v>
      </c>
      <c r="O18" s="320">
        <f t="shared" ref="O18:O27" si="11">+G18-J18-M18</f>
        <v>24314063</v>
      </c>
      <c r="P18" s="317">
        <f t="shared" ref="P18:P27" si="12">+IF(+G18&lt;&gt;0,O18/G18,0)</f>
        <v>0.59375001221001222</v>
      </c>
    </row>
    <row r="19" spans="1:16" x14ac:dyDescent="0.25">
      <c r="A19" s="309"/>
      <c r="B19" s="426"/>
      <c r="C19" s="427"/>
      <c r="D19" s="311" t="s">
        <v>198</v>
      </c>
      <c r="E19" s="311"/>
      <c r="F19" s="287" t="s">
        <v>999</v>
      </c>
      <c r="G19" s="318">
        <v>2880000</v>
      </c>
      <c r="H19" s="442"/>
      <c r="I19" s="305"/>
      <c r="J19" s="314">
        <f t="shared" si="7"/>
        <v>0</v>
      </c>
      <c r="K19" s="315">
        <f t="shared" si="8"/>
        <v>0</v>
      </c>
      <c r="L19" s="314">
        <f t="shared" si="9"/>
        <v>2880000</v>
      </c>
      <c r="M19" s="429">
        <f>180000*3</f>
        <v>540000</v>
      </c>
      <c r="N19" s="315">
        <f t="shared" si="10"/>
        <v>0.1875</v>
      </c>
      <c r="O19" s="320">
        <f t="shared" si="11"/>
        <v>2340000</v>
      </c>
      <c r="P19" s="317">
        <f t="shared" si="12"/>
        <v>0.8125</v>
      </c>
    </row>
    <row r="20" spans="1:16" x14ac:dyDescent="0.25">
      <c r="A20" s="309"/>
      <c r="B20" s="426"/>
      <c r="C20" s="427"/>
      <c r="D20" s="311" t="s">
        <v>198</v>
      </c>
      <c r="E20" s="311"/>
      <c r="F20" s="287" t="s">
        <v>1000</v>
      </c>
      <c r="G20" s="318">
        <v>3209999.9000000097</v>
      </c>
      <c r="H20" s="442"/>
      <c r="I20" s="305"/>
      <c r="J20" s="314">
        <f t="shared" si="7"/>
        <v>0</v>
      </c>
      <c r="K20" s="315">
        <f t="shared" si="8"/>
        <v>0</v>
      </c>
      <c r="L20" s="314">
        <f t="shared" si="9"/>
        <v>3209999.9000000097</v>
      </c>
      <c r="M20" s="429">
        <f>200624.993750001*3</f>
        <v>601874.98125000298</v>
      </c>
      <c r="N20" s="315">
        <f t="shared" si="10"/>
        <v>0.18750000000000036</v>
      </c>
      <c r="O20" s="320">
        <f t="shared" si="11"/>
        <v>2608124.9187500067</v>
      </c>
      <c r="P20" s="317">
        <f t="shared" si="12"/>
        <v>0.81249999999999967</v>
      </c>
    </row>
    <row r="21" spans="1:16" x14ac:dyDescent="0.25">
      <c r="A21" s="309"/>
      <c r="B21" s="426"/>
      <c r="C21" s="427"/>
      <c r="D21" s="311" t="s">
        <v>198</v>
      </c>
      <c r="E21" s="311"/>
      <c r="F21" s="287" t="s">
        <v>1001</v>
      </c>
      <c r="G21" s="318">
        <v>3025000.0500000003</v>
      </c>
      <c r="H21" s="442"/>
      <c r="I21" s="305"/>
      <c r="J21" s="314">
        <f t="shared" si="7"/>
        <v>0</v>
      </c>
      <c r="K21" s="315">
        <f t="shared" si="8"/>
        <v>0</v>
      </c>
      <c r="L21" s="314">
        <f t="shared" si="9"/>
        <v>3025000.0500000003</v>
      </c>
      <c r="M21" s="429">
        <f>189062.503125*3</f>
        <v>567187.50937499991</v>
      </c>
      <c r="N21" s="315">
        <f t="shared" si="10"/>
        <v>0.18749999999999994</v>
      </c>
      <c r="O21" s="320">
        <f t="shared" si="11"/>
        <v>2457812.5406250004</v>
      </c>
      <c r="P21" s="317">
        <f t="shared" si="12"/>
        <v>0.8125</v>
      </c>
    </row>
    <row r="22" spans="1:16" x14ac:dyDescent="0.25">
      <c r="A22" s="309"/>
      <c r="B22" s="426"/>
      <c r="C22" s="427"/>
      <c r="D22" s="311" t="s">
        <v>198</v>
      </c>
      <c r="E22" s="311"/>
      <c r="F22" s="287" t="s">
        <v>1002</v>
      </c>
      <c r="G22" s="318">
        <v>5470000</v>
      </c>
      <c r="H22" s="442"/>
      <c r="I22" s="305"/>
      <c r="J22" s="314">
        <f t="shared" si="7"/>
        <v>0</v>
      </c>
      <c r="K22" s="315">
        <f t="shared" si="8"/>
        <v>0</v>
      </c>
      <c r="L22" s="314">
        <f t="shared" si="9"/>
        <v>5470000</v>
      </c>
      <c r="M22" s="429">
        <v>700000</v>
      </c>
      <c r="N22" s="315">
        <f t="shared" si="10"/>
        <v>0.12797074954296161</v>
      </c>
      <c r="O22" s="320">
        <f t="shared" si="11"/>
        <v>4770000</v>
      </c>
      <c r="P22" s="317">
        <f t="shared" si="12"/>
        <v>0.87202925045703839</v>
      </c>
    </row>
    <row r="23" spans="1:16" x14ac:dyDescent="0.25">
      <c r="A23" s="309"/>
      <c r="B23" s="426"/>
      <c r="C23" s="427"/>
      <c r="D23" s="311" t="s">
        <v>198</v>
      </c>
      <c r="E23" s="311"/>
      <c r="F23" s="287" t="s">
        <v>1003</v>
      </c>
      <c r="G23" s="318">
        <v>15000000</v>
      </c>
      <c r="H23" s="442">
        <v>0</v>
      </c>
      <c r="I23" s="443">
        <v>290000</v>
      </c>
      <c r="J23" s="314">
        <f t="shared" si="7"/>
        <v>290000</v>
      </c>
      <c r="K23" s="315">
        <f t="shared" si="8"/>
        <v>1.9333333333333334E-2</v>
      </c>
      <c r="L23" s="314">
        <f t="shared" si="9"/>
        <v>14710000</v>
      </c>
      <c r="M23" s="429">
        <f>937500*3</f>
        <v>2812500</v>
      </c>
      <c r="N23" s="315">
        <f t="shared" si="10"/>
        <v>0.1875</v>
      </c>
      <c r="O23" s="320">
        <f t="shared" si="11"/>
        <v>11897500</v>
      </c>
      <c r="P23" s="317">
        <f t="shared" si="12"/>
        <v>0.79316666666666669</v>
      </c>
    </row>
    <row r="24" spans="1:16" x14ac:dyDescent="0.25">
      <c r="A24" s="309"/>
      <c r="B24" s="426"/>
      <c r="C24" s="427"/>
      <c r="D24" s="311" t="s">
        <v>198</v>
      </c>
      <c r="E24" s="311"/>
      <c r="F24" s="287" t="s">
        <v>1004</v>
      </c>
      <c r="G24" s="318">
        <v>6165000</v>
      </c>
      <c r="H24" s="442">
        <v>0</v>
      </c>
      <c r="I24" s="320">
        <f>19000</f>
        <v>19000</v>
      </c>
      <c r="J24" s="314">
        <f t="shared" si="7"/>
        <v>19000</v>
      </c>
      <c r="K24" s="315">
        <f t="shared" si="8"/>
        <v>3.0819140308191405E-3</v>
      </c>
      <c r="L24" s="314">
        <f t="shared" si="9"/>
        <v>6146000</v>
      </c>
      <c r="M24" s="429">
        <f>385312.5*3</f>
        <v>1155937.5</v>
      </c>
      <c r="N24" s="315">
        <f t="shared" si="10"/>
        <v>0.1875</v>
      </c>
      <c r="O24" s="320">
        <f t="shared" si="11"/>
        <v>4990062.5</v>
      </c>
      <c r="P24" s="317">
        <f t="shared" si="12"/>
        <v>0.80941808596918086</v>
      </c>
    </row>
    <row r="25" spans="1:16" x14ac:dyDescent="0.25">
      <c r="A25" s="309"/>
      <c r="B25" s="426"/>
      <c r="C25" s="427"/>
      <c r="D25" s="311" t="s">
        <v>198</v>
      </c>
      <c r="E25" s="311"/>
      <c r="F25" s="287" t="s">
        <v>1005</v>
      </c>
      <c r="G25" s="318">
        <v>3750000</v>
      </c>
      <c r="H25" s="442"/>
      <c r="I25" s="305"/>
      <c r="J25" s="314">
        <f t="shared" si="7"/>
        <v>0</v>
      </c>
      <c r="K25" s="315">
        <f t="shared" si="8"/>
        <v>0</v>
      </c>
      <c r="L25" s="314">
        <f t="shared" si="9"/>
        <v>3750000</v>
      </c>
      <c r="M25" s="429">
        <f>234375*3</f>
        <v>703125</v>
      </c>
      <c r="N25" s="315">
        <f t="shared" si="10"/>
        <v>0.1875</v>
      </c>
      <c r="O25" s="320">
        <f t="shared" si="11"/>
        <v>3046875</v>
      </c>
      <c r="P25" s="317">
        <f t="shared" si="12"/>
        <v>0.8125</v>
      </c>
    </row>
    <row r="26" spans="1:16" x14ac:dyDescent="0.25">
      <c r="A26" s="309"/>
      <c r="B26" s="426"/>
      <c r="C26" s="427"/>
      <c r="D26" s="311" t="s">
        <v>198</v>
      </c>
      <c r="E26" s="311"/>
      <c r="F26" s="444" t="s">
        <v>1006</v>
      </c>
      <c r="G26" s="318">
        <v>7500000</v>
      </c>
      <c r="H26" s="445">
        <v>5220.49</v>
      </c>
      <c r="I26" s="446">
        <v>62557.599999999999</v>
      </c>
      <c r="J26" s="382">
        <f t="shared" si="7"/>
        <v>67778.09</v>
      </c>
      <c r="K26" s="315">
        <f t="shared" si="8"/>
        <v>9.0370786666666668E-3</v>
      </c>
      <c r="L26" s="314">
        <f t="shared" si="9"/>
        <v>7432221.9100000001</v>
      </c>
      <c r="M26" s="429">
        <v>600000</v>
      </c>
      <c r="N26" s="315">
        <f t="shared" si="10"/>
        <v>0.08</v>
      </c>
      <c r="O26" s="320">
        <f t="shared" si="11"/>
        <v>6832221.9100000001</v>
      </c>
      <c r="P26" s="317">
        <f t="shared" si="12"/>
        <v>0.91096292133333334</v>
      </c>
    </row>
    <row r="27" spans="1:16" x14ac:dyDescent="0.25">
      <c r="A27" s="309"/>
      <c r="B27" s="426"/>
      <c r="C27" s="427"/>
      <c r="D27" s="339"/>
      <c r="E27" s="339"/>
      <c r="F27" s="348"/>
      <c r="G27" s="318"/>
      <c r="H27" s="442"/>
      <c r="I27" s="447"/>
      <c r="J27" s="314">
        <f t="shared" si="7"/>
        <v>0</v>
      </c>
      <c r="K27" s="315">
        <f t="shared" si="8"/>
        <v>0</v>
      </c>
      <c r="L27" s="314">
        <f t="shared" si="9"/>
        <v>0</v>
      </c>
      <c r="M27" s="316"/>
      <c r="N27" s="315">
        <f t="shared" si="10"/>
        <v>0</v>
      </c>
      <c r="O27" s="320">
        <f t="shared" si="11"/>
        <v>0</v>
      </c>
      <c r="P27" s="317">
        <f t="shared" si="12"/>
        <v>0</v>
      </c>
    </row>
    <row r="28" spans="1:16" ht="15.75" thickBot="1" x14ac:dyDescent="0.3">
      <c r="A28" s="322"/>
      <c r="B28" s="448"/>
      <c r="C28" s="324">
        <v>4043</v>
      </c>
      <c r="D28" s="325">
        <v>2</v>
      </c>
      <c r="E28" s="325"/>
      <c r="F28" s="326" t="s">
        <v>923</v>
      </c>
      <c r="G28" s="325">
        <f t="shared" ref="G28:P28" si="13">SUM(G18:G27)</f>
        <v>87949999.950000003</v>
      </c>
      <c r="H28" s="449">
        <f t="shared" si="13"/>
        <v>5220.49</v>
      </c>
      <c r="I28" s="329">
        <f t="shared" si="13"/>
        <v>371557.6</v>
      </c>
      <c r="J28" s="410">
        <f t="shared" si="13"/>
        <v>376778.08999999997</v>
      </c>
      <c r="K28" s="450">
        <f t="shared" si="13"/>
        <v>3.1452326030819142E-2</v>
      </c>
      <c r="L28" s="410">
        <f t="shared" si="13"/>
        <v>87573221.859999999</v>
      </c>
      <c r="M28" s="410">
        <f t="shared" si="13"/>
        <v>24316561.990625001</v>
      </c>
      <c r="N28" s="450">
        <f t="shared" si="13"/>
        <v>1.7392207373329498</v>
      </c>
      <c r="O28" s="410">
        <f t="shared" si="13"/>
        <v>63256659.869375005</v>
      </c>
      <c r="P28" s="451">
        <f t="shared" si="13"/>
        <v>7.229326936636232</v>
      </c>
    </row>
    <row r="29" spans="1:16" x14ac:dyDescent="0.25">
      <c r="A29" s="309"/>
      <c r="B29" s="426"/>
      <c r="C29" s="427"/>
      <c r="D29" s="337"/>
      <c r="E29" s="337"/>
      <c r="F29" s="349"/>
      <c r="G29" s="350"/>
      <c r="H29" s="304"/>
      <c r="I29" s="305"/>
      <c r="J29" s="306"/>
      <c r="K29" s="334"/>
      <c r="L29" s="305"/>
      <c r="M29" s="305"/>
      <c r="N29" s="334"/>
      <c r="O29" s="305"/>
      <c r="P29" s="335"/>
    </row>
    <row r="30" spans="1:16" x14ac:dyDescent="0.25">
      <c r="A30" s="309"/>
      <c r="B30" s="426"/>
      <c r="C30" s="427"/>
      <c r="D30" s="336">
        <v>3</v>
      </c>
      <c r="E30" s="336"/>
      <c r="F30" s="344" t="s">
        <v>925</v>
      </c>
      <c r="G30" s="343"/>
      <c r="H30" s="304"/>
      <c r="I30" s="305"/>
      <c r="J30" s="306"/>
      <c r="K30" s="334"/>
      <c r="L30" s="305"/>
      <c r="M30" s="305"/>
      <c r="N30" s="334"/>
      <c r="O30" s="305"/>
      <c r="P30" s="335"/>
    </row>
    <row r="31" spans="1:16" x14ac:dyDescent="0.25">
      <c r="A31" s="309"/>
      <c r="B31" s="426"/>
      <c r="C31" s="427"/>
      <c r="D31" s="311" t="s">
        <v>198</v>
      </c>
      <c r="E31" s="311"/>
      <c r="F31" s="287" t="s">
        <v>1007</v>
      </c>
      <c r="G31" s="318">
        <v>35550000</v>
      </c>
      <c r="H31" s="319">
        <v>0</v>
      </c>
      <c r="I31" s="443">
        <v>1863800</v>
      </c>
      <c r="J31" s="314">
        <f t="shared" ref="J31:J35" si="14">+H31+I31</f>
        <v>1863800</v>
      </c>
      <c r="K31" s="315">
        <f t="shared" ref="K31:K35" si="15">+IF(G31&lt;&gt;0,+J31/G31,0)</f>
        <v>5.2427566807313641E-2</v>
      </c>
      <c r="L31" s="314">
        <f t="shared" ref="L31:L35" si="16">+G31-J31</f>
        <v>33686200</v>
      </c>
      <c r="M31" s="429">
        <f>95000*60*3</f>
        <v>17100000</v>
      </c>
      <c r="N31" s="315">
        <f t="shared" ref="N31:N35" si="17">+IF(G31&lt;&gt;0,M31/G31,0)</f>
        <v>0.48101265822784811</v>
      </c>
      <c r="O31" s="320">
        <f t="shared" ref="O31:O35" si="18">+G31-J31-M31</f>
        <v>16586200</v>
      </c>
      <c r="P31" s="317">
        <f t="shared" ref="P31:P35" si="19">+IF(+G31&lt;&gt;0,O31/G31,0)</f>
        <v>0.46655977496483825</v>
      </c>
    </row>
    <row r="32" spans="1:16" x14ac:dyDescent="0.25">
      <c r="A32" s="309"/>
      <c r="B32" s="426"/>
      <c r="C32" s="427"/>
      <c r="D32" s="311" t="s">
        <v>198</v>
      </c>
      <c r="E32" s="311"/>
      <c r="F32" s="287" t="s">
        <v>1008</v>
      </c>
      <c r="G32" s="318">
        <v>18960000</v>
      </c>
      <c r="H32" s="319"/>
      <c r="I32" s="443">
        <v>892950</v>
      </c>
      <c r="J32" s="314">
        <f t="shared" si="14"/>
        <v>892950</v>
      </c>
      <c r="K32" s="315">
        <f t="shared" si="15"/>
        <v>4.7096518987341775E-2</v>
      </c>
      <c r="L32" s="314">
        <f t="shared" si="16"/>
        <v>18067050</v>
      </c>
      <c r="M32" s="429">
        <f>72000*60*3</f>
        <v>12960000</v>
      </c>
      <c r="N32" s="315">
        <f t="shared" si="17"/>
        <v>0.68354430379746833</v>
      </c>
      <c r="O32" s="320">
        <f t="shared" si="18"/>
        <v>5107050</v>
      </c>
      <c r="P32" s="317">
        <f t="shared" si="19"/>
        <v>0.26935917721518987</v>
      </c>
    </row>
    <row r="33" spans="1:16" x14ac:dyDescent="0.25">
      <c r="A33" s="309"/>
      <c r="B33" s="426"/>
      <c r="C33" s="427"/>
      <c r="D33" s="311" t="s">
        <v>198</v>
      </c>
      <c r="E33" s="311"/>
      <c r="F33" s="287" t="s">
        <v>1009</v>
      </c>
      <c r="G33" s="318">
        <v>15000000</v>
      </c>
      <c r="H33" s="319"/>
      <c r="I33" s="443">
        <v>1786030</v>
      </c>
      <c r="J33" s="314">
        <f t="shared" si="14"/>
        <v>1786030</v>
      </c>
      <c r="K33" s="315">
        <f t="shared" si="15"/>
        <v>0.11906866666666667</v>
      </c>
      <c r="L33" s="314">
        <f t="shared" si="16"/>
        <v>13213970</v>
      </c>
      <c r="M33" s="429">
        <f>1400000*3</f>
        <v>4200000</v>
      </c>
      <c r="N33" s="315">
        <f t="shared" si="17"/>
        <v>0.28000000000000003</v>
      </c>
      <c r="O33" s="320">
        <f t="shared" si="18"/>
        <v>9013970</v>
      </c>
      <c r="P33" s="317">
        <f t="shared" si="19"/>
        <v>0.60093133333333337</v>
      </c>
    </row>
    <row r="34" spans="1:16" x14ac:dyDescent="0.25">
      <c r="A34" s="309"/>
      <c r="B34" s="426"/>
      <c r="C34" s="427"/>
      <c r="D34" s="311" t="s">
        <v>198</v>
      </c>
      <c r="E34" s="311"/>
      <c r="F34" s="287" t="s">
        <v>1010</v>
      </c>
      <c r="G34" s="318">
        <v>52650000</v>
      </c>
      <c r="H34" s="319"/>
      <c r="I34" s="320">
        <v>1795200</v>
      </c>
      <c r="J34" s="314">
        <f t="shared" si="14"/>
        <v>1795200</v>
      </c>
      <c r="K34" s="315">
        <f t="shared" si="15"/>
        <v>3.4096866096866095E-2</v>
      </c>
      <c r="L34" s="314">
        <f t="shared" si="16"/>
        <v>50854800</v>
      </c>
      <c r="M34" s="429">
        <v>12000000</v>
      </c>
      <c r="N34" s="315">
        <f t="shared" si="17"/>
        <v>0.22792022792022792</v>
      </c>
      <c r="O34" s="320">
        <f t="shared" si="18"/>
        <v>38854800</v>
      </c>
      <c r="P34" s="317">
        <f t="shared" si="19"/>
        <v>0.73798290598290595</v>
      </c>
    </row>
    <row r="35" spans="1:16" x14ac:dyDescent="0.25">
      <c r="A35" s="309"/>
      <c r="B35" s="426"/>
      <c r="C35" s="427"/>
      <c r="D35" s="311" t="s">
        <v>198</v>
      </c>
      <c r="E35" s="311"/>
      <c r="F35" s="287" t="s">
        <v>1011</v>
      </c>
      <c r="G35" s="318">
        <v>8650000</v>
      </c>
      <c r="H35" s="319"/>
      <c r="I35" s="305"/>
      <c r="J35" s="314">
        <f t="shared" si="14"/>
        <v>0</v>
      </c>
      <c r="K35" s="315">
        <f t="shared" si="15"/>
        <v>0</v>
      </c>
      <c r="L35" s="314">
        <f t="shared" si="16"/>
        <v>8650000</v>
      </c>
      <c r="M35" s="316"/>
      <c r="N35" s="315">
        <f t="shared" si="17"/>
        <v>0</v>
      </c>
      <c r="O35" s="320">
        <f t="shared" si="18"/>
        <v>8650000</v>
      </c>
      <c r="P35" s="317">
        <f t="shared" si="19"/>
        <v>1</v>
      </c>
    </row>
    <row r="36" spans="1:16" ht="15.75" thickBot="1" x14ac:dyDescent="0.3">
      <c r="A36" s="351"/>
      <c r="B36" s="452"/>
      <c r="C36" s="353">
        <v>4044</v>
      </c>
      <c r="D36" s="341">
        <v>3</v>
      </c>
      <c r="E36" s="341"/>
      <c r="F36" s="326" t="s">
        <v>932</v>
      </c>
      <c r="G36" s="325">
        <f t="shared" ref="G36:P36" si="20">SUM(G31:G35)</f>
        <v>130810000</v>
      </c>
      <c r="H36" s="449">
        <f t="shared" si="20"/>
        <v>0</v>
      </c>
      <c r="I36" s="410">
        <f t="shared" si="20"/>
        <v>6337980</v>
      </c>
      <c r="J36" s="410">
        <f t="shared" si="20"/>
        <v>6337980</v>
      </c>
      <c r="K36" s="450">
        <f t="shared" si="20"/>
        <v>0.25268961855818817</v>
      </c>
      <c r="L36" s="410">
        <f t="shared" si="20"/>
        <v>124472020</v>
      </c>
      <c r="M36" s="410">
        <f t="shared" si="20"/>
        <v>46260000</v>
      </c>
      <c r="N36" s="450">
        <f t="shared" si="20"/>
        <v>1.6724771899455444</v>
      </c>
      <c r="O36" s="410">
        <f t="shared" si="20"/>
        <v>78212020</v>
      </c>
      <c r="P36" s="451">
        <f t="shared" si="20"/>
        <v>3.0748331914962677</v>
      </c>
    </row>
    <row r="37" spans="1:16" x14ac:dyDescent="0.25">
      <c r="A37" s="355"/>
      <c r="B37" s="453"/>
      <c r="C37" s="454"/>
      <c r="D37" s="357"/>
      <c r="E37" s="357"/>
      <c r="F37" s="455"/>
      <c r="G37" s="359"/>
      <c r="H37" s="360"/>
      <c r="I37" s="361"/>
      <c r="J37" s="362"/>
      <c r="K37" s="363"/>
      <c r="L37" s="361"/>
      <c r="M37" s="361"/>
      <c r="N37" s="363"/>
      <c r="O37" s="361"/>
      <c r="P37" s="364"/>
    </row>
    <row r="38" spans="1:16" x14ac:dyDescent="0.25">
      <c r="A38" s="351"/>
      <c r="B38" s="452"/>
      <c r="C38" s="456"/>
      <c r="D38" s="365" t="s">
        <v>924</v>
      </c>
      <c r="E38" s="365"/>
      <c r="F38" s="457" t="s">
        <v>935</v>
      </c>
      <c r="G38" s="345"/>
      <c r="H38" s="360"/>
      <c r="I38" s="361"/>
      <c r="J38" s="362"/>
      <c r="K38" s="363"/>
      <c r="L38" s="361"/>
      <c r="M38" s="361"/>
      <c r="N38" s="363"/>
      <c r="O38" s="361"/>
      <c r="P38" s="364"/>
    </row>
    <row r="39" spans="1:16" x14ac:dyDescent="0.25">
      <c r="A39" s="309"/>
      <c r="B39" s="426"/>
      <c r="C39" s="427"/>
      <c r="D39" s="311" t="s">
        <v>198</v>
      </c>
      <c r="E39" s="311"/>
      <c r="F39" s="287" t="s">
        <v>1012</v>
      </c>
      <c r="G39" s="312"/>
      <c r="H39" s="319"/>
      <c r="I39" s="305"/>
      <c r="J39" s="314">
        <f t="shared" ref="J39:J49" si="21">+H39+I39</f>
        <v>0</v>
      </c>
      <c r="K39" s="315">
        <f t="shared" ref="K39:K49" si="22">+IF(G39&lt;&gt;0,+J39/G39,0)</f>
        <v>0</v>
      </c>
      <c r="L39" s="314">
        <f t="shared" ref="L39:L49" si="23">+G39-J39</f>
        <v>0</v>
      </c>
      <c r="M39" s="316"/>
      <c r="N39" s="315">
        <f t="shared" ref="N39:N49" si="24">+IF(G39&lt;&gt;0,M39/G39,0)</f>
        <v>0</v>
      </c>
      <c r="O39" s="320">
        <f t="shared" ref="O39:O49" si="25">+G39-J39-M39</f>
        <v>0</v>
      </c>
      <c r="P39" s="317">
        <f t="shared" ref="P39:P49" si="26">+IF(+G39&lt;&gt;0,O39/G39,0)</f>
        <v>0</v>
      </c>
    </row>
    <row r="40" spans="1:16" x14ac:dyDescent="0.25">
      <c r="A40" s="309"/>
      <c r="B40" s="426"/>
      <c r="C40" s="427"/>
      <c r="D40" s="311" t="s">
        <v>198</v>
      </c>
      <c r="E40" s="311"/>
      <c r="F40" s="287" t="s">
        <v>1013</v>
      </c>
      <c r="G40" s="312">
        <v>100200000</v>
      </c>
      <c r="H40" s="319"/>
      <c r="I40" s="305"/>
      <c r="J40" s="314">
        <f t="shared" si="21"/>
        <v>0</v>
      </c>
      <c r="K40" s="315">
        <f t="shared" si="22"/>
        <v>0</v>
      </c>
      <c r="L40" s="314">
        <f t="shared" si="23"/>
        <v>100200000</v>
      </c>
      <c r="M40" s="429">
        <v>50200000</v>
      </c>
      <c r="N40" s="315">
        <f t="shared" si="24"/>
        <v>0.50099800399201599</v>
      </c>
      <c r="O40" s="320">
        <f t="shared" si="25"/>
        <v>50000000</v>
      </c>
      <c r="P40" s="317">
        <f t="shared" si="26"/>
        <v>0.49900199600798401</v>
      </c>
    </row>
    <row r="41" spans="1:16" x14ac:dyDescent="0.25">
      <c r="A41" s="309"/>
      <c r="B41" s="426"/>
      <c r="C41" s="427"/>
      <c r="D41" s="311" t="s">
        <v>198</v>
      </c>
      <c r="E41" s="311"/>
      <c r="F41" s="287" t="s">
        <v>1014</v>
      </c>
      <c r="G41" s="312">
        <v>2500000</v>
      </c>
      <c r="H41" s="319"/>
      <c r="I41" s="305"/>
      <c r="J41" s="314">
        <f t="shared" si="21"/>
        <v>0</v>
      </c>
      <c r="K41" s="315">
        <f t="shared" si="22"/>
        <v>0</v>
      </c>
      <c r="L41" s="314">
        <f t="shared" si="23"/>
        <v>2500000</v>
      </c>
      <c r="M41" s="306">
        <v>800000</v>
      </c>
      <c r="N41" s="315">
        <f t="shared" si="24"/>
        <v>0.32</v>
      </c>
      <c r="O41" s="320">
        <f t="shared" si="25"/>
        <v>1700000</v>
      </c>
      <c r="P41" s="317">
        <f t="shared" si="26"/>
        <v>0.68</v>
      </c>
    </row>
    <row r="42" spans="1:16" x14ac:dyDescent="0.25">
      <c r="A42" s="309"/>
      <c r="B42" s="426"/>
      <c r="C42" s="427"/>
      <c r="D42" s="311" t="s">
        <v>198</v>
      </c>
      <c r="E42" s="311"/>
      <c r="F42" s="287" t="s">
        <v>1015</v>
      </c>
      <c r="G42" s="312">
        <v>140000000</v>
      </c>
      <c r="H42" s="319"/>
      <c r="I42" s="305"/>
      <c r="J42" s="314">
        <f t="shared" si="21"/>
        <v>0</v>
      </c>
      <c r="K42" s="315">
        <f t="shared" si="22"/>
        <v>0</v>
      </c>
      <c r="L42" s="314">
        <f t="shared" si="23"/>
        <v>140000000</v>
      </c>
      <c r="M42" s="314">
        <v>140000000</v>
      </c>
      <c r="N42" s="315">
        <f t="shared" si="24"/>
        <v>1</v>
      </c>
      <c r="O42" s="320">
        <f t="shared" si="25"/>
        <v>0</v>
      </c>
      <c r="P42" s="317">
        <f t="shared" si="26"/>
        <v>0</v>
      </c>
    </row>
    <row r="43" spans="1:16" x14ac:dyDescent="0.25">
      <c r="A43" s="309"/>
      <c r="B43" s="426"/>
      <c r="C43" s="427"/>
      <c r="D43" s="311" t="s">
        <v>198</v>
      </c>
      <c r="E43" s="311"/>
      <c r="F43" s="287" t="s">
        <v>1016</v>
      </c>
      <c r="G43" s="312">
        <v>22560000</v>
      </c>
      <c r="H43" s="319"/>
      <c r="I43" s="305"/>
      <c r="J43" s="314">
        <f t="shared" si="21"/>
        <v>0</v>
      </c>
      <c r="K43" s="315">
        <f t="shared" si="22"/>
        <v>0</v>
      </c>
      <c r="L43" s="314">
        <f t="shared" si="23"/>
        <v>22560000</v>
      </c>
      <c r="M43" s="306">
        <v>15000000</v>
      </c>
      <c r="N43" s="315">
        <f t="shared" si="24"/>
        <v>0.66489361702127658</v>
      </c>
      <c r="O43" s="320">
        <f t="shared" si="25"/>
        <v>7560000</v>
      </c>
      <c r="P43" s="317">
        <f t="shared" si="26"/>
        <v>0.33510638297872342</v>
      </c>
    </row>
    <row r="44" spans="1:16" x14ac:dyDescent="0.25">
      <c r="A44" s="309"/>
      <c r="B44" s="426"/>
      <c r="C44" s="427"/>
      <c r="D44" s="311" t="s">
        <v>198</v>
      </c>
      <c r="E44" s="311"/>
      <c r="F44" s="287" t="s">
        <v>1017</v>
      </c>
      <c r="G44" s="312">
        <v>11000000</v>
      </c>
      <c r="H44" s="319"/>
      <c r="I44" s="305"/>
      <c r="J44" s="314">
        <f t="shared" si="21"/>
        <v>0</v>
      </c>
      <c r="K44" s="315">
        <f t="shared" si="22"/>
        <v>0</v>
      </c>
      <c r="L44" s="314">
        <f t="shared" si="23"/>
        <v>11000000</v>
      </c>
      <c r="M44" s="314">
        <v>11000000</v>
      </c>
      <c r="N44" s="315">
        <f t="shared" si="24"/>
        <v>1</v>
      </c>
      <c r="O44" s="320">
        <f t="shared" si="25"/>
        <v>0</v>
      </c>
      <c r="P44" s="317">
        <f t="shared" si="26"/>
        <v>0</v>
      </c>
    </row>
    <row r="45" spans="1:16" x14ac:dyDescent="0.25">
      <c r="A45" s="309"/>
      <c r="B45" s="426"/>
      <c r="C45" s="427"/>
      <c r="D45" s="311" t="s">
        <v>198</v>
      </c>
      <c r="E45" s="311"/>
      <c r="F45" s="287" t="s">
        <v>1018</v>
      </c>
      <c r="G45" s="312">
        <v>16200000</v>
      </c>
      <c r="H45" s="319"/>
      <c r="I45" s="305"/>
      <c r="J45" s="314">
        <f t="shared" si="21"/>
        <v>0</v>
      </c>
      <c r="K45" s="315">
        <f t="shared" si="22"/>
        <v>0</v>
      </c>
      <c r="L45" s="314">
        <f t="shared" si="23"/>
        <v>16200000</v>
      </c>
      <c r="M45" s="306">
        <v>13000000</v>
      </c>
      <c r="N45" s="315">
        <f t="shared" si="24"/>
        <v>0.80246913580246915</v>
      </c>
      <c r="O45" s="320">
        <f t="shared" si="25"/>
        <v>3200000</v>
      </c>
      <c r="P45" s="317">
        <f t="shared" si="26"/>
        <v>0.19753086419753085</v>
      </c>
    </row>
    <row r="46" spans="1:16" x14ac:dyDescent="0.25">
      <c r="A46" s="309"/>
      <c r="B46" s="426"/>
      <c r="C46" s="427"/>
      <c r="D46" s="311" t="s">
        <v>198</v>
      </c>
      <c r="E46" s="311"/>
      <c r="F46" s="458" t="s">
        <v>1019</v>
      </c>
      <c r="G46" s="312">
        <v>17100000</v>
      </c>
      <c r="H46" s="319"/>
      <c r="I46" s="305"/>
      <c r="J46" s="314">
        <f t="shared" si="21"/>
        <v>0</v>
      </c>
      <c r="K46" s="315">
        <f t="shared" si="22"/>
        <v>0</v>
      </c>
      <c r="L46" s="314">
        <f t="shared" si="23"/>
        <v>17100000</v>
      </c>
      <c r="M46" s="306">
        <v>8000000</v>
      </c>
      <c r="N46" s="315">
        <f t="shared" si="24"/>
        <v>0.46783625730994149</v>
      </c>
      <c r="O46" s="320">
        <f t="shared" si="25"/>
        <v>9100000</v>
      </c>
      <c r="P46" s="317">
        <f t="shared" si="26"/>
        <v>0.53216374269005851</v>
      </c>
    </row>
    <row r="47" spans="1:16" x14ac:dyDescent="0.25">
      <c r="A47" s="309"/>
      <c r="B47" s="426"/>
      <c r="C47" s="427"/>
      <c r="D47" s="311" t="s">
        <v>198</v>
      </c>
      <c r="E47" s="311"/>
      <c r="F47" s="287" t="s">
        <v>1020</v>
      </c>
      <c r="G47" s="318">
        <v>83425000</v>
      </c>
      <c r="H47" s="319"/>
      <c r="I47" s="305"/>
      <c r="J47" s="314">
        <f t="shared" si="21"/>
        <v>0</v>
      </c>
      <c r="K47" s="315">
        <f t="shared" si="22"/>
        <v>0</v>
      </c>
      <c r="L47" s="314">
        <f t="shared" si="23"/>
        <v>83425000</v>
      </c>
      <c r="M47" s="306">
        <v>0</v>
      </c>
      <c r="N47" s="315">
        <f t="shared" si="24"/>
        <v>0</v>
      </c>
      <c r="O47" s="320">
        <f t="shared" si="25"/>
        <v>83425000</v>
      </c>
      <c r="P47" s="317">
        <f t="shared" si="26"/>
        <v>1</v>
      </c>
    </row>
    <row r="48" spans="1:16" x14ac:dyDescent="0.25">
      <c r="A48" s="309"/>
      <c r="B48" s="426"/>
      <c r="C48" s="427"/>
      <c r="D48" s="311" t="s">
        <v>198</v>
      </c>
      <c r="E48" s="311"/>
      <c r="F48" s="287" t="s">
        <v>1021</v>
      </c>
      <c r="G48" s="318">
        <v>20000000</v>
      </c>
      <c r="H48" s="319"/>
      <c r="I48" s="305"/>
      <c r="J48" s="314">
        <f t="shared" si="21"/>
        <v>0</v>
      </c>
      <c r="K48" s="315">
        <f t="shared" si="22"/>
        <v>0</v>
      </c>
      <c r="L48" s="314">
        <f t="shared" si="23"/>
        <v>20000000</v>
      </c>
      <c r="M48" s="306">
        <v>20000000</v>
      </c>
      <c r="N48" s="315">
        <f t="shared" si="24"/>
        <v>1</v>
      </c>
      <c r="O48" s="320">
        <f t="shared" si="25"/>
        <v>0</v>
      </c>
      <c r="P48" s="317">
        <f t="shared" si="26"/>
        <v>0</v>
      </c>
    </row>
    <row r="49" spans="1:16" x14ac:dyDescent="0.25">
      <c r="A49" s="309"/>
      <c r="B49" s="426"/>
      <c r="C49" s="427"/>
      <c r="D49" s="311" t="s">
        <v>198</v>
      </c>
      <c r="E49" s="311"/>
      <c r="F49" s="287" t="s">
        <v>1022</v>
      </c>
      <c r="G49" s="318">
        <v>42000000</v>
      </c>
      <c r="H49" s="319"/>
      <c r="I49" s="305"/>
      <c r="J49" s="314">
        <f t="shared" si="21"/>
        <v>0</v>
      </c>
      <c r="K49" s="315">
        <f t="shared" si="22"/>
        <v>0</v>
      </c>
      <c r="L49" s="314">
        <f t="shared" si="23"/>
        <v>42000000</v>
      </c>
      <c r="M49" s="306">
        <v>0</v>
      </c>
      <c r="N49" s="315">
        <f t="shared" si="24"/>
        <v>0</v>
      </c>
      <c r="O49" s="320">
        <f t="shared" si="25"/>
        <v>42000000</v>
      </c>
      <c r="P49" s="317">
        <f t="shared" si="26"/>
        <v>1</v>
      </c>
    </row>
    <row r="50" spans="1:16" ht="15.75" thickBot="1" x14ac:dyDescent="0.3">
      <c r="A50" s="322"/>
      <c r="B50" s="323"/>
      <c r="C50" s="324">
        <v>4045</v>
      </c>
      <c r="D50" s="325">
        <v>5</v>
      </c>
      <c r="E50" s="325"/>
      <c r="F50" s="326" t="s">
        <v>981</v>
      </c>
      <c r="G50" s="325">
        <f t="shared" ref="G50:P50" si="27">SUM(G39:G49)</f>
        <v>454985000</v>
      </c>
      <c r="H50" s="449">
        <f t="shared" si="27"/>
        <v>0</v>
      </c>
      <c r="I50" s="410">
        <f t="shared" si="27"/>
        <v>0</v>
      </c>
      <c r="J50" s="410">
        <f t="shared" si="27"/>
        <v>0</v>
      </c>
      <c r="K50" s="450">
        <f t="shared" si="27"/>
        <v>0</v>
      </c>
      <c r="L50" s="410">
        <f t="shared" si="27"/>
        <v>454985000</v>
      </c>
      <c r="M50" s="410">
        <f t="shared" si="27"/>
        <v>258000000</v>
      </c>
      <c r="N50" s="450">
        <f t="shared" si="27"/>
        <v>5.7561970141257026</v>
      </c>
      <c r="O50" s="410">
        <f t="shared" si="27"/>
        <v>196985000</v>
      </c>
      <c r="P50" s="451">
        <f t="shared" si="27"/>
        <v>4.2438029858742965</v>
      </c>
    </row>
    <row r="51" spans="1:16" ht="15.75" thickBot="1" x14ac:dyDescent="0.3">
      <c r="A51" s="309"/>
      <c r="B51" s="426"/>
      <c r="C51" s="369"/>
      <c r="D51" s="287"/>
      <c r="E51" s="287"/>
      <c r="F51" s="287"/>
      <c r="G51" s="345"/>
      <c r="H51" s="404"/>
      <c r="I51" s="405"/>
      <c r="J51" s="405"/>
      <c r="K51" s="406"/>
      <c r="L51" s="405"/>
      <c r="M51" s="405"/>
      <c r="N51" s="406"/>
      <c r="O51" s="405"/>
      <c r="P51" s="407"/>
    </row>
    <row r="52" spans="1:16" ht="15.75" thickBot="1" x14ac:dyDescent="0.3">
      <c r="A52" s="322"/>
      <c r="B52" s="448"/>
      <c r="C52" s="408" t="s">
        <v>982</v>
      </c>
      <c r="D52" s="293"/>
      <c r="E52" s="409"/>
      <c r="F52" s="409"/>
      <c r="G52" s="325">
        <f t="shared" ref="G52:P52" si="28">+G15+G28+G36+G50</f>
        <v>839999999.95000005</v>
      </c>
      <c r="H52" s="327">
        <f t="shared" si="28"/>
        <v>1076783.49</v>
      </c>
      <c r="I52" s="327">
        <f>+I15+I28+I36+I50</f>
        <v>22574226.600000001</v>
      </c>
      <c r="J52" s="325">
        <f t="shared" si="28"/>
        <v>23651010.09</v>
      </c>
      <c r="K52" s="325">
        <f t="shared" si="28"/>
        <v>1.1385376656366968</v>
      </c>
      <c r="L52" s="325">
        <f t="shared" si="28"/>
        <v>816348989.86000001</v>
      </c>
      <c r="M52" s="325">
        <f t="shared" si="28"/>
        <v>360531250.99062502</v>
      </c>
      <c r="N52" s="325">
        <f t="shared" si="28"/>
        <v>10.629021402519633</v>
      </c>
      <c r="O52" s="325">
        <f t="shared" si="28"/>
        <v>455817738.86937499</v>
      </c>
      <c r="P52" s="325">
        <f t="shared" si="28"/>
        <v>20.232440931843669</v>
      </c>
    </row>
    <row r="53" spans="1:16" x14ac:dyDescent="0.25">
      <c r="A53" s="282"/>
      <c r="B53" s="282"/>
      <c r="C53" s="288"/>
      <c r="D53" s="288"/>
      <c r="E53" s="287"/>
      <c r="F53" s="287"/>
      <c r="G53" s="284"/>
      <c r="H53" s="284"/>
      <c r="I53" s="285"/>
      <c r="J53" s="284"/>
      <c r="K53" s="284"/>
      <c r="L53" s="284"/>
      <c r="M53" s="284"/>
      <c r="N53" s="284"/>
      <c r="O53" s="284"/>
      <c r="P53" s="284"/>
    </row>
    <row r="54" spans="1:16" x14ac:dyDescent="0.25">
      <c r="A54" s="282"/>
      <c r="B54" s="282"/>
      <c r="C54" s="284"/>
      <c r="D54" s="284"/>
      <c r="E54" s="284"/>
      <c r="F54" s="284"/>
      <c r="G54" s="284"/>
      <c r="H54" s="284"/>
      <c r="I54" s="285"/>
      <c r="J54" s="284"/>
      <c r="K54" s="284"/>
      <c r="L54" s="284"/>
      <c r="M54" s="284"/>
      <c r="N54" s="284"/>
      <c r="O54" s="284"/>
      <c r="P54" s="284"/>
    </row>
    <row r="55" spans="1:16" x14ac:dyDescent="0.25">
      <c r="J55">
        <f>+J52/R2</f>
        <v>6598.6318151099995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N249"/>
  <sheetViews>
    <sheetView showGridLines="0" showZeros="0" zoomScale="80" zoomScaleNormal="80" workbookViewId="0">
      <selection activeCell="I70" sqref="I70"/>
    </sheetView>
  </sheetViews>
  <sheetFormatPr baseColWidth="10" defaultColWidth="9.28515625" defaultRowHeight="15.75" x14ac:dyDescent="0.25"/>
  <cols>
    <col min="1" max="1" width="4.42578125" style="45" customWidth="1"/>
    <col min="2" max="2" width="3.28515625" style="45" customWidth="1"/>
    <col min="3" max="3" width="51.42578125" style="45" customWidth="1"/>
    <col min="4" max="4" width="34.28515625" style="47" customWidth="1"/>
    <col min="5" max="5" width="35" style="47" hidden="1" customWidth="1"/>
    <col min="6" max="6" width="34" style="47" hidden="1" customWidth="1"/>
    <col min="7" max="7" width="25.7109375" style="45" hidden="1" customWidth="1"/>
    <col min="8" max="8" width="21.42578125" style="45" customWidth="1"/>
    <col min="9" max="9" width="16.7109375" style="45" customWidth="1"/>
    <col min="10" max="10" width="19.42578125" style="45" customWidth="1"/>
    <col min="11" max="11" width="19" style="45" customWidth="1"/>
    <col min="12" max="12" width="26" style="45" customWidth="1"/>
    <col min="13" max="13" width="21.28515625" style="45" customWidth="1"/>
    <col min="14" max="14" width="7" style="49" customWidth="1"/>
    <col min="15" max="15" width="24.28515625" style="45" customWidth="1"/>
    <col min="16" max="16" width="26.42578125" style="45" customWidth="1"/>
    <col min="17" max="17" width="30.28515625" style="45" customWidth="1"/>
    <col min="18" max="18" width="33" style="45" customWidth="1"/>
    <col min="19" max="20" width="22.7109375" style="45" customWidth="1"/>
    <col min="21" max="21" width="23.42578125" style="45" customWidth="1"/>
    <col min="22" max="22" width="32.28515625" style="45" customWidth="1"/>
    <col min="23" max="23" width="9.28515625" style="45"/>
    <col min="24" max="24" width="17.7109375" style="45" customWidth="1"/>
    <col min="25" max="25" width="26.42578125" style="45" customWidth="1"/>
    <col min="26" max="26" width="22.42578125" style="45" customWidth="1"/>
    <col min="27" max="27" width="29.7109375" style="45" customWidth="1"/>
    <col min="28" max="28" width="23.42578125" style="45" customWidth="1"/>
    <col min="29" max="29" width="18.42578125" style="45" customWidth="1"/>
    <col min="30" max="30" width="17.42578125" style="45" customWidth="1"/>
    <col min="31" max="31" width="25.28515625" style="45" customWidth="1"/>
    <col min="32" max="16384" width="9.28515625" style="45"/>
  </cols>
  <sheetData>
    <row r="1" spans="2:14" ht="24" customHeight="1" x14ac:dyDescent="0.25">
      <c r="B1" s="229"/>
      <c r="C1" s="229"/>
      <c r="D1" s="230"/>
      <c r="E1" s="230"/>
      <c r="F1" s="230"/>
      <c r="G1" s="229"/>
      <c r="H1" s="229"/>
      <c r="I1" s="229"/>
      <c r="J1" s="229"/>
      <c r="K1" s="229"/>
      <c r="L1" s="17"/>
      <c r="M1" s="4"/>
      <c r="N1" s="229"/>
    </row>
    <row r="2" spans="2:14" ht="26.25" customHeight="1" x14ac:dyDescent="0.7">
      <c r="B2" s="229"/>
      <c r="C2" s="496" t="s">
        <v>0</v>
      </c>
      <c r="D2" s="496"/>
      <c r="E2" s="496"/>
      <c r="F2" s="496"/>
      <c r="G2" s="31"/>
      <c r="H2" s="32"/>
      <c r="I2" s="32"/>
      <c r="J2" s="229"/>
      <c r="K2" s="229"/>
      <c r="L2" s="17"/>
      <c r="M2" s="4"/>
      <c r="N2" s="229"/>
    </row>
    <row r="3" spans="2:14" ht="15" customHeight="1" x14ac:dyDescent="0.25">
      <c r="B3" s="229"/>
      <c r="C3" s="126" t="s">
        <v>1</v>
      </c>
      <c r="D3" s="33"/>
      <c r="E3" s="33"/>
      <c r="F3" s="33"/>
      <c r="G3" s="33"/>
      <c r="H3" s="33"/>
      <c r="I3" s="33"/>
      <c r="J3" s="229"/>
      <c r="K3" s="229"/>
      <c r="L3" s="17"/>
      <c r="M3" s="4"/>
      <c r="N3" s="229"/>
    </row>
    <row r="4" spans="2:14" ht="17.25" customHeight="1" x14ac:dyDescent="0.3">
      <c r="B4" s="229"/>
      <c r="C4" s="498" t="s">
        <v>371</v>
      </c>
      <c r="D4" s="498"/>
      <c r="E4" s="498"/>
      <c r="F4" s="33"/>
      <c r="G4" s="33"/>
      <c r="H4" s="33"/>
      <c r="I4" s="33"/>
      <c r="J4" s="229"/>
      <c r="K4" s="229"/>
      <c r="L4" s="17"/>
      <c r="M4" s="4"/>
      <c r="N4" s="229"/>
    </row>
    <row r="5" spans="2:14" ht="13.5" customHeight="1" x14ac:dyDescent="0.25">
      <c r="B5" s="229"/>
      <c r="C5" s="40"/>
      <c r="D5" s="40"/>
      <c r="E5" s="40"/>
      <c r="F5" s="40"/>
      <c r="G5" s="229"/>
      <c r="H5" s="229"/>
      <c r="I5" s="229"/>
      <c r="J5" s="229"/>
      <c r="K5" s="229"/>
      <c r="L5" s="17"/>
      <c r="M5" s="4"/>
      <c r="N5" s="229"/>
    </row>
    <row r="6" spans="2:14" ht="24" customHeight="1" x14ac:dyDescent="0.25">
      <c r="B6" s="229"/>
      <c r="C6" s="40"/>
      <c r="D6" s="269" t="str">
        <f>'1) Budget Tables'!D5</f>
        <v>Recipient Organization</v>
      </c>
      <c r="E6" s="269" t="s">
        <v>372</v>
      </c>
      <c r="F6" s="269" t="s">
        <v>373</v>
      </c>
      <c r="G6" s="274" t="s">
        <v>10</v>
      </c>
      <c r="H6" s="229"/>
      <c r="I6" s="229"/>
      <c r="J6" s="229"/>
      <c r="K6" s="229"/>
      <c r="L6" s="17"/>
      <c r="M6" s="4"/>
      <c r="N6" s="229"/>
    </row>
    <row r="7" spans="2:14" ht="24" customHeight="1" x14ac:dyDescent="0.25">
      <c r="B7" s="519" t="s">
        <v>374</v>
      </c>
      <c r="C7" s="519"/>
      <c r="D7" s="519"/>
      <c r="E7" s="519"/>
      <c r="F7" s="519"/>
      <c r="G7" s="519"/>
      <c r="H7" s="229"/>
      <c r="I7" s="229"/>
      <c r="J7" s="229"/>
      <c r="K7" s="229"/>
      <c r="L7" s="17"/>
      <c r="M7" s="4"/>
      <c r="N7" s="229"/>
    </row>
    <row r="8" spans="2:14" ht="22.5" customHeight="1" x14ac:dyDescent="0.25">
      <c r="B8" s="229"/>
      <c r="C8" s="519" t="s">
        <v>375</v>
      </c>
      <c r="D8" s="519"/>
      <c r="E8" s="519"/>
      <c r="F8" s="519"/>
      <c r="G8" s="519"/>
      <c r="H8" s="229"/>
      <c r="I8" s="229"/>
      <c r="J8" s="229"/>
      <c r="K8" s="229"/>
      <c r="L8" s="17"/>
      <c r="M8" s="4"/>
      <c r="N8" s="229"/>
    </row>
    <row r="9" spans="2:14" ht="24.75" customHeight="1" thickBot="1" x14ac:dyDescent="0.3">
      <c r="B9" s="229"/>
      <c r="C9" s="56" t="s">
        <v>376</v>
      </c>
      <c r="D9" s="57">
        <f>'1) Budget Tables'!D16</f>
        <v>102818.15609122254</v>
      </c>
      <c r="E9" s="57">
        <f>'1) Budget Tables'!E16</f>
        <v>0</v>
      </c>
      <c r="F9" s="57">
        <f>'1) Budget Tables'!F16</f>
        <v>0</v>
      </c>
      <c r="G9" s="58">
        <f>SUM(D9:F9)</f>
        <v>102818.15609122254</v>
      </c>
      <c r="H9" s="229"/>
      <c r="I9" s="229"/>
      <c r="J9" s="229"/>
      <c r="K9" s="229"/>
      <c r="L9" s="17"/>
      <c r="M9" s="4"/>
      <c r="N9" s="229"/>
    </row>
    <row r="10" spans="2:14" ht="21.75" customHeight="1" x14ac:dyDescent="0.25">
      <c r="B10" s="229"/>
      <c r="C10" s="54" t="s">
        <v>377</v>
      </c>
      <c r="D10" s="231">
        <v>30818.15609122254</v>
      </c>
      <c r="E10" s="232"/>
      <c r="F10" s="232"/>
      <c r="G10" s="55">
        <f t="shared" ref="G10:G17" si="0">SUM(D10:F10)</f>
        <v>30818.15609122254</v>
      </c>
      <c r="H10" s="229"/>
      <c r="I10" s="229"/>
      <c r="J10" s="229"/>
      <c r="K10" s="229"/>
      <c r="L10" s="229"/>
      <c r="M10" s="229"/>
      <c r="N10" s="229"/>
    </row>
    <row r="11" spans="2:14" x14ac:dyDescent="0.25">
      <c r="B11" s="229"/>
      <c r="C11" s="43" t="s">
        <v>378</v>
      </c>
      <c r="D11" s="233"/>
      <c r="E11" s="203"/>
      <c r="F11" s="203"/>
      <c r="G11" s="53">
        <f t="shared" si="0"/>
        <v>0</v>
      </c>
      <c r="H11" s="229"/>
      <c r="I11" s="229"/>
      <c r="J11" s="229"/>
      <c r="K11" s="229"/>
      <c r="L11" s="229"/>
      <c r="M11" s="229"/>
      <c r="N11" s="229"/>
    </row>
    <row r="12" spans="2:14" ht="15.75" customHeight="1" x14ac:dyDescent="0.25">
      <c r="B12" s="229"/>
      <c r="C12" s="43" t="s">
        <v>379</v>
      </c>
      <c r="D12" s="233"/>
      <c r="E12" s="233"/>
      <c r="F12" s="233"/>
      <c r="G12" s="53">
        <f t="shared" si="0"/>
        <v>0</v>
      </c>
      <c r="H12" s="229"/>
      <c r="I12" s="229"/>
      <c r="J12" s="229"/>
      <c r="K12" s="229"/>
      <c r="L12" s="229"/>
      <c r="M12" s="229"/>
      <c r="N12" s="229"/>
    </row>
    <row r="13" spans="2:14" x14ac:dyDescent="0.25">
      <c r="B13" s="229"/>
      <c r="C13" s="44" t="s">
        <v>380</v>
      </c>
      <c r="D13" s="233"/>
      <c r="E13" s="233"/>
      <c r="F13" s="233"/>
      <c r="G13" s="53">
        <f t="shared" si="0"/>
        <v>0</v>
      </c>
      <c r="H13" s="229"/>
      <c r="I13" s="229"/>
      <c r="J13" s="229"/>
      <c r="K13" s="229"/>
      <c r="L13" s="229"/>
      <c r="M13" s="229"/>
      <c r="N13" s="229"/>
    </row>
    <row r="14" spans="2:14" x14ac:dyDescent="0.25">
      <c r="B14" s="229"/>
      <c r="C14" s="43" t="s">
        <v>381</v>
      </c>
      <c r="D14" s="233"/>
      <c r="E14" s="233"/>
      <c r="F14" s="233"/>
      <c r="G14" s="53">
        <f t="shared" si="0"/>
        <v>0</v>
      </c>
      <c r="H14" s="229"/>
      <c r="I14" s="229"/>
      <c r="J14" s="229"/>
      <c r="K14" s="229"/>
      <c r="L14" s="229"/>
      <c r="M14" s="229"/>
      <c r="N14" s="229"/>
    </row>
    <row r="15" spans="2:14" ht="21.75" customHeight="1" x14ac:dyDescent="0.25">
      <c r="B15" s="229"/>
      <c r="C15" s="43" t="s">
        <v>382</v>
      </c>
      <c r="D15" s="233"/>
      <c r="E15" s="233"/>
      <c r="F15" s="233"/>
      <c r="G15" s="53">
        <f t="shared" si="0"/>
        <v>0</v>
      </c>
      <c r="H15" s="229"/>
      <c r="I15" s="229"/>
      <c r="J15" s="229"/>
      <c r="K15" s="229"/>
      <c r="L15" s="229"/>
      <c r="M15" s="229"/>
      <c r="N15" s="229"/>
    </row>
    <row r="16" spans="2:14" ht="21.75" customHeight="1" x14ac:dyDescent="0.25">
      <c r="B16" s="229"/>
      <c r="C16" s="43" t="s">
        <v>383</v>
      </c>
      <c r="D16" s="233">
        <v>72000</v>
      </c>
      <c r="E16" s="233"/>
      <c r="F16" s="233"/>
      <c r="G16" s="53">
        <f t="shared" si="0"/>
        <v>72000</v>
      </c>
      <c r="H16" s="229"/>
      <c r="I16" s="229"/>
      <c r="J16" s="229"/>
      <c r="K16" s="229"/>
      <c r="L16" s="229"/>
      <c r="M16" s="229"/>
      <c r="N16" s="229"/>
    </row>
    <row r="17" spans="3:14" ht="15.75" customHeight="1" x14ac:dyDescent="0.25">
      <c r="C17" s="48" t="s">
        <v>384</v>
      </c>
      <c r="D17" s="59">
        <f>SUM(D10:D16)</f>
        <v>102818.15609122254</v>
      </c>
      <c r="E17" s="59">
        <f>SUM(E10:E16)</f>
        <v>0</v>
      </c>
      <c r="F17" s="59">
        <f t="shared" ref="F17" si="1">SUM(F10:F16)</f>
        <v>0</v>
      </c>
      <c r="G17" s="110">
        <f t="shared" si="0"/>
        <v>102818.15609122254</v>
      </c>
      <c r="H17" s="229"/>
      <c r="I17" s="229"/>
      <c r="J17" s="229"/>
      <c r="K17" s="229"/>
      <c r="L17" s="229"/>
      <c r="M17" s="229"/>
      <c r="N17" s="229"/>
    </row>
    <row r="18" spans="3:14" s="47" customFormat="1" x14ac:dyDescent="0.25">
      <c r="C18" s="60"/>
      <c r="D18" s="61"/>
      <c r="E18" s="61"/>
      <c r="F18" s="61"/>
      <c r="G18" s="111"/>
      <c r="H18" s="230"/>
      <c r="I18" s="230"/>
      <c r="J18" s="230"/>
      <c r="K18" s="230"/>
      <c r="L18" s="230"/>
      <c r="M18" s="230"/>
      <c r="N18" s="230"/>
    </row>
    <row r="19" spans="3:14" x14ac:dyDescent="0.25">
      <c r="C19" s="519" t="s">
        <v>385</v>
      </c>
      <c r="D19" s="519"/>
      <c r="E19" s="519"/>
      <c r="F19" s="519"/>
      <c r="G19" s="519"/>
      <c r="H19" s="229"/>
      <c r="I19" s="229"/>
      <c r="J19" s="229"/>
      <c r="K19" s="229"/>
      <c r="L19" s="229"/>
      <c r="M19" s="229"/>
      <c r="N19" s="229"/>
    </row>
    <row r="20" spans="3:14" ht="27" customHeight="1" thickBot="1" x14ac:dyDescent="0.3">
      <c r="C20" s="56" t="s">
        <v>376</v>
      </c>
      <c r="D20" s="57">
        <f>'1) Budget Tables'!D26</f>
        <v>126932.39391700551</v>
      </c>
      <c r="E20" s="57">
        <f>'1) Budget Tables'!E26</f>
        <v>0</v>
      </c>
      <c r="F20" s="57">
        <f>'1) Budget Tables'!F26</f>
        <v>0</v>
      </c>
      <c r="G20" s="58">
        <f t="shared" ref="G20:G28" si="2">SUM(D20:F20)</f>
        <v>126932.39391700551</v>
      </c>
      <c r="H20" s="229"/>
      <c r="I20" s="229"/>
      <c r="J20" s="229"/>
      <c r="K20" s="229"/>
      <c r="L20" s="229"/>
      <c r="M20" s="229"/>
      <c r="N20" s="229"/>
    </row>
    <row r="21" spans="3:14" x14ac:dyDescent="0.25">
      <c r="C21" s="54" t="s">
        <v>377</v>
      </c>
      <c r="D21" s="231">
        <v>27432.393917005509</v>
      </c>
      <c r="E21" s="232"/>
      <c r="F21" s="232"/>
      <c r="G21" s="55">
        <f t="shared" si="2"/>
        <v>27432.393917005509</v>
      </c>
      <c r="H21" s="229"/>
      <c r="I21" s="229"/>
      <c r="J21" s="229"/>
      <c r="K21" s="229"/>
      <c r="L21" s="229"/>
      <c r="M21" s="229"/>
      <c r="N21" s="229"/>
    </row>
    <row r="22" spans="3:14" x14ac:dyDescent="0.25">
      <c r="C22" s="43" t="s">
        <v>378</v>
      </c>
      <c r="D22" s="233"/>
      <c r="E22" s="203"/>
      <c r="F22" s="203"/>
      <c r="G22" s="53">
        <f t="shared" si="2"/>
        <v>0</v>
      </c>
      <c r="H22" s="229"/>
      <c r="I22" s="229"/>
      <c r="J22" s="229"/>
      <c r="K22" s="229"/>
      <c r="L22" s="229"/>
      <c r="M22" s="229"/>
      <c r="N22" s="229"/>
    </row>
    <row r="23" spans="3:14" ht="31.5" x14ac:dyDescent="0.25">
      <c r="C23" s="43" t="s">
        <v>379</v>
      </c>
      <c r="D23" s="233"/>
      <c r="E23" s="233"/>
      <c r="F23" s="233"/>
      <c r="G23" s="53">
        <f t="shared" si="2"/>
        <v>0</v>
      </c>
      <c r="H23" s="229"/>
      <c r="I23" s="229"/>
      <c r="J23" s="229"/>
      <c r="K23" s="229"/>
      <c r="L23" s="229"/>
      <c r="M23" s="229"/>
      <c r="N23" s="229"/>
    </row>
    <row r="24" spans="3:14" x14ac:dyDescent="0.25">
      <c r="C24" s="44" t="s">
        <v>380</v>
      </c>
      <c r="D24" s="233"/>
      <c r="E24" s="233"/>
      <c r="F24" s="233"/>
      <c r="G24" s="53">
        <f t="shared" si="2"/>
        <v>0</v>
      </c>
      <c r="H24" s="229"/>
      <c r="I24" s="229"/>
      <c r="J24" s="229"/>
      <c r="K24" s="229"/>
      <c r="L24" s="229"/>
      <c r="M24" s="229"/>
      <c r="N24" s="229"/>
    </row>
    <row r="25" spans="3:14" x14ac:dyDescent="0.25">
      <c r="C25" s="43" t="s">
        <v>381</v>
      </c>
      <c r="D25" s="233"/>
      <c r="E25" s="233"/>
      <c r="F25" s="233"/>
      <c r="G25" s="53">
        <f t="shared" si="2"/>
        <v>0</v>
      </c>
      <c r="H25" s="229"/>
      <c r="I25" s="229"/>
      <c r="J25" s="229"/>
      <c r="K25" s="229"/>
      <c r="L25" s="229"/>
      <c r="M25" s="229"/>
      <c r="N25" s="229"/>
    </row>
    <row r="26" spans="3:14" x14ac:dyDescent="0.25">
      <c r="C26" s="43" t="s">
        <v>382</v>
      </c>
      <c r="D26" s="233"/>
      <c r="E26" s="233"/>
      <c r="F26" s="233"/>
      <c r="G26" s="53">
        <f t="shared" si="2"/>
        <v>0</v>
      </c>
      <c r="H26" s="229"/>
      <c r="I26" s="229"/>
      <c r="J26" s="229"/>
      <c r="K26" s="229"/>
      <c r="L26" s="229"/>
      <c r="M26" s="229"/>
      <c r="N26" s="229"/>
    </row>
    <row r="27" spans="3:14" x14ac:dyDescent="0.25">
      <c r="C27" s="43" t="s">
        <v>383</v>
      </c>
      <c r="D27" s="233">
        <v>99500</v>
      </c>
      <c r="E27" s="233"/>
      <c r="F27" s="233"/>
      <c r="G27" s="53">
        <f t="shared" si="2"/>
        <v>99500</v>
      </c>
      <c r="H27" s="229"/>
      <c r="I27" s="229"/>
      <c r="J27" s="229"/>
      <c r="K27" s="229"/>
      <c r="L27" s="229"/>
      <c r="M27" s="229"/>
      <c r="N27" s="229"/>
    </row>
    <row r="28" spans="3:14" x14ac:dyDescent="0.25">
      <c r="C28" s="48" t="s">
        <v>384</v>
      </c>
      <c r="D28" s="59">
        <f t="shared" ref="D28:E28" si="3">SUM(D21:D27)</f>
        <v>126932.39391700551</v>
      </c>
      <c r="E28" s="59">
        <f t="shared" si="3"/>
        <v>0</v>
      </c>
      <c r="F28" s="59">
        <f t="shared" ref="F28" si="4">SUM(F21:F27)</f>
        <v>0</v>
      </c>
      <c r="G28" s="53">
        <f t="shared" si="2"/>
        <v>126932.39391700551</v>
      </c>
      <c r="H28" s="229"/>
      <c r="I28" s="229"/>
      <c r="J28" s="229"/>
      <c r="K28" s="229"/>
      <c r="L28" s="229"/>
      <c r="M28" s="229"/>
      <c r="N28" s="229"/>
    </row>
    <row r="29" spans="3:14" s="47" customFormat="1" x14ac:dyDescent="0.25">
      <c r="C29" s="60"/>
      <c r="D29" s="61"/>
      <c r="E29" s="61"/>
      <c r="F29" s="61"/>
      <c r="G29" s="62"/>
      <c r="H29" s="230"/>
      <c r="I29" s="230"/>
      <c r="J29" s="230"/>
      <c r="K29" s="230"/>
      <c r="L29" s="230"/>
      <c r="M29" s="230"/>
      <c r="N29" s="230"/>
    </row>
    <row r="30" spans="3:14" x14ac:dyDescent="0.25">
      <c r="C30" s="511" t="s">
        <v>386</v>
      </c>
      <c r="D30" s="512"/>
      <c r="E30" s="512"/>
      <c r="F30" s="512"/>
      <c r="G30" s="513"/>
      <c r="H30" s="229"/>
      <c r="I30" s="229"/>
      <c r="J30" s="229"/>
      <c r="K30" s="229"/>
      <c r="L30" s="229"/>
      <c r="M30" s="229"/>
      <c r="N30" s="229"/>
    </row>
    <row r="31" spans="3:14" ht="21.75" customHeight="1" thickBot="1" x14ac:dyDescent="0.3">
      <c r="C31" s="56" t="s">
        <v>376</v>
      </c>
      <c r="D31" s="57">
        <f>'1) Budget Tables'!D36</f>
        <v>196432.39391700551</v>
      </c>
      <c r="E31" s="57">
        <f>'1) Budget Tables'!E36</f>
        <v>0</v>
      </c>
      <c r="F31" s="57">
        <f>'1) Budget Tables'!F36</f>
        <v>0</v>
      </c>
      <c r="G31" s="58">
        <f t="shared" ref="G31:G39" si="5">SUM(D31:F31)</f>
        <v>196432.39391700551</v>
      </c>
      <c r="H31" s="229"/>
      <c r="I31" s="229"/>
      <c r="J31" s="229"/>
      <c r="K31" s="229"/>
      <c r="L31" s="229"/>
      <c r="M31" s="229"/>
      <c r="N31" s="229"/>
    </row>
    <row r="32" spans="3:14" x14ac:dyDescent="0.25">
      <c r="C32" s="54" t="s">
        <v>377</v>
      </c>
      <c r="D32" s="231">
        <v>27432.393917005509</v>
      </c>
      <c r="E32" s="232"/>
      <c r="F32" s="232"/>
      <c r="G32" s="55">
        <f t="shared" si="5"/>
        <v>27432.393917005509</v>
      </c>
      <c r="H32" s="229"/>
      <c r="I32" s="229"/>
      <c r="J32" s="229"/>
      <c r="K32" s="229"/>
      <c r="L32" s="229"/>
      <c r="M32" s="229"/>
      <c r="N32" s="229"/>
    </row>
    <row r="33" spans="3:14" s="47" customFormat="1" ht="15.75" customHeight="1" x14ac:dyDescent="0.25">
      <c r="C33" s="43" t="s">
        <v>378</v>
      </c>
      <c r="D33" s="233"/>
      <c r="E33" s="203"/>
      <c r="F33" s="203"/>
      <c r="G33" s="53">
        <f t="shared" si="5"/>
        <v>0</v>
      </c>
      <c r="H33" s="230"/>
      <c r="I33" s="230"/>
      <c r="J33" s="230"/>
      <c r="K33" s="230"/>
      <c r="L33" s="230"/>
      <c r="M33" s="230"/>
      <c r="N33" s="230"/>
    </row>
    <row r="34" spans="3:14" s="47" customFormat="1" ht="31.5" x14ac:dyDescent="0.25">
      <c r="C34" s="43" t="s">
        <v>379</v>
      </c>
      <c r="D34" s="233"/>
      <c r="E34" s="233"/>
      <c r="F34" s="233"/>
      <c r="G34" s="53">
        <f t="shared" si="5"/>
        <v>0</v>
      </c>
      <c r="H34" s="230"/>
      <c r="I34" s="230"/>
      <c r="J34" s="230"/>
      <c r="K34" s="230"/>
      <c r="L34" s="230"/>
      <c r="M34" s="230"/>
      <c r="N34" s="230"/>
    </row>
    <row r="35" spans="3:14" s="47" customFormat="1" x14ac:dyDescent="0.25">
      <c r="C35" s="44" t="s">
        <v>380</v>
      </c>
      <c r="D35" s="233"/>
      <c r="E35" s="233"/>
      <c r="F35" s="233"/>
      <c r="G35" s="53">
        <f t="shared" si="5"/>
        <v>0</v>
      </c>
      <c r="H35" s="230"/>
      <c r="I35" s="230"/>
      <c r="J35" s="230"/>
      <c r="K35" s="230"/>
      <c r="L35" s="230"/>
      <c r="M35" s="230"/>
      <c r="N35" s="230"/>
    </row>
    <row r="36" spans="3:14" x14ac:dyDescent="0.25">
      <c r="C36" s="43" t="s">
        <v>381</v>
      </c>
      <c r="D36" s="233"/>
      <c r="E36" s="233"/>
      <c r="F36" s="233"/>
      <c r="G36" s="53">
        <f t="shared" si="5"/>
        <v>0</v>
      </c>
      <c r="H36" s="229"/>
      <c r="I36" s="229"/>
      <c r="J36" s="229"/>
      <c r="K36" s="229"/>
      <c r="L36" s="229"/>
      <c r="M36" s="229"/>
      <c r="N36" s="229"/>
    </row>
    <row r="37" spans="3:14" x14ac:dyDescent="0.25">
      <c r="C37" s="43" t="s">
        <v>382</v>
      </c>
      <c r="D37" s="233"/>
      <c r="E37" s="233"/>
      <c r="F37" s="233"/>
      <c r="G37" s="53">
        <f t="shared" si="5"/>
        <v>0</v>
      </c>
      <c r="H37" s="229"/>
      <c r="I37" s="229"/>
      <c r="J37" s="229"/>
      <c r="K37" s="229"/>
      <c r="L37" s="229"/>
      <c r="M37" s="229"/>
      <c r="N37" s="229"/>
    </row>
    <row r="38" spans="3:14" x14ac:dyDescent="0.25">
      <c r="C38" s="43" t="s">
        <v>383</v>
      </c>
      <c r="D38" s="233">
        <v>169000</v>
      </c>
      <c r="E38" s="233"/>
      <c r="F38" s="233"/>
      <c r="G38" s="53">
        <f t="shared" si="5"/>
        <v>169000</v>
      </c>
      <c r="H38" s="229"/>
      <c r="I38" s="229"/>
      <c r="J38" s="229"/>
      <c r="K38" s="229"/>
      <c r="L38" s="229"/>
      <c r="M38" s="229"/>
      <c r="N38" s="229"/>
    </row>
    <row r="39" spans="3:14" x14ac:dyDescent="0.25">
      <c r="C39" s="48" t="s">
        <v>384</v>
      </c>
      <c r="D39" s="59">
        <f t="shared" ref="D39:E39" si="6">SUM(D32:D38)</f>
        <v>196432.39391700551</v>
      </c>
      <c r="E39" s="59">
        <f t="shared" si="6"/>
        <v>0</v>
      </c>
      <c r="F39" s="59">
        <f t="shared" ref="F39" si="7">SUM(F32:F38)</f>
        <v>0</v>
      </c>
      <c r="G39" s="53">
        <f t="shared" si="5"/>
        <v>196432.39391700551</v>
      </c>
      <c r="H39" s="229"/>
      <c r="I39" s="229"/>
      <c r="J39" s="229"/>
      <c r="K39" s="229"/>
      <c r="L39" s="229"/>
      <c r="M39" s="229"/>
      <c r="N39" s="229"/>
    </row>
    <row r="40" spans="3:14" s="47" customFormat="1" x14ac:dyDescent="0.25">
      <c r="C40" s="60"/>
      <c r="D40" s="61"/>
      <c r="E40" s="61"/>
      <c r="F40" s="61"/>
      <c r="G40" s="62"/>
      <c r="H40" s="230"/>
      <c r="I40" s="230"/>
      <c r="J40" s="230"/>
      <c r="K40" s="230"/>
      <c r="L40" s="230"/>
      <c r="M40" s="230"/>
      <c r="N40" s="230"/>
    </row>
    <row r="41" spans="3:14" ht="15.6" hidden="1" x14ac:dyDescent="0.35">
      <c r="C41" s="511" t="s">
        <v>387</v>
      </c>
      <c r="D41" s="512"/>
      <c r="E41" s="512"/>
      <c r="F41" s="512"/>
      <c r="G41" s="513"/>
      <c r="H41" s="229"/>
      <c r="I41" s="229"/>
      <c r="J41" s="229"/>
      <c r="K41" s="229"/>
      <c r="L41" s="229"/>
      <c r="M41" s="229"/>
      <c r="N41" s="229"/>
    </row>
    <row r="42" spans="3:14" ht="20.25" hidden="1" customHeight="1" thickBot="1" x14ac:dyDescent="0.4">
      <c r="C42" s="56" t="s">
        <v>376</v>
      </c>
      <c r="D42" s="57">
        <f>'1) Budget Tables'!D46</f>
        <v>0</v>
      </c>
      <c r="E42" s="57">
        <f>'1) Budget Tables'!E46</f>
        <v>0</v>
      </c>
      <c r="F42" s="57">
        <f>'1) Budget Tables'!F46</f>
        <v>0</v>
      </c>
      <c r="G42" s="58">
        <f t="shared" ref="G42:G50" si="8">SUM(D42:F42)</f>
        <v>0</v>
      </c>
      <c r="H42" s="229"/>
      <c r="I42" s="229"/>
      <c r="J42" s="229"/>
      <c r="K42" s="229"/>
      <c r="L42" s="229"/>
      <c r="M42" s="229"/>
      <c r="N42" s="229"/>
    </row>
    <row r="43" spans="3:14" ht="15.6" hidden="1" x14ac:dyDescent="0.35">
      <c r="C43" s="54" t="s">
        <v>377</v>
      </c>
      <c r="D43" s="231"/>
      <c r="E43" s="232"/>
      <c r="F43" s="232"/>
      <c r="G43" s="55">
        <f t="shared" si="8"/>
        <v>0</v>
      </c>
      <c r="H43" s="229"/>
      <c r="I43" s="229"/>
      <c r="J43" s="229"/>
      <c r="K43" s="229"/>
      <c r="L43" s="229"/>
      <c r="M43" s="229"/>
      <c r="N43" s="229"/>
    </row>
    <row r="44" spans="3:14" ht="15.75" hidden="1" customHeight="1" x14ac:dyDescent="0.35">
      <c r="C44" s="43" t="s">
        <v>378</v>
      </c>
      <c r="D44" s="233"/>
      <c r="E44" s="203"/>
      <c r="F44" s="203"/>
      <c r="G44" s="53">
        <f t="shared" si="8"/>
        <v>0</v>
      </c>
      <c r="H44" s="229"/>
      <c r="I44" s="229"/>
      <c r="J44" s="229"/>
      <c r="K44" s="229"/>
      <c r="L44" s="229"/>
      <c r="M44" s="229"/>
      <c r="N44" s="229"/>
    </row>
    <row r="45" spans="3:14" ht="32.25" hidden="1" customHeight="1" x14ac:dyDescent="0.35">
      <c r="C45" s="43" t="s">
        <v>379</v>
      </c>
      <c r="D45" s="233"/>
      <c r="E45" s="233"/>
      <c r="F45" s="233"/>
      <c r="G45" s="53">
        <f t="shared" si="8"/>
        <v>0</v>
      </c>
      <c r="H45" s="229"/>
      <c r="I45" s="229"/>
      <c r="J45" s="229"/>
      <c r="K45" s="229"/>
      <c r="L45" s="229"/>
      <c r="M45" s="229"/>
      <c r="N45" s="229"/>
    </row>
    <row r="46" spans="3:14" s="47" customFormat="1" ht="15.6" hidden="1" x14ac:dyDescent="0.35">
      <c r="C46" s="44" t="s">
        <v>380</v>
      </c>
      <c r="D46" s="233"/>
      <c r="E46" s="233"/>
      <c r="F46" s="233"/>
      <c r="G46" s="53">
        <f t="shared" si="8"/>
        <v>0</v>
      </c>
      <c r="H46" s="230"/>
      <c r="I46" s="230"/>
      <c r="J46" s="230"/>
      <c r="K46" s="230"/>
      <c r="L46" s="230"/>
      <c r="M46" s="230"/>
      <c r="N46" s="230"/>
    </row>
    <row r="47" spans="3:14" ht="15.6" hidden="1" x14ac:dyDescent="0.35">
      <c r="C47" s="43" t="s">
        <v>381</v>
      </c>
      <c r="D47" s="233"/>
      <c r="E47" s="233"/>
      <c r="F47" s="233"/>
      <c r="G47" s="53">
        <f t="shared" si="8"/>
        <v>0</v>
      </c>
      <c r="H47" s="229"/>
      <c r="I47" s="229"/>
      <c r="J47" s="229"/>
      <c r="K47" s="229"/>
      <c r="L47" s="229"/>
      <c r="M47" s="229"/>
      <c r="N47" s="229"/>
    </row>
    <row r="48" spans="3:14" ht="15.6" hidden="1" x14ac:dyDescent="0.35">
      <c r="C48" s="43" t="s">
        <v>382</v>
      </c>
      <c r="D48" s="233"/>
      <c r="E48" s="233"/>
      <c r="F48" s="233"/>
      <c r="G48" s="53">
        <f t="shared" si="8"/>
        <v>0</v>
      </c>
      <c r="H48" s="229"/>
      <c r="I48" s="229"/>
      <c r="J48" s="229"/>
      <c r="K48" s="229"/>
      <c r="L48" s="229"/>
      <c r="M48" s="229"/>
      <c r="N48" s="229"/>
    </row>
    <row r="49" spans="2:14" ht="15.6" hidden="1" x14ac:dyDescent="0.35">
      <c r="B49" s="229"/>
      <c r="C49" s="43" t="s">
        <v>383</v>
      </c>
      <c r="D49" s="233"/>
      <c r="E49" s="233"/>
      <c r="F49" s="233"/>
      <c r="G49" s="53">
        <f t="shared" si="8"/>
        <v>0</v>
      </c>
      <c r="H49" s="229"/>
      <c r="I49" s="229"/>
      <c r="J49" s="229"/>
      <c r="K49" s="229"/>
      <c r="L49" s="229"/>
      <c r="M49" s="229"/>
      <c r="N49" s="229"/>
    </row>
    <row r="50" spans="2:14" ht="21" hidden="1" customHeight="1" x14ac:dyDescent="0.35">
      <c r="B50" s="229"/>
      <c r="C50" s="48" t="s">
        <v>384</v>
      </c>
      <c r="D50" s="59">
        <f t="shared" ref="D50:E50" si="9">SUM(D43:D49)</f>
        <v>0</v>
      </c>
      <c r="E50" s="59">
        <f t="shared" si="9"/>
        <v>0</v>
      </c>
      <c r="F50" s="59">
        <f t="shared" ref="F50" si="10">SUM(F43:F49)</f>
        <v>0</v>
      </c>
      <c r="G50" s="53">
        <f t="shared" si="8"/>
        <v>0</v>
      </c>
      <c r="H50" s="229"/>
      <c r="I50" s="229"/>
      <c r="J50" s="229"/>
      <c r="K50" s="229"/>
      <c r="L50" s="229"/>
      <c r="M50" s="229"/>
      <c r="N50" s="229"/>
    </row>
    <row r="51" spans="2:14" s="47" customFormat="1" ht="22.5" customHeight="1" x14ac:dyDescent="0.35">
      <c r="B51" s="230"/>
      <c r="C51" s="63"/>
      <c r="D51" s="61"/>
      <c r="E51" s="61"/>
      <c r="F51" s="61"/>
      <c r="G51" s="62"/>
      <c r="H51" s="230"/>
      <c r="I51" s="230"/>
      <c r="J51" s="230"/>
      <c r="K51" s="230"/>
      <c r="L51" s="230"/>
      <c r="M51" s="230"/>
      <c r="N51" s="230"/>
    </row>
    <row r="52" spans="2:14" ht="15.6" x14ac:dyDescent="0.35">
      <c r="B52" s="511" t="s">
        <v>388</v>
      </c>
      <c r="C52" s="512"/>
      <c r="D52" s="512"/>
      <c r="E52" s="512"/>
      <c r="F52" s="512"/>
      <c r="G52" s="513"/>
      <c r="H52" s="229"/>
      <c r="I52" s="229"/>
      <c r="J52" s="229"/>
      <c r="K52" s="229"/>
      <c r="L52" s="229"/>
      <c r="M52" s="229"/>
      <c r="N52" s="229"/>
    </row>
    <row r="53" spans="2:14" ht="15.6" x14ac:dyDescent="0.35">
      <c r="B53" s="229"/>
      <c r="C53" s="511" t="s">
        <v>389</v>
      </c>
      <c r="D53" s="512"/>
      <c r="E53" s="512"/>
      <c r="F53" s="512"/>
      <c r="G53" s="513"/>
      <c r="H53" s="229"/>
      <c r="I53" s="229"/>
      <c r="J53" s="229"/>
      <c r="K53" s="229"/>
      <c r="L53" s="229"/>
      <c r="M53" s="229"/>
      <c r="N53" s="229"/>
    </row>
    <row r="54" spans="2:14" ht="24" customHeight="1" thickBot="1" x14ac:dyDescent="0.4">
      <c r="B54" s="229"/>
      <c r="C54" s="56" t="s">
        <v>376</v>
      </c>
      <c r="D54" s="57">
        <f>'1) Budget Tables'!D58</f>
        <v>45414.285714285717</v>
      </c>
      <c r="E54" s="57">
        <f>'1) Budget Tables'!E58</f>
        <v>0</v>
      </c>
      <c r="F54" s="57">
        <f>'1) Budget Tables'!F58</f>
        <v>0</v>
      </c>
      <c r="G54" s="58">
        <f>SUM(D54:F54)</f>
        <v>45414.285714285717</v>
      </c>
      <c r="H54" s="229"/>
      <c r="I54" s="229"/>
      <c r="J54" s="229"/>
      <c r="K54" s="229"/>
      <c r="L54" s="229"/>
      <c r="M54" s="229"/>
      <c r="N54" s="229"/>
    </row>
    <row r="55" spans="2:14" ht="15.75" customHeight="1" x14ac:dyDescent="0.35">
      <c r="B55" s="229"/>
      <c r="C55" s="54" t="s">
        <v>377</v>
      </c>
      <c r="D55" s="231">
        <v>3005.8428976190476</v>
      </c>
      <c r="E55" s="232"/>
      <c r="F55" s="232"/>
      <c r="G55" s="55">
        <f t="shared" ref="G55:G62" si="11">SUM(D55:F55)</f>
        <v>3005.8428976190476</v>
      </c>
      <c r="H55" s="229"/>
      <c r="I55" s="229"/>
      <c r="J55" s="229"/>
      <c r="K55" s="229"/>
      <c r="L55" s="229"/>
      <c r="M55" s="229"/>
      <c r="N55" s="229"/>
    </row>
    <row r="56" spans="2:14" ht="15.75" customHeight="1" x14ac:dyDescent="0.35">
      <c r="B56" s="229"/>
      <c r="C56" s="43" t="s">
        <v>378</v>
      </c>
      <c r="D56" s="233"/>
      <c r="E56" s="203"/>
      <c r="F56" s="203"/>
      <c r="G56" s="53">
        <f t="shared" si="11"/>
        <v>0</v>
      </c>
      <c r="H56" s="229"/>
      <c r="I56" s="229"/>
      <c r="J56" s="229"/>
      <c r="K56" s="229"/>
      <c r="L56" s="229"/>
      <c r="M56" s="229"/>
      <c r="N56" s="229"/>
    </row>
    <row r="57" spans="2:14" ht="15.75" customHeight="1" x14ac:dyDescent="0.35">
      <c r="B57" s="229"/>
      <c r="C57" s="43" t="s">
        <v>379</v>
      </c>
      <c r="D57" s="233"/>
      <c r="E57" s="233"/>
      <c r="F57" s="233"/>
      <c r="G57" s="53">
        <f t="shared" si="11"/>
        <v>0</v>
      </c>
      <c r="H57" s="229"/>
      <c r="I57" s="229"/>
      <c r="J57" s="229"/>
      <c r="K57" s="229"/>
      <c r="L57" s="229"/>
      <c r="M57" s="229"/>
      <c r="N57" s="229"/>
    </row>
    <row r="58" spans="2:14" ht="18.75" customHeight="1" x14ac:dyDescent="0.35">
      <c r="B58" s="229"/>
      <c r="C58" s="44" t="s">
        <v>380</v>
      </c>
      <c r="D58" s="233"/>
      <c r="E58" s="233"/>
      <c r="F58" s="233"/>
      <c r="G58" s="53">
        <f t="shared" si="11"/>
        <v>0</v>
      </c>
      <c r="H58" s="229"/>
      <c r="I58" s="229"/>
      <c r="J58" s="229"/>
      <c r="K58" s="229"/>
      <c r="L58" s="229"/>
      <c r="M58" s="229"/>
      <c r="N58" s="229"/>
    </row>
    <row r="59" spans="2:14" ht="15.6" x14ac:dyDescent="0.35">
      <c r="B59" s="229"/>
      <c r="C59" s="43" t="s">
        <v>381</v>
      </c>
      <c r="D59" s="233"/>
      <c r="E59" s="233"/>
      <c r="F59" s="233"/>
      <c r="G59" s="53">
        <f t="shared" si="11"/>
        <v>0</v>
      </c>
      <c r="H59" s="229"/>
      <c r="I59" s="229"/>
      <c r="J59" s="229"/>
      <c r="K59" s="229"/>
      <c r="L59" s="229"/>
      <c r="M59" s="229"/>
      <c r="N59" s="229"/>
    </row>
    <row r="60" spans="2:14" s="47" customFormat="1" ht="21.75" customHeight="1" x14ac:dyDescent="0.35">
      <c r="B60" s="229"/>
      <c r="C60" s="43" t="s">
        <v>382</v>
      </c>
      <c r="D60" s="233"/>
      <c r="E60" s="233"/>
      <c r="F60" s="233"/>
      <c r="G60" s="53">
        <f t="shared" si="11"/>
        <v>0</v>
      </c>
      <c r="H60" s="230"/>
      <c r="I60" s="230"/>
      <c r="J60" s="230"/>
      <c r="K60" s="230"/>
      <c r="L60" s="230"/>
      <c r="M60" s="230"/>
      <c r="N60" s="230"/>
    </row>
    <row r="61" spans="2:14" s="47" customFormat="1" ht="15.6" x14ac:dyDescent="0.35">
      <c r="B61" s="229"/>
      <c r="C61" s="43" t="s">
        <v>383</v>
      </c>
      <c r="D61" s="233">
        <v>42408.442816666669</v>
      </c>
      <c r="E61" s="233"/>
      <c r="F61" s="233"/>
      <c r="G61" s="53">
        <f t="shared" si="11"/>
        <v>42408.442816666669</v>
      </c>
      <c r="H61" s="230"/>
      <c r="I61" s="230"/>
      <c r="J61" s="230"/>
      <c r="K61" s="230"/>
      <c r="L61" s="230"/>
      <c r="M61" s="230"/>
      <c r="N61" s="230"/>
    </row>
    <row r="62" spans="2:14" ht="15.6" x14ac:dyDescent="0.35">
      <c r="B62" s="229"/>
      <c r="C62" s="48" t="s">
        <v>384</v>
      </c>
      <c r="D62" s="59">
        <f>SUM(D55:D61)</f>
        <v>45414.285714285717</v>
      </c>
      <c r="E62" s="59">
        <f>SUM(E55:E61)</f>
        <v>0</v>
      </c>
      <c r="F62" s="59">
        <f t="shared" ref="F62" si="12">SUM(F55:F61)</f>
        <v>0</v>
      </c>
      <c r="G62" s="53">
        <f t="shared" si="11"/>
        <v>45414.285714285717</v>
      </c>
      <c r="H62" s="229"/>
      <c r="I62" s="229"/>
      <c r="J62" s="229"/>
      <c r="K62" s="229"/>
      <c r="L62" s="229"/>
      <c r="M62" s="229"/>
      <c r="N62" s="229"/>
    </row>
    <row r="63" spans="2:14" s="47" customFormat="1" ht="15.6" x14ac:dyDescent="0.35">
      <c r="B63" s="230"/>
      <c r="C63" s="60"/>
      <c r="D63" s="61"/>
      <c r="E63" s="61"/>
      <c r="F63" s="61"/>
      <c r="G63" s="62"/>
      <c r="H63" s="230"/>
      <c r="I63" s="230"/>
      <c r="J63" s="230"/>
      <c r="K63" s="230"/>
      <c r="L63" s="230"/>
      <c r="M63" s="230"/>
      <c r="N63" s="230"/>
    </row>
    <row r="64" spans="2:14" ht="15.6" x14ac:dyDescent="0.35">
      <c r="B64" s="230"/>
      <c r="C64" s="511" t="s">
        <v>93</v>
      </c>
      <c r="D64" s="512"/>
      <c r="E64" s="512"/>
      <c r="F64" s="512"/>
      <c r="G64" s="513"/>
      <c r="H64" s="229"/>
      <c r="I64" s="229"/>
      <c r="J64" s="229"/>
      <c r="K64" s="229"/>
      <c r="L64" s="229"/>
      <c r="M64" s="229"/>
      <c r="N64" s="229"/>
    </row>
    <row r="65" spans="2:14" ht="21.75" customHeight="1" thickBot="1" x14ac:dyDescent="0.4">
      <c r="B65" s="229"/>
      <c r="C65" s="56" t="s">
        <v>376</v>
      </c>
      <c r="D65" s="57">
        <f>'1) Budget Tables'!D81</f>
        <v>118857.14285714287</v>
      </c>
      <c r="E65" s="57">
        <f>'1) Budget Tables'!E81</f>
        <v>0</v>
      </c>
      <c r="F65" s="57">
        <f>'1) Budget Tables'!F81</f>
        <v>0</v>
      </c>
      <c r="G65" s="58">
        <f t="shared" ref="G65:G73" si="13">SUM(D65:F65)</f>
        <v>118857.14285714287</v>
      </c>
      <c r="H65" s="234">
        <f>+D65-D73</f>
        <v>0</v>
      </c>
      <c r="I65" s="229"/>
      <c r="J65" s="229"/>
      <c r="K65" s="229"/>
      <c r="L65" s="229"/>
      <c r="M65" s="229"/>
      <c r="N65" s="229"/>
    </row>
    <row r="66" spans="2:14" ht="15.75" customHeight="1" x14ac:dyDescent="0.35">
      <c r="B66" s="229"/>
      <c r="C66" s="54" t="s">
        <v>377</v>
      </c>
      <c r="D66" s="231">
        <v>4112.1141119047625</v>
      </c>
      <c r="E66" s="232"/>
      <c r="F66" s="232"/>
      <c r="G66" s="55">
        <f t="shared" si="13"/>
        <v>4112.1141119047625</v>
      </c>
      <c r="H66" s="229"/>
      <c r="I66" s="229"/>
      <c r="J66" s="229"/>
      <c r="K66" s="229"/>
      <c r="L66" s="229"/>
      <c r="M66" s="229"/>
      <c r="N66" s="229"/>
    </row>
    <row r="67" spans="2:14" ht="15.75" customHeight="1" x14ac:dyDescent="0.35">
      <c r="B67" s="229"/>
      <c r="C67" s="43" t="s">
        <v>378</v>
      </c>
      <c r="D67" s="233"/>
      <c r="E67" s="203"/>
      <c r="F67" s="203"/>
      <c r="G67" s="53">
        <f t="shared" si="13"/>
        <v>0</v>
      </c>
      <c r="H67" s="229"/>
      <c r="I67" s="229"/>
      <c r="J67" s="229"/>
      <c r="K67" s="229"/>
      <c r="L67" s="229"/>
      <c r="M67" s="229"/>
      <c r="N67" s="229"/>
    </row>
    <row r="68" spans="2:14" ht="15.75" customHeight="1" x14ac:dyDescent="0.35">
      <c r="B68" s="229"/>
      <c r="C68" s="43" t="s">
        <v>379</v>
      </c>
      <c r="D68" s="233"/>
      <c r="E68" s="233"/>
      <c r="F68" s="233"/>
      <c r="G68" s="53">
        <f t="shared" si="13"/>
        <v>0</v>
      </c>
      <c r="H68" s="229"/>
      <c r="I68" s="229"/>
      <c r="J68" s="229"/>
      <c r="K68" s="229"/>
      <c r="L68" s="229"/>
      <c r="M68" s="229"/>
      <c r="N68" s="229"/>
    </row>
    <row r="69" spans="2:14" ht="15.6" x14ac:dyDescent="0.35">
      <c r="B69" s="229"/>
      <c r="C69" s="44" t="s">
        <v>380</v>
      </c>
      <c r="D69" s="233"/>
      <c r="E69" s="233"/>
      <c r="F69" s="233"/>
      <c r="G69" s="53">
        <f t="shared" si="13"/>
        <v>0</v>
      </c>
      <c r="H69" s="229"/>
      <c r="I69" s="229"/>
      <c r="J69" s="229"/>
      <c r="K69" s="229"/>
      <c r="L69" s="229"/>
      <c r="M69" s="229"/>
      <c r="N69" s="229"/>
    </row>
    <row r="70" spans="2:14" ht="15.6" x14ac:dyDescent="0.35">
      <c r="B70" s="229"/>
      <c r="C70" s="43" t="s">
        <v>381</v>
      </c>
      <c r="D70" s="233"/>
      <c r="E70" s="233"/>
      <c r="F70" s="233"/>
      <c r="G70" s="53">
        <f t="shared" si="13"/>
        <v>0</v>
      </c>
      <c r="H70" s="229"/>
      <c r="I70" s="229"/>
      <c r="J70" s="229"/>
      <c r="K70" s="229"/>
      <c r="L70" s="229"/>
      <c r="M70" s="229"/>
      <c r="N70" s="229"/>
    </row>
    <row r="71" spans="2:14" ht="15.6" x14ac:dyDescent="0.35">
      <c r="B71" s="229"/>
      <c r="C71" s="43" t="s">
        <v>382</v>
      </c>
      <c r="D71" s="233"/>
      <c r="E71" s="233"/>
      <c r="F71" s="233"/>
      <c r="G71" s="53">
        <f t="shared" si="13"/>
        <v>0</v>
      </c>
      <c r="H71" s="229"/>
      <c r="I71" s="229"/>
      <c r="J71" s="229"/>
      <c r="K71" s="229"/>
      <c r="L71" s="229"/>
      <c r="M71" s="229"/>
      <c r="N71" s="229"/>
    </row>
    <row r="72" spans="2:14" ht="15.6" x14ac:dyDescent="0.35">
      <c r="B72" s="229"/>
      <c r="C72" s="43" t="s">
        <v>383</v>
      </c>
      <c r="D72" s="233">
        <v>114745.0287452381</v>
      </c>
      <c r="E72" s="233"/>
      <c r="F72" s="233"/>
      <c r="G72" s="53">
        <f t="shared" si="13"/>
        <v>114745.0287452381</v>
      </c>
      <c r="H72" s="229"/>
      <c r="I72" s="229"/>
      <c r="J72" s="229"/>
      <c r="K72" s="229"/>
      <c r="L72" s="229"/>
      <c r="M72" s="229"/>
      <c r="N72" s="229"/>
    </row>
    <row r="73" spans="2:14" ht="15.6" x14ac:dyDescent="0.35">
      <c r="B73" s="229"/>
      <c r="C73" s="48" t="s">
        <v>384</v>
      </c>
      <c r="D73" s="59">
        <f t="shared" ref="D73:E73" si="14">SUM(D66:D72)</f>
        <v>118857.14285714287</v>
      </c>
      <c r="E73" s="59">
        <f t="shared" si="14"/>
        <v>0</v>
      </c>
      <c r="F73" s="59">
        <f t="shared" ref="F73" si="15">SUM(F66:F72)</f>
        <v>0</v>
      </c>
      <c r="G73" s="53">
        <f t="shared" si="13"/>
        <v>118857.14285714287</v>
      </c>
      <c r="H73" s="229"/>
      <c r="I73" s="229"/>
      <c r="J73" s="229"/>
      <c r="K73" s="229"/>
      <c r="L73" s="229"/>
      <c r="M73" s="229"/>
      <c r="N73" s="229"/>
    </row>
    <row r="74" spans="2:14" s="47" customFormat="1" ht="15.6" x14ac:dyDescent="0.35">
      <c r="B74" s="230"/>
      <c r="C74" s="60"/>
      <c r="D74" s="61"/>
      <c r="E74" s="61"/>
      <c r="F74" s="61"/>
      <c r="G74" s="62"/>
      <c r="H74" s="230"/>
      <c r="I74" s="230"/>
      <c r="J74" s="230"/>
      <c r="K74" s="230"/>
      <c r="L74" s="230"/>
      <c r="M74" s="230"/>
      <c r="N74" s="230"/>
    </row>
    <row r="75" spans="2:14" ht="15.6" x14ac:dyDescent="0.35">
      <c r="B75" s="229"/>
      <c r="C75" s="511" t="s">
        <v>158</v>
      </c>
      <c r="D75" s="512"/>
      <c r="E75" s="512"/>
      <c r="F75" s="512"/>
      <c r="G75" s="513"/>
      <c r="H75" s="229"/>
      <c r="I75" s="229"/>
      <c r="J75" s="229"/>
      <c r="K75" s="229"/>
      <c r="L75" s="229"/>
      <c r="M75" s="229"/>
      <c r="N75" s="229"/>
    </row>
    <row r="76" spans="2:14" ht="21.75" customHeight="1" thickBot="1" x14ac:dyDescent="0.4">
      <c r="B76" s="230"/>
      <c r="C76" s="56" t="s">
        <v>376</v>
      </c>
      <c r="D76" s="57">
        <f>'1) Budget Tables'!D94</f>
        <v>195728.57142857145</v>
      </c>
      <c r="E76" s="57">
        <f>'1) Budget Tables'!E94</f>
        <v>0</v>
      </c>
      <c r="F76" s="57">
        <f>'1) Budget Tables'!F94</f>
        <v>0</v>
      </c>
      <c r="G76" s="58">
        <f t="shared" ref="G76:G84" si="16">SUM(D76:F76)</f>
        <v>195728.57142857145</v>
      </c>
      <c r="H76" s="234">
        <f>+D76-D84</f>
        <v>0</v>
      </c>
      <c r="I76" s="229"/>
      <c r="J76" s="229"/>
      <c r="K76" s="229"/>
      <c r="L76" s="229"/>
      <c r="M76" s="229"/>
      <c r="N76" s="229"/>
    </row>
    <row r="77" spans="2:14" ht="18" customHeight="1" x14ac:dyDescent="0.35">
      <c r="B77" s="229"/>
      <c r="C77" s="54" t="s">
        <v>377</v>
      </c>
      <c r="D77" s="231">
        <v>16709.422990476192</v>
      </c>
      <c r="E77" s="232"/>
      <c r="F77" s="232"/>
      <c r="G77" s="55">
        <f t="shared" si="16"/>
        <v>16709.422990476192</v>
      </c>
      <c r="H77" s="229"/>
      <c r="I77" s="229"/>
      <c r="J77" s="229"/>
      <c r="K77" s="229"/>
      <c r="L77" s="229"/>
      <c r="M77" s="229"/>
      <c r="N77" s="229"/>
    </row>
    <row r="78" spans="2:14" ht="15.75" customHeight="1" x14ac:dyDescent="0.35">
      <c r="B78" s="229"/>
      <c r="C78" s="43" t="s">
        <v>378</v>
      </c>
      <c r="D78" s="233"/>
      <c r="E78" s="203"/>
      <c r="F78" s="203"/>
      <c r="G78" s="53">
        <f t="shared" si="16"/>
        <v>0</v>
      </c>
      <c r="H78" s="229"/>
      <c r="I78" s="229"/>
      <c r="J78" s="229"/>
      <c r="K78" s="229"/>
      <c r="L78" s="229"/>
      <c r="M78" s="229"/>
      <c r="N78" s="229"/>
    </row>
    <row r="79" spans="2:14" s="47" customFormat="1" ht="15.75" customHeight="1" x14ac:dyDescent="0.35">
      <c r="B79" s="229"/>
      <c r="C79" s="43" t="s">
        <v>379</v>
      </c>
      <c r="D79" s="233"/>
      <c r="E79" s="233"/>
      <c r="F79" s="233"/>
      <c r="G79" s="53">
        <f t="shared" si="16"/>
        <v>0</v>
      </c>
      <c r="H79" s="230"/>
      <c r="I79" s="230"/>
      <c r="J79" s="230"/>
      <c r="K79" s="230"/>
      <c r="L79" s="230"/>
      <c r="M79" s="230"/>
      <c r="N79" s="230"/>
    </row>
    <row r="80" spans="2:14" ht="15.6" x14ac:dyDescent="0.35">
      <c r="B80" s="230"/>
      <c r="C80" s="44" t="s">
        <v>380</v>
      </c>
      <c r="D80" s="233"/>
      <c r="E80" s="233"/>
      <c r="F80" s="233"/>
      <c r="G80" s="53">
        <f t="shared" si="16"/>
        <v>0</v>
      </c>
      <c r="H80" s="229"/>
      <c r="I80" s="229"/>
      <c r="J80" s="229"/>
      <c r="K80" s="229"/>
      <c r="L80" s="229"/>
      <c r="M80" s="229"/>
      <c r="N80" s="229"/>
    </row>
    <row r="81" spans="2:14" ht="15.6" x14ac:dyDescent="0.35">
      <c r="B81" s="230"/>
      <c r="C81" s="43" t="s">
        <v>381</v>
      </c>
      <c r="D81" s="233"/>
      <c r="E81" s="233"/>
      <c r="F81" s="233"/>
      <c r="G81" s="53">
        <f t="shared" si="16"/>
        <v>0</v>
      </c>
      <c r="H81" s="229"/>
      <c r="I81" s="229"/>
      <c r="J81" s="229"/>
      <c r="K81" s="229"/>
      <c r="L81" s="229"/>
      <c r="M81" s="229"/>
      <c r="N81" s="229"/>
    </row>
    <row r="82" spans="2:14" ht="15.6" x14ac:dyDescent="0.35">
      <c r="B82" s="230"/>
      <c r="C82" s="43" t="s">
        <v>382</v>
      </c>
      <c r="D82" s="233"/>
      <c r="E82" s="233"/>
      <c r="F82" s="233"/>
      <c r="G82" s="53">
        <f t="shared" si="16"/>
        <v>0</v>
      </c>
      <c r="H82" s="229"/>
      <c r="I82" s="229"/>
      <c r="J82" s="229"/>
      <c r="K82" s="229"/>
      <c r="L82" s="229"/>
      <c r="M82" s="229"/>
      <c r="N82" s="229"/>
    </row>
    <row r="83" spans="2:14" ht="15.6" x14ac:dyDescent="0.35">
      <c r="B83" s="229"/>
      <c r="C83" s="43" t="s">
        <v>383</v>
      </c>
      <c r="D83" s="233">
        <v>179019.14843809526</v>
      </c>
      <c r="E83" s="233"/>
      <c r="F83" s="233"/>
      <c r="G83" s="53">
        <f t="shared" si="16"/>
        <v>179019.14843809526</v>
      </c>
      <c r="H83" s="229"/>
      <c r="I83" s="229"/>
      <c r="J83" s="229"/>
      <c r="K83" s="229"/>
      <c r="L83" s="229"/>
      <c r="M83" s="229"/>
      <c r="N83" s="229"/>
    </row>
    <row r="84" spans="2:14" ht="15.6" x14ac:dyDescent="0.35">
      <c r="B84" s="229"/>
      <c r="C84" s="48" t="s">
        <v>384</v>
      </c>
      <c r="D84" s="59">
        <f t="shared" ref="D84:E84" si="17">SUM(D77:D83)</f>
        <v>195728.57142857145</v>
      </c>
      <c r="E84" s="59">
        <f t="shared" si="17"/>
        <v>0</v>
      </c>
      <c r="F84" s="59">
        <f t="shared" ref="F84" si="18">SUM(F77:F83)</f>
        <v>0</v>
      </c>
      <c r="G84" s="53">
        <f t="shared" si="16"/>
        <v>195728.57142857145</v>
      </c>
      <c r="H84" s="229"/>
      <c r="I84" s="229"/>
      <c r="J84" s="229"/>
      <c r="K84" s="229"/>
      <c r="L84" s="229"/>
      <c r="M84" s="229"/>
      <c r="N84" s="229"/>
    </row>
    <row r="85" spans="2:14" s="47" customFormat="1" ht="15.6" x14ac:dyDescent="0.35">
      <c r="B85" s="230"/>
      <c r="C85" s="60"/>
      <c r="D85" s="61"/>
      <c r="E85" s="61"/>
      <c r="F85" s="61"/>
      <c r="G85" s="62"/>
      <c r="H85" s="230"/>
      <c r="I85" s="230"/>
      <c r="J85" s="230"/>
      <c r="K85" s="230"/>
      <c r="L85" s="230"/>
      <c r="M85" s="230"/>
      <c r="N85" s="230"/>
    </row>
    <row r="86" spans="2:14" ht="15.6" hidden="1" x14ac:dyDescent="0.35">
      <c r="B86" s="229"/>
      <c r="C86" s="511" t="s">
        <v>185</v>
      </c>
      <c r="D86" s="512"/>
      <c r="E86" s="512"/>
      <c r="F86" s="512"/>
      <c r="G86" s="513"/>
      <c r="H86" s="229"/>
      <c r="I86" s="229"/>
      <c r="J86" s="229"/>
      <c r="K86" s="229"/>
      <c r="L86" s="229"/>
      <c r="M86" s="229"/>
      <c r="N86" s="229"/>
    </row>
    <row r="87" spans="2:14" ht="21.75" hidden="1" customHeight="1" thickBot="1" x14ac:dyDescent="0.4">
      <c r="B87" s="229"/>
      <c r="C87" s="56" t="s">
        <v>376</v>
      </c>
      <c r="D87" s="57">
        <f>'1) Budget Tables'!D104</f>
        <v>0</v>
      </c>
      <c r="E87" s="57">
        <f>'1) Budget Tables'!E104</f>
        <v>0</v>
      </c>
      <c r="F87" s="57">
        <f>'1) Budget Tables'!F104</f>
        <v>0</v>
      </c>
      <c r="G87" s="58">
        <f t="shared" ref="G87:G95" si="19">SUM(D87:F87)</f>
        <v>0</v>
      </c>
      <c r="H87" s="229"/>
      <c r="I87" s="229"/>
      <c r="J87" s="229"/>
      <c r="K87" s="229"/>
      <c r="L87" s="229"/>
      <c r="M87" s="229"/>
      <c r="N87" s="229"/>
    </row>
    <row r="88" spans="2:14" ht="15.75" hidden="1" customHeight="1" x14ac:dyDescent="0.35">
      <c r="B88" s="229"/>
      <c r="C88" s="54" t="s">
        <v>377</v>
      </c>
      <c r="D88" s="231"/>
      <c r="E88" s="232"/>
      <c r="F88" s="232"/>
      <c r="G88" s="55">
        <f t="shared" si="19"/>
        <v>0</v>
      </c>
      <c r="H88" s="229"/>
      <c r="I88" s="229"/>
      <c r="J88" s="229"/>
      <c r="K88" s="229"/>
      <c r="L88" s="229"/>
      <c r="M88" s="229"/>
      <c r="N88" s="229"/>
    </row>
    <row r="89" spans="2:14" ht="15.75" hidden="1" customHeight="1" x14ac:dyDescent="0.35">
      <c r="B89" s="230"/>
      <c r="C89" s="43" t="s">
        <v>378</v>
      </c>
      <c r="D89" s="233"/>
      <c r="E89" s="203"/>
      <c r="F89" s="203"/>
      <c r="G89" s="53">
        <f t="shared" si="19"/>
        <v>0</v>
      </c>
      <c r="H89" s="229"/>
      <c r="I89" s="229"/>
      <c r="J89" s="229"/>
      <c r="K89" s="229"/>
      <c r="L89" s="229"/>
      <c r="M89" s="229"/>
      <c r="N89" s="229"/>
    </row>
    <row r="90" spans="2:14" ht="15.75" hidden="1" customHeight="1" x14ac:dyDescent="0.35">
      <c r="B90" s="229"/>
      <c r="C90" s="43" t="s">
        <v>379</v>
      </c>
      <c r="D90" s="233"/>
      <c r="E90" s="233"/>
      <c r="F90" s="233"/>
      <c r="G90" s="53">
        <f t="shared" si="19"/>
        <v>0</v>
      </c>
      <c r="H90" s="229"/>
      <c r="I90" s="229"/>
      <c r="J90" s="229"/>
      <c r="K90" s="229"/>
      <c r="L90" s="229"/>
      <c r="M90" s="229"/>
      <c r="N90" s="229"/>
    </row>
    <row r="91" spans="2:14" ht="15.6" hidden="1" x14ac:dyDescent="0.35">
      <c r="B91" s="229"/>
      <c r="C91" s="44" t="s">
        <v>380</v>
      </c>
      <c r="D91" s="233"/>
      <c r="E91" s="233"/>
      <c r="F91" s="233"/>
      <c r="G91" s="53">
        <f t="shared" si="19"/>
        <v>0</v>
      </c>
      <c r="H91" s="229"/>
      <c r="I91" s="229"/>
      <c r="J91" s="229"/>
      <c r="K91" s="229"/>
      <c r="L91" s="229"/>
      <c r="M91" s="229"/>
      <c r="N91" s="229"/>
    </row>
    <row r="92" spans="2:14" ht="15.6" hidden="1" x14ac:dyDescent="0.35">
      <c r="B92" s="229"/>
      <c r="C92" s="43" t="s">
        <v>381</v>
      </c>
      <c r="D92" s="233"/>
      <c r="E92" s="233"/>
      <c r="F92" s="233"/>
      <c r="G92" s="53">
        <f t="shared" si="19"/>
        <v>0</v>
      </c>
      <c r="H92" s="229"/>
      <c r="I92" s="229"/>
      <c r="J92" s="229"/>
      <c r="K92" s="229"/>
      <c r="L92" s="229"/>
      <c r="M92" s="229"/>
      <c r="N92" s="229"/>
    </row>
    <row r="93" spans="2:14" ht="25.5" hidden="1" customHeight="1" x14ac:dyDescent="0.35">
      <c r="B93" s="229"/>
      <c r="C93" s="43" t="s">
        <v>382</v>
      </c>
      <c r="D93" s="233"/>
      <c r="E93" s="233"/>
      <c r="F93" s="233"/>
      <c r="G93" s="53">
        <f t="shared" si="19"/>
        <v>0</v>
      </c>
      <c r="H93" s="229"/>
      <c r="I93" s="229"/>
      <c r="J93" s="229"/>
      <c r="K93" s="229"/>
      <c r="L93" s="229"/>
      <c r="M93" s="229"/>
      <c r="N93" s="229"/>
    </row>
    <row r="94" spans="2:14" ht="15.6" hidden="1" x14ac:dyDescent="0.35">
      <c r="B94" s="230"/>
      <c r="C94" s="43" t="s">
        <v>383</v>
      </c>
      <c r="D94" s="233"/>
      <c r="E94" s="233"/>
      <c r="F94" s="233"/>
      <c r="G94" s="53">
        <f t="shared" si="19"/>
        <v>0</v>
      </c>
      <c r="H94" s="229"/>
      <c r="I94" s="229"/>
      <c r="J94" s="229"/>
      <c r="K94" s="229"/>
      <c r="L94" s="229"/>
      <c r="M94" s="229"/>
      <c r="N94" s="229"/>
    </row>
    <row r="95" spans="2:14" ht="15.75" hidden="1" customHeight="1" x14ac:dyDescent="0.35">
      <c r="B95" s="229"/>
      <c r="C95" s="48" t="s">
        <v>384</v>
      </c>
      <c r="D95" s="59">
        <f t="shared" ref="D95:E95" si="20">SUM(D88:D94)</f>
        <v>0</v>
      </c>
      <c r="E95" s="59">
        <f t="shared" si="20"/>
        <v>0</v>
      </c>
      <c r="F95" s="59">
        <f t="shared" ref="F95" si="21">SUM(F88:F94)</f>
        <v>0</v>
      </c>
      <c r="G95" s="53">
        <f t="shared" si="19"/>
        <v>0</v>
      </c>
      <c r="H95" s="229"/>
      <c r="I95" s="229"/>
      <c r="J95" s="229"/>
      <c r="K95" s="229"/>
      <c r="L95" s="229"/>
      <c r="M95" s="229"/>
      <c r="N95" s="229"/>
    </row>
    <row r="96" spans="2:14" ht="25.5" customHeight="1" x14ac:dyDescent="0.35">
      <c r="B96" s="229"/>
      <c r="C96" s="229"/>
      <c r="D96" s="235"/>
      <c r="E96" s="235"/>
      <c r="F96" s="235"/>
      <c r="G96" s="235"/>
      <c r="H96" s="229"/>
      <c r="I96" s="229"/>
      <c r="J96" s="229"/>
      <c r="K96" s="229"/>
      <c r="L96" s="229"/>
      <c r="M96" s="229"/>
      <c r="N96" s="229"/>
    </row>
    <row r="97" spans="2:14" ht="15.6" x14ac:dyDescent="0.35">
      <c r="B97" s="511" t="s">
        <v>390</v>
      </c>
      <c r="C97" s="512"/>
      <c r="D97" s="512"/>
      <c r="E97" s="512"/>
      <c r="F97" s="512"/>
      <c r="G97" s="513"/>
      <c r="H97" s="229"/>
      <c r="I97" s="229"/>
      <c r="J97" s="229"/>
      <c r="K97" s="229"/>
      <c r="L97" s="229"/>
      <c r="M97" s="229"/>
      <c r="N97" s="229"/>
    </row>
    <row r="98" spans="2:14" ht="15.6" x14ac:dyDescent="0.35">
      <c r="B98" s="229"/>
      <c r="C98" s="511" t="s">
        <v>196</v>
      </c>
      <c r="D98" s="512"/>
      <c r="E98" s="512"/>
      <c r="F98" s="512"/>
      <c r="G98" s="513"/>
      <c r="H98" s="229"/>
      <c r="I98" s="229"/>
      <c r="J98" s="229"/>
      <c r="K98" s="229"/>
      <c r="L98" s="229"/>
      <c r="M98" s="229"/>
      <c r="N98" s="229"/>
    </row>
    <row r="99" spans="2:14" ht="22.5" customHeight="1" thickBot="1" x14ac:dyDescent="0.4">
      <c r="B99" s="229"/>
      <c r="C99" s="56" t="s">
        <v>376</v>
      </c>
      <c r="D99" s="57">
        <f>'1) Budget Tables'!D116</f>
        <v>91038</v>
      </c>
      <c r="E99" s="57">
        <f>'1) Budget Tables'!E116</f>
        <v>0</v>
      </c>
      <c r="F99" s="57">
        <f>'1) Budget Tables'!F116</f>
        <v>0</v>
      </c>
      <c r="G99" s="58">
        <f>SUM(D99:F99)</f>
        <v>91038</v>
      </c>
      <c r="H99" s="229"/>
      <c r="I99" s="229"/>
      <c r="J99" s="229"/>
      <c r="K99" s="229"/>
      <c r="L99" s="229"/>
      <c r="M99" s="229"/>
      <c r="N99" s="229"/>
    </row>
    <row r="100" spans="2:14" ht="15.6" x14ac:dyDescent="0.35">
      <c r="B100" s="229"/>
      <c r="C100" s="54" t="s">
        <v>377</v>
      </c>
      <c r="D100" s="231">
        <v>15833.809333333333</v>
      </c>
      <c r="E100" s="232"/>
      <c r="F100" s="232"/>
      <c r="G100" s="55">
        <f t="shared" ref="G100:G107" si="22">SUM(D100:F100)</f>
        <v>15833.809333333333</v>
      </c>
      <c r="H100" s="229"/>
      <c r="I100" s="229"/>
      <c r="J100" s="229"/>
      <c r="K100" s="229"/>
      <c r="L100" s="229"/>
      <c r="M100" s="229"/>
      <c r="N100" s="229"/>
    </row>
    <row r="101" spans="2:14" ht="15.6" x14ac:dyDescent="0.35">
      <c r="B101" s="229"/>
      <c r="C101" s="43" t="s">
        <v>378</v>
      </c>
      <c r="D101" s="233"/>
      <c r="E101" s="203"/>
      <c r="F101" s="203"/>
      <c r="G101" s="53">
        <f t="shared" si="22"/>
        <v>0</v>
      </c>
      <c r="H101" s="229"/>
      <c r="I101" s="229"/>
      <c r="J101" s="229"/>
      <c r="K101" s="229"/>
      <c r="L101" s="229"/>
      <c r="M101" s="229"/>
      <c r="N101" s="229"/>
    </row>
    <row r="102" spans="2:14" ht="15.75" customHeight="1" x14ac:dyDescent="0.35">
      <c r="B102" s="229"/>
      <c r="C102" s="43" t="s">
        <v>379</v>
      </c>
      <c r="D102" s="233"/>
      <c r="E102" s="233"/>
      <c r="F102" s="233"/>
      <c r="G102" s="53">
        <f t="shared" si="22"/>
        <v>0</v>
      </c>
      <c r="H102" s="229"/>
      <c r="I102" s="229"/>
      <c r="J102" s="229"/>
      <c r="K102" s="229"/>
      <c r="L102" s="229"/>
      <c r="M102" s="229"/>
      <c r="N102" s="229"/>
    </row>
    <row r="103" spans="2:14" ht="15.6" x14ac:dyDescent="0.35">
      <c r="B103" s="229"/>
      <c r="C103" s="44" t="s">
        <v>380</v>
      </c>
      <c r="D103" s="233"/>
      <c r="E103" s="233"/>
      <c r="F103" s="233"/>
      <c r="G103" s="53">
        <f t="shared" si="22"/>
        <v>0</v>
      </c>
      <c r="H103" s="229"/>
      <c r="I103" s="229"/>
      <c r="J103" s="229"/>
      <c r="K103" s="229"/>
      <c r="L103" s="229"/>
      <c r="M103" s="229"/>
      <c r="N103" s="229"/>
    </row>
    <row r="104" spans="2:14" ht="15.6" x14ac:dyDescent="0.35">
      <c r="B104" s="229"/>
      <c r="C104" s="43" t="s">
        <v>381</v>
      </c>
      <c r="D104" s="233"/>
      <c r="E104" s="233"/>
      <c r="F104" s="233"/>
      <c r="G104" s="53">
        <f t="shared" si="22"/>
        <v>0</v>
      </c>
      <c r="H104" s="229"/>
      <c r="I104" s="229"/>
      <c r="J104" s="229"/>
      <c r="K104" s="229"/>
      <c r="L104" s="229"/>
      <c r="M104" s="229"/>
      <c r="N104" s="229"/>
    </row>
    <row r="105" spans="2:14" ht="15.6" x14ac:dyDescent="0.35">
      <c r="B105" s="229"/>
      <c r="C105" s="43" t="s">
        <v>382</v>
      </c>
      <c r="D105" s="233"/>
      <c r="E105" s="233"/>
      <c r="F105" s="233"/>
      <c r="G105" s="53">
        <f t="shared" si="22"/>
        <v>0</v>
      </c>
      <c r="H105" s="229"/>
      <c r="I105" s="229"/>
      <c r="J105" s="229"/>
      <c r="K105" s="229"/>
      <c r="L105" s="229"/>
      <c r="M105" s="229"/>
      <c r="N105" s="229"/>
    </row>
    <row r="106" spans="2:14" ht="15.6" x14ac:dyDescent="0.35">
      <c r="B106" s="229"/>
      <c r="C106" s="43" t="s">
        <v>383</v>
      </c>
      <c r="D106" s="233">
        <v>75204.190666666662</v>
      </c>
      <c r="E106" s="233"/>
      <c r="F106" s="233"/>
      <c r="G106" s="53">
        <f t="shared" si="22"/>
        <v>75204.190666666662</v>
      </c>
      <c r="H106" s="229"/>
      <c r="I106" s="229"/>
      <c r="J106" s="229"/>
      <c r="K106" s="229"/>
      <c r="L106" s="229"/>
      <c r="M106" s="229"/>
      <c r="N106" s="229"/>
    </row>
    <row r="107" spans="2:14" ht="15.6" x14ac:dyDescent="0.35">
      <c r="B107" s="229"/>
      <c r="C107" s="48" t="s">
        <v>384</v>
      </c>
      <c r="D107" s="59">
        <f>SUM(D100:D106)</f>
        <v>91038</v>
      </c>
      <c r="E107" s="59">
        <f>SUM(E100:E106)</f>
        <v>0</v>
      </c>
      <c r="F107" s="59">
        <f t="shared" ref="F107" si="23">SUM(F100:F106)</f>
        <v>0</v>
      </c>
      <c r="G107" s="53">
        <f t="shared" si="22"/>
        <v>91038</v>
      </c>
      <c r="H107" s="229"/>
      <c r="I107" s="229"/>
      <c r="J107" s="229"/>
      <c r="K107" s="229"/>
      <c r="L107" s="229"/>
      <c r="M107" s="229"/>
      <c r="N107" s="229"/>
    </row>
    <row r="108" spans="2:14" s="47" customFormat="1" ht="15.6" x14ac:dyDescent="0.35">
      <c r="B108" s="230"/>
      <c r="C108" s="60"/>
      <c r="D108" s="61"/>
      <c r="E108" s="61"/>
      <c r="F108" s="61"/>
      <c r="G108" s="62"/>
      <c r="H108" s="230"/>
      <c r="I108" s="230"/>
      <c r="J108" s="230"/>
      <c r="K108" s="230"/>
      <c r="L108" s="230"/>
      <c r="M108" s="230"/>
      <c r="N108" s="230"/>
    </row>
    <row r="109" spans="2:14" ht="15.75" customHeight="1" x14ac:dyDescent="0.35">
      <c r="B109" s="229"/>
      <c r="C109" s="511" t="s">
        <v>391</v>
      </c>
      <c r="D109" s="512"/>
      <c r="E109" s="512"/>
      <c r="F109" s="512"/>
      <c r="G109" s="513"/>
      <c r="H109" s="229"/>
      <c r="I109" s="229"/>
      <c r="J109" s="229"/>
      <c r="K109" s="229"/>
      <c r="L109" s="229"/>
      <c r="M109" s="229"/>
      <c r="N109" s="229"/>
    </row>
    <row r="110" spans="2:14" ht="21.75" customHeight="1" thickBot="1" x14ac:dyDescent="0.4">
      <c r="B110" s="229"/>
      <c r="C110" s="56" t="s">
        <v>376</v>
      </c>
      <c r="D110" s="57">
        <f>'1) Budget Tables'!D126</f>
        <v>80863</v>
      </c>
      <c r="E110" s="57">
        <f>'1) Budget Tables'!E126</f>
        <v>0</v>
      </c>
      <c r="F110" s="57">
        <f>'1) Budget Tables'!F126</f>
        <v>0</v>
      </c>
      <c r="G110" s="58">
        <f t="shared" ref="G110:G118" si="24">SUM(D110:F110)</f>
        <v>80863</v>
      </c>
      <c r="H110" s="229"/>
      <c r="I110" s="229"/>
      <c r="J110" s="229"/>
      <c r="K110" s="229"/>
      <c r="L110" s="229"/>
      <c r="M110" s="229"/>
      <c r="N110" s="229"/>
    </row>
    <row r="111" spans="2:14" ht="15.6" x14ac:dyDescent="0.35">
      <c r="B111" s="229"/>
      <c r="C111" s="54" t="s">
        <v>377</v>
      </c>
      <c r="D111" s="231">
        <v>15833.809333333333</v>
      </c>
      <c r="E111" s="232"/>
      <c r="F111" s="232"/>
      <c r="G111" s="55">
        <f t="shared" si="24"/>
        <v>15833.809333333333</v>
      </c>
      <c r="H111" s="229"/>
      <c r="I111" s="229"/>
      <c r="J111" s="229"/>
      <c r="K111" s="229"/>
      <c r="L111" s="229"/>
      <c r="M111" s="229"/>
      <c r="N111" s="229"/>
    </row>
    <row r="112" spans="2:14" ht="15.6" x14ac:dyDescent="0.35">
      <c r="B112" s="229"/>
      <c r="C112" s="43" t="s">
        <v>378</v>
      </c>
      <c r="D112" s="233"/>
      <c r="E112" s="203"/>
      <c r="F112" s="203"/>
      <c r="G112" s="53">
        <f t="shared" si="24"/>
        <v>0</v>
      </c>
      <c r="H112" s="229"/>
      <c r="I112" s="229"/>
      <c r="J112" s="229"/>
      <c r="K112" s="229"/>
      <c r="L112" s="229"/>
      <c r="M112" s="229"/>
      <c r="N112" s="229"/>
    </row>
    <row r="113" spans="3:14" ht="30.95" x14ac:dyDescent="0.35">
      <c r="C113" s="43" t="s">
        <v>379</v>
      </c>
      <c r="D113" s="233"/>
      <c r="E113" s="233"/>
      <c r="F113" s="233"/>
      <c r="G113" s="53">
        <f t="shared" si="24"/>
        <v>0</v>
      </c>
      <c r="H113" s="229"/>
      <c r="I113" s="229"/>
      <c r="J113" s="229"/>
      <c r="K113" s="229"/>
      <c r="L113" s="229"/>
      <c r="M113" s="229"/>
      <c r="N113" s="229"/>
    </row>
    <row r="114" spans="3:14" ht="15.6" x14ac:dyDescent="0.35">
      <c r="C114" s="44" t="s">
        <v>380</v>
      </c>
      <c r="D114" s="233"/>
      <c r="E114" s="233"/>
      <c r="F114" s="233"/>
      <c r="G114" s="53">
        <f t="shared" si="24"/>
        <v>0</v>
      </c>
      <c r="H114" s="229"/>
      <c r="I114" s="229"/>
      <c r="J114" s="229"/>
      <c r="K114" s="229"/>
      <c r="L114" s="229"/>
      <c r="M114" s="229"/>
      <c r="N114" s="229"/>
    </row>
    <row r="115" spans="3:14" ht="15.6" x14ac:dyDescent="0.35">
      <c r="C115" s="43" t="s">
        <v>381</v>
      </c>
      <c r="D115" s="233"/>
      <c r="E115" s="233"/>
      <c r="F115" s="233"/>
      <c r="G115" s="53">
        <f t="shared" si="24"/>
        <v>0</v>
      </c>
      <c r="H115" s="229"/>
      <c r="I115" s="229"/>
      <c r="J115" s="229"/>
      <c r="K115" s="229"/>
      <c r="L115" s="229"/>
      <c r="M115" s="229"/>
      <c r="N115" s="229"/>
    </row>
    <row r="116" spans="3:14" ht="15.6" x14ac:dyDescent="0.35">
      <c r="C116" s="43" t="s">
        <v>382</v>
      </c>
      <c r="D116" s="233"/>
      <c r="E116" s="233"/>
      <c r="F116" s="233"/>
      <c r="G116" s="53">
        <f t="shared" si="24"/>
        <v>0</v>
      </c>
      <c r="H116" s="229"/>
      <c r="I116" s="229"/>
      <c r="J116" s="229"/>
      <c r="K116" s="229"/>
      <c r="L116" s="229"/>
      <c r="M116" s="229"/>
      <c r="N116" s="229"/>
    </row>
    <row r="117" spans="3:14" ht="15.6" x14ac:dyDescent="0.35">
      <c r="C117" s="43" t="s">
        <v>383</v>
      </c>
      <c r="D117" s="233">
        <v>65029.190666666669</v>
      </c>
      <c r="E117" s="233"/>
      <c r="F117" s="233"/>
      <c r="G117" s="53">
        <f t="shared" si="24"/>
        <v>65029.190666666669</v>
      </c>
      <c r="H117" s="229"/>
      <c r="I117" s="229"/>
      <c r="J117" s="229"/>
      <c r="K117" s="229"/>
      <c r="L117" s="229"/>
      <c r="M117" s="229"/>
      <c r="N117" s="229"/>
    </row>
    <row r="118" spans="3:14" ht="15.6" x14ac:dyDescent="0.35">
      <c r="C118" s="48" t="s">
        <v>384</v>
      </c>
      <c r="D118" s="59">
        <f t="shared" ref="D118:E118" si="25">SUM(D111:D117)</f>
        <v>80863</v>
      </c>
      <c r="E118" s="59">
        <f t="shared" si="25"/>
        <v>0</v>
      </c>
      <c r="F118" s="59">
        <f t="shared" ref="F118" si="26">SUM(F111:F117)</f>
        <v>0</v>
      </c>
      <c r="G118" s="53">
        <f t="shared" si="24"/>
        <v>80863</v>
      </c>
      <c r="H118" s="229"/>
      <c r="I118" s="229"/>
      <c r="J118" s="229"/>
      <c r="K118" s="229"/>
      <c r="L118" s="229"/>
      <c r="M118" s="229"/>
      <c r="N118" s="229"/>
    </row>
    <row r="119" spans="3:14" s="47" customFormat="1" ht="15.6" x14ac:dyDescent="0.35">
      <c r="C119" s="60"/>
      <c r="D119" s="61"/>
      <c r="E119" s="61"/>
      <c r="F119" s="61"/>
      <c r="G119" s="62"/>
      <c r="H119" s="230"/>
      <c r="I119" s="230"/>
      <c r="J119" s="230"/>
      <c r="K119" s="230"/>
      <c r="L119" s="230"/>
      <c r="M119" s="230"/>
      <c r="N119" s="230"/>
    </row>
    <row r="120" spans="3:14" ht="15.6" x14ac:dyDescent="0.35">
      <c r="C120" s="511" t="s">
        <v>249</v>
      </c>
      <c r="D120" s="512"/>
      <c r="E120" s="512"/>
      <c r="F120" s="512"/>
      <c r="G120" s="513"/>
      <c r="H120" s="229"/>
      <c r="I120" s="229"/>
      <c r="J120" s="229"/>
      <c r="K120" s="229"/>
      <c r="L120" s="229"/>
      <c r="M120" s="229"/>
      <c r="N120" s="229"/>
    </row>
    <row r="121" spans="3:14" ht="21" customHeight="1" thickBot="1" x14ac:dyDescent="0.4">
      <c r="C121" s="56" t="s">
        <v>376</v>
      </c>
      <c r="D121" s="57">
        <f>'1) Budget Tables'!D136</f>
        <v>68099</v>
      </c>
      <c r="E121" s="57">
        <f>'1) Budget Tables'!E136</f>
        <v>0</v>
      </c>
      <c r="F121" s="57">
        <f>'1) Budget Tables'!F136</f>
        <v>0</v>
      </c>
      <c r="G121" s="58">
        <f t="shared" ref="G121:G129" si="27">SUM(D121:F121)</f>
        <v>68099</v>
      </c>
      <c r="H121" s="229"/>
      <c r="I121" s="229"/>
      <c r="J121" s="229"/>
      <c r="K121" s="229"/>
      <c r="L121" s="229"/>
      <c r="M121" s="229"/>
      <c r="N121" s="229"/>
    </row>
    <row r="122" spans="3:14" ht="15.6" x14ac:dyDescent="0.35">
      <c r="C122" s="54" t="s">
        <v>377</v>
      </c>
      <c r="D122" s="231">
        <v>15833.809333333333</v>
      </c>
      <c r="E122" s="232"/>
      <c r="F122" s="232"/>
      <c r="G122" s="55">
        <f t="shared" si="27"/>
        <v>15833.809333333333</v>
      </c>
      <c r="H122" s="229"/>
      <c r="I122" s="229"/>
      <c r="J122" s="229"/>
      <c r="K122" s="229"/>
      <c r="L122" s="229"/>
      <c r="M122" s="229"/>
      <c r="N122" s="229"/>
    </row>
    <row r="123" spans="3:14" ht="15.6" x14ac:dyDescent="0.35">
      <c r="C123" s="43" t="s">
        <v>378</v>
      </c>
      <c r="D123" s="233"/>
      <c r="E123" s="203"/>
      <c r="F123" s="203"/>
      <c r="G123" s="53">
        <f t="shared" si="27"/>
        <v>0</v>
      </c>
      <c r="H123" s="229"/>
      <c r="I123" s="229"/>
      <c r="J123" s="229"/>
      <c r="K123" s="229"/>
      <c r="L123" s="229"/>
      <c r="M123" s="229"/>
      <c r="N123" s="229"/>
    </row>
    <row r="124" spans="3:14" ht="30.95" x14ac:dyDescent="0.35">
      <c r="C124" s="43" t="s">
        <v>379</v>
      </c>
      <c r="D124" s="233"/>
      <c r="E124" s="233"/>
      <c r="F124" s="233"/>
      <c r="G124" s="53">
        <f t="shared" si="27"/>
        <v>0</v>
      </c>
      <c r="H124" s="229"/>
      <c r="I124" s="229"/>
      <c r="J124" s="229"/>
      <c r="K124" s="229"/>
      <c r="L124" s="229"/>
      <c r="M124" s="229"/>
      <c r="N124" s="229"/>
    </row>
    <row r="125" spans="3:14" ht="15.6" x14ac:dyDescent="0.35">
      <c r="C125" s="44" t="s">
        <v>380</v>
      </c>
      <c r="D125" s="233"/>
      <c r="E125" s="233"/>
      <c r="F125" s="233"/>
      <c r="G125" s="53">
        <f t="shared" si="27"/>
        <v>0</v>
      </c>
      <c r="H125" s="229"/>
      <c r="I125" s="229"/>
      <c r="J125" s="229"/>
      <c r="K125" s="229"/>
      <c r="L125" s="229"/>
      <c r="M125" s="229"/>
      <c r="N125" s="229"/>
    </row>
    <row r="126" spans="3:14" ht="15.6" x14ac:dyDescent="0.35">
      <c r="C126" s="43" t="s">
        <v>381</v>
      </c>
      <c r="D126" s="233"/>
      <c r="E126" s="233"/>
      <c r="F126" s="233"/>
      <c r="G126" s="53">
        <f t="shared" si="27"/>
        <v>0</v>
      </c>
      <c r="H126" s="229"/>
      <c r="I126" s="229"/>
      <c r="J126" s="229"/>
      <c r="K126" s="229"/>
      <c r="L126" s="229"/>
      <c r="M126" s="229"/>
      <c r="N126" s="229"/>
    </row>
    <row r="127" spans="3:14" ht="15.6" x14ac:dyDescent="0.35">
      <c r="C127" s="43" t="s">
        <v>382</v>
      </c>
      <c r="D127" s="233"/>
      <c r="E127" s="233"/>
      <c r="F127" s="233"/>
      <c r="G127" s="53">
        <f t="shared" si="27"/>
        <v>0</v>
      </c>
      <c r="H127" s="229"/>
      <c r="I127" s="229"/>
      <c r="J127" s="229"/>
      <c r="K127" s="229"/>
      <c r="L127" s="229"/>
      <c r="M127" s="229"/>
      <c r="N127" s="229"/>
    </row>
    <row r="128" spans="3:14" ht="15.6" x14ac:dyDescent="0.35">
      <c r="C128" s="43" t="s">
        <v>383</v>
      </c>
      <c r="D128" s="233">
        <v>52265.190666666669</v>
      </c>
      <c r="E128" s="233"/>
      <c r="F128" s="233"/>
      <c r="G128" s="53">
        <f t="shared" si="27"/>
        <v>52265.190666666669</v>
      </c>
      <c r="H128" s="229"/>
      <c r="I128" s="229"/>
      <c r="J128" s="229"/>
      <c r="K128" s="229"/>
      <c r="L128" s="229"/>
      <c r="M128" s="229"/>
      <c r="N128" s="229"/>
    </row>
    <row r="129" spans="2:14" ht="15.6" x14ac:dyDescent="0.35">
      <c r="B129" s="229"/>
      <c r="C129" s="48" t="s">
        <v>384</v>
      </c>
      <c r="D129" s="59">
        <f t="shared" ref="D129:E129" si="28">SUM(D122:D128)</f>
        <v>68099</v>
      </c>
      <c r="E129" s="59">
        <f t="shared" si="28"/>
        <v>0</v>
      </c>
      <c r="F129" s="59">
        <f t="shared" ref="F129" si="29">SUM(F122:F128)</f>
        <v>0</v>
      </c>
      <c r="G129" s="53">
        <f t="shared" si="27"/>
        <v>68099</v>
      </c>
      <c r="H129" s="229"/>
      <c r="I129" s="229"/>
      <c r="J129" s="229"/>
      <c r="K129" s="229"/>
      <c r="L129" s="229"/>
      <c r="M129" s="229"/>
      <c r="N129" s="229"/>
    </row>
    <row r="130" spans="2:14" s="47" customFormat="1" ht="15.6" hidden="1" x14ac:dyDescent="0.35">
      <c r="B130" s="230"/>
      <c r="C130" s="60"/>
      <c r="D130" s="61"/>
      <c r="E130" s="61"/>
      <c r="F130" s="61"/>
      <c r="G130" s="62"/>
      <c r="H130" s="230"/>
      <c r="I130" s="230"/>
      <c r="J130" s="230"/>
      <c r="K130" s="230"/>
      <c r="L130" s="230"/>
      <c r="M130" s="230"/>
      <c r="N130" s="230"/>
    </row>
    <row r="131" spans="2:14" ht="15.6" hidden="1" x14ac:dyDescent="0.35">
      <c r="B131" s="229"/>
      <c r="C131" s="511" t="s">
        <v>274</v>
      </c>
      <c r="D131" s="512"/>
      <c r="E131" s="512"/>
      <c r="F131" s="512"/>
      <c r="G131" s="513"/>
      <c r="H131" s="229"/>
      <c r="I131" s="229"/>
      <c r="J131" s="229"/>
      <c r="K131" s="229"/>
      <c r="L131" s="229"/>
      <c r="M131" s="229"/>
      <c r="N131" s="229"/>
    </row>
    <row r="132" spans="2:14" ht="24" hidden="1" customHeight="1" thickBot="1" x14ac:dyDescent="0.4">
      <c r="B132" s="229"/>
      <c r="C132" s="56" t="s">
        <v>376</v>
      </c>
      <c r="D132" s="57">
        <f>'1) Budget Tables'!D146</f>
        <v>0</v>
      </c>
      <c r="E132" s="57">
        <f>'1) Budget Tables'!E146</f>
        <v>0</v>
      </c>
      <c r="F132" s="57">
        <f>'1) Budget Tables'!F146</f>
        <v>0</v>
      </c>
      <c r="G132" s="58">
        <f t="shared" ref="G132:G140" si="30">SUM(D132:F132)</f>
        <v>0</v>
      </c>
      <c r="H132" s="229"/>
      <c r="I132" s="229"/>
      <c r="J132" s="229"/>
      <c r="K132" s="229"/>
      <c r="L132" s="229"/>
      <c r="M132" s="229"/>
      <c r="N132" s="229"/>
    </row>
    <row r="133" spans="2:14" ht="15.75" hidden="1" customHeight="1" x14ac:dyDescent="0.35">
      <c r="B133" s="229"/>
      <c r="C133" s="54" t="s">
        <v>377</v>
      </c>
      <c r="D133" s="231"/>
      <c r="E133" s="232"/>
      <c r="F133" s="232"/>
      <c r="G133" s="55">
        <f t="shared" si="30"/>
        <v>0</v>
      </c>
      <c r="H133" s="229"/>
      <c r="I133" s="229"/>
      <c r="J133" s="229"/>
      <c r="K133" s="229"/>
      <c r="L133" s="229"/>
      <c r="M133" s="229"/>
      <c r="N133" s="229"/>
    </row>
    <row r="134" spans="2:14" s="49" customFormat="1" ht="15.6" hidden="1" x14ac:dyDescent="0.35">
      <c r="B134" s="235"/>
      <c r="C134" s="43" t="s">
        <v>378</v>
      </c>
      <c r="D134" s="233"/>
      <c r="E134" s="203"/>
      <c r="F134" s="203"/>
      <c r="G134" s="53">
        <f t="shared" si="30"/>
        <v>0</v>
      </c>
      <c r="H134" s="235"/>
      <c r="I134" s="235"/>
      <c r="J134" s="235"/>
      <c r="K134" s="235"/>
      <c r="L134" s="235"/>
      <c r="M134" s="235"/>
      <c r="N134" s="235"/>
    </row>
    <row r="135" spans="2:14" s="49" customFormat="1" ht="15.75" hidden="1" customHeight="1" x14ac:dyDescent="0.35">
      <c r="B135" s="235"/>
      <c r="C135" s="43" t="s">
        <v>379</v>
      </c>
      <c r="D135" s="233"/>
      <c r="E135" s="233"/>
      <c r="F135" s="233"/>
      <c r="G135" s="53">
        <f t="shared" si="30"/>
        <v>0</v>
      </c>
      <c r="H135" s="235"/>
      <c r="I135" s="235"/>
      <c r="J135" s="235"/>
      <c r="K135" s="235"/>
      <c r="L135" s="235"/>
      <c r="M135" s="235"/>
      <c r="N135" s="235"/>
    </row>
    <row r="136" spans="2:14" s="49" customFormat="1" ht="15.6" hidden="1" x14ac:dyDescent="0.35">
      <c r="B136" s="235"/>
      <c r="C136" s="44" t="s">
        <v>380</v>
      </c>
      <c r="D136" s="233"/>
      <c r="E136" s="233"/>
      <c r="F136" s="233"/>
      <c r="G136" s="53">
        <f t="shared" si="30"/>
        <v>0</v>
      </c>
      <c r="H136" s="235"/>
      <c r="I136" s="235"/>
      <c r="J136" s="235"/>
      <c r="K136" s="235"/>
      <c r="L136" s="235"/>
      <c r="M136" s="235"/>
      <c r="N136" s="235"/>
    </row>
    <row r="137" spans="2:14" s="49" customFormat="1" ht="15.6" hidden="1" x14ac:dyDescent="0.35">
      <c r="B137" s="235"/>
      <c r="C137" s="43" t="s">
        <v>381</v>
      </c>
      <c r="D137" s="233"/>
      <c r="E137" s="233"/>
      <c r="F137" s="233"/>
      <c r="G137" s="53">
        <f t="shared" si="30"/>
        <v>0</v>
      </c>
      <c r="H137" s="235"/>
      <c r="I137" s="235"/>
      <c r="J137" s="235"/>
      <c r="K137" s="235"/>
      <c r="L137" s="235"/>
      <c r="M137" s="235"/>
      <c r="N137" s="235"/>
    </row>
    <row r="138" spans="2:14" s="49" customFormat="1" ht="15.75" hidden="1" customHeight="1" x14ac:dyDescent="0.35">
      <c r="B138" s="235"/>
      <c r="C138" s="43" t="s">
        <v>382</v>
      </c>
      <c r="D138" s="233"/>
      <c r="E138" s="233"/>
      <c r="F138" s="233"/>
      <c r="G138" s="53">
        <f t="shared" si="30"/>
        <v>0</v>
      </c>
      <c r="H138" s="235"/>
      <c r="I138" s="235"/>
      <c r="J138" s="235"/>
      <c r="K138" s="235"/>
      <c r="L138" s="235"/>
      <c r="M138" s="235"/>
      <c r="N138" s="235"/>
    </row>
    <row r="139" spans="2:14" s="49" customFormat="1" ht="15.6" hidden="1" x14ac:dyDescent="0.35">
      <c r="B139" s="235"/>
      <c r="C139" s="43" t="s">
        <v>383</v>
      </c>
      <c r="D139" s="233"/>
      <c r="E139" s="233"/>
      <c r="F139" s="233"/>
      <c r="G139" s="53">
        <f t="shared" si="30"/>
        <v>0</v>
      </c>
      <c r="H139" s="235"/>
      <c r="I139" s="235"/>
      <c r="J139" s="235"/>
      <c r="K139" s="235"/>
      <c r="L139" s="235"/>
      <c r="M139" s="235"/>
      <c r="N139" s="235"/>
    </row>
    <row r="140" spans="2:14" s="49" customFormat="1" ht="15.6" hidden="1" x14ac:dyDescent="0.35">
      <c r="B140" s="235"/>
      <c r="C140" s="48" t="s">
        <v>384</v>
      </c>
      <c r="D140" s="59">
        <f t="shared" ref="D140:E140" si="31">SUM(D133:D139)</f>
        <v>0</v>
      </c>
      <c r="E140" s="59">
        <f t="shared" si="31"/>
        <v>0</v>
      </c>
      <c r="F140" s="59">
        <f t="shared" ref="F140" si="32">SUM(F133:F139)</f>
        <v>0</v>
      </c>
      <c r="G140" s="53">
        <f t="shared" si="30"/>
        <v>0</v>
      </c>
      <c r="H140" s="235"/>
      <c r="I140" s="235"/>
      <c r="J140" s="235"/>
      <c r="K140" s="235"/>
      <c r="L140" s="235"/>
      <c r="M140" s="235"/>
      <c r="N140" s="235"/>
    </row>
    <row r="141" spans="2:14" s="49" customFormat="1" ht="15.6" hidden="1" x14ac:dyDescent="0.35">
      <c r="B141" s="235"/>
      <c r="C141" s="229"/>
      <c r="D141" s="230"/>
      <c r="E141" s="230"/>
      <c r="F141" s="230"/>
      <c r="G141" s="229"/>
      <c r="H141" s="235"/>
      <c r="I141" s="235"/>
      <c r="J141" s="235"/>
      <c r="K141" s="235"/>
      <c r="L141" s="235"/>
      <c r="M141" s="235"/>
      <c r="N141" s="235"/>
    </row>
    <row r="142" spans="2:14" s="49" customFormat="1" ht="15.6" hidden="1" x14ac:dyDescent="0.35">
      <c r="B142" s="511" t="s">
        <v>392</v>
      </c>
      <c r="C142" s="512"/>
      <c r="D142" s="512"/>
      <c r="E142" s="512"/>
      <c r="F142" s="512"/>
      <c r="G142" s="513"/>
      <c r="H142" s="235"/>
      <c r="I142" s="235"/>
      <c r="J142" s="235"/>
      <c r="K142" s="235"/>
      <c r="L142" s="235"/>
      <c r="M142" s="235"/>
      <c r="N142" s="235"/>
    </row>
    <row r="143" spans="2:14" s="49" customFormat="1" ht="15.6" hidden="1" x14ac:dyDescent="0.35">
      <c r="B143" s="229"/>
      <c r="C143" s="511" t="s">
        <v>284</v>
      </c>
      <c r="D143" s="512"/>
      <c r="E143" s="512"/>
      <c r="F143" s="512"/>
      <c r="G143" s="513"/>
      <c r="H143" s="235"/>
      <c r="I143" s="235"/>
      <c r="J143" s="235"/>
      <c r="K143" s="235"/>
      <c r="L143" s="235"/>
      <c r="M143" s="235"/>
      <c r="N143" s="235"/>
    </row>
    <row r="144" spans="2:14" s="49" customFormat="1" ht="24" hidden="1" customHeight="1" thickBot="1" x14ac:dyDescent="0.4">
      <c r="B144" s="229"/>
      <c r="C144" s="56" t="s">
        <v>376</v>
      </c>
      <c r="D144" s="57">
        <f>'1) Budget Tables'!D158</f>
        <v>0</v>
      </c>
      <c r="E144" s="57">
        <f>'1) Budget Tables'!E158</f>
        <v>0</v>
      </c>
      <c r="F144" s="57">
        <f>'1) Budget Tables'!F158</f>
        <v>0</v>
      </c>
      <c r="G144" s="58">
        <f>SUM(D144:F144)</f>
        <v>0</v>
      </c>
      <c r="H144" s="235"/>
      <c r="I144" s="235"/>
      <c r="J144" s="235"/>
      <c r="K144" s="235"/>
      <c r="L144" s="235"/>
      <c r="M144" s="235"/>
      <c r="N144" s="235"/>
    </row>
    <row r="145" spans="2:7" s="49" customFormat="1" ht="24.75" hidden="1" customHeight="1" x14ac:dyDescent="0.35">
      <c r="B145" s="229"/>
      <c r="C145" s="54" t="s">
        <v>377</v>
      </c>
      <c r="D145" s="231"/>
      <c r="E145" s="232"/>
      <c r="F145" s="232"/>
      <c r="G145" s="55">
        <f t="shared" ref="G145:G152" si="33">SUM(D145:F145)</f>
        <v>0</v>
      </c>
    </row>
    <row r="146" spans="2:7" s="49" customFormat="1" ht="15.75" hidden="1" customHeight="1" x14ac:dyDescent="0.35">
      <c r="B146" s="229"/>
      <c r="C146" s="43" t="s">
        <v>378</v>
      </c>
      <c r="D146" s="233"/>
      <c r="E146" s="203"/>
      <c r="F146" s="203"/>
      <c r="G146" s="53">
        <f t="shared" si="33"/>
        <v>0</v>
      </c>
    </row>
    <row r="147" spans="2:7" s="49" customFormat="1" ht="15.75" hidden="1" customHeight="1" x14ac:dyDescent="0.35">
      <c r="B147" s="229"/>
      <c r="C147" s="43" t="s">
        <v>379</v>
      </c>
      <c r="D147" s="233"/>
      <c r="E147" s="233"/>
      <c r="F147" s="233"/>
      <c r="G147" s="53">
        <f t="shared" si="33"/>
        <v>0</v>
      </c>
    </row>
    <row r="148" spans="2:7" s="49" customFormat="1" ht="15.75" hidden="1" customHeight="1" x14ac:dyDescent="0.35">
      <c r="B148" s="229"/>
      <c r="C148" s="44" t="s">
        <v>380</v>
      </c>
      <c r="D148" s="233"/>
      <c r="E148" s="233"/>
      <c r="F148" s="233"/>
      <c r="G148" s="53">
        <f t="shared" si="33"/>
        <v>0</v>
      </c>
    </row>
    <row r="149" spans="2:7" s="49" customFormat="1" ht="15.75" hidden="1" customHeight="1" x14ac:dyDescent="0.35">
      <c r="B149" s="229"/>
      <c r="C149" s="43" t="s">
        <v>381</v>
      </c>
      <c r="D149" s="233"/>
      <c r="E149" s="233"/>
      <c r="F149" s="233"/>
      <c r="G149" s="53">
        <f t="shared" si="33"/>
        <v>0</v>
      </c>
    </row>
    <row r="150" spans="2:7" s="49" customFormat="1" ht="15.75" hidden="1" customHeight="1" x14ac:dyDescent="0.35">
      <c r="B150" s="229"/>
      <c r="C150" s="43" t="s">
        <v>382</v>
      </c>
      <c r="D150" s="233"/>
      <c r="E150" s="233"/>
      <c r="F150" s="233"/>
      <c r="G150" s="53">
        <f t="shared" si="33"/>
        <v>0</v>
      </c>
    </row>
    <row r="151" spans="2:7" s="49" customFormat="1" ht="15.75" hidden="1" customHeight="1" x14ac:dyDescent="0.35">
      <c r="B151" s="229"/>
      <c r="C151" s="43" t="s">
        <v>383</v>
      </c>
      <c r="D151" s="233"/>
      <c r="E151" s="233"/>
      <c r="F151" s="233"/>
      <c r="G151" s="53">
        <f t="shared" si="33"/>
        <v>0</v>
      </c>
    </row>
    <row r="152" spans="2:7" s="49" customFormat="1" ht="15.75" hidden="1" customHeight="1" x14ac:dyDescent="0.35">
      <c r="B152" s="229"/>
      <c r="C152" s="48" t="s">
        <v>384</v>
      </c>
      <c r="D152" s="59">
        <f>SUM(D145:D151)</f>
        <v>0</v>
      </c>
      <c r="E152" s="59">
        <f>SUM(E145:E151)</f>
        <v>0</v>
      </c>
      <c r="F152" s="59">
        <f t="shared" ref="F152" si="34">SUM(F145:F151)</f>
        <v>0</v>
      </c>
      <c r="G152" s="53">
        <f t="shared" si="33"/>
        <v>0</v>
      </c>
    </row>
    <row r="153" spans="2:7" s="47" customFormat="1" ht="15.75" hidden="1" customHeight="1" x14ac:dyDescent="0.35">
      <c r="B153" s="230"/>
      <c r="C153" s="60"/>
      <c r="D153" s="61"/>
      <c r="E153" s="61"/>
      <c r="F153" s="61"/>
      <c r="G153" s="62"/>
    </row>
    <row r="154" spans="2:7" s="49" customFormat="1" ht="15.75" hidden="1" customHeight="1" x14ac:dyDescent="0.35">
      <c r="B154" s="235"/>
      <c r="C154" s="511" t="s">
        <v>293</v>
      </c>
      <c r="D154" s="512"/>
      <c r="E154" s="512"/>
      <c r="F154" s="512"/>
      <c r="G154" s="513"/>
    </row>
    <row r="155" spans="2:7" s="49" customFormat="1" ht="21" hidden="1" customHeight="1" thickBot="1" x14ac:dyDescent="0.4">
      <c r="B155" s="235"/>
      <c r="C155" s="56" t="s">
        <v>376</v>
      </c>
      <c r="D155" s="57">
        <f>'1) Budget Tables'!D168</f>
        <v>0</v>
      </c>
      <c r="E155" s="57">
        <f>'1) Budget Tables'!E168</f>
        <v>0</v>
      </c>
      <c r="F155" s="57">
        <f>'1) Budget Tables'!F168</f>
        <v>0</v>
      </c>
      <c r="G155" s="58">
        <f t="shared" ref="G155:G163" si="35">SUM(D155:F155)</f>
        <v>0</v>
      </c>
    </row>
    <row r="156" spans="2:7" s="49" customFormat="1" ht="15.75" hidden="1" customHeight="1" x14ac:dyDescent="0.35">
      <c r="B156" s="235"/>
      <c r="C156" s="54" t="s">
        <v>377</v>
      </c>
      <c r="D156" s="231"/>
      <c r="E156" s="232"/>
      <c r="F156" s="232"/>
      <c r="G156" s="55">
        <f t="shared" si="35"/>
        <v>0</v>
      </c>
    </row>
    <row r="157" spans="2:7" s="49" customFormat="1" ht="15.75" hidden="1" customHeight="1" x14ac:dyDescent="0.35">
      <c r="B157" s="235"/>
      <c r="C157" s="43" t="s">
        <v>378</v>
      </c>
      <c r="D157" s="233"/>
      <c r="E157" s="203"/>
      <c r="F157" s="203"/>
      <c r="G157" s="53">
        <f t="shared" si="35"/>
        <v>0</v>
      </c>
    </row>
    <row r="158" spans="2:7" s="49" customFormat="1" ht="15.75" hidden="1" customHeight="1" x14ac:dyDescent="0.35">
      <c r="B158" s="235"/>
      <c r="C158" s="43" t="s">
        <v>379</v>
      </c>
      <c r="D158" s="233"/>
      <c r="E158" s="233"/>
      <c r="F158" s="233"/>
      <c r="G158" s="53">
        <f t="shared" si="35"/>
        <v>0</v>
      </c>
    </row>
    <row r="159" spans="2:7" s="49" customFormat="1" ht="15.75" hidden="1" customHeight="1" x14ac:dyDescent="0.35">
      <c r="B159" s="235"/>
      <c r="C159" s="44" t="s">
        <v>380</v>
      </c>
      <c r="D159" s="233"/>
      <c r="E159" s="233"/>
      <c r="F159" s="233"/>
      <c r="G159" s="53">
        <f t="shared" si="35"/>
        <v>0</v>
      </c>
    </row>
    <row r="160" spans="2:7" s="49" customFormat="1" ht="15.75" hidden="1" customHeight="1" x14ac:dyDescent="0.35">
      <c r="B160" s="235"/>
      <c r="C160" s="43" t="s">
        <v>381</v>
      </c>
      <c r="D160" s="233"/>
      <c r="E160" s="233"/>
      <c r="F160" s="233"/>
      <c r="G160" s="53">
        <f t="shared" si="35"/>
        <v>0</v>
      </c>
    </row>
    <row r="161" spans="3:7" s="49" customFormat="1" ht="15.75" hidden="1" customHeight="1" x14ac:dyDescent="0.35">
      <c r="C161" s="43" t="s">
        <v>382</v>
      </c>
      <c r="D161" s="233"/>
      <c r="E161" s="233"/>
      <c r="F161" s="233"/>
      <c r="G161" s="53">
        <f t="shared" si="35"/>
        <v>0</v>
      </c>
    </row>
    <row r="162" spans="3:7" s="49" customFormat="1" ht="15.75" hidden="1" customHeight="1" x14ac:dyDescent="0.35">
      <c r="C162" s="43" t="s">
        <v>383</v>
      </c>
      <c r="D162" s="233"/>
      <c r="E162" s="233"/>
      <c r="F162" s="233"/>
      <c r="G162" s="53">
        <f t="shared" si="35"/>
        <v>0</v>
      </c>
    </row>
    <row r="163" spans="3:7" s="49" customFormat="1" ht="15.75" hidden="1" customHeight="1" x14ac:dyDescent="0.35">
      <c r="C163" s="48" t="s">
        <v>384</v>
      </c>
      <c r="D163" s="59">
        <f t="shared" ref="D163:E163" si="36">SUM(D156:D162)</f>
        <v>0</v>
      </c>
      <c r="E163" s="59">
        <f t="shared" si="36"/>
        <v>0</v>
      </c>
      <c r="F163" s="59">
        <f t="shared" ref="F163" si="37">SUM(F156:F162)</f>
        <v>0</v>
      </c>
      <c r="G163" s="53">
        <f t="shared" si="35"/>
        <v>0</v>
      </c>
    </row>
    <row r="164" spans="3:7" s="47" customFormat="1" ht="15.75" hidden="1" customHeight="1" x14ac:dyDescent="0.35">
      <c r="C164" s="60"/>
      <c r="D164" s="61"/>
      <c r="E164" s="61"/>
      <c r="F164" s="61"/>
      <c r="G164" s="62"/>
    </row>
    <row r="165" spans="3:7" s="49" customFormat="1" ht="15.75" hidden="1" customHeight="1" x14ac:dyDescent="0.35">
      <c r="C165" s="511" t="s">
        <v>302</v>
      </c>
      <c r="D165" s="512"/>
      <c r="E165" s="512"/>
      <c r="F165" s="512"/>
      <c r="G165" s="513"/>
    </row>
    <row r="166" spans="3:7" s="49" customFormat="1" ht="19.5" hidden="1" customHeight="1" thickBot="1" x14ac:dyDescent="0.4">
      <c r="C166" s="56" t="s">
        <v>376</v>
      </c>
      <c r="D166" s="57">
        <f>'1) Budget Tables'!D178</f>
        <v>0</v>
      </c>
      <c r="E166" s="57">
        <f>'1) Budget Tables'!E178</f>
        <v>0</v>
      </c>
      <c r="F166" s="57">
        <f>'1) Budget Tables'!F178</f>
        <v>0</v>
      </c>
      <c r="G166" s="58">
        <f t="shared" ref="G166:G174" si="38">SUM(D166:F166)</f>
        <v>0</v>
      </c>
    </row>
    <row r="167" spans="3:7" s="49" customFormat="1" ht="15.75" hidden="1" customHeight="1" x14ac:dyDescent="0.35">
      <c r="C167" s="54" t="s">
        <v>377</v>
      </c>
      <c r="D167" s="231"/>
      <c r="E167" s="232"/>
      <c r="F167" s="232"/>
      <c r="G167" s="55">
        <f t="shared" si="38"/>
        <v>0</v>
      </c>
    </row>
    <row r="168" spans="3:7" s="49" customFormat="1" ht="15.75" hidden="1" customHeight="1" x14ac:dyDescent="0.35">
      <c r="C168" s="43" t="s">
        <v>378</v>
      </c>
      <c r="D168" s="233"/>
      <c r="E168" s="203"/>
      <c r="F168" s="203"/>
      <c r="G168" s="53">
        <f t="shared" si="38"/>
        <v>0</v>
      </c>
    </row>
    <row r="169" spans="3:7" s="49" customFormat="1" ht="15.75" hidden="1" customHeight="1" x14ac:dyDescent="0.35">
      <c r="C169" s="43" t="s">
        <v>379</v>
      </c>
      <c r="D169" s="233"/>
      <c r="E169" s="233"/>
      <c r="F169" s="233"/>
      <c r="G169" s="53">
        <f t="shared" si="38"/>
        <v>0</v>
      </c>
    </row>
    <row r="170" spans="3:7" s="49" customFormat="1" ht="15.75" hidden="1" customHeight="1" x14ac:dyDescent="0.35">
      <c r="C170" s="44" t="s">
        <v>380</v>
      </c>
      <c r="D170" s="233"/>
      <c r="E170" s="233"/>
      <c r="F170" s="233"/>
      <c r="G170" s="53">
        <f t="shared" si="38"/>
        <v>0</v>
      </c>
    </row>
    <row r="171" spans="3:7" s="49" customFormat="1" ht="15.75" hidden="1" customHeight="1" x14ac:dyDescent="0.35">
      <c r="C171" s="43" t="s">
        <v>381</v>
      </c>
      <c r="D171" s="233"/>
      <c r="E171" s="233"/>
      <c r="F171" s="233"/>
      <c r="G171" s="53">
        <f t="shared" si="38"/>
        <v>0</v>
      </c>
    </row>
    <row r="172" spans="3:7" s="49" customFormat="1" ht="15.75" hidden="1" customHeight="1" x14ac:dyDescent="0.35">
      <c r="C172" s="43" t="s">
        <v>382</v>
      </c>
      <c r="D172" s="233"/>
      <c r="E172" s="233"/>
      <c r="F172" s="233"/>
      <c r="G172" s="53">
        <f t="shared" si="38"/>
        <v>0</v>
      </c>
    </row>
    <row r="173" spans="3:7" s="49" customFormat="1" ht="15.75" hidden="1" customHeight="1" x14ac:dyDescent="0.35">
      <c r="C173" s="43" t="s">
        <v>383</v>
      </c>
      <c r="D173" s="233"/>
      <c r="E173" s="233"/>
      <c r="F173" s="233"/>
      <c r="G173" s="53">
        <f t="shared" si="38"/>
        <v>0</v>
      </c>
    </row>
    <row r="174" spans="3:7" s="49" customFormat="1" ht="15.75" hidden="1" customHeight="1" x14ac:dyDescent="0.35">
      <c r="C174" s="48" t="s">
        <v>384</v>
      </c>
      <c r="D174" s="59">
        <f t="shared" ref="D174:E174" si="39">SUM(D167:D173)</f>
        <v>0</v>
      </c>
      <c r="E174" s="59">
        <f t="shared" si="39"/>
        <v>0</v>
      </c>
      <c r="F174" s="59">
        <f t="shared" ref="F174" si="40">SUM(F167:F173)</f>
        <v>0</v>
      </c>
      <c r="G174" s="53">
        <f t="shared" si="38"/>
        <v>0</v>
      </c>
    </row>
    <row r="175" spans="3:7" s="47" customFormat="1" ht="15.75" hidden="1" customHeight="1" x14ac:dyDescent="0.35">
      <c r="C175" s="60"/>
      <c r="D175" s="61"/>
      <c r="E175" s="61"/>
      <c r="F175" s="61"/>
      <c r="G175" s="62"/>
    </row>
    <row r="176" spans="3:7" s="49" customFormat="1" ht="15.75" hidden="1" customHeight="1" x14ac:dyDescent="0.35">
      <c r="C176" s="511" t="s">
        <v>311</v>
      </c>
      <c r="D176" s="512"/>
      <c r="E176" s="512"/>
      <c r="F176" s="512"/>
      <c r="G176" s="513"/>
    </row>
    <row r="177" spans="3:7" s="49" customFormat="1" ht="22.5" hidden="1" customHeight="1" thickBot="1" x14ac:dyDescent="0.4">
      <c r="C177" s="56" t="s">
        <v>376</v>
      </c>
      <c r="D177" s="57">
        <f>'1) Budget Tables'!D188</f>
        <v>0</v>
      </c>
      <c r="E177" s="57">
        <f>'1) Budget Tables'!E188</f>
        <v>0</v>
      </c>
      <c r="F177" s="57">
        <f>'1) Budget Tables'!F188</f>
        <v>0</v>
      </c>
      <c r="G177" s="58">
        <f t="shared" ref="G177:G185" si="41">SUM(D177:F177)</f>
        <v>0</v>
      </c>
    </row>
    <row r="178" spans="3:7" s="49" customFormat="1" ht="15.75" hidden="1" customHeight="1" x14ac:dyDescent="0.35">
      <c r="C178" s="54" t="s">
        <v>377</v>
      </c>
      <c r="D178" s="231"/>
      <c r="E178" s="232"/>
      <c r="F178" s="232"/>
      <c r="G178" s="55">
        <f t="shared" si="41"/>
        <v>0</v>
      </c>
    </row>
    <row r="179" spans="3:7" s="49" customFormat="1" ht="15.75" hidden="1" customHeight="1" x14ac:dyDescent="0.35">
      <c r="C179" s="43" t="s">
        <v>378</v>
      </c>
      <c r="D179" s="233"/>
      <c r="E179" s="203"/>
      <c r="F179" s="203"/>
      <c r="G179" s="53">
        <f t="shared" si="41"/>
        <v>0</v>
      </c>
    </row>
    <row r="180" spans="3:7" s="49" customFormat="1" ht="15.75" hidden="1" customHeight="1" x14ac:dyDescent="0.35">
      <c r="C180" s="43" t="s">
        <v>379</v>
      </c>
      <c r="D180" s="233"/>
      <c r="E180" s="233"/>
      <c r="F180" s="233"/>
      <c r="G180" s="53">
        <f t="shared" si="41"/>
        <v>0</v>
      </c>
    </row>
    <row r="181" spans="3:7" s="49" customFormat="1" ht="15.75" hidden="1" customHeight="1" x14ac:dyDescent="0.35">
      <c r="C181" s="44" t="s">
        <v>380</v>
      </c>
      <c r="D181" s="233"/>
      <c r="E181" s="233"/>
      <c r="F181" s="233"/>
      <c r="G181" s="53">
        <f t="shared" si="41"/>
        <v>0</v>
      </c>
    </row>
    <row r="182" spans="3:7" s="49" customFormat="1" ht="15.75" hidden="1" customHeight="1" x14ac:dyDescent="0.35">
      <c r="C182" s="43" t="s">
        <v>381</v>
      </c>
      <c r="D182" s="233"/>
      <c r="E182" s="233"/>
      <c r="F182" s="233"/>
      <c r="G182" s="53">
        <f t="shared" si="41"/>
        <v>0</v>
      </c>
    </row>
    <row r="183" spans="3:7" s="49" customFormat="1" ht="15.75" hidden="1" customHeight="1" x14ac:dyDescent="0.35">
      <c r="C183" s="43" t="s">
        <v>382</v>
      </c>
      <c r="D183" s="233"/>
      <c r="E183" s="233"/>
      <c r="F183" s="233"/>
      <c r="G183" s="53">
        <f t="shared" si="41"/>
        <v>0</v>
      </c>
    </row>
    <row r="184" spans="3:7" s="49" customFormat="1" ht="15.75" hidden="1" customHeight="1" x14ac:dyDescent="0.35">
      <c r="C184" s="43" t="s">
        <v>383</v>
      </c>
      <c r="D184" s="233"/>
      <c r="E184" s="233"/>
      <c r="F184" s="233"/>
      <c r="G184" s="53">
        <f t="shared" si="41"/>
        <v>0</v>
      </c>
    </row>
    <row r="185" spans="3:7" s="49" customFormat="1" ht="15.75" hidden="1" customHeight="1" x14ac:dyDescent="0.35">
      <c r="C185" s="48" t="s">
        <v>384</v>
      </c>
      <c r="D185" s="59">
        <f t="shared" ref="D185:E185" si="42">SUM(D178:D184)</f>
        <v>0</v>
      </c>
      <c r="E185" s="59">
        <f t="shared" si="42"/>
        <v>0</v>
      </c>
      <c r="F185" s="59">
        <f t="shared" ref="F185" si="43">SUM(F178:F184)</f>
        <v>0</v>
      </c>
      <c r="G185" s="53">
        <f t="shared" si="41"/>
        <v>0</v>
      </c>
    </row>
    <row r="186" spans="3:7" s="49" customFormat="1" ht="15.75" customHeight="1" x14ac:dyDescent="0.35">
      <c r="C186" s="229"/>
      <c r="D186" s="230"/>
      <c r="E186" s="230"/>
      <c r="F186" s="230"/>
      <c r="G186" s="229"/>
    </row>
    <row r="187" spans="3:7" s="49" customFormat="1" ht="15.75" customHeight="1" x14ac:dyDescent="0.35">
      <c r="C187" s="511" t="s">
        <v>393</v>
      </c>
      <c r="D187" s="512"/>
      <c r="E187" s="512"/>
      <c r="F187" s="512"/>
      <c r="G187" s="513"/>
    </row>
    <row r="188" spans="3:7" s="49" customFormat="1" ht="19.5" customHeight="1" thickBot="1" x14ac:dyDescent="0.4">
      <c r="C188" s="56" t="s">
        <v>394</v>
      </c>
      <c r="D188" s="57">
        <f>'1) Budget Tables'!D196</f>
        <v>380114.83100000001</v>
      </c>
      <c r="E188" s="57">
        <f>'1) Budget Tables'!E196</f>
        <v>0</v>
      </c>
      <c r="F188" s="57">
        <f>'1) Budget Tables'!F196</f>
        <v>0</v>
      </c>
      <c r="G188" s="58">
        <f t="shared" ref="G188:G196" si="44">SUM(D188:F188)</f>
        <v>380114.83100000001</v>
      </c>
    </row>
    <row r="189" spans="3:7" s="49" customFormat="1" ht="15.75" customHeight="1" x14ac:dyDescent="0.35">
      <c r="C189" s="54" t="s">
        <v>377</v>
      </c>
      <c r="D189" s="231">
        <f>188297.322-26312</f>
        <v>161985.32199999999</v>
      </c>
      <c r="E189" s="232"/>
      <c r="F189" s="232"/>
      <c r="G189" s="55">
        <f t="shared" si="44"/>
        <v>161985.32199999999</v>
      </c>
    </row>
    <row r="190" spans="3:7" s="49" customFormat="1" ht="15.75" customHeight="1" x14ac:dyDescent="0.35">
      <c r="C190" s="43" t="s">
        <v>378</v>
      </c>
      <c r="D190" s="233"/>
      <c r="E190" s="203"/>
      <c r="F190" s="203"/>
      <c r="G190" s="53">
        <f t="shared" si="44"/>
        <v>0</v>
      </c>
    </row>
    <row r="191" spans="3:7" s="49" customFormat="1" ht="15.75" customHeight="1" x14ac:dyDescent="0.35">
      <c r="C191" s="43" t="s">
        <v>379</v>
      </c>
      <c r="D191" s="233">
        <v>17936.473999999998</v>
      </c>
      <c r="E191" s="233"/>
      <c r="F191" s="233"/>
      <c r="G191" s="53">
        <f t="shared" si="44"/>
        <v>17936.473999999998</v>
      </c>
    </row>
    <row r="192" spans="3:7" s="49" customFormat="1" ht="15.75" customHeight="1" x14ac:dyDescent="0.35">
      <c r="C192" s="44" t="s">
        <v>380</v>
      </c>
      <c r="D192" s="233"/>
      <c r="E192" s="233"/>
      <c r="F192" s="233"/>
      <c r="G192" s="53">
        <f t="shared" si="44"/>
        <v>0</v>
      </c>
    </row>
    <row r="193" spans="3:13" s="49" customFormat="1" ht="15.75" customHeight="1" x14ac:dyDescent="0.35">
      <c r="C193" s="43" t="s">
        <v>381</v>
      </c>
      <c r="D193" s="233">
        <v>16713.45</v>
      </c>
      <c r="E193" s="233"/>
      <c r="F193" s="233"/>
      <c r="G193" s="53">
        <f t="shared" si="44"/>
        <v>16713.45</v>
      </c>
      <c r="H193" s="235"/>
      <c r="I193" s="235"/>
      <c r="J193" s="235"/>
      <c r="K193" s="235"/>
      <c r="L193" s="235"/>
      <c r="M193" s="235"/>
    </row>
    <row r="194" spans="3:13" s="49" customFormat="1" ht="15.75" customHeight="1" x14ac:dyDescent="0.35">
      <c r="C194" s="43" t="s">
        <v>382</v>
      </c>
      <c r="D194" s="233"/>
      <c r="E194" s="233"/>
      <c r="F194" s="233"/>
      <c r="G194" s="53">
        <f t="shared" si="44"/>
        <v>0</v>
      </c>
      <c r="H194" s="235"/>
      <c r="I194" s="235"/>
      <c r="J194" s="235"/>
      <c r="K194" s="235"/>
      <c r="L194" s="235"/>
      <c r="M194" s="235"/>
    </row>
    <row r="195" spans="3:13" s="49" customFormat="1" ht="15.75" customHeight="1" x14ac:dyDescent="0.35">
      <c r="C195" s="43" t="s">
        <v>383</v>
      </c>
      <c r="D195" s="233">
        <f>152738.585+26312</f>
        <v>179050.58499999999</v>
      </c>
      <c r="E195" s="233"/>
      <c r="F195" s="233"/>
      <c r="G195" s="53">
        <f t="shared" si="44"/>
        <v>179050.58499999999</v>
      </c>
      <c r="H195" s="235"/>
      <c r="I195" s="235"/>
      <c r="J195" s="235"/>
      <c r="K195" s="235"/>
      <c r="L195" s="235"/>
      <c r="M195" s="235"/>
    </row>
    <row r="196" spans="3:13" s="49" customFormat="1" ht="15.75" customHeight="1" x14ac:dyDescent="0.35">
      <c r="C196" s="48" t="s">
        <v>384</v>
      </c>
      <c r="D196" s="59">
        <f t="shared" ref="D196:F196" si="45">SUM(D189:D195)</f>
        <v>375685.83100000001</v>
      </c>
      <c r="E196" s="59">
        <f t="shared" si="45"/>
        <v>0</v>
      </c>
      <c r="F196" s="59">
        <f t="shared" si="45"/>
        <v>0</v>
      </c>
      <c r="G196" s="53">
        <f t="shared" si="44"/>
        <v>375685.83100000001</v>
      </c>
      <c r="H196" s="236"/>
      <c r="I196" s="235"/>
      <c r="J196" s="235"/>
      <c r="K196" s="235"/>
      <c r="L196" s="235"/>
      <c r="M196" s="235"/>
    </row>
    <row r="197" spans="3:13" s="49" customFormat="1" ht="15.75" customHeight="1" thickBot="1" x14ac:dyDescent="0.4">
      <c r="C197" s="229"/>
      <c r="D197" s="230"/>
      <c r="E197" s="230"/>
      <c r="F197" s="230"/>
      <c r="G197" s="229"/>
      <c r="H197" s="235"/>
      <c r="I197" s="235"/>
      <c r="J197" s="235"/>
      <c r="K197" s="235"/>
      <c r="L197" s="235"/>
      <c r="M197" s="235"/>
    </row>
    <row r="198" spans="3:13" s="49" customFormat="1" ht="19.5" customHeight="1" thickBot="1" x14ac:dyDescent="0.4">
      <c r="C198" s="514" t="s">
        <v>332</v>
      </c>
      <c r="D198" s="515"/>
      <c r="E198" s="515"/>
      <c r="F198" s="515"/>
      <c r="G198" s="516"/>
      <c r="H198" s="235"/>
      <c r="I198" s="235"/>
      <c r="J198" s="235"/>
      <c r="K198" s="235"/>
      <c r="L198" s="235"/>
      <c r="M198" s="235"/>
    </row>
    <row r="199" spans="3:13" s="49" customFormat="1" ht="19.5" customHeight="1" x14ac:dyDescent="0.35">
      <c r="C199" s="67"/>
      <c r="D199" s="517" t="str">
        <f>'1) Budget Tables'!D5</f>
        <v>Recipient Organization</v>
      </c>
      <c r="E199" s="52" t="s">
        <v>333</v>
      </c>
      <c r="F199" s="52" t="s">
        <v>334</v>
      </c>
      <c r="G199" s="520" t="s">
        <v>332</v>
      </c>
      <c r="H199" s="235"/>
      <c r="I199" s="235"/>
      <c r="J199" s="235"/>
      <c r="K199" s="235"/>
      <c r="L199" s="235"/>
      <c r="M199" s="235"/>
    </row>
    <row r="200" spans="3:13" s="49" customFormat="1" ht="19.5" customHeight="1" x14ac:dyDescent="0.35">
      <c r="C200" s="67"/>
      <c r="D200" s="518"/>
      <c r="E200" s="46"/>
      <c r="F200" s="46"/>
      <c r="G200" s="521"/>
      <c r="H200" s="235"/>
      <c r="I200" s="235"/>
      <c r="J200" s="235"/>
      <c r="K200" s="235"/>
      <c r="L200" s="235"/>
      <c r="M200" s="235"/>
    </row>
    <row r="201" spans="3:13" s="49" customFormat="1" ht="19.5" customHeight="1" x14ac:dyDescent="0.35">
      <c r="C201" s="16" t="s">
        <v>377</v>
      </c>
      <c r="D201" s="237">
        <f>SUM(D178,D167,D156,D145,D133,D122,D111,D100,D88,D77,D66,D55,D43,D32,D21,D10,D189)</f>
        <v>318997.07392523356</v>
      </c>
      <c r="E201" s="238">
        <f t="shared" ref="E201:F207" si="46">SUM(E178,E167,E156,E145,E133,E122,E111,E100,E88,E77,E66,E55,E43,E32,E21,E10)</f>
        <v>0</v>
      </c>
      <c r="F201" s="238">
        <f t="shared" si="46"/>
        <v>0</v>
      </c>
      <c r="G201" s="64">
        <f>SUM(D201:F201)</f>
        <v>318997.07392523356</v>
      </c>
      <c r="H201" s="235"/>
      <c r="I201" s="235"/>
      <c r="J201" s="235"/>
      <c r="K201" s="235"/>
      <c r="L201" s="235"/>
      <c r="M201" s="235"/>
    </row>
    <row r="202" spans="3:13" s="49" customFormat="1" ht="34.5" customHeight="1" x14ac:dyDescent="0.35">
      <c r="C202" s="16" t="s">
        <v>378</v>
      </c>
      <c r="D202" s="237">
        <f t="shared" ref="D202:D206" si="47">SUM(D179,D168,D157,D146,D134,D123,D112,D101,D89,D78,D67,D56,D44,D33,D22,D11,D190)</f>
        <v>0</v>
      </c>
      <c r="E202" s="238">
        <f t="shared" si="46"/>
        <v>0</v>
      </c>
      <c r="F202" s="238">
        <f t="shared" si="46"/>
        <v>0</v>
      </c>
      <c r="G202" s="65">
        <f>SUM(D202:F202)</f>
        <v>0</v>
      </c>
      <c r="H202" s="235"/>
      <c r="I202" s="235"/>
      <c r="J202" s="235"/>
      <c r="K202" s="235"/>
      <c r="L202" s="235"/>
      <c r="M202" s="235"/>
    </row>
    <row r="203" spans="3:13" s="49" customFormat="1" ht="48" customHeight="1" x14ac:dyDescent="0.35">
      <c r="C203" s="16" t="s">
        <v>379</v>
      </c>
      <c r="D203" s="237">
        <f t="shared" si="47"/>
        <v>17936.473999999998</v>
      </c>
      <c r="E203" s="238">
        <f t="shared" si="46"/>
        <v>0</v>
      </c>
      <c r="F203" s="238">
        <f t="shared" si="46"/>
        <v>0</v>
      </c>
      <c r="G203" s="65">
        <f t="shared" ref="G203:G207" si="48">SUM(D203:F203)</f>
        <v>17936.473999999998</v>
      </c>
      <c r="H203" s="235"/>
      <c r="I203" s="235"/>
      <c r="J203" s="235"/>
      <c r="K203" s="235"/>
      <c r="L203" s="235"/>
      <c r="M203" s="235"/>
    </row>
    <row r="204" spans="3:13" s="49" customFormat="1" ht="33" customHeight="1" x14ac:dyDescent="0.35">
      <c r="C204" s="27" t="s">
        <v>380</v>
      </c>
      <c r="D204" s="237">
        <f t="shared" si="47"/>
        <v>0</v>
      </c>
      <c r="E204" s="238">
        <f t="shared" si="46"/>
        <v>0</v>
      </c>
      <c r="F204" s="238">
        <f t="shared" si="46"/>
        <v>0</v>
      </c>
      <c r="G204" s="65">
        <f t="shared" si="48"/>
        <v>0</v>
      </c>
      <c r="H204" s="235"/>
      <c r="I204" s="235"/>
      <c r="J204" s="235"/>
      <c r="K204" s="235"/>
      <c r="L204" s="235"/>
      <c r="M204" s="235"/>
    </row>
    <row r="205" spans="3:13" s="49" customFormat="1" ht="21" customHeight="1" x14ac:dyDescent="0.35">
      <c r="C205" s="118" t="s">
        <v>381</v>
      </c>
      <c r="D205" s="239">
        <f t="shared" si="47"/>
        <v>16713.45</v>
      </c>
      <c r="E205" s="238">
        <f t="shared" si="46"/>
        <v>0</v>
      </c>
      <c r="F205" s="238">
        <f t="shared" si="46"/>
        <v>0</v>
      </c>
      <c r="G205" s="65">
        <f t="shared" si="48"/>
        <v>16713.45</v>
      </c>
      <c r="H205" s="210"/>
      <c r="I205" s="210"/>
      <c r="J205" s="210"/>
      <c r="K205" s="210"/>
      <c r="L205" s="210"/>
      <c r="M205" s="240"/>
    </row>
    <row r="206" spans="3:13" s="49" customFormat="1" ht="39.75" customHeight="1" x14ac:dyDescent="0.35">
      <c r="C206" s="16" t="s">
        <v>382</v>
      </c>
      <c r="D206" s="241">
        <f t="shared" si="47"/>
        <v>0</v>
      </c>
      <c r="E206" s="242">
        <f t="shared" si="46"/>
        <v>0</v>
      </c>
      <c r="F206" s="238">
        <f t="shared" si="46"/>
        <v>0</v>
      </c>
      <c r="G206" s="65">
        <f t="shared" si="48"/>
        <v>0</v>
      </c>
      <c r="H206" s="210"/>
      <c r="I206" s="210"/>
      <c r="J206" s="210"/>
      <c r="K206" s="210"/>
      <c r="L206" s="210"/>
      <c r="M206" s="240"/>
    </row>
    <row r="207" spans="3:13" s="49" customFormat="1" ht="23.25" customHeight="1" thickBot="1" x14ac:dyDescent="0.4">
      <c r="C207" s="16" t="s">
        <v>383</v>
      </c>
      <c r="D207" s="241">
        <f>SUM(D184,D173,D162,D151,D139,D128,D117,D106,D94,D83,D72,D61,D49,D38,D27,D16,D195)</f>
        <v>1048221.777</v>
      </c>
      <c r="E207" s="243">
        <f t="shared" si="46"/>
        <v>0</v>
      </c>
      <c r="F207" s="244">
        <f t="shared" si="46"/>
        <v>0</v>
      </c>
      <c r="G207" s="66">
        <f t="shared" si="48"/>
        <v>1048221.777</v>
      </c>
      <c r="H207" s="210"/>
      <c r="I207" s="210"/>
      <c r="J207" s="210"/>
      <c r="K207" s="210"/>
      <c r="L207" s="210"/>
      <c r="M207" s="240"/>
    </row>
    <row r="208" spans="3:13" s="49" customFormat="1" ht="22.5" customHeight="1" thickBot="1" x14ac:dyDescent="0.4">
      <c r="C208" s="245" t="s">
        <v>395</v>
      </c>
      <c r="D208" s="246">
        <f>SUM(D201:D207)</f>
        <v>1401868.7749252336</v>
      </c>
      <c r="E208" s="117">
        <f t="shared" ref="E208" si="49">SUM(E201:E207)</f>
        <v>0</v>
      </c>
      <c r="F208" s="68">
        <f t="shared" ref="F208" si="50">SUM(F201:F207)</f>
        <v>0</v>
      </c>
      <c r="G208" s="69">
        <f>SUM(D208:F208)</f>
        <v>1401868.7749252336</v>
      </c>
      <c r="H208" s="210"/>
      <c r="I208" s="210"/>
      <c r="J208" s="210"/>
      <c r="K208" s="210"/>
      <c r="L208" s="210"/>
      <c r="M208" s="240"/>
    </row>
    <row r="209" spans="3:14" s="49" customFormat="1" ht="22.5" customHeight="1" x14ac:dyDescent="0.35">
      <c r="C209" s="245" t="s">
        <v>396</v>
      </c>
      <c r="D209" s="246">
        <f>D208*0.07</f>
        <v>98130.814244766356</v>
      </c>
      <c r="E209" s="116"/>
      <c r="F209" s="116"/>
      <c r="G209" s="119"/>
      <c r="H209" s="210"/>
      <c r="I209" s="210"/>
      <c r="J209" s="210"/>
      <c r="K209" s="210"/>
      <c r="L209" s="210"/>
      <c r="M209" s="240"/>
      <c r="N209" s="235"/>
    </row>
    <row r="210" spans="3:14" s="49" customFormat="1" ht="22.5" customHeight="1" thickBot="1" x14ac:dyDescent="0.4">
      <c r="C210" s="120" t="s">
        <v>397</v>
      </c>
      <c r="D210" s="156">
        <f>SUM(D208:D209)</f>
        <v>1499999.5891699998</v>
      </c>
      <c r="E210" s="121"/>
      <c r="F210" s="121"/>
      <c r="G210" s="122"/>
      <c r="H210" s="210"/>
      <c r="I210" s="210"/>
      <c r="J210" s="210"/>
      <c r="K210" s="210"/>
      <c r="L210" s="210"/>
      <c r="M210" s="240"/>
      <c r="N210" s="235"/>
    </row>
    <row r="211" spans="3:14" s="49" customFormat="1" ht="15.75" customHeight="1" x14ac:dyDescent="0.35">
      <c r="C211" s="229"/>
      <c r="D211" s="230"/>
      <c r="E211" s="230"/>
      <c r="F211" s="230"/>
      <c r="G211" s="229"/>
      <c r="H211" s="29"/>
      <c r="I211" s="29"/>
      <c r="J211" s="29"/>
      <c r="K211" s="29"/>
      <c r="L211" s="247"/>
      <c r="M211" s="230"/>
      <c r="N211" s="235"/>
    </row>
    <row r="212" spans="3:14" s="49" customFormat="1" ht="15.75" customHeight="1" x14ac:dyDescent="0.35">
      <c r="C212" s="229"/>
      <c r="D212" s="230"/>
      <c r="E212" s="230"/>
      <c r="F212" s="230"/>
      <c r="G212" s="229"/>
      <c r="H212" s="29"/>
      <c r="I212" s="29"/>
      <c r="J212" s="29"/>
      <c r="K212" s="29"/>
      <c r="L212" s="247"/>
      <c r="M212" s="230"/>
      <c r="N212" s="235"/>
    </row>
    <row r="213" spans="3:14" ht="15.75" customHeight="1" x14ac:dyDescent="0.35">
      <c r="C213" s="229"/>
      <c r="D213" s="230"/>
      <c r="E213" s="230"/>
      <c r="F213" s="230"/>
      <c r="G213" s="229"/>
      <c r="H213" s="229"/>
      <c r="I213" s="229"/>
      <c r="J213" s="229"/>
      <c r="K213" s="229"/>
      <c r="L213" s="50"/>
      <c r="M213" s="229"/>
      <c r="N213" s="235"/>
    </row>
    <row r="214" spans="3:14" ht="15.75" customHeight="1" x14ac:dyDescent="0.35">
      <c r="C214" s="229"/>
      <c r="D214" s="230"/>
      <c r="E214" s="230"/>
      <c r="F214" s="230"/>
      <c r="G214" s="229"/>
      <c r="H214" s="273"/>
      <c r="I214" s="273"/>
      <c r="J214" s="229"/>
      <c r="K214" s="229"/>
      <c r="L214" s="50"/>
      <c r="M214" s="229"/>
      <c r="N214" s="235"/>
    </row>
    <row r="215" spans="3:14" ht="15.75" customHeight="1" x14ac:dyDescent="0.35">
      <c r="C215" s="229"/>
      <c r="D215" s="230"/>
      <c r="E215" s="230"/>
      <c r="F215" s="230"/>
      <c r="G215" s="229"/>
      <c r="H215" s="273"/>
      <c r="I215" s="273"/>
      <c r="J215" s="229"/>
      <c r="K215" s="229"/>
      <c r="L215" s="235"/>
      <c r="M215" s="229"/>
      <c r="N215" s="235"/>
    </row>
    <row r="216" spans="3:14" ht="40.5" customHeight="1" x14ac:dyDescent="0.35">
      <c r="C216" s="229"/>
      <c r="D216" s="230"/>
      <c r="E216" s="230"/>
      <c r="F216" s="230"/>
      <c r="G216" s="229"/>
      <c r="H216" s="273"/>
      <c r="I216" s="273"/>
      <c r="J216" s="229"/>
      <c r="K216" s="229"/>
      <c r="L216" s="51"/>
      <c r="M216" s="229"/>
      <c r="N216" s="235"/>
    </row>
    <row r="217" spans="3:14" ht="24.75" customHeight="1" x14ac:dyDescent="0.35">
      <c r="C217" s="229"/>
      <c r="D217" s="230"/>
      <c r="E217" s="230"/>
      <c r="F217" s="230"/>
      <c r="G217" s="229"/>
      <c r="H217" s="273"/>
      <c r="I217" s="273"/>
      <c r="J217" s="229"/>
      <c r="K217" s="229"/>
      <c r="L217" s="51"/>
      <c r="M217" s="229"/>
      <c r="N217" s="235"/>
    </row>
    <row r="218" spans="3:14" ht="41.25" customHeight="1" x14ac:dyDescent="0.35">
      <c r="C218" s="229"/>
      <c r="D218" s="230"/>
      <c r="E218" s="230"/>
      <c r="F218" s="230"/>
      <c r="G218" s="229"/>
      <c r="H218" s="248"/>
      <c r="I218" s="273"/>
      <c r="J218" s="229"/>
      <c r="K218" s="229"/>
      <c r="L218" s="51"/>
      <c r="M218" s="229"/>
      <c r="N218" s="235"/>
    </row>
    <row r="219" spans="3:14" ht="51.75" customHeight="1" x14ac:dyDescent="0.35">
      <c r="C219" s="229"/>
      <c r="D219" s="230"/>
      <c r="E219" s="230"/>
      <c r="F219" s="230"/>
      <c r="G219" s="229"/>
      <c r="H219" s="248"/>
      <c r="I219" s="273"/>
      <c r="J219" s="229"/>
      <c r="K219" s="229"/>
      <c r="L219" s="51"/>
      <c r="M219" s="229"/>
      <c r="N219" s="229"/>
    </row>
    <row r="220" spans="3:14" ht="42" customHeight="1" x14ac:dyDescent="0.35">
      <c r="C220" s="229"/>
      <c r="D220" s="230"/>
      <c r="E220" s="230"/>
      <c r="F220" s="230"/>
      <c r="G220" s="229"/>
      <c r="H220" s="273"/>
      <c r="I220" s="273"/>
      <c r="J220" s="229"/>
      <c r="K220" s="229"/>
      <c r="L220" s="51"/>
      <c r="M220" s="229"/>
      <c r="N220" s="229"/>
    </row>
    <row r="221" spans="3:14" s="47" customFormat="1" ht="42" customHeight="1" x14ac:dyDescent="0.35">
      <c r="C221" s="229"/>
      <c r="D221" s="230"/>
      <c r="E221" s="230"/>
      <c r="F221" s="230"/>
      <c r="G221" s="229"/>
      <c r="H221" s="235"/>
      <c r="I221" s="273"/>
      <c r="J221" s="229"/>
      <c r="K221" s="229"/>
      <c r="L221" s="51"/>
      <c r="M221" s="229"/>
      <c r="N221" s="230"/>
    </row>
    <row r="222" spans="3:14" s="47" customFormat="1" ht="42" customHeight="1" x14ac:dyDescent="0.35">
      <c r="C222" s="229"/>
      <c r="D222" s="230"/>
      <c r="E222" s="230"/>
      <c r="F222" s="230"/>
      <c r="G222" s="229"/>
      <c r="H222" s="229"/>
      <c r="I222" s="273"/>
      <c r="J222" s="229"/>
      <c r="K222" s="229"/>
      <c r="L222" s="229"/>
      <c r="M222" s="229"/>
      <c r="N222" s="230"/>
    </row>
    <row r="223" spans="3:14" s="47" customFormat="1" ht="63.75" customHeight="1" x14ac:dyDescent="0.35">
      <c r="C223" s="229"/>
      <c r="D223" s="230"/>
      <c r="E223" s="230"/>
      <c r="F223" s="230"/>
      <c r="G223" s="229"/>
      <c r="H223" s="229"/>
      <c r="I223" s="50"/>
      <c r="J223" s="235"/>
      <c r="K223" s="235"/>
      <c r="L223" s="229"/>
      <c r="M223" s="229"/>
      <c r="N223" s="230"/>
    </row>
    <row r="224" spans="3:14" s="47" customFormat="1" ht="42" customHeight="1" x14ac:dyDescent="0.35">
      <c r="C224" s="229"/>
      <c r="D224" s="230"/>
      <c r="E224" s="230"/>
      <c r="F224" s="230"/>
      <c r="G224" s="229"/>
      <c r="H224" s="229"/>
      <c r="I224" s="229"/>
      <c r="J224" s="229"/>
      <c r="K224" s="229"/>
      <c r="L224" s="229"/>
      <c r="M224" s="50"/>
      <c r="N224" s="230"/>
    </row>
    <row r="225" spans="3:14" ht="23.25" customHeight="1" x14ac:dyDescent="0.35">
      <c r="C225" s="229"/>
      <c r="D225" s="230"/>
      <c r="E225" s="230"/>
      <c r="F225" s="230"/>
      <c r="G225" s="229"/>
      <c r="H225" s="229"/>
      <c r="I225" s="229"/>
      <c r="J225" s="229"/>
      <c r="K225" s="229"/>
      <c r="L225" s="229"/>
      <c r="M225" s="229"/>
      <c r="N225" s="229"/>
    </row>
    <row r="226" spans="3:14" ht="27.75" customHeight="1" x14ac:dyDescent="0.35">
      <c r="C226" s="229"/>
      <c r="D226" s="230"/>
      <c r="E226" s="230"/>
      <c r="F226" s="230"/>
      <c r="G226" s="229"/>
      <c r="H226" s="229"/>
      <c r="I226" s="229"/>
      <c r="J226" s="229"/>
      <c r="K226" s="229"/>
      <c r="L226" s="235"/>
      <c r="M226" s="229"/>
      <c r="N226" s="229"/>
    </row>
    <row r="227" spans="3:14" ht="55.5" customHeight="1" x14ac:dyDescent="0.35">
      <c r="C227" s="229"/>
      <c r="D227" s="230"/>
      <c r="E227" s="230"/>
      <c r="F227" s="230"/>
      <c r="G227" s="229"/>
      <c r="H227" s="229"/>
      <c r="I227" s="229"/>
      <c r="J227" s="229"/>
      <c r="K227" s="229"/>
      <c r="L227" s="229"/>
      <c r="M227" s="229"/>
      <c r="N227" s="229"/>
    </row>
    <row r="228" spans="3:14" ht="57.75" customHeight="1" x14ac:dyDescent="0.35">
      <c r="C228" s="229"/>
      <c r="D228" s="230"/>
      <c r="E228" s="230"/>
      <c r="F228" s="230"/>
      <c r="G228" s="229"/>
      <c r="H228" s="229"/>
      <c r="I228" s="229"/>
      <c r="J228" s="229"/>
      <c r="K228" s="229"/>
      <c r="L228" s="229"/>
      <c r="M228" s="235"/>
      <c r="N228" s="229"/>
    </row>
    <row r="229" spans="3:14" ht="21.75" customHeight="1" x14ac:dyDescent="0.35">
      <c r="C229" s="229"/>
      <c r="D229" s="230"/>
      <c r="E229" s="230"/>
      <c r="F229" s="230"/>
      <c r="G229" s="229"/>
      <c r="H229" s="229"/>
      <c r="I229" s="229"/>
      <c r="J229" s="229"/>
      <c r="K229" s="229"/>
      <c r="L229" s="229"/>
      <c r="M229" s="229"/>
      <c r="N229" s="229"/>
    </row>
    <row r="230" spans="3:14" ht="49.5" customHeight="1" x14ac:dyDescent="0.35">
      <c r="C230" s="229"/>
      <c r="D230" s="230"/>
      <c r="E230" s="230"/>
      <c r="F230" s="230"/>
      <c r="G230" s="229"/>
      <c r="H230" s="229"/>
      <c r="I230" s="229"/>
      <c r="J230" s="229"/>
      <c r="K230" s="229"/>
      <c r="L230" s="229"/>
      <c r="M230" s="229"/>
      <c r="N230" s="229"/>
    </row>
    <row r="231" spans="3:14" ht="28.5" customHeight="1" x14ac:dyDescent="0.35">
      <c r="C231" s="229"/>
      <c r="D231" s="230"/>
      <c r="E231" s="230"/>
      <c r="F231" s="230"/>
      <c r="G231" s="229"/>
      <c r="H231" s="229"/>
      <c r="I231" s="229"/>
      <c r="J231" s="229"/>
      <c r="K231" s="229"/>
      <c r="L231" s="229"/>
      <c r="M231" s="229"/>
      <c r="N231" s="229"/>
    </row>
    <row r="232" spans="3:14" ht="28.5" customHeight="1" x14ac:dyDescent="0.35">
      <c r="C232" s="229"/>
      <c r="D232" s="230"/>
      <c r="E232" s="230"/>
      <c r="F232" s="230"/>
      <c r="G232" s="229"/>
      <c r="H232" s="229"/>
      <c r="I232" s="229"/>
      <c r="J232" s="229"/>
      <c r="K232" s="229"/>
      <c r="L232" s="229"/>
      <c r="M232" s="229"/>
      <c r="N232" s="229"/>
    </row>
    <row r="233" spans="3:14" ht="28.5" customHeight="1" x14ac:dyDescent="0.35">
      <c r="C233" s="229"/>
      <c r="D233" s="230"/>
      <c r="E233" s="230"/>
      <c r="F233" s="230"/>
      <c r="G233" s="229"/>
      <c r="H233" s="229"/>
      <c r="I233" s="229"/>
      <c r="J233" s="229"/>
      <c r="K233" s="229"/>
      <c r="L233" s="229"/>
      <c r="M233" s="229"/>
      <c r="N233" s="229"/>
    </row>
    <row r="234" spans="3:14" ht="23.25" customHeight="1" x14ac:dyDescent="0.35">
      <c r="C234" s="229"/>
      <c r="D234" s="230"/>
      <c r="E234" s="230"/>
      <c r="F234" s="230"/>
      <c r="G234" s="229"/>
      <c r="H234" s="229"/>
      <c r="I234" s="229"/>
      <c r="J234" s="229"/>
      <c r="K234" s="229"/>
      <c r="L234" s="229"/>
      <c r="M234" s="229"/>
      <c r="N234" s="50"/>
    </row>
    <row r="235" spans="3:14" ht="43.5" customHeight="1" x14ac:dyDescent="0.35">
      <c r="C235" s="229"/>
      <c r="D235" s="230"/>
      <c r="E235" s="230"/>
      <c r="F235" s="230"/>
      <c r="G235" s="229"/>
      <c r="H235" s="229"/>
      <c r="I235" s="229"/>
      <c r="J235" s="229"/>
      <c r="K235" s="229"/>
      <c r="L235" s="229"/>
      <c r="M235" s="229"/>
      <c r="N235" s="50"/>
    </row>
    <row r="236" spans="3:14" ht="55.5" customHeight="1" x14ac:dyDescent="0.35">
      <c r="C236" s="229"/>
      <c r="D236" s="230"/>
      <c r="E236" s="230"/>
      <c r="F236" s="230"/>
      <c r="G236" s="229"/>
      <c r="H236" s="229"/>
      <c r="I236" s="229"/>
      <c r="J236" s="229"/>
      <c r="K236" s="229"/>
      <c r="L236" s="229"/>
      <c r="M236" s="229"/>
      <c r="N236" s="229"/>
    </row>
    <row r="237" spans="3:14" ht="42.75" customHeight="1" x14ac:dyDescent="0.35">
      <c r="C237" s="229"/>
      <c r="D237" s="230"/>
      <c r="E237" s="230"/>
      <c r="F237" s="230"/>
      <c r="G237" s="229"/>
      <c r="H237" s="229"/>
      <c r="I237" s="229"/>
      <c r="J237" s="229"/>
      <c r="K237" s="229"/>
      <c r="L237" s="229"/>
      <c r="M237" s="229"/>
      <c r="N237" s="50"/>
    </row>
    <row r="238" spans="3:14" ht="21.75" customHeight="1" x14ac:dyDescent="0.35">
      <c r="C238" s="229"/>
      <c r="D238" s="230"/>
      <c r="E238" s="230"/>
      <c r="F238" s="230"/>
      <c r="G238" s="229"/>
      <c r="H238" s="229"/>
      <c r="I238" s="229"/>
      <c r="J238" s="229"/>
      <c r="K238" s="229"/>
      <c r="L238" s="229"/>
      <c r="M238" s="229"/>
      <c r="N238" s="50"/>
    </row>
    <row r="239" spans="3:14" ht="21.75" customHeight="1" x14ac:dyDescent="0.35">
      <c r="C239" s="229"/>
      <c r="D239" s="230"/>
      <c r="E239" s="230"/>
      <c r="F239" s="230"/>
      <c r="G239" s="229"/>
      <c r="H239" s="229"/>
      <c r="I239" s="229"/>
      <c r="J239" s="229"/>
      <c r="K239" s="229"/>
      <c r="L239" s="229"/>
      <c r="M239" s="229"/>
      <c r="N239" s="50"/>
    </row>
    <row r="240" spans="3:14" s="49" customFormat="1" ht="23.25" customHeight="1" x14ac:dyDescent="0.35">
      <c r="C240" s="229"/>
      <c r="D240" s="230"/>
      <c r="E240" s="230"/>
      <c r="F240" s="230"/>
      <c r="G240" s="229"/>
      <c r="H240" s="229"/>
      <c r="I240" s="229"/>
      <c r="J240" s="229"/>
      <c r="K240" s="229"/>
      <c r="L240" s="229"/>
      <c r="M240" s="229"/>
      <c r="N240" s="235"/>
    </row>
    <row r="241" ht="23.25" customHeight="1" x14ac:dyDescent="0.35"/>
    <row r="242" ht="21.75" customHeight="1" x14ac:dyDescent="0.35"/>
    <row r="243" ht="16.5" customHeight="1" x14ac:dyDescent="0.35"/>
    <row r="244" ht="29.25" customHeight="1" x14ac:dyDescent="0.35"/>
    <row r="245" ht="24.75" customHeight="1" x14ac:dyDescent="0.35"/>
    <row r="246" ht="33" customHeight="1" x14ac:dyDescent="0.35"/>
    <row r="248" ht="15" customHeight="1" x14ac:dyDescent="0.35"/>
    <row r="249" ht="25.5" customHeight="1" x14ac:dyDescent="0.35"/>
  </sheetData>
  <sheetProtection formatCells="0" formatColumns="0" formatRows="0"/>
  <mergeCells count="26">
    <mergeCell ref="D199:D200"/>
    <mergeCell ref="C4:E4"/>
    <mergeCell ref="C86:G86"/>
    <mergeCell ref="B97:G97"/>
    <mergeCell ref="C2:F2"/>
    <mergeCell ref="B7:G7"/>
    <mergeCell ref="C8:G8"/>
    <mergeCell ref="B52:G52"/>
    <mergeCell ref="C19:G19"/>
    <mergeCell ref="C30:G30"/>
    <mergeCell ref="C41:G41"/>
    <mergeCell ref="C187:G187"/>
    <mergeCell ref="G199:G200"/>
    <mergeCell ref="C165:G165"/>
    <mergeCell ref="C176:G176"/>
    <mergeCell ref="C154:G154"/>
    <mergeCell ref="C53:G53"/>
    <mergeCell ref="C98:G98"/>
    <mergeCell ref="C109:G109"/>
    <mergeCell ref="C120:G120"/>
    <mergeCell ref="C198:G198"/>
    <mergeCell ref="C131:G131"/>
    <mergeCell ref="B142:G142"/>
    <mergeCell ref="C143:G143"/>
    <mergeCell ref="C64:G64"/>
    <mergeCell ref="C75:G75"/>
  </mergeCells>
  <conditionalFormatting sqref="G17">
    <cfRule type="cellIs" dxfId="43" priority="34" operator="notEqual">
      <formula>$G$9</formula>
    </cfRule>
  </conditionalFormatting>
  <conditionalFormatting sqref="G28">
    <cfRule type="cellIs" dxfId="42" priority="33" operator="notEqual">
      <formula>$G$20</formula>
    </cfRule>
  </conditionalFormatting>
  <conditionalFormatting sqref="G39:G40">
    <cfRule type="cellIs" dxfId="41" priority="32" operator="notEqual">
      <formula>$G$31</formula>
    </cfRule>
  </conditionalFormatting>
  <conditionalFormatting sqref="G50">
    <cfRule type="cellIs" dxfId="40" priority="31" operator="notEqual">
      <formula>$G$42</formula>
    </cfRule>
  </conditionalFormatting>
  <conditionalFormatting sqref="G62">
    <cfRule type="cellIs" dxfId="39" priority="30" operator="notEqual">
      <formula>$G$54</formula>
    </cfRule>
  </conditionalFormatting>
  <conditionalFormatting sqref="G73">
    <cfRule type="cellIs" dxfId="38" priority="29" operator="notEqual">
      <formula>$G$65</formula>
    </cfRule>
  </conditionalFormatting>
  <conditionalFormatting sqref="G84">
    <cfRule type="cellIs" dxfId="37" priority="28" operator="notEqual">
      <formula>$G$76</formula>
    </cfRule>
  </conditionalFormatting>
  <conditionalFormatting sqref="G95">
    <cfRule type="cellIs" dxfId="36" priority="27" operator="notEqual">
      <formula>$G$87</formula>
    </cfRule>
  </conditionalFormatting>
  <conditionalFormatting sqref="G107">
    <cfRule type="cellIs" dxfId="35" priority="26" operator="notEqual">
      <formula>$G$99</formula>
    </cfRule>
  </conditionalFormatting>
  <conditionalFormatting sqref="G118">
    <cfRule type="cellIs" dxfId="34" priority="25" operator="notEqual">
      <formula>$G$110</formula>
    </cfRule>
  </conditionalFormatting>
  <conditionalFormatting sqref="G129">
    <cfRule type="cellIs" dxfId="33" priority="24" operator="notEqual">
      <formula>$G$121</formula>
    </cfRule>
  </conditionalFormatting>
  <conditionalFormatting sqref="G140">
    <cfRule type="cellIs" dxfId="32" priority="23" operator="notEqual">
      <formula>$G$132</formula>
    </cfRule>
  </conditionalFormatting>
  <conditionalFormatting sqref="G152">
    <cfRule type="cellIs" dxfId="31" priority="22" operator="notEqual">
      <formula>$G$144</formula>
    </cfRule>
  </conditionalFormatting>
  <conditionalFormatting sqref="G163">
    <cfRule type="cellIs" dxfId="30" priority="21" operator="notEqual">
      <formula>$G$155</formula>
    </cfRule>
  </conditionalFormatting>
  <conditionalFormatting sqref="G174">
    <cfRule type="cellIs" dxfId="29" priority="20" operator="notEqual">
      <formula>$G$155</formula>
    </cfRule>
  </conditionalFormatting>
  <conditionalFormatting sqref="G185">
    <cfRule type="cellIs" dxfId="28" priority="19" operator="notEqual">
      <formula>$G$177</formula>
    </cfRule>
  </conditionalFormatting>
  <conditionalFormatting sqref="G196">
    <cfRule type="cellIs" dxfId="27" priority="18" operator="notEqual">
      <formula>$G$188</formula>
    </cfRule>
  </conditionalFormatting>
  <conditionalFormatting sqref="D17">
    <cfRule type="cellIs" dxfId="26" priority="17" operator="notEqual">
      <formula>$D$9</formula>
    </cfRule>
  </conditionalFormatting>
  <conditionalFormatting sqref="D28">
    <cfRule type="cellIs" dxfId="25" priority="16" operator="notEqual">
      <formula>$D$20</formula>
    </cfRule>
  </conditionalFormatting>
  <conditionalFormatting sqref="D39">
    <cfRule type="cellIs" dxfId="24" priority="15" operator="notEqual">
      <formula>$D$31</formula>
    </cfRule>
  </conditionalFormatting>
  <conditionalFormatting sqref="D50">
    <cfRule type="cellIs" dxfId="23" priority="14" operator="notEqual">
      <formula>$D$42</formula>
    </cfRule>
  </conditionalFormatting>
  <conditionalFormatting sqref="D62">
    <cfRule type="cellIs" dxfId="22" priority="13" operator="notEqual">
      <formula>$D$54</formula>
    </cfRule>
  </conditionalFormatting>
  <conditionalFormatting sqref="D73">
    <cfRule type="cellIs" dxfId="21" priority="12" operator="notEqual">
      <formula>$D$65</formula>
    </cfRule>
  </conditionalFormatting>
  <conditionalFormatting sqref="D84">
    <cfRule type="cellIs" dxfId="20" priority="11" operator="notEqual">
      <formula>$D$76</formula>
    </cfRule>
  </conditionalFormatting>
  <conditionalFormatting sqref="D95">
    <cfRule type="cellIs" dxfId="19" priority="10" operator="notEqual">
      <formula>$D$87</formula>
    </cfRule>
  </conditionalFormatting>
  <conditionalFormatting sqref="D107">
    <cfRule type="cellIs" dxfId="18" priority="9" operator="notEqual">
      <formula>$D$99</formula>
    </cfRule>
  </conditionalFormatting>
  <conditionalFormatting sqref="D118">
    <cfRule type="cellIs" dxfId="17" priority="8" operator="notEqual">
      <formula>$D$110</formula>
    </cfRule>
  </conditionalFormatting>
  <conditionalFormatting sqref="D129">
    <cfRule type="cellIs" dxfId="16" priority="7" operator="notEqual">
      <formula>$D$121</formula>
    </cfRule>
  </conditionalFormatting>
  <conditionalFormatting sqref="D140">
    <cfRule type="cellIs" dxfId="15" priority="6" operator="notEqual">
      <formula>$D$132</formula>
    </cfRule>
  </conditionalFormatting>
  <conditionalFormatting sqref="D152">
    <cfRule type="cellIs" dxfId="14" priority="5" operator="notEqual">
      <formula>$D$144</formula>
    </cfRule>
  </conditionalFormatting>
  <conditionalFormatting sqref="D163">
    <cfRule type="cellIs" dxfId="13" priority="4" operator="notEqual">
      <formula>$D$155</formula>
    </cfRule>
  </conditionalFormatting>
  <conditionalFormatting sqref="D174">
    <cfRule type="cellIs" dxfId="12" priority="3" operator="notEqual">
      <formula>$D$166</formula>
    </cfRule>
  </conditionalFormatting>
  <conditionalFormatting sqref="D185">
    <cfRule type="cellIs" dxfId="11" priority="2" operator="notEqual">
      <formula>$D$177</formula>
    </cfRule>
  </conditionalFormatting>
  <conditionalFormatting sqref="D196">
    <cfRule type="cellIs" dxfId="10" priority="1" operator="notEqual">
      <formula>$D$188</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6 C27 C38 C49 C61 C72 C83 C94 C106 C117 C128 C139 C151 C162 C173 C184 C207 C195"/>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5 C26 C37 C48 C60 C71 C82 C93 C105 C116 C127 C138 C150 C161 C172 C183 C206 C194"/>
    <dataValidation allowBlank="1" showInputMessage="1" showErrorMessage="1" prompt="Services contracted by an organization which follow the normal procurement processes." sqref="C13 C24 C35 C46 C58 C69 C80 C91 C103 C114 C125 C136 C148 C159 C170 C181 C204 C192"/>
    <dataValidation allowBlank="1" showInputMessage="1" showErrorMessage="1" prompt="Includes staff and non-staff travel paid for by the organization directly related to a project." sqref="C14 C25 C36 C47 C59 C70 C81 C92 C104 C115 C126 C137 C149 C160 C171 C182 C205 C193"/>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2 C23 C34 C45 C57 C68 C79 C90 C102 C113 C124 C135 C147 C158 C169 C180 C203 C191"/>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1 C22 C33 C44 C56 C67 C78 C89 C101 C112 C123 C134 C146 C157 C168 C179 C202 C190"/>
    <dataValidation allowBlank="1" showInputMessage="1" showErrorMessage="1" prompt="Includes all related staff and temporary staff costs including base salary, post adjustment and all staff entitlements." sqref="C10 C21 C32 C43 C55 C66 C77 C88 C100 C111 C122 C133 C145 C156 C167 C178 C201 C189"/>
    <dataValidation allowBlank="1" showInputMessage="1" showErrorMessage="1" prompt="Output totals must match the original total from Table 1, and will show as red if not. " sqref="G17"/>
  </dataValidations>
  <pageMargins left="0.7" right="0.7" top="0.75" bottom="0.75" header="0.3" footer="0.3"/>
  <pageSetup scale="74" orientation="landscape" r:id="rId1"/>
  <rowBreaks count="1" manualBreakCount="1">
    <brk id="6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1:F16"/>
  <sheetViews>
    <sheetView showGridLines="0" workbookViewId="0">
      <selection activeCell="E14" sqref="E14"/>
    </sheetView>
  </sheetViews>
  <sheetFormatPr baseColWidth="10" defaultColWidth="8.7109375" defaultRowHeight="15" x14ac:dyDescent="0.25"/>
  <cols>
    <col min="2" max="2" width="73.28515625" customWidth="1"/>
  </cols>
  <sheetData>
    <row r="1" spans="2:6" ht="15.75" thickBot="1" x14ac:dyDescent="0.3"/>
    <row r="2" spans="2:6" ht="15.75" thickBot="1" x14ac:dyDescent="0.3">
      <c r="B2" s="9" t="s">
        <v>398</v>
      </c>
      <c r="C2" s="1"/>
      <c r="D2" s="1"/>
      <c r="E2" s="1"/>
      <c r="F2" s="1"/>
    </row>
    <row r="3" spans="2:6" x14ac:dyDescent="0.25">
      <c r="B3" s="6"/>
    </row>
    <row r="4" spans="2:6" ht="30.75" customHeight="1" x14ac:dyDescent="0.25">
      <c r="B4" s="7" t="s">
        <v>399</v>
      </c>
    </row>
    <row r="5" spans="2:6" ht="30.75" customHeight="1" x14ac:dyDescent="0.25">
      <c r="B5" s="7"/>
    </row>
    <row r="6" spans="2:6" ht="60" x14ac:dyDescent="0.25">
      <c r="B6" s="7" t="s">
        <v>400</v>
      </c>
    </row>
    <row r="7" spans="2:6" x14ac:dyDescent="0.25">
      <c r="B7" s="7"/>
    </row>
    <row r="8" spans="2:6" ht="60" x14ac:dyDescent="0.25">
      <c r="B8" s="7" t="s">
        <v>401</v>
      </c>
    </row>
    <row r="9" spans="2:6" x14ac:dyDescent="0.25">
      <c r="B9" s="7"/>
    </row>
    <row r="10" spans="2:6" ht="60" x14ac:dyDescent="0.25">
      <c r="B10" s="7" t="s">
        <v>402</v>
      </c>
    </row>
    <row r="11" spans="2:6" x14ac:dyDescent="0.25">
      <c r="B11" s="7"/>
    </row>
    <row r="12" spans="2:6" ht="30" x14ac:dyDescent="0.25">
      <c r="B12" s="7" t="s">
        <v>403</v>
      </c>
    </row>
    <row r="13" spans="2:6" x14ac:dyDescent="0.25">
      <c r="B13" s="7"/>
    </row>
    <row r="14" spans="2:6" ht="60" x14ac:dyDescent="0.25">
      <c r="B14" s="7" t="s">
        <v>404</v>
      </c>
    </row>
    <row r="15" spans="2:6" x14ac:dyDescent="0.25">
      <c r="B15" s="7"/>
    </row>
    <row r="16" spans="2:6" ht="45.75" thickBot="1" x14ac:dyDescent="0.3">
      <c r="B16" s="8" t="s">
        <v>405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1:D47"/>
  <sheetViews>
    <sheetView showGridLines="0" showZeros="0" zoomScale="80" zoomScaleNormal="80" zoomScaleSheetLayoutView="70" workbookViewId="0"/>
  </sheetViews>
  <sheetFormatPr baseColWidth="10" defaultColWidth="8.7109375" defaultRowHeight="15" x14ac:dyDescent="0.25"/>
  <cols>
    <col min="2" max="2" width="61.7109375" customWidth="1"/>
    <col min="4" max="4" width="17.7109375" customWidth="1"/>
  </cols>
  <sheetData>
    <row r="1" spans="2:4" ht="15.75" thickBot="1" x14ac:dyDescent="0.3"/>
    <row r="2" spans="2:4" x14ac:dyDescent="0.25">
      <c r="B2" s="522" t="s">
        <v>406</v>
      </c>
      <c r="C2" s="523"/>
      <c r="D2" s="524"/>
    </row>
    <row r="3" spans="2:4" ht="15.75" thickBot="1" x14ac:dyDescent="0.3">
      <c r="B3" s="525"/>
      <c r="C3" s="526"/>
      <c r="D3" s="527"/>
    </row>
    <row r="4" spans="2:4" ht="15.75" thickBot="1" x14ac:dyDescent="0.3"/>
    <row r="5" spans="2:4" x14ac:dyDescent="0.25">
      <c r="B5" s="533" t="s">
        <v>407</v>
      </c>
      <c r="C5" s="534"/>
      <c r="D5" s="535"/>
    </row>
    <row r="6" spans="2:4" ht="15.75" thickBot="1" x14ac:dyDescent="0.3">
      <c r="B6" s="530"/>
      <c r="C6" s="531"/>
      <c r="D6" s="532"/>
    </row>
    <row r="7" spans="2:4" x14ac:dyDescent="0.25">
      <c r="B7" s="77" t="s">
        <v>408</v>
      </c>
      <c r="C7" s="528">
        <f>SUM('1) Budget Tables'!D16:F16,'1) Budget Tables'!D26:F26,'1) Budget Tables'!D36:F36,'1) Budget Tables'!D46:F46)</f>
        <v>426182.94392523356</v>
      </c>
      <c r="D7" s="529"/>
    </row>
    <row r="8" spans="2:4" x14ac:dyDescent="0.25">
      <c r="B8" s="77" t="s">
        <v>409</v>
      </c>
      <c r="C8" s="536">
        <f>SUM(D10:D14)</f>
        <v>0</v>
      </c>
      <c r="D8" s="537"/>
    </row>
    <row r="9" spans="2:4" x14ac:dyDescent="0.25">
      <c r="B9" s="78" t="s">
        <v>410</v>
      </c>
      <c r="C9" s="79" t="s">
        <v>411</v>
      </c>
      <c r="D9" s="80" t="s">
        <v>412</v>
      </c>
    </row>
    <row r="10" spans="2:4" ht="35.1" customHeight="1" x14ac:dyDescent="0.25">
      <c r="B10" s="100"/>
      <c r="C10" s="82"/>
      <c r="D10" s="83">
        <f>$C$7*C10</f>
        <v>0</v>
      </c>
    </row>
    <row r="11" spans="2:4" ht="35.1" customHeight="1" x14ac:dyDescent="0.25">
      <c r="B11" s="100"/>
      <c r="C11" s="82"/>
      <c r="D11" s="83">
        <f>C7*C11</f>
        <v>0</v>
      </c>
    </row>
    <row r="12" spans="2:4" ht="35.1" customHeight="1" x14ac:dyDescent="0.25">
      <c r="B12" s="101"/>
      <c r="C12" s="82"/>
      <c r="D12" s="83">
        <f>C7*C12</f>
        <v>0</v>
      </c>
    </row>
    <row r="13" spans="2:4" ht="35.1" customHeight="1" x14ac:dyDescent="0.25">
      <c r="B13" s="101"/>
      <c r="C13" s="82"/>
      <c r="D13" s="83">
        <f>C7*C13</f>
        <v>0</v>
      </c>
    </row>
    <row r="14" spans="2:4" ht="35.1" customHeight="1" thickBot="1" x14ac:dyDescent="0.3">
      <c r="B14" s="102"/>
      <c r="C14" s="87"/>
      <c r="D14" s="88">
        <f>C7*C14</f>
        <v>0</v>
      </c>
    </row>
    <row r="15" spans="2:4" ht="15.75" thickBot="1" x14ac:dyDescent="0.3"/>
    <row r="16" spans="2:4" x14ac:dyDescent="0.25">
      <c r="B16" s="533" t="s">
        <v>413</v>
      </c>
      <c r="C16" s="534"/>
      <c r="D16" s="535"/>
    </row>
    <row r="17" spans="2:4" ht="15.75" thickBot="1" x14ac:dyDescent="0.3">
      <c r="B17" s="538"/>
      <c r="C17" s="539"/>
      <c r="D17" s="540"/>
    </row>
    <row r="18" spans="2:4" x14ac:dyDescent="0.25">
      <c r="B18" s="77" t="s">
        <v>408</v>
      </c>
      <c r="C18" s="528">
        <f>SUM('1) Budget Tables'!D58:F58,'1) Budget Tables'!D81:F81,'1) Budget Tables'!D94:F94,'1) Budget Tables'!D104:F104)</f>
        <v>360000</v>
      </c>
      <c r="D18" s="529"/>
    </row>
    <row r="19" spans="2:4" x14ac:dyDescent="0.25">
      <c r="B19" s="77" t="s">
        <v>409</v>
      </c>
      <c r="C19" s="536">
        <f>SUM(D21:D25)</f>
        <v>0</v>
      </c>
      <c r="D19" s="537"/>
    </row>
    <row r="20" spans="2:4" x14ac:dyDescent="0.25">
      <c r="B20" s="78" t="s">
        <v>410</v>
      </c>
      <c r="C20" s="79" t="s">
        <v>411</v>
      </c>
      <c r="D20" s="80" t="s">
        <v>412</v>
      </c>
    </row>
    <row r="21" spans="2:4" ht="35.1" customHeight="1" x14ac:dyDescent="0.25">
      <c r="B21" s="81"/>
      <c r="C21" s="82"/>
      <c r="D21" s="83">
        <f>$C$18*C21</f>
        <v>0</v>
      </c>
    </row>
    <row r="22" spans="2:4" ht="35.1" customHeight="1" x14ac:dyDescent="0.25">
      <c r="B22" s="84"/>
      <c r="C22" s="82"/>
      <c r="D22" s="83">
        <f t="shared" ref="D22:D25" si="0">$C$18*C22</f>
        <v>0</v>
      </c>
    </row>
    <row r="23" spans="2:4" ht="35.1" customHeight="1" x14ac:dyDescent="0.25">
      <c r="B23" s="85"/>
      <c r="C23" s="82"/>
      <c r="D23" s="83">
        <f t="shared" si="0"/>
        <v>0</v>
      </c>
    </row>
    <row r="24" spans="2:4" ht="35.1" customHeight="1" x14ac:dyDescent="0.25">
      <c r="B24" s="85"/>
      <c r="C24" s="82"/>
      <c r="D24" s="83">
        <f t="shared" si="0"/>
        <v>0</v>
      </c>
    </row>
    <row r="25" spans="2:4" ht="35.1" customHeight="1" thickBot="1" x14ac:dyDescent="0.3">
      <c r="B25" s="86"/>
      <c r="C25" s="87"/>
      <c r="D25" s="83">
        <f t="shared" si="0"/>
        <v>0</v>
      </c>
    </row>
    <row r="26" spans="2:4" ht="15.75" thickBot="1" x14ac:dyDescent="0.3"/>
    <row r="27" spans="2:4" x14ac:dyDescent="0.25">
      <c r="B27" s="533" t="s">
        <v>414</v>
      </c>
      <c r="C27" s="534"/>
      <c r="D27" s="535"/>
    </row>
    <row r="28" spans="2:4" ht="15.75" thickBot="1" x14ac:dyDescent="0.3">
      <c r="B28" s="530"/>
      <c r="C28" s="531"/>
      <c r="D28" s="532"/>
    </row>
    <row r="29" spans="2:4" x14ac:dyDescent="0.25">
      <c r="B29" s="77" t="s">
        <v>408</v>
      </c>
      <c r="C29" s="528">
        <f>SUM('1) Budget Tables'!D116:F116,'1) Budget Tables'!D126:F126,'1) Budget Tables'!D136:F136,'1) Budget Tables'!D146:F146)</f>
        <v>240000</v>
      </c>
      <c r="D29" s="529"/>
    </row>
    <row r="30" spans="2:4" x14ac:dyDescent="0.25">
      <c r="B30" s="77" t="s">
        <v>409</v>
      </c>
      <c r="C30" s="536">
        <f>SUM(D32:D36)</f>
        <v>0</v>
      </c>
      <c r="D30" s="537"/>
    </row>
    <row r="31" spans="2:4" x14ac:dyDescent="0.25">
      <c r="B31" s="78" t="s">
        <v>410</v>
      </c>
      <c r="C31" s="79" t="s">
        <v>411</v>
      </c>
      <c r="D31" s="80" t="s">
        <v>412</v>
      </c>
    </row>
    <row r="32" spans="2:4" ht="35.1" customHeight="1" x14ac:dyDescent="0.25">
      <c r="B32" s="81"/>
      <c r="C32" s="82"/>
      <c r="D32" s="83">
        <f>$C$29*C32</f>
        <v>0</v>
      </c>
    </row>
    <row r="33" spans="2:4" ht="35.1" customHeight="1" x14ac:dyDescent="0.25">
      <c r="B33" s="84"/>
      <c r="C33" s="82"/>
      <c r="D33" s="83">
        <f t="shared" ref="D33:D36" si="1">$C$29*C33</f>
        <v>0</v>
      </c>
    </row>
    <row r="34" spans="2:4" ht="35.1" customHeight="1" x14ac:dyDescent="0.25">
      <c r="B34" s="85"/>
      <c r="C34" s="82"/>
      <c r="D34" s="83">
        <f t="shared" si="1"/>
        <v>0</v>
      </c>
    </row>
    <row r="35" spans="2:4" ht="35.1" customHeight="1" x14ac:dyDescent="0.35">
      <c r="B35" s="85"/>
      <c r="C35" s="82"/>
      <c r="D35" s="83">
        <f t="shared" si="1"/>
        <v>0</v>
      </c>
    </row>
    <row r="36" spans="2:4" ht="35.1" customHeight="1" thickBot="1" x14ac:dyDescent="0.4">
      <c r="B36" s="86"/>
      <c r="C36" s="87"/>
      <c r="D36" s="83">
        <f t="shared" si="1"/>
        <v>0</v>
      </c>
    </row>
    <row r="37" spans="2:4" thickBot="1" x14ac:dyDescent="0.4"/>
    <row r="38" spans="2:4" ht="14.45" x14ac:dyDescent="0.35">
      <c r="B38" s="533" t="s">
        <v>415</v>
      </c>
      <c r="C38" s="534"/>
      <c r="D38" s="535"/>
    </row>
    <row r="39" spans="2:4" thickBot="1" x14ac:dyDescent="0.4">
      <c r="B39" s="530"/>
      <c r="C39" s="531"/>
      <c r="D39" s="532"/>
    </row>
    <row r="40" spans="2:4" ht="14.45" x14ac:dyDescent="0.35">
      <c r="B40" s="77" t="s">
        <v>408</v>
      </c>
      <c r="C40" s="528">
        <f>SUM('1) Budget Tables'!D158:F158,'1) Budget Tables'!D168:F168,'1) Budget Tables'!D178:F178,'1) Budget Tables'!D188:F188)</f>
        <v>0</v>
      </c>
      <c r="D40" s="529"/>
    </row>
    <row r="41" spans="2:4" ht="14.45" x14ac:dyDescent="0.35">
      <c r="B41" s="77" t="s">
        <v>409</v>
      </c>
      <c r="C41" s="536">
        <f>SUM(D43:D47)</f>
        <v>0</v>
      </c>
      <c r="D41" s="537"/>
    </row>
    <row r="42" spans="2:4" ht="14.45" x14ac:dyDescent="0.35">
      <c r="B42" s="78" t="s">
        <v>410</v>
      </c>
      <c r="C42" s="79" t="s">
        <v>411</v>
      </c>
      <c r="D42" s="80" t="s">
        <v>412</v>
      </c>
    </row>
    <row r="43" spans="2:4" ht="35.1" customHeight="1" x14ac:dyDescent="0.35">
      <c r="B43" s="81"/>
      <c r="C43" s="82"/>
      <c r="D43" s="83">
        <f>$C$40*C43</f>
        <v>0</v>
      </c>
    </row>
    <row r="44" spans="2:4" ht="35.1" customHeight="1" x14ac:dyDescent="0.35">
      <c r="B44" s="84"/>
      <c r="C44" s="82"/>
      <c r="D44" s="83">
        <f t="shared" ref="D44:D47" si="2">$C$40*C44</f>
        <v>0</v>
      </c>
    </row>
    <row r="45" spans="2:4" ht="35.1" customHeight="1" x14ac:dyDescent="0.35">
      <c r="B45" s="85"/>
      <c r="C45" s="82"/>
      <c r="D45" s="83">
        <f t="shared" si="2"/>
        <v>0</v>
      </c>
    </row>
    <row r="46" spans="2:4" ht="35.1" customHeight="1" x14ac:dyDescent="0.35">
      <c r="B46" s="85"/>
      <c r="C46" s="82"/>
      <c r="D46" s="83">
        <f t="shared" si="2"/>
        <v>0</v>
      </c>
    </row>
    <row r="47" spans="2:4" ht="35.1" customHeight="1" thickBot="1" x14ac:dyDescent="0.4">
      <c r="B47" s="86"/>
      <c r="C47" s="87"/>
      <c r="D47" s="88">
        <f t="shared" si="2"/>
        <v>0</v>
      </c>
    </row>
  </sheetData>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9" priority="2" operator="greaterThan">
      <formula>$C$29</formula>
    </cfRule>
    <cfRule type="cellIs" dxfId="8" priority="5" operator="greaterThan">
      <formula>$C$29</formula>
    </cfRule>
  </conditionalFormatting>
  <conditionalFormatting sqref="C8:D8">
    <cfRule type="cellIs" dxfId="7" priority="4" operator="greaterThan">
      <formula>$C$7</formula>
    </cfRule>
  </conditionalFormatting>
  <conditionalFormatting sqref="C19:D19">
    <cfRule type="cellIs" dxfId="6" priority="3" operator="greaterThan">
      <formula>$C$18</formula>
    </cfRule>
  </conditionalFormatting>
  <conditionalFormatting sqref="C41:D41">
    <cfRule type="cellIs" dxfId="5"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Sheet2!$A$1:$A$170</xm:f>
          </x14:formula1>
          <xm:sqref>B10:B14 B21:B25 B32:B36 B43:B47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1:G25"/>
  <sheetViews>
    <sheetView showGridLines="0" showZeros="0" topLeftCell="A17" zoomScale="80" zoomScaleNormal="80" workbookViewId="0">
      <selection activeCell="J31" sqref="J31"/>
    </sheetView>
  </sheetViews>
  <sheetFormatPr baseColWidth="10" defaultColWidth="8.71093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7109375" bestFit="1" customWidth="1"/>
    <col min="11" max="11" width="11.28515625" bestFit="1" customWidth="1"/>
  </cols>
  <sheetData>
    <row r="1" spans="2:7" ht="15.75" thickBot="1" x14ac:dyDescent="0.3"/>
    <row r="2" spans="2:7" s="70" customFormat="1" ht="15.75" x14ac:dyDescent="0.25">
      <c r="B2" s="544" t="s">
        <v>416</v>
      </c>
      <c r="C2" s="545"/>
      <c r="D2" s="545"/>
      <c r="E2" s="545"/>
      <c r="F2" s="546"/>
      <c r="G2" s="249"/>
    </row>
    <row r="3" spans="2:7" s="70" customFormat="1" ht="16.5" thickBot="1" x14ac:dyDescent="0.3">
      <c r="B3" s="547"/>
      <c r="C3" s="548"/>
      <c r="D3" s="548"/>
      <c r="E3" s="548"/>
      <c r="F3" s="549"/>
      <c r="G3" s="249"/>
    </row>
    <row r="4" spans="2:7" s="70" customFormat="1" ht="16.5" thickBot="1" x14ac:dyDescent="0.3">
      <c r="B4" s="249"/>
      <c r="C4" s="249"/>
      <c r="D4" s="249"/>
      <c r="E4" s="249"/>
      <c r="F4" s="249"/>
      <c r="G4" s="249"/>
    </row>
    <row r="5" spans="2:7" s="70" customFormat="1" ht="16.5" thickBot="1" x14ac:dyDescent="0.3">
      <c r="B5" s="514" t="s">
        <v>332</v>
      </c>
      <c r="C5" s="516"/>
      <c r="D5" s="123"/>
      <c r="E5" s="123"/>
      <c r="F5" s="249"/>
      <c r="G5" s="249"/>
    </row>
    <row r="6" spans="2:7" s="70" customFormat="1" ht="15.75" x14ac:dyDescent="0.25">
      <c r="B6" s="67"/>
      <c r="C6" s="550" t="str">
        <f>'1) Budget Tables'!D5</f>
        <v>Recipient Organization</v>
      </c>
      <c r="D6" s="124" t="s">
        <v>372</v>
      </c>
      <c r="E6" s="52" t="s">
        <v>373</v>
      </c>
      <c r="F6" s="249"/>
      <c r="G6" s="249"/>
    </row>
    <row r="7" spans="2:7" s="70" customFormat="1" ht="15.75" x14ac:dyDescent="0.25">
      <c r="B7" s="67"/>
      <c r="C7" s="521"/>
      <c r="D7" s="125"/>
      <c r="E7" s="46"/>
      <c r="F7" s="249"/>
      <c r="G7" s="249"/>
    </row>
    <row r="8" spans="2:7" s="70" customFormat="1" ht="31.5" x14ac:dyDescent="0.25">
      <c r="B8" s="16" t="s">
        <v>377</v>
      </c>
      <c r="C8" s="250">
        <f>'2) By Category'!D201</f>
        <v>318997.07392523356</v>
      </c>
      <c r="D8" s="242">
        <f>'2) By Category'!E201</f>
        <v>0</v>
      </c>
      <c r="E8" s="238">
        <f>'2) By Category'!F201</f>
        <v>0</v>
      </c>
      <c r="F8" s="249"/>
      <c r="G8" s="249"/>
    </row>
    <row r="9" spans="2:7" s="70" customFormat="1" ht="47.25" x14ac:dyDescent="0.25">
      <c r="B9" s="16" t="s">
        <v>378</v>
      </c>
      <c r="C9" s="250">
        <f>'2) By Category'!D202</f>
        <v>0</v>
      </c>
      <c r="D9" s="242">
        <f>'2) By Category'!E202</f>
        <v>0</v>
      </c>
      <c r="E9" s="238">
        <f>'2) By Category'!F202</f>
        <v>0</v>
      </c>
      <c r="F9" s="249"/>
      <c r="G9" s="249"/>
    </row>
    <row r="10" spans="2:7" s="70" customFormat="1" ht="78.75" x14ac:dyDescent="0.25">
      <c r="B10" s="16" t="s">
        <v>379</v>
      </c>
      <c r="C10" s="250">
        <f>'2) By Category'!D203</f>
        <v>17936.473999999998</v>
      </c>
      <c r="D10" s="242">
        <f>'2) By Category'!E203</f>
        <v>0</v>
      </c>
      <c r="E10" s="238">
        <f>'2) By Category'!F203</f>
        <v>0</v>
      </c>
      <c r="F10" s="249"/>
      <c r="G10" s="249"/>
    </row>
    <row r="11" spans="2:7" s="70" customFormat="1" ht="31.5" x14ac:dyDescent="0.25">
      <c r="B11" s="27" t="s">
        <v>380</v>
      </c>
      <c r="C11" s="250">
        <f>'2) By Category'!D204</f>
        <v>0</v>
      </c>
      <c r="D11" s="242">
        <f>'2) By Category'!E204</f>
        <v>0</v>
      </c>
      <c r="E11" s="238">
        <f>'2) By Category'!F204</f>
        <v>0</v>
      </c>
      <c r="F11" s="249"/>
      <c r="G11" s="249"/>
    </row>
    <row r="12" spans="2:7" s="70" customFormat="1" ht="15.75" x14ac:dyDescent="0.25">
      <c r="B12" s="16" t="s">
        <v>381</v>
      </c>
      <c r="C12" s="250">
        <f>'2) By Category'!D205</f>
        <v>16713.45</v>
      </c>
      <c r="D12" s="242">
        <f>'2) By Category'!E205</f>
        <v>0</v>
      </c>
      <c r="E12" s="238">
        <f>'2) By Category'!F205</f>
        <v>0</v>
      </c>
      <c r="F12" s="249"/>
      <c r="G12" s="249"/>
    </row>
    <row r="13" spans="2:7" s="70" customFormat="1" ht="47.25" x14ac:dyDescent="0.25">
      <c r="B13" s="16" t="s">
        <v>382</v>
      </c>
      <c r="C13" s="250">
        <f>'2) By Category'!D206</f>
        <v>0</v>
      </c>
      <c r="D13" s="242">
        <f>'2) By Category'!E206</f>
        <v>0</v>
      </c>
      <c r="E13" s="238">
        <f>'2) By Category'!F206</f>
        <v>0</v>
      </c>
      <c r="F13" s="249"/>
      <c r="G13" s="249"/>
    </row>
    <row r="14" spans="2:7" s="70" customFormat="1" ht="48" thickBot="1" x14ac:dyDescent="0.3">
      <c r="B14" s="26" t="s">
        <v>383</v>
      </c>
      <c r="C14" s="251">
        <f>'2) By Category'!D207</f>
        <v>1048221.777</v>
      </c>
      <c r="D14" s="243">
        <f>'2) By Category'!E207</f>
        <v>0</v>
      </c>
      <c r="E14" s="244">
        <f>'2) By Category'!F207</f>
        <v>0</v>
      </c>
      <c r="F14" s="249"/>
      <c r="G14" s="249"/>
    </row>
    <row r="15" spans="2:7" s="70" customFormat="1" ht="30" customHeight="1" thickBot="1" x14ac:dyDescent="0.3">
      <c r="B15" s="252" t="s">
        <v>417</v>
      </c>
      <c r="C15" s="253">
        <f>SUM(C8:C14)</f>
        <v>1401868.7749252336</v>
      </c>
      <c r="D15" s="117">
        <f t="shared" ref="D15:E15" si="0">SUM(D8:D14)</f>
        <v>0</v>
      </c>
      <c r="E15" s="68">
        <f t="shared" si="0"/>
        <v>0</v>
      </c>
      <c r="F15" s="254"/>
      <c r="G15" s="254"/>
    </row>
    <row r="16" spans="2:7" s="70" customFormat="1" ht="30" customHeight="1" x14ac:dyDescent="0.25">
      <c r="B16" s="245" t="s">
        <v>396</v>
      </c>
      <c r="C16" s="255">
        <f>C15*0.07</f>
        <v>98130.814244766356</v>
      </c>
      <c r="D16" s="116"/>
      <c r="E16" s="116"/>
      <c r="F16" s="249"/>
      <c r="G16" s="249"/>
    </row>
    <row r="17" spans="2:6" s="70" customFormat="1" ht="30" customHeight="1" thickBot="1" x14ac:dyDescent="0.3">
      <c r="B17" s="120" t="s">
        <v>10</v>
      </c>
      <c r="C17" s="157">
        <f>SUM(C15:C16)</f>
        <v>1499999.5891699998</v>
      </c>
      <c r="D17" s="257">
        <f>+C8/C15</f>
        <v>0.22755130838993598</v>
      </c>
      <c r="E17" s="116"/>
      <c r="F17" s="249"/>
    </row>
    <row r="18" spans="2:6" s="70" customFormat="1" ht="16.5" thickBot="1" x14ac:dyDescent="0.3">
      <c r="B18" s="249"/>
      <c r="C18" s="249"/>
      <c r="D18" s="249"/>
      <c r="E18" s="249"/>
      <c r="F18" s="249"/>
    </row>
    <row r="19" spans="2:6" s="70" customFormat="1" ht="15.75" x14ac:dyDescent="0.25">
      <c r="B19" s="541" t="s">
        <v>337</v>
      </c>
      <c r="C19" s="542"/>
      <c r="D19" s="542"/>
      <c r="E19" s="542"/>
      <c r="F19" s="543"/>
    </row>
    <row r="20" spans="2:6" ht="15.75" x14ac:dyDescent="0.25">
      <c r="B20" s="22"/>
      <c r="C20" s="551" t="str">
        <f>'1) Budget Tables'!D5</f>
        <v>Recipient Organization</v>
      </c>
      <c r="D20" s="20" t="s">
        <v>418</v>
      </c>
      <c r="E20" s="20" t="s">
        <v>419</v>
      </c>
      <c r="F20" s="23" t="s">
        <v>338</v>
      </c>
    </row>
    <row r="21" spans="2:6" ht="15.75" x14ac:dyDescent="0.25">
      <c r="B21" s="22"/>
      <c r="C21" s="518"/>
      <c r="D21" s="20"/>
      <c r="E21" s="20"/>
      <c r="F21" s="23"/>
    </row>
    <row r="22" spans="2:6" ht="23.25" customHeight="1" x14ac:dyDescent="0.25">
      <c r="B22" s="21" t="s">
        <v>339</v>
      </c>
      <c r="C22" s="256">
        <f>'1) Budget Tables'!D215</f>
        <v>526658.51670949999</v>
      </c>
      <c r="D22" s="19">
        <f>'1) Budget Tables'!E215</f>
        <v>0</v>
      </c>
      <c r="E22" s="19">
        <f>'1) Budget Tables'!F215</f>
        <v>0</v>
      </c>
      <c r="F22" s="11">
        <f>'1) Budget Tables'!H215</f>
        <v>0.35</v>
      </c>
    </row>
    <row r="23" spans="2:6" ht="24.75" customHeight="1" x14ac:dyDescent="0.25">
      <c r="B23" s="21" t="s">
        <v>340</v>
      </c>
      <c r="C23" s="256">
        <f>'1) Budget Tables'!D216</f>
        <v>526658.51670949999</v>
      </c>
      <c r="D23" s="19">
        <f>'1) Budget Tables'!E216</f>
        <v>0</v>
      </c>
      <c r="E23" s="19">
        <f>'1) Budget Tables'!F216</f>
        <v>0</v>
      </c>
      <c r="F23" s="11">
        <f>'1) Budget Tables'!H216</f>
        <v>0.35</v>
      </c>
    </row>
    <row r="24" spans="2:6" ht="24.75" customHeight="1" x14ac:dyDescent="0.25">
      <c r="B24" s="21" t="s">
        <v>420</v>
      </c>
      <c r="C24" s="256">
        <f>'1) Budget Tables'!D217</f>
        <v>451421.58575100004</v>
      </c>
      <c r="D24" s="19"/>
      <c r="E24" s="19"/>
      <c r="F24" s="11">
        <f>'1) Budget Tables'!H217</f>
        <v>0.3</v>
      </c>
    </row>
    <row r="25" spans="2:6" ht="16.5" thickBot="1" x14ac:dyDescent="0.3">
      <c r="B25" s="12" t="s">
        <v>397</v>
      </c>
      <c r="C25" s="192">
        <f>'1) Budget Tables'!D218</f>
        <v>1504738.6191700001</v>
      </c>
      <c r="D25" s="141"/>
      <c r="E25" s="141"/>
      <c r="F25" s="142"/>
    </row>
  </sheetData>
  <sheetProtection formatCells="0" formatColumns="0" formatRows="0"/>
  <mergeCells count="5">
    <mergeCell ref="B19:F19"/>
    <mergeCell ref="B2:F3"/>
    <mergeCell ref="B5:C5"/>
    <mergeCell ref="C6:C7"/>
    <mergeCell ref="C20:C21"/>
  </mergeCells>
  <dataValidations count="7">
    <dataValidation allowBlank="1" showInputMessage="1" showErrorMessage="1" prompt="Includes all related staff and temporary staff costs including base salary, post adjustment and all staff entitlements." sqref="B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dataValidation allowBlank="1" showInputMessage="1" showErrorMessage="1" prompt="Includes staff and non-staff travel paid for by the organization directly related to a project." sqref="B12"/>
    <dataValidation allowBlank="1" showInputMessage="1" showErrorMessage="1" prompt="Services contracted by an organization which follow the normal procurement processes." sqref="B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dataValidation allowBlank="1" showInputMessage="1" showErrorMessage="1" prompt=" Includes all general operating costs for running an office. Examples include telecommunication, rents, finance charges and other costs which cannot be mapped to other expense categories." sqref="B14"/>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8E87DE7-D65B-4E43-8816-A3CBF3DF7635}">
            <xm:f>'1) Budget Tables'!$D$209</xm:f>
            <x14:dxf>
              <font>
                <color rgb="FF9C0006"/>
              </font>
              <fill>
                <patternFill>
                  <bgColor rgb="FFFFC7CE"/>
                </patternFill>
              </fill>
            </x14:dxf>
          </x14:cfRule>
          <xm:sqref>C17</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BF4094DFC25114BA98D8ABEB263519A" ma:contentTypeVersion="13" ma:contentTypeDescription="Crear nuevo documento." ma:contentTypeScope="" ma:versionID="7b4d3decd4a2e429d44b6325e05f421a">
  <xsd:schema xmlns:xsd="http://www.w3.org/2001/XMLSchema" xmlns:xs="http://www.w3.org/2001/XMLSchema" xmlns:p="http://schemas.microsoft.com/office/2006/metadata/properties" xmlns:ns2="8315e492-ce1f-45aa-ab83-d0a1d077d827" xmlns:ns3="5bbe472c-b467-463e-b963-66c0881b33a2" targetNamespace="http://schemas.microsoft.com/office/2006/metadata/properties" ma:root="true" ma:fieldsID="3c79038075d28d3b2b5b307b42cf7edb" ns2:_="" ns3:_="">
    <xsd:import namespace="8315e492-ce1f-45aa-ab83-d0a1d077d827"/>
    <xsd:import namespace="5bbe472c-b467-463e-b963-66c0881b33a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15e492-ce1f-45aa-ab83-d0a1d077d8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bbe472c-b467-463e-b963-66c0881b33a2"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D2AE27-346B-4D4E-BC3D-49023466867A}">
  <ds:schemaRefs>
    <ds:schemaRef ds:uri="http://schemas.microsoft.com/sharepoint/v3/contenttype/forms"/>
  </ds:schemaRefs>
</ds:datastoreItem>
</file>

<file path=customXml/itemProps2.xml><?xml version="1.0" encoding="utf-8"?>
<ds:datastoreItem xmlns:ds="http://schemas.openxmlformats.org/officeDocument/2006/customXml" ds:itemID="{8F654EB7-5DB4-40A6-AEE8-186D72BF95CC}">
  <ds:schemaRefs>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0c747369-06c1-46d5-8991-c2955fe00629"/>
    <ds:schemaRef ds:uri="http://purl.org/dc/elements/1.1/"/>
    <ds:schemaRef ds:uri="http://purl.org/dc/terms/"/>
    <ds:schemaRef ds:uri="http://purl.org/dc/dcmitype/"/>
    <ds:schemaRef ds:uri="http://schemas.openxmlformats.org/package/2006/metadata/core-properties"/>
    <ds:schemaRef ds:uri="6a519c99-8b07-4629-936f-f182874eeeb0"/>
  </ds:schemaRefs>
</ds:datastoreItem>
</file>

<file path=customXml/itemProps3.xml><?xml version="1.0" encoding="utf-8"?>
<ds:datastoreItem xmlns:ds="http://schemas.openxmlformats.org/officeDocument/2006/customXml" ds:itemID="{038DF7C8-E9AC-4E24-8996-8289FBF8E26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Instructions</vt:lpstr>
      <vt:lpstr>1) Budget Tables</vt:lpstr>
      <vt:lpstr>GL NRC</vt:lpstr>
      <vt:lpstr>ACONC </vt:lpstr>
      <vt:lpstr>PACIFISTA</vt:lpstr>
      <vt:lpstr>2) By Category</vt:lpstr>
      <vt:lpstr>3) Explanatory Notes</vt:lpstr>
      <vt:lpstr>4) For PBSO Use</vt:lpstr>
      <vt:lpstr>5) For MPTF Use</vt:lpstr>
      <vt:lpstr>DRAFT</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Francisco Altamar</cp:lastModifiedBy>
  <cp:revision/>
  <dcterms:created xsi:type="dcterms:W3CDTF">2017-11-15T21:17:43Z</dcterms:created>
  <dcterms:modified xsi:type="dcterms:W3CDTF">2021-11-10T21:11:54Z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0x0101000BF4094DFC25114BA98D8ABEB263519A</vt:lpwstr>
  </property>
</Properties>
</file>