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summary" sheetId="1" r:id="rId1"/>
    <sheet name="budget- activity sheet" sheetId="2" r:id="rId2"/>
  </sheets>
  <definedNames/>
  <calcPr fullCalcOnLoad="1"/>
</workbook>
</file>

<file path=xl/sharedStrings.xml><?xml version="1.0" encoding="utf-8"?>
<sst xmlns="http://schemas.openxmlformats.org/spreadsheetml/2006/main" count="114" uniqueCount="107">
  <si>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</si>
  <si>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</si>
  <si>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</si>
  <si>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</si>
  <si>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</si>
  <si>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</si>
  <si>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TOTAL $ FOR OUTCOME 1:</t>
  </si>
  <si>
    <t>Output 2.1:</t>
  </si>
  <si>
    <t>Activity 2.1.1:</t>
  </si>
  <si>
    <t>Activity 2.1.2:</t>
  </si>
  <si>
    <t>Activity 2.1.3:</t>
  </si>
  <si>
    <t>TOTAL $ FOR OUTCOME 2:</t>
  </si>
  <si>
    <t>Activity 3.1.1:</t>
  </si>
  <si>
    <t>Activity 3.1.2:</t>
  </si>
  <si>
    <t>Activity 3.1.3:</t>
  </si>
  <si>
    <t>TOTAL $ FOR OUTCOME 3:</t>
  </si>
  <si>
    <t>Activity 4.1.1:</t>
  </si>
  <si>
    <t>Activity 4.1.2:</t>
  </si>
  <si>
    <t>Activity 4.1.3:</t>
  </si>
  <si>
    <t>TOTAL $ FOR OUTCOME 4: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</si>
  <si>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</si>
  <si>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</si>
  <si>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Note: If this is a budget revision, insert extra columns to show budget changes.</t>
  </si>
  <si>
    <t>Project operational costs if not included in activities above</t>
  </si>
  <si>
    <t>Project M&amp;E budget</t>
  </si>
  <si>
    <t>Table 1 - PBF project budget by Outcome, output and activity</t>
  </si>
  <si>
    <t>Level of expenditure/ commitments in USD (to provide at time of project progress reporting):</t>
  </si>
  <si>
    <t>Conduct 3 assessments (baseline, midline and endline) to identify and address social norms that contribute to violence (GBV) - 3 X $ 20,000 = $ 60,000</t>
  </si>
  <si>
    <t xml:space="preserve">Establish and capacitate 16 community action groups against violence (GBV) - 16 X $ 15,000 = </t>
  </si>
  <si>
    <t xml:space="preserve">SUB-TOTAL PROJECT BUDGET: </t>
  </si>
  <si>
    <t xml:space="preserve">Indirect support costs (7%): </t>
  </si>
  <si>
    <t>TOTAL PROJECT BUDGET:</t>
  </si>
  <si>
    <t>Support to operational cost (office cost, stationery)</t>
  </si>
  <si>
    <t>Scale of WGFS/case management/PSS/referral (4WGFS/supplies X $ 25,000 = $100,000)</t>
  </si>
  <si>
    <t>Establishment of 2 OneStop centres in two states</t>
  </si>
  <si>
    <t xml:space="preserve">Post Rape Kits </t>
  </si>
  <si>
    <t>Support 6 state level plans and community action against violence - 4 X $ 39,750 = $159,000</t>
  </si>
  <si>
    <t>Training for one-stop center staff and outreach team and partners  on intergrated GBV response (200 Staff X3 days each)</t>
  </si>
  <si>
    <t>Refurbishing partitioning and painting the 2 stop centre (lumpsum)</t>
  </si>
  <si>
    <t>Incentives for outreach team - 2 social workers per location each 200$ per month</t>
  </si>
  <si>
    <t>Incentives for staff 1-stop center (6 staff per centre: 2 social worker, 2 nurses,  1doctor, 1 legal) x 2 centres each 450$/ month</t>
  </si>
  <si>
    <t>Multi sectoral coordination meetings- 6 meetings per year per location 1000$ per meeting (TPT, hall and lunch)</t>
  </si>
  <si>
    <t xml:space="preserve">Project personnel costs </t>
  </si>
  <si>
    <t>Weekly Radio programme 205 x 200$ airtime for each</t>
  </si>
  <si>
    <r>
      <t xml:space="preserve">Budget by recipient organization in USD </t>
    </r>
    <r>
      <rPr>
        <b/>
        <sz val="10"/>
        <rFont val="Times New Roman"/>
        <family val="1"/>
      </rPr>
      <t>-UNFPA</t>
    </r>
  </si>
  <si>
    <r>
      <t>Budget by recipient organization in USD-</t>
    </r>
    <r>
      <rPr>
        <b/>
        <sz val="10"/>
        <rFont val="Times New Roman"/>
        <family val="1"/>
      </rPr>
      <t xml:space="preserve"> UNDP</t>
    </r>
  </si>
  <si>
    <r>
      <t>Budget by recipient organization in USD</t>
    </r>
    <r>
      <rPr>
        <b/>
        <sz val="10"/>
        <rFont val="Times New Roman"/>
        <family val="1"/>
      </rPr>
      <t xml:space="preserve"> - UNICEF</t>
    </r>
  </si>
  <si>
    <t>Produce and disseminate communication materials on GBV prevention, services and risks in line with NAP and UNSCR 1325</t>
  </si>
  <si>
    <t xml:space="preserve">Provide 4 CSOs with grants of 50,000 each to provide legal aid, legal advice and transportation to survivors of SGBV to attend court. </t>
  </si>
  <si>
    <t>Train female community leaders as community paralegals at 20,000. Establish referal 2 pathways through CSO at community level 20,000 each</t>
  </si>
  <si>
    <t>Print and disseminate public information materials on SGBV, legal rights and trauma management</t>
  </si>
  <si>
    <t>Provide support for strengthening Women and Childrens Unit in Directorate of Public Prosecutions. ICT equipment and supplies</t>
  </si>
  <si>
    <t>Selected service delivery points and service providers have increased capacities for provision of comprehensive health and psychosocial GBV response services</t>
  </si>
  <si>
    <t>Allocation for referal of cases (transport to court and other specialised services) 10,000 per centre per year</t>
  </si>
  <si>
    <t>Activity 3.1.4:</t>
  </si>
  <si>
    <t>Activity 3.1.5:</t>
  </si>
  <si>
    <t>Establish Women's Peace hut's at Community level for communal dialogue on GBV prevention &amp; referral of GBV cases</t>
  </si>
  <si>
    <t>Conduct dialogue meetings with womens, community leaders and local authorities on GBV prevention and response</t>
  </si>
  <si>
    <t>OUTCOME 1: Survivors of GBV access comprehensive and holistic Gender-sensitive and age appropriate medical and, psychosocial support services</t>
  </si>
  <si>
    <t xml:space="preserve">Women’s involvement and meaningful participation in advocacy against GBV </t>
  </si>
  <si>
    <t>OUTCOME 3: GBV survivors access local justice  and peace mechanism</t>
  </si>
  <si>
    <t xml:space="preserve">Output 3.1: GBV survivors have increased access to legal representation.
</t>
  </si>
  <si>
    <t>OUTCOME 4: Communities mobilized to address social norms and negative cultural practices that contribute to GBV</t>
  </si>
  <si>
    <t>Activity 2.1.4:</t>
  </si>
  <si>
    <t>Train  women  groups on facilitation skills for protection and response to GBV against women and girls</t>
  </si>
  <si>
    <t>Development/ adapt IEC materials of available GBV services 10000 copies X 3$</t>
  </si>
  <si>
    <t xml:space="preserve">Conduct 27 monthly dialogues/awareness and supplies to address negative social norms of GBV 36 X $ 4000 </t>
  </si>
  <si>
    <t>M&amp;E including field  monitoring and end of project evaluation</t>
  </si>
  <si>
    <t>Activity 4.1.4:</t>
  </si>
  <si>
    <t>Activity 4.1.5</t>
  </si>
  <si>
    <t>Activity 4.1.6</t>
  </si>
  <si>
    <t>Medical Equipment and supplies (lumpsum for two centres)</t>
  </si>
  <si>
    <t>Counselling Room Equipment (lumpsum for two centres , chairs, coffee table, child friendly material)</t>
  </si>
  <si>
    <t>Office equipment(laptop, printing, office furniture and supplies)- for 2 centres</t>
  </si>
  <si>
    <t>running costs (cleaning material, sundries lumpsum 20,000 per year x 2 facilities</t>
  </si>
  <si>
    <t>Train prosecutors, police, judges and social workers on investigation, prosecution of and responding to SGBV cases</t>
  </si>
  <si>
    <t>OUTCOME 2: Strengthened women s groups to increase civic engagement on prevention and response on GBV against women and girls</t>
  </si>
  <si>
    <t>Women and girls friendly spaces (WGFS) operation ongoing</t>
  </si>
  <si>
    <r>
      <t xml:space="preserve">Expenditure as on 31 October 2020- </t>
    </r>
    <r>
      <rPr>
        <b/>
        <sz val="10"/>
        <rFont val="Times New Roman"/>
        <family val="1"/>
      </rPr>
      <t>UNDP</t>
    </r>
  </si>
  <si>
    <r>
      <t xml:space="preserve">Expenditure as on 31 October 2020 - </t>
    </r>
    <r>
      <rPr>
        <b/>
        <sz val="10"/>
        <rFont val="Times New Roman"/>
        <family val="1"/>
      </rPr>
      <t>UN Women</t>
    </r>
  </si>
  <si>
    <r>
      <t xml:space="preserve">Expenditure as on 31  October 2020 - </t>
    </r>
    <r>
      <rPr>
        <b/>
        <sz val="10"/>
        <rFont val="Times New Roman"/>
        <family val="1"/>
      </rPr>
      <t>UNICEF</t>
    </r>
  </si>
  <si>
    <t>UNFPA GBV Specialist 80% (15,000x 18 month  )     1 GBV Specialist (UNICEF) cost 30% (4,500X 18months= $81,000) and 1 Social Norms Specialist cost 45% (4,500 X 18months = 81,000). Total = $ 162,000 ; (UN Women) 1 GBV Project coordinator cost 100%</t>
  </si>
  <si>
    <t>Activity will be implemented with the 2nd tranche</t>
  </si>
  <si>
    <t>Activity is part of Partner agreement for the Women empowerment centres</t>
  </si>
  <si>
    <r>
      <t xml:space="preserve">Budget by  recipient organization in USD - </t>
    </r>
    <r>
      <rPr>
        <b/>
        <sz val="10"/>
        <rFont val="Times New Roman"/>
        <family val="1"/>
      </rPr>
      <t>UN Women</t>
    </r>
  </si>
  <si>
    <r>
      <t xml:space="preserve">TOTAL PROJECT BUDGET </t>
    </r>
    <r>
      <rPr>
        <sz val="10"/>
        <rFont val="Times New Roman"/>
        <family val="1"/>
      </rPr>
      <t>PER AGENCY</t>
    </r>
    <r>
      <rPr>
        <b/>
        <sz val="10"/>
        <rFont val="Times New Roman"/>
        <family val="1"/>
      </rPr>
      <t>:</t>
    </r>
  </si>
  <si>
    <r>
      <t xml:space="preserve">Expenditure as on 31 March 2021 - </t>
    </r>
    <r>
      <rPr>
        <b/>
        <sz val="10"/>
        <rFont val="Times New Roman"/>
        <family val="1"/>
      </rPr>
      <t>UNFPA</t>
    </r>
  </si>
  <si>
    <t>% expenditures of the total budget (USD 3,000,000)</t>
  </si>
  <si>
    <t>TOTAL</t>
  </si>
  <si>
    <t>8. Indirect Support Costs (must be 7%)</t>
  </si>
  <si>
    <t>Sub-Total Project Costs</t>
  </si>
  <si>
    <t>7. General Operating and other Direct Costs</t>
  </si>
  <si>
    <t>6. Transfers and Grants to Counterparts</t>
  </si>
  <si>
    <t>5.Travel</t>
  </si>
  <si>
    <t>4. Contractual services</t>
  </si>
  <si>
    <t>3. Equipment, Vehicles, and Furniture (including Depreciation)</t>
  </si>
  <si>
    <t>2. Supplies, Commodities, Materials</t>
  </si>
  <si>
    <t>1. Staff and other personnel</t>
  </si>
  <si>
    <t>Expenditure</t>
  </si>
  <si>
    <t>Total budget</t>
  </si>
  <si>
    <t>Total expenditure</t>
  </si>
  <si>
    <t>PROJECT TOTAL</t>
  </si>
  <si>
    <t>Amount Recipient
UNICEF</t>
  </si>
  <si>
    <t>Amount Recipient  Agency UN Women</t>
  </si>
  <si>
    <t>Amount Recipient  Agency UNDP</t>
  </si>
  <si>
    <t>Amount Recipient  Agency UNFPA</t>
  </si>
  <si>
    <t>CATEGORIES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</si>
</sst>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  <numFmt numFmtId="167" formatCode="_-* #,##0.00_-;\-* #,##0.00_-;_-* &quot;-&quot;_-;_-@_-"/>
    <numFmt numFmtId="168" formatCode="#,##0.0"/>
    <numFmt numFmtId="169" formatCode="_-* #,##0.0_-;\-* #,##0.0_-;_-* &quot;-&quot;??_-;_-@_-"/>
    <numFmt numFmtId="170" formatCode="#,##0.##"/>
    <numFmt numFmtId="171" formatCode="#,##0.0%"/>
    <numFmt numFmtId="172" formatCode="_-* #,##0.000_-;\-* #,##0.000_-;_-* &quot;-&quot;??_-;_-@_-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Unicode MS"/>
      <family val="0"/>
    </font>
    <font>
      <b/>
      <sz val="10"/>
      <name val="Arial Unicode MS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3B3B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9" fontId="2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9" fontId="2" fillId="0" borderId="13" xfId="0" applyNumberFormat="1" applyFont="1" applyBorder="1" applyAlignment="1">
      <alignment vertical="top" wrapText="1"/>
    </xf>
    <xf numFmtId="164" fontId="2" fillId="0" borderId="13" xfId="42" applyFont="1" applyBorder="1" applyAlignment="1">
      <alignment vertical="top" wrapText="1"/>
    </xf>
    <xf numFmtId="164" fontId="3" fillId="2" borderId="14" xfId="42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vertical="top" wrapText="1"/>
    </xf>
    <xf numFmtId="44" fontId="3" fillId="2" borderId="14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3" fontId="2" fillId="33" borderId="13" xfId="0" applyNumberFormat="1" applyFont="1" applyFill="1" applyBorder="1" applyAlignment="1">
      <alignment vertical="top" wrapText="1"/>
    </xf>
    <xf numFmtId="9" fontId="2" fillId="33" borderId="13" xfId="0" applyNumberFormat="1" applyFont="1" applyFill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3" fillId="2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9" fontId="2" fillId="0" borderId="15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3" fontId="3" fillId="2" borderId="14" xfId="0" applyNumberFormat="1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4" fontId="2" fillId="0" borderId="11" xfId="45" applyFont="1" applyBorder="1" applyAlignment="1" applyProtection="1">
      <alignment horizontal="center" vertical="top" wrapText="1"/>
      <protection locked="0"/>
    </xf>
    <xf numFmtId="44" fontId="2" fillId="0" borderId="11" xfId="0" applyNumberFormat="1" applyFont="1" applyBorder="1" applyAlignment="1">
      <alignment vertical="top"/>
    </xf>
    <xf numFmtId="49" fontId="2" fillId="0" borderId="16" xfId="45" applyNumberFormat="1" applyFont="1" applyBorder="1" applyAlignment="1" applyProtection="1">
      <alignment horizontal="left" vertical="top" wrapText="1"/>
      <protection locked="0"/>
    </xf>
    <xf numFmtId="44" fontId="2" fillId="0" borderId="16" xfId="45" applyFont="1" applyBorder="1" applyAlignment="1" applyProtection="1">
      <alignment horizontal="center" vertical="top" wrapText="1"/>
      <protection locked="0"/>
    </xf>
    <xf numFmtId="44" fontId="3" fillId="34" borderId="16" xfId="0" applyNumberFormat="1" applyFont="1" applyFill="1" applyBorder="1" applyAlignment="1">
      <alignment horizontal="center" vertical="top" wrapText="1"/>
    </xf>
    <xf numFmtId="44" fontId="2" fillId="0" borderId="16" xfId="45" applyFont="1" applyBorder="1" applyAlignment="1" applyProtection="1">
      <alignment vertical="top" wrapText="1"/>
      <protection locked="0"/>
    </xf>
    <xf numFmtId="168" fontId="3" fillId="2" borderId="14" xfId="0" applyNumberFormat="1" applyFont="1" applyFill="1" applyBorder="1" applyAlignment="1">
      <alignment horizontal="right" vertical="top" wrapText="1"/>
    </xf>
    <xf numFmtId="168" fontId="2" fillId="0" borderId="14" xfId="42" applyNumberFormat="1" applyFont="1" applyBorder="1" applyAlignment="1">
      <alignment horizontal="right" vertical="top" wrapText="1"/>
    </xf>
    <xf numFmtId="164" fontId="3" fillId="0" borderId="0" xfId="42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3" fontId="3" fillId="0" borderId="0" xfId="0" applyNumberFormat="1" applyFont="1" applyBorder="1" applyAlignment="1">
      <alignment vertical="top" wrapText="1"/>
    </xf>
    <xf numFmtId="168" fontId="3" fillId="2" borderId="14" xfId="0" applyNumberFormat="1" applyFont="1" applyFill="1" applyBorder="1" applyAlignment="1">
      <alignment vertical="top" wrapText="1"/>
    </xf>
    <xf numFmtId="165" fontId="3" fillId="0" borderId="14" xfId="42" applyNumberFormat="1" applyFont="1" applyBorder="1" applyAlignment="1">
      <alignment horizontal="left" vertical="top" wrapText="1"/>
    </xf>
    <xf numFmtId="165" fontId="3" fillId="0" borderId="14" xfId="0" applyNumberFormat="1" applyFont="1" applyBorder="1" applyAlignment="1">
      <alignment horizontal="left" vertical="top" wrapText="1"/>
    </xf>
    <xf numFmtId="165" fontId="3" fillId="0" borderId="14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164" fontId="48" fillId="0" borderId="0" xfId="0" applyNumberFormat="1" applyFont="1" applyAlignment="1">
      <alignment/>
    </xf>
    <xf numFmtId="2" fontId="48" fillId="0" borderId="11" xfId="61" applyNumberFormat="1" applyFont="1" applyBorder="1" applyAlignment="1">
      <alignment/>
    </xf>
    <xf numFmtId="41" fontId="0" fillId="35" borderId="17" xfId="43" applyFont="1" applyFill="1" applyBorder="1" applyAlignment="1">
      <alignment horizontal="right" vertical="center" wrapText="1"/>
    </xf>
    <xf numFmtId="166" fontId="48" fillId="35" borderId="17" xfId="43" applyNumberFormat="1" applyFont="1" applyFill="1" applyBorder="1" applyAlignment="1">
      <alignment horizontal="right" vertical="center" wrapText="1"/>
    </xf>
    <xf numFmtId="0" fontId="48" fillId="35" borderId="18" xfId="0" applyFont="1" applyFill="1" applyBorder="1" applyAlignment="1">
      <alignment vertical="center" wrapText="1"/>
    </xf>
    <xf numFmtId="165" fontId="0" fillId="0" borderId="19" xfId="43" applyNumberFormat="1" applyFont="1" applyBorder="1" applyAlignment="1">
      <alignment horizontal="right" vertical="center" wrapText="1"/>
    </xf>
    <xf numFmtId="165" fontId="9" fillId="0" borderId="19" xfId="43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vertical="center"/>
    </xf>
    <xf numFmtId="41" fontId="9" fillId="0" borderId="11" xfId="43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41" fontId="0" fillId="35" borderId="19" xfId="43" applyFont="1" applyFill="1" applyBorder="1" applyAlignment="1">
      <alignment horizontal="right" vertical="center" wrapText="1"/>
    </xf>
    <xf numFmtId="41" fontId="9" fillId="35" borderId="19" xfId="43" applyNumberFormat="1" applyFont="1" applyFill="1" applyBorder="1" applyAlignment="1">
      <alignment horizontal="right" vertical="center" wrapText="1"/>
    </xf>
    <xf numFmtId="41" fontId="0" fillId="35" borderId="11" xfId="43" applyFont="1" applyFill="1" applyBorder="1" applyAlignment="1">
      <alignment horizontal="right" vertical="center" wrapText="1"/>
    </xf>
    <xf numFmtId="0" fontId="48" fillId="35" borderId="20" xfId="0" applyFont="1" applyFill="1" applyBorder="1" applyAlignment="1">
      <alignment vertical="center" wrapText="1"/>
    </xf>
    <xf numFmtId="41" fontId="0" fillId="0" borderId="19" xfId="43" applyFont="1" applyBorder="1" applyAlignment="1">
      <alignment horizontal="right" vertical="center" wrapText="1"/>
    </xf>
    <xf numFmtId="41" fontId="9" fillId="0" borderId="19" xfId="43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48" fillId="37" borderId="22" xfId="0" applyFont="1" applyFill="1" applyBorder="1" applyAlignment="1">
      <alignment horizontal="center" vertical="center" wrapText="1"/>
    </xf>
    <xf numFmtId="173" fontId="50" fillId="0" borderId="11" xfId="42" applyNumberFormat="1" applyFont="1" applyFill="1" applyBorder="1" applyAlignment="1">
      <alignment vertical="center" wrapText="1"/>
    </xf>
    <xf numFmtId="173" fontId="50" fillId="0" borderId="11" xfId="42" applyNumberFormat="1" applyFont="1" applyBorder="1" applyAlignment="1">
      <alignment vertical="center" wrapText="1"/>
    </xf>
    <xf numFmtId="164" fontId="2" fillId="33" borderId="13" xfId="42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vertical="top" wrapText="1"/>
    </xf>
    <xf numFmtId="4" fontId="2" fillId="33" borderId="13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41" fontId="0" fillId="33" borderId="17" xfId="43" applyFont="1" applyFill="1" applyBorder="1" applyAlignment="1">
      <alignment horizontal="right" vertical="center" wrapText="1"/>
    </xf>
    <xf numFmtId="41" fontId="0" fillId="33" borderId="19" xfId="43" applyFont="1" applyFill="1" applyBorder="1" applyAlignment="1">
      <alignment horizontal="right" vertical="center" wrapText="1"/>
    </xf>
    <xf numFmtId="41" fontId="9" fillId="33" borderId="19" xfId="43" applyFont="1" applyFill="1" applyBorder="1" applyAlignment="1">
      <alignment horizontal="right" vertical="center" wrapText="1"/>
    </xf>
    <xf numFmtId="41" fontId="0" fillId="33" borderId="23" xfId="43" applyFont="1" applyFill="1" applyBorder="1" applyAlignment="1">
      <alignment vertical="center" wrapText="1"/>
    </xf>
    <xf numFmtId="41" fontId="0" fillId="33" borderId="11" xfId="43" applyFont="1" applyFill="1" applyBorder="1" applyAlignment="1">
      <alignment vertical="center" wrapText="1"/>
    </xf>
    <xf numFmtId="164" fontId="0" fillId="33" borderId="24" xfId="42" applyFont="1" applyFill="1" applyBorder="1" applyAlignment="1">
      <alignment horizontal="right" vertical="center"/>
    </xf>
    <xf numFmtId="164" fontId="0" fillId="33" borderId="11" xfId="42" applyFont="1" applyFill="1" applyBorder="1" applyAlignment="1">
      <alignment horizontal="right" vertical="center"/>
    </xf>
    <xf numFmtId="166" fontId="48" fillId="35" borderId="0" xfId="43" applyNumberFormat="1" applyFont="1" applyFill="1" applyBorder="1" applyAlignment="1">
      <alignment horizontal="right" vertical="center" wrapText="1"/>
    </xf>
    <xf numFmtId="166" fontId="48" fillId="35" borderId="23" xfId="43" applyNumberFormat="1" applyFont="1" applyFill="1" applyBorder="1" applyAlignment="1">
      <alignment horizontal="right" vertical="center" wrapText="1"/>
    </xf>
    <xf numFmtId="167" fontId="10" fillId="35" borderId="17" xfId="43" applyNumberFormat="1" applyFont="1" applyFill="1" applyBorder="1" applyAlignment="1">
      <alignment horizontal="right" vertical="center" wrapText="1"/>
    </xf>
    <xf numFmtId="166" fontId="10" fillId="35" borderId="17" xfId="43" applyNumberFormat="1" applyFont="1" applyFill="1" applyBorder="1" applyAlignment="1">
      <alignment horizontal="right" vertical="center" wrapText="1"/>
    </xf>
    <xf numFmtId="41" fontId="48" fillId="35" borderId="17" xfId="43" applyFont="1" applyFill="1" applyBorder="1" applyAlignment="1">
      <alignment horizontal="right" vertical="center" wrapText="1"/>
    </xf>
    <xf numFmtId="41" fontId="9" fillId="0" borderId="19" xfId="43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top"/>
    </xf>
    <xf numFmtId="43" fontId="0" fillId="0" borderId="0" xfId="0" applyNumberFormat="1" applyAlignment="1">
      <alignment/>
    </xf>
    <xf numFmtId="0" fontId="48" fillId="0" borderId="2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28" xfId="0" applyFont="1" applyFill="1" applyBorder="1" applyAlignment="1">
      <alignment horizontal="center" vertical="center" wrapText="1"/>
    </xf>
    <xf numFmtId="0" fontId="48" fillId="37" borderId="29" xfId="0" applyFont="1" applyFill="1" applyBorder="1" applyAlignment="1">
      <alignment horizontal="center" vertical="center" wrapText="1"/>
    </xf>
    <xf numFmtId="0" fontId="48" fillId="37" borderId="30" xfId="0" applyFont="1" applyFill="1" applyBorder="1" applyAlignment="1">
      <alignment horizontal="center" vertical="center" wrapText="1"/>
    </xf>
    <xf numFmtId="164" fontId="3" fillId="0" borderId="31" xfId="42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2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7" fillId="0" borderId="33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73" fontId="50" fillId="33" borderId="11" xfId="42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top" wrapText="1"/>
    </xf>
    <xf numFmtId="43" fontId="0" fillId="33" borderId="0" xfId="0" applyNumberFormat="1" applyFill="1" applyAlignment="1">
      <alignment/>
    </xf>
    <xf numFmtId="41" fontId="0" fillId="33" borderId="19" xfId="43" applyFont="1" applyFill="1" applyBorder="1" applyAlignment="1">
      <alignment horizontal="center" vertical="center" wrapText="1"/>
    </xf>
    <xf numFmtId="165" fontId="0" fillId="0" borderId="35" xfId="43" applyNumberFormat="1" applyFont="1" applyBorder="1" applyAlignment="1">
      <alignment horizontal="right" vertical="center" wrapText="1"/>
    </xf>
    <xf numFmtId="165" fontId="0" fillId="0" borderId="10" xfId="43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8">
      <selection activeCell="K14" sqref="K14"/>
    </sheetView>
  </sheetViews>
  <sheetFormatPr defaultColWidth="9.140625" defaultRowHeight="15"/>
  <cols>
    <col min="1" max="1" width="20.00390625" style="0" bestFit="1" customWidth="1"/>
    <col min="2" max="2" width="12.7109375" style="0" bestFit="1" customWidth="1"/>
    <col min="3" max="3" width="13.28125" style="0" customWidth="1"/>
    <col min="4" max="4" width="12.421875" style="0" bestFit="1" customWidth="1"/>
    <col min="5" max="5" width="13.28125" style="0" customWidth="1"/>
    <col min="6" max="6" width="11.28125" style="0" bestFit="1" customWidth="1"/>
    <col min="7" max="7" width="13.28125" style="0" customWidth="1"/>
    <col min="8" max="8" width="10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49.5" customHeight="1" thickBot="1">
      <c r="A1" s="99" t="s">
        <v>106</v>
      </c>
      <c r="B1" s="101" t="s">
        <v>105</v>
      </c>
      <c r="C1" s="102"/>
      <c r="D1" s="101" t="s">
        <v>104</v>
      </c>
      <c r="E1" s="102"/>
      <c r="F1" s="101" t="s">
        <v>103</v>
      </c>
      <c r="G1" s="102"/>
      <c r="H1" s="103" t="s">
        <v>102</v>
      </c>
      <c r="I1" s="104"/>
      <c r="J1" s="99" t="s">
        <v>101</v>
      </c>
      <c r="K1" s="75" t="s">
        <v>100</v>
      </c>
    </row>
    <row r="2" spans="1:11" ht="29.25" thickBot="1">
      <c r="A2" s="100"/>
      <c r="B2" s="74" t="s">
        <v>99</v>
      </c>
      <c r="C2" s="74" t="s">
        <v>98</v>
      </c>
      <c r="D2" s="74" t="s">
        <v>99</v>
      </c>
      <c r="E2" s="74" t="s">
        <v>98</v>
      </c>
      <c r="F2" s="74" t="s">
        <v>99</v>
      </c>
      <c r="G2" s="74" t="s">
        <v>98</v>
      </c>
      <c r="H2" s="74" t="s">
        <v>99</v>
      </c>
      <c r="I2" s="74" t="s">
        <v>98</v>
      </c>
      <c r="J2" s="100"/>
      <c r="K2" s="74"/>
    </row>
    <row r="3" spans="1:11" ht="29.25" thickBot="1">
      <c r="A3" s="73" t="s">
        <v>97</v>
      </c>
      <c r="B3" s="82">
        <v>270000</v>
      </c>
      <c r="C3" s="83">
        <f>'budget- activity sheet'!D48</f>
        <v>264268.53</v>
      </c>
      <c r="D3" s="83">
        <v>0</v>
      </c>
      <c r="E3" s="83">
        <v>15410.2</v>
      </c>
      <c r="F3" s="83">
        <v>92000</v>
      </c>
      <c r="G3" s="83">
        <v>90192</v>
      </c>
      <c r="H3" s="83">
        <v>162000</v>
      </c>
      <c r="I3" s="72">
        <v>87713.41</v>
      </c>
      <c r="J3" s="83">
        <v>524000</v>
      </c>
      <c r="K3" s="71">
        <f aca="true" t="shared" si="0" ref="K3:K11">C3+E3+G3+I3</f>
        <v>457584.14</v>
      </c>
    </row>
    <row r="4" spans="1:11" ht="43.5" thickBot="1">
      <c r="A4" s="66" t="s">
        <v>96</v>
      </c>
      <c r="B4" s="85">
        <v>81000</v>
      </c>
      <c r="C4" s="84">
        <f>'budget- activity sheet'!D12+'budget- activity sheet'!D14+'budget- activity sheet'!D16+'budget- activity sheet'!D13</f>
        <v>134429.74</v>
      </c>
      <c r="D4" s="131">
        <v>58900</v>
      </c>
      <c r="E4" s="83">
        <v>0</v>
      </c>
      <c r="F4" s="83">
        <v>30000</v>
      </c>
      <c r="G4" s="83">
        <v>16002.12</v>
      </c>
      <c r="H4" s="83">
        <v>100000</v>
      </c>
      <c r="I4" s="94">
        <v>100000</v>
      </c>
      <c r="J4" s="83">
        <v>269900</v>
      </c>
      <c r="K4" s="71">
        <f t="shared" si="0"/>
        <v>250431.86</v>
      </c>
    </row>
    <row r="5" spans="1:11" ht="73.5" customHeight="1" thickBot="1">
      <c r="A5" s="66" t="s">
        <v>95</v>
      </c>
      <c r="B5" s="86">
        <v>97060</v>
      </c>
      <c r="C5" s="87">
        <f>'budget- activity sheet'!D19+'budget- activity sheet'!D21</f>
        <v>51600</v>
      </c>
      <c r="D5" s="131">
        <v>25390</v>
      </c>
      <c r="E5" s="83">
        <v>16175</v>
      </c>
      <c r="F5" s="83">
        <v>0</v>
      </c>
      <c r="G5" s="83">
        <v>0</v>
      </c>
      <c r="H5" s="83">
        <v>0</v>
      </c>
      <c r="I5" s="94">
        <v>0</v>
      </c>
      <c r="J5" s="83">
        <v>122450</v>
      </c>
      <c r="K5" s="71">
        <f t="shared" si="0"/>
        <v>67775</v>
      </c>
    </row>
    <row r="6" spans="1:11" ht="32.25" customHeight="1" thickBot="1">
      <c r="A6" s="66" t="s">
        <v>94</v>
      </c>
      <c r="B6" s="86">
        <v>59333</v>
      </c>
      <c r="C6" s="88">
        <f>'budget- activity sheet'!D22</f>
        <v>11850</v>
      </c>
      <c r="D6" s="131">
        <v>59667</v>
      </c>
      <c r="E6" s="83">
        <v>8870.45</v>
      </c>
      <c r="F6" s="83">
        <v>16667</v>
      </c>
      <c r="G6" s="83">
        <v>5316</v>
      </c>
      <c r="H6" s="83">
        <v>93333</v>
      </c>
      <c r="I6" s="94">
        <v>14704</v>
      </c>
      <c r="J6" s="83">
        <v>229000</v>
      </c>
      <c r="K6" s="71">
        <f t="shared" si="0"/>
        <v>40740.45</v>
      </c>
    </row>
    <row r="7" spans="1:11" ht="25.5" customHeight="1" thickBot="1">
      <c r="A7" s="66" t="s">
        <v>93</v>
      </c>
      <c r="B7" s="86">
        <v>16667</v>
      </c>
      <c r="C7" s="83">
        <f>'budget- activity sheet'!D50</f>
        <v>0</v>
      </c>
      <c r="D7" s="131">
        <v>8333</v>
      </c>
      <c r="E7" s="83">
        <v>19770</v>
      </c>
      <c r="F7" s="83">
        <v>8333</v>
      </c>
      <c r="G7" s="83">
        <v>5494.42</v>
      </c>
      <c r="H7" s="83">
        <v>16667</v>
      </c>
      <c r="I7" s="94">
        <v>8121.5</v>
      </c>
      <c r="J7" s="83">
        <v>50000</v>
      </c>
      <c r="K7" s="71">
        <f t="shared" si="0"/>
        <v>33385.92</v>
      </c>
    </row>
    <row r="8" spans="1:11" ht="46.5" customHeight="1" thickBot="1">
      <c r="A8" s="66" t="s">
        <v>92</v>
      </c>
      <c r="B8" s="86">
        <v>347800</v>
      </c>
      <c r="C8" s="83">
        <f>'budget- activity sheet'!D15+'budget- activity sheet'!D17+'budget- activity sheet'!D18+'budget- activity sheet'!D20+'budget- activity sheet'!D41+'budget- activity sheet'!D42+'budget- activity sheet'!D44+'budget- activity sheet'!D45+'budget- activity sheet'!D46</f>
        <v>266112.51</v>
      </c>
      <c r="D8" s="131">
        <v>295000</v>
      </c>
      <c r="E8" s="83">
        <v>275000.1</v>
      </c>
      <c r="F8" s="83">
        <v>277390</v>
      </c>
      <c r="G8" s="83">
        <v>205000</v>
      </c>
      <c r="H8" s="83">
        <v>499000</v>
      </c>
      <c r="I8" s="94">
        <v>338714.49</v>
      </c>
      <c r="J8" s="83">
        <v>1419190</v>
      </c>
      <c r="K8" s="71">
        <f t="shared" si="0"/>
        <v>1084827.1</v>
      </c>
    </row>
    <row r="9" spans="1:11" ht="65.25" customHeight="1" thickBot="1">
      <c r="A9" s="66" t="s">
        <v>91</v>
      </c>
      <c r="B9" s="86">
        <v>62719</v>
      </c>
      <c r="C9" s="83">
        <f>'budget- activity sheet'!D49</f>
        <v>50000</v>
      </c>
      <c r="D9" s="131">
        <v>20000</v>
      </c>
      <c r="E9" s="83">
        <v>97150.55</v>
      </c>
      <c r="F9" s="83">
        <v>42900</v>
      </c>
      <c r="G9" s="83">
        <v>42001</v>
      </c>
      <c r="H9" s="83">
        <v>63579</v>
      </c>
      <c r="I9" s="94">
        <v>53399.53</v>
      </c>
      <c r="J9" s="83">
        <v>189197.99999999997</v>
      </c>
      <c r="K9" s="71">
        <f t="shared" si="0"/>
        <v>242551.08</v>
      </c>
    </row>
    <row r="10" spans="1:11" ht="33" customHeight="1" thickBot="1">
      <c r="A10" s="70" t="s">
        <v>90</v>
      </c>
      <c r="B10" s="69">
        <f>SUM(B3:B9)</f>
        <v>934579</v>
      </c>
      <c r="C10" s="59">
        <f>SUM(C3:C9)</f>
        <v>778260.78</v>
      </c>
      <c r="D10" s="59">
        <f>D3+D4+D5+D6+D7+D8+D9</f>
        <v>467290</v>
      </c>
      <c r="E10" s="59">
        <f>SUM(E3:E9)</f>
        <v>432376.3</v>
      </c>
      <c r="F10" s="67">
        <f>F3+F4+F5+F6+F7+F8+F9</f>
        <v>467290</v>
      </c>
      <c r="G10" s="67">
        <f>G3+G4+G5+G6+G7+G8+G9</f>
        <v>364005.54</v>
      </c>
      <c r="H10" s="67">
        <f>H3+H4+H5+H6+H7+H8+H9</f>
        <v>934579</v>
      </c>
      <c r="I10" s="68">
        <f>SUM(I3:I9)</f>
        <v>602652.93</v>
      </c>
      <c r="J10" s="67">
        <f>J3+J4+J5+J6+J7+J8+J9</f>
        <v>2803738</v>
      </c>
      <c r="K10" s="67">
        <f t="shared" si="0"/>
        <v>2177295.5500000003</v>
      </c>
    </row>
    <row r="11" spans="1:11" ht="39" customHeight="1" thickBot="1">
      <c r="A11" s="66" t="s">
        <v>89</v>
      </c>
      <c r="B11" s="65">
        <v>65421</v>
      </c>
      <c r="C11" s="64">
        <f>C10*7/100</f>
        <v>54478.2546</v>
      </c>
      <c r="D11" s="132">
        <f>D10*7/100</f>
        <v>32710.3</v>
      </c>
      <c r="E11" s="133">
        <v>30266.35</v>
      </c>
      <c r="F11" s="62">
        <f>F10*7/100</f>
        <v>32710.3</v>
      </c>
      <c r="G11" s="62">
        <v>32710</v>
      </c>
      <c r="H11" s="62">
        <f>H10*7/100</f>
        <v>65420.53</v>
      </c>
      <c r="I11" s="63">
        <f>I10*7%</f>
        <v>42185.70510000001</v>
      </c>
      <c r="J11" s="62">
        <f>J10*7/100</f>
        <v>196261.66</v>
      </c>
      <c r="K11" s="62">
        <f t="shared" si="0"/>
        <v>159640.30969999998</v>
      </c>
    </row>
    <row r="12" spans="1:11" ht="24.75" customHeight="1" thickBot="1">
      <c r="A12" s="61" t="s">
        <v>88</v>
      </c>
      <c r="B12" s="89">
        <f>B10+B11</f>
        <v>1000000</v>
      </c>
      <c r="C12" s="90">
        <f>C10+C11</f>
        <v>832739.0346</v>
      </c>
      <c r="D12" s="91">
        <f>D11+D10</f>
        <v>500000.3</v>
      </c>
      <c r="E12" s="60">
        <f>E11+E10</f>
        <v>462642.64999999997</v>
      </c>
      <c r="F12" s="60">
        <f>F11+F10</f>
        <v>500000.3</v>
      </c>
      <c r="G12" s="60">
        <f>G11+G10</f>
        <v>396715.54</v>
      </c>
      <c r="H12" s="60">
        <f>H11+H10</f>
        <v>999999.53</v>
      </c>
      <c r="I12" s="92">
        <f>I10+I11</f>
        <v>644838.6351000001</v>
      </c>
      <c r="J12" s="60">
        <f>J11+J10</f>
        <v>2999999.66</v>
      </c>
      <c r="K12" s="93">
        <f>C12+E12+G12+I12</f>
        <v>2336935.8597</v>
      </c>
    </row>
    <row r="13" spans="1:11" ht="15" thickBot="1">
      <c r="A13" s="97" t="s">
        <v>87</v>
      </c>
      <c r="B13" s="98"/>
      <c r="C13" s="98"/>
      <c r="D13" s="98"/>
      <c r="E13" s="98"/>
      <c r="F13" s="98"/>
      <c r="G13" s="98"/>
      <c r="H13" s="98"/>
      <c r="I13" s="98"/>
      <c r="J13" s="98"/>
      <c r="K13" s="58">
        <f>K12*100/3000000</f>
        <v>77.89786199</v>
      </c>
    </row>
    <row r="14" spans="2:9" ht="14.25">
      <c r="B14" s="57"/>
      <c r="D14" s="56"/>
      <c r="G14" s="56"/>
      <c r="I14" s="56"/>
    </row>
    <row r="15" spans="4:5" ht="14.25">
      <c r="D15" s="56"/>
      <c r="E15" s="56"/>
    </row>
    <row r="16" ht="14.25">
      <c r="D16" s="96"/>
    </row>
    <row r="17" ht="14.25">
      <c r="B17" s="56"/>
    </row>
    <row r="18" ht="14.25">
      <c r="D18" s="56"/>
    </row>
    <row r="20" ht="14.25">
      <c r="B20" s="56"/>
    </row>
  </sheetData>
  <sheetProtection/>
  <mergeCells count="7">
    <mergeCell ref="A13:J13"/>
    <mergeCell ref="J1:J2"/>
    <mergeCell ref="A1:A2"/>
    <mergeCell ref="B1:C1"/>
    <mergeCell ref="D1:E1"/>
    <mergeCell ref="F1:G1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60" zoomScalePageLayoutView="0" workbookViewId="0" topLeftCell="A38">
      <selection activeCell="D49" sqref="D49"/>
    </sheetView>
  </sheetViews>
  <sheetFormatPr defaultColWidth="9.140625" defaultRowHeight="15"/>
  <cols>
    <col min="1" max="1" width="14.57421875" style="5" customWidth="1"/>
    <col min="2" max="2" width="41.00390625" style="5" customWidth="1"/>
    <col min="3" max="4" width="21.57421875" style="5" customWidth="1"/>
    <col min="5" max="6" width="22.28125" style="5" customWidth="1"/>
    <col min="7" max="8" width="23.00390625" style="5" customWidth="1"/>
    <col min="9" max="10" width="17.140625" style="5" customWidth="1"/>
    <col min="11" max="11" width="17.421875" style="5" customWidth="1"/>
    <col min="12" max="12" width="19.8515625" style="5" customWidth="1"/>
    <col min="13" max="13" width="30.140625" style="5" customWidth="1"/>
    <col min="14" max="14" width="22.7109375" style="5" customWidth="1"/>
    <col min="15" max="15" width="28.7109375" style="5" customWidth="1"/>
    <col min="16" max="17" width="28.7109375" style="0" customWidth="1"/>
    <col min="18" max="18" width="34.140625" style="0" customWidth="1"/>
  </cols>
  <sheetData>
    <row r="1" spans="1:10" ht="15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 ht="1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0" ht="15">
      <c r="A3" s="3" t="s">
        <v>22</v>
      </c>
      <c r="B3" s="3"/>
      <c r="C3" s="3"/>
      <c r="D3" s="3"/>
      <c r="E3" s="3"/>
      <c r="F3" s="3"/>
      <c r="G3" s="3"/>
      <c r="H3" s="3"/>
      <c r="I3" s="4"/>
      <c r="J3" s="4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3" t="s">
        <v>25</v>
      </c>
      <c r="B5" s="4"/>
      <c r="C5" s="4"/>
      <c r="D5" s="4"/>
      <c r="E5" s="4"/>
      <c r="F5" s="4"/>
      <c r="G5" s="4"/>
      <c r="H5" s="4"/>
      <c r="I5" s="4"/>
      <c r="J5" s="4"/>
    </row>
    <row r="6" spans="1:10" ht="15.75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96.75" customHeight="1" thickBot="1">
      <c r="A7" s="2" t="s">
        <v>1</v>
      </c>
      <c r="B7" s="1" t="s">
        <v>2</v>
      </c>
      <c r="C7" s="1" t="s">
        <v>44</v>
      </c>
      <c r="D7" s="1" t="s">
        <v>86</v>
      </c>
      <c r="E7" s="1" t="s">
        <v>45</v>
      </c>
      <c r="F7" s="1" t="s">
        <v>78</v>
      </c>
      <c r="G7" s="1" t="s">
        <v>84</v>
      </c>
      <c r="H7" s="1" t="s">
        <v>79</v>
      </c>
      <c r="I7" s="1" t="s">
        <v>46</v>
      </c>
      <c r="J7" s="1" t="s">
        <v>80</v>
      </c>
      <c r="K7" s="1" t="s">
        <v>20</v>
      </c>
      <c r="L7" s="1" t="s">
        <v>26</v>
      </c>
      <c r="M7" s="1" t="s">
        <v>21</v>
      </c>
    </row>
    <row r="8" spans="1:13" ht="15.75" thickBot="1">
      <c r="A8" s="109" t="s">
        <v>58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ht="15.75" thickBot="1">
      <c r="A9" s="6" t="s">
        <v>3</v>
      </c>
      <c r="B9" s="122" t="s">
        <v>52</v>
      </c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7"/>
    </row>
    <row r="10" spans="1:13" ht="27" thickBot="1">
      <c r="A10" s="8" t="s">
        <v>4</v>
      </c>
      <c r="B10" s="2" t="s">
        <v>33</v>
      </c>
      <c r="C10" s="33"/>
      <c r="D10" s="2"/>
      <c r="E10" s="2"/>
      <c r="F10" s="2"/>
      <c r="G10" s="2"/>
      <c r="H10" s="2"/>
      <c r="I10" s="10">
        <v>100000</v>
      </c>
      <c r="J10" s="37">
        <v>100000</v>
      </c>
      <c r="K10" s="11">
        <v>0.8</v>
      </c>
      <c r="L10" s="38">
        <f>SUM(D10+F10+H10+J10)</f>
        <v>100000</v>
      </c>
      <c r="M10" s="39" t="s">
        <v>77</v>
      </c>
    </row>
    <row r="11" spans="1:13" ht="27" thickBot="1">
      <c r="A11" s="12" t="s">
        <v>5</v>
      </c>
      <c r="B11" s="13" t="s">
        <v>34</v>
      </c>
      <c r="C11" s="2"/>
      <c r="D11" s="1"/>
      <c r="E11" s="1"/>
      <c r="F11" s="1"/>
      <c r="G11" s="1"/>
      <c r="H11" s="1"/>
      <c r="I11" s="1"/>
      <c r="J11" s="9"/>
      <c r="K11" s="14">
        <v>0.8</v>
      </c>
      <c r="L11" s="38">
        <f aca="true" t="shared" si="0" ref="L11:L22">SUM(D11+F11+H11+J11)</f>
        <v>0</v>
      </c>
      <c r="M11" s="9"/>
    </row>
    <row r="12" spans="1:13" ht="27" thickBot="1">
      <c r="A12" s="119"/>
      <c r="B12" s="9" t="s">
        <v>71</v>
      </c>
      <c r="C12" s="78">
        <v>50000</v>
      </c>
      <c r="D12" s="78">
        <v>49000</v>
      </c>
      <c r="E12" s="9"/>
      <c r="F12" s="9"/>
      <c r="G12" s="9"/>
      <c r="H12" s="9"/>
      <c r="I12" s="9"/>
      <c r="J12" s="9"/>
      <c r="K12" s="14">
        <v>0.8</v>
      </c>
      <c r="L12" s="38">
        <f t="shared" si="0"/>
        <v>49000</v>
      </c>
      <c r="M12" s="9"/>
    </row>
    <row r="13" spans="1:13" ht="15" thickBot="1">
      <c r="A13" s="120"/>
      <c r="B13" s="9" t="s">
        <v>35</v>
      </c>
      <c r="C13" s="78">
        <v>16000</v>
      </c>
      <c r="D13" s="78">
        <v>15000</v>
      </c>
      <c r="E13" s="9"/>
      <c r="F13" s="9"/>
      <c r="G13" s="9"/>
      <c r="H13" s="9"/>
      <c r="I13" s="9"/>
      <c r="J13" s="9"/>
      <c r="K13" s="14">
        <v>0.8</v>
      </c>
      <c r="L13" s="38">
        <f t="shared" si="0"/>
        <v>15000</v>
      </c>
      <c r="M13" s="9"/>
    </row>
    <row r="14" spans="1:13" ht="39.75" thickBot="1">
      <c r="A14" s="120"/>
      <c r="B14" s="9" t="s">
        <v>72</v>
      </c>
      <c r="C14" s="78">
        <v>60000</v>
      </c>
      <c r="D14" s="78">
        <v>46429.74</v>
      </c>
      <c r="E14" s="9"/>
      <c r="F14" s="9"/>
      <c r="G14" s="9"/>
      <c r="H14" s="9"/>
      <c r="I14" s="9"/>
      <c r="J14" s="9"/>
      <c r="K14" s="14">
        <v>0.8</v>
      </c>
      <c r="L14" s="38">
        <f t="shared" si="0"/>
        <v>46429.74</v>
      </c>
      <c r="M14" s="9"/>
    </row>
    <row r="15" spans="1:13" ht="39.75" thickBot="1">
      <c r="A15" s="120"/>
      <c r="B15" s="9" t="s">
        <v>37</v>
      </c>
      <c r="C15" s="78">
        <v>6000</v>
      </c>
      <c r="D15" s="78">
        <v>6412.51</v>
      </c>
      <c r="E15" s="9"/>
      <c r="F15" s="9"/>
      <c r="G15" s="9"/>
      <c r="H15" s="9"/>
      <c r="I15" s="9"/>
      <c r="J15" s="9"/>
      <c r="K15" s="14">
        <v>0.5</v>
      </c>
      <c r="L15" s="38">
        <f t="shared" si="0"/>
        <v>6412.51</v>
      </c>
      <c r="M15" s="9"/>
    </row>
    <row r="16" spans="1:13" ht="27" thickBot="1">
      <c r="A16" s="120"/>
      <c r="B16" s="9" t="s">
        <v>38</v>
      </c>
      <c r="C16" s="78">
        <v>25000</v>
      </c>
      <c r="D16" s="78">
        <v>24000</v>
      </c>
      <c r="E16" s="9"/>
      <c r="F16" s="9"/>
      <c r="G16" s="9"/>
      <c r="H16" s="9"/>
      <c r="I16" s="9"/>
      <c r="J16" s="9"/>
      <c r="K16" s="14">
        <v>0.8</v>
      </c>
      <c r="L16" s="38">
        <f t="shared" si="0"/>
        <v>24000</v>
      </c>
      <c r="M16" s="9"/>
    </row>
    <row r="17" spans="1:13" ht="39.75" thickBot="1">
      <c r="A17" s="120"/>
      <c r="B17" s="9" t="s">
        <v>40</v>
      </c>
      <c r="C17" s="78">
        <v>129600</v>
      </c>
      <c r="D17" s="78">
        <v>101000</v>
      </c>
      <c r="E17" s="9"/>
      <c r="F17" s="9"/>
      <c r="G17" s="9"/>
      <c r="H17" s="9"/>
      <c r="I17" s="9"/>
      <c r="J17" s="9"/>
      <c r="K17" s="14">
        <v>0.8</v>
      </c>
      <c r="L17" s="38">
        <f t="shared" si="0"/>
        <v>101000</v>
      </c>
      <c r="M17" s="9"/>
    </row>
    <row r="18" spans="1:13" ht="27" thickBot="1">
      <c r="A18" s="120"/>
      <c r="B18" s="9" t="s">
        <v>39</v>
      </c>
      <c r="C18" s="78">
        <v>19200</v>
      </c>
      <c r="D18" s="78">
        <v>18500</v>
      </c>
      <c r="E18" s="9"/>
      <c r="F18" s="9"/>
      <c r="G18" s="9"/>
      <c r="H18" s="9"/>
      <c r="I18" s="9"/>
      <c r="J18" s="9"/>
      <c r="K18" s="14">
        <v>0.8</v>
      </c>
      <c r="L18" s="38">
        <f t="shared" si="0"/>
        <v>18500</v>
      </c>
      <c r="M18" s="9"/>
    </row>
    <row r="19" spans="1:13" ht="27" thickBot="1">
      <c r="A19" s="120"/>
      <c r="B19" s="9" t="s">
        <v>73</v>
      </c>
      <c r="C19" s="78">
        <v>12060</v>
      </c>
      <c r="D19" s="78">
        <v>11900</v>
      </c>
      <c r="E19" s="9"/>
      <c r="F19" s="9"/>
      <c r="G19" s="9"/>
      <c r="H19" s="9"/>
      <c r="I19" s="9"/>
      <c r="J19" s="9"/>
      <c r="K19" s="14">
        <v>0.8</v>
      </c>
      <c r="L19" s="38">
        <f t="shared" si="0"/>
        <v>11900</v>
      </c>
      <c r="M19" s="9"/>
    </row>
    <row r="20" spans="1:13" ht="39.75" thickBot="1">
      <c r="A20" s="120"/>
      <c r="B20" s="9" t="s">
        <v>53</v>
      </c>
      <c r="C20" s="78">
        <v>20000</v>
      </c>
      <c r="D20" s="78">
        <v>18000</v>
      </c>
      <c r="E20" s="9"/>
      <c r="F20" s="9"/>
      <c r="G20" s="9"/>
      <c r="H20" s="9"/>
      <c r="I20" s="9"/>
      <c r="J20" s="9"/>
      <c r="K20" s="14">
        <v>0.8</v>
      </c>
      <c r="L20" s="38">
        <f t="shared" si="0"/>
        <v>18000</v>
      </c>
      <c r="M20" s="9"/>
    </row>
    <row r="21" spans="1:13" ht="27" thickBot="1">
      <c r="A21" s="120"/>
      <c r="B21" s="9" t="s">
        <v>74</v>
      </c>
      <c r="C21" s="78">
        <v>40000</v>
      </c>
      <c r="D21" s="78">
        <v>39700</v>
      </c>
      <c r="E21" s="9"/>
      <c r="F21" s="9"/>
      <c r="G21" s="9"/>
      <c r="H21" s="9"/>
      <c r="I21" s="9"/>
      <c r="J21" s="9"/>
      <c r="K21" s="14">
        <v>0.8</v>
      </c>
      <c r="L21" s="38">
        <f t="shared" si="0"/>
        <v>39700</v>
      </c>
      <c r="M21" s="9"/>
    </row>
    <row r="22" spans="1:13" ht="39.75" thickBot="1">
      <c r="A22" s="121"/>
      <c r="B22" s="9" t="s">
        <v>41</v>
      </c>
      <c r="C22" s="15">
        <v>12000</v>
      </c>
      <c r="D22" s="78">
        <v>11850</v>
      </c>
      <c r="E22" s="9"/>
      <c r="F22" s="9"/>
      <c r="G22" s="9"/>
      <c r="H22" s="9"/>
      <c r="I22" s="9"/>
      <c r="J22" s="9"/>
      <c r="K22" s="14">
        <v>0.8</v>
      </c>
      <c r="L22" s="38">
        <f t="shared" si="0"/>
        <v>11850</v>
      </c>
      <c r="M22" s="9"/>
    </row>
    <row r="23" spans="1:13" ht="15.75" customHeight="1" thickBot="1">
      <c r="A23" s="115" t="s">
        <v>6</v>
      </c>
      <c r="B23" s="116"/>
      <c r="C23" s="16">
        <f>C10+C11+C12+C13+C14+C15+C16+C17+C18++C19+C20+C21+C22</f>
        <v>389860</v>
      </c>
      <c r="D23" s="16">
        <f>D10+D11+D12+D13+D14+D15+D16+D17+D18++D19+D20+D21+D22</f>
        <v>341792.25</v>
      </c>
      <c r="E23" s="16">
        <f aca="true" t="shared" si="1" ref="E23:J23">E10+E11+E12+E13+E14+E15+E16+E17+E18++E19+E20+E21+E22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100000</v>
      </c>
      <c r="J23" s="16">
        <f t="shared" si="1"/>
        <v>100000</v>
      </c>
      <c r="K23" s="17"/>
      <c r="L23" s="18">
        <f>SUM(L10:L22)</f>
        <v>441792.25</v>
      </c>
      <c r="M23" s="19"/>
    </row>
    <row r="24" spans="1:13" ht="15" thickBot="1">
      <c r="A24" s="112" t="s">
        <v>76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</row>
    <row r="25" spans="1:13" ht="15" thickBot="1">
      <c r="A25" s="12" t="s">
        <v>7</v>
      </c>
      <c r="B25" s="112" t="s">
        <v>59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9"/>
    </row>
    <row r="26" spans="1:13" ht="39.75" thickBot="1">
      <c r="A26" s="20" t="s">
        <v>8</v>
      </c>
      <c r="B26" s="21" t="s">
        <v>56</v>
      </c>
      <c r="C26" s="21"/>
      <c r="D26" s="21"/>
      <c r="E26" s="21">
        <v>0</v>
      </c>
      <c r="F26" s="76">
        <v>0</v>
      </c>
      <c r="G26" s="22">
        <v>200000</v>
      </c>
      <c r="H26" s="22">
        <v>175946</v>
      </c>
      <c r="I26" s="21"/>
      <c r="J26" s="21"/>
      <c r="K26" s="23">
        <v>1</v>
      </c>
      <c r="L26" s="38">
        <f>SUM(D26+F26+H26+J26)</f>
        <v>175946</v>
      </c>
      <c r="M26" s="21"/>
    </row>
    <row r="27" spans="1:13" ht="39.75" thickBot="1">
      <c r="A27" s="20" t="s">
        <v>9</v>
      </c>
      <c r="B27" s="21" t="s">
        <v>64</v>
      </c>
      <c r="C27" s="21"/>
      <c r="D27" s="21"/>
      <c r="E27" s="22">
        <v>0</v>
      </c>
      <c r="F27" s="76"/>
      <c r="G27" s="22">
        <v>13390</v>
      </c>
      <c r="H27" s="22">
        <v>13390</v>
      </c>
      <c r="I27" s="21"/>
      <c r="J27" s="21"/>
      <c r="K27" s="23">
        <v>1</v>
      </c>
      <c r="L27" s="38">
        <f>SUM(D27+F27+H27+J27)</f>
        <v>13390</v>
      </c>
      <c r="M27" s="21" t="s">
        <v>83</v>
      </c>
    </row>
    <row r="28" spans="1:13" ht="39.75" thickBot="1">
      <c r="A28" s="8" t="s">
        <v>10</v>
      </c>
      <c r="B28" s="9" t="s">
        <v>57</v>
      </c>
      <c r="C28" s="9"/>
      <c r="D28" s="9"/>
      <c r="E28" s="24">
        <v>35000</v>
      </c>
      <c r="F28" s="76">
        <f>22525+2954+9000</f>
        <v>34479</v>
      </c>
      <c r="G28" s="25">
        <v>64000</v>
      </c>
      <c r="H28" s="22">
        <v>15669</v>
      </c>
      <c r="I28" s="9"/>
      <c r="J28" s="9"/>
      <c r="K28" s="14">
        <v>1</v>
      </c>
      <c r="L28" s="38">
        <f>SUM(D28+F28+H28+J28)</f>
        <v>50148</v>
      </c>
      <c r="M28" s="9" t="s">
        <v>83</v>
      </c>
    </row>
    <row r="29" spans="1:13" ht="39.75" thickBot="1">
      <c r="A29" s="8" t="s">
        <v>63</v>
      </c>
      <c r="B29" s="9" t="s">
        <v>47</v>
      </c>
      <c r="C29" s="9"/>
      <c r="D29" s="9"/>
      <c r="E29" s="9">
        <v>0</v>
      </c>
      <c r="F29" s="9"/>
      <c r="G29" s="24">
        <v>30000</v>
      </c>
      <c r="H29" s="22">
        <v>16002.12</v>
      </c>
      <c r="I29" s="9"/>
      <c r="J29" s="9"/>
      <c r="K29" s="14">
        <v>1</v>
      </c>
      <c r="L29" s="38">
        <f>SUM(D29+F29+H29+J29)</f>
        <v>16002.12</v>
      </c>
      <c r="M29" s="9" t="s">
        <v>82</v>
      </c>
    </row>
    <row r="30" spans="1:13" ht="15.75" customHeight="1" thickBot="1">
      <c r="A30" s="115" t="s">
        <v>11</v>
      </c>
      <c r="B30" s="116"/>
      <c r="C30" s="26">
        <f>C26+C28+C29</f>
        <v>0</v>
      </c>
      <c r="D30" s="26">
        <v>0</v>
      </c>
      <c r="E30" s="26">
        <f>E26+E28+E29</f>
        <v>35000</v>
      </c>
      <c r="F30" s="26">
        <f>F26+F28+F29</f>
        <v>34479</v>
      </c>
      <c r="G30" s="26">
        <f>G26+G27+G28+G29</f>
        <v>307390</v>
      </c>
      <c r="H30" s="26">
        <f>H26+H28+H29</f>
        <v>207617.12</v>
      </c>
      <c r="I30" s="26">
        <f>I26+I28+I29</f>
        <v>0</v>
      </c>
      <c r="J30" s="26">
        <f>J26+J28+J29</f>
        <v>0</v>
      </c>
      <c r="K30" s="17"/>
      <c r="L30" s="26">
        <f>L26+L28+L29</f>
        <v>242096.12</v>
      </c>
      <c r="M30" s="19"/>
    </row>
    <row r="31" spans="1:13" ht="15" thickBot="1">
      <c r="A31" s="112" t="s">
        <v>60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13"/>
      <c r="M31" s="9"/>
    </row>
    <row r="32" spans="1:13" ht="15" thickBot="1">
      <c r="A32" s="112" t="s">
        <v>61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9"/>
    </row>
    <row r="33" spans="1:13" ht="39.75" thickBot="1">
      <c r="A33" s="8" t="s">
        <v>12</v>
      </c>
      <c r="B33" s="9" t="s">
        <v>48</v>
      </c>
      <c r="C33" s="9"/>
      <c r="D33" s="9"/>
      <c r="E33" s="24">
        <v>200000</v>
      </c>
      <c r="F33" s="76">
        <f>220625.1-20625.1</f>
        <v>200000</v>
      </c>
      <c r="G33" s="9"/>
      <c r="H33" s="21"/>
      <c r="I33" s="9"/>
      <c r="J33" s="9"/>
      <c r="K33" s="14">
        <v>0.8</v>
      </c>
      <c r="L33" s="38">
        <f>SUM(D33+F33+H33+J33)</f>
        <v>200000</v>
      </c>
      <c r="M33" s="9"/>
    </row>
    <row r="34" spans="1:13" ht="39.75" thickBot="1">
      <c r="A34" s="8" t="s">
        <v>13</v>
      </c>
      <c r="B34" s="9" t="s">
        <v>49</v>
      </c>
      <c r="C34" s="9"/>
      <c r="D34" s="9"/>
      <c r="E34" s="24">
        <v>60000</v>
      </c>
      <c r="F34" s="76">
        <f>74240.6-9000-5240.6</f>
        <v>60000.00000000001</v>
      </c>
      <c r="G34" s="9"/>
      <c r="H34" s="21"/>
      <c r="I34" s="9"/>
      <c r="J34" s="9"/>
      <c r="K34" s="14">
        <v>0.8</v>
      </c>
      <c r="L34" s="38">
        <f>SUM(D34+F34+H34+J34)</f>
        <v>60000.00000000001</v>
      </c>
      <c r="M34" s="9"/>
    </row>
    <row r="35" spans="1:13" ht="27" thickBot="1">
      <c r="A35" s="8" t="s">
        <v>14</v>
      </c>
      <c r="B35" s="9" t="s">
        <v>50</v>
      </c>
      <c r="C35" s="9"/>
      <c r="D35" s="9"/>
      <c r="E35" s="24">
        <v>58900</v>
      </c>
      <c r="F35" s="76">
        <f>20625.1+5240.6</f>
        <v>25865.699999999997</v>
      </c>
      <c r="G35" s="9"/>
      <c r="H35" s="21"/>
      <c r="I35" s="9"/>
      <c r="J35" s="9"/>
      <c r="K35" s="14">
        <v>1</v>
      </c>
      <c r="L35" s="38">
        <f>SUM(D35+F35+H35+J35)</f>
        <v>25865.699999999997</v>
      </c>
      <c r="M35" s="9"/>
    </row>
    <row r="36" spans="1:13" ht="39.75" thickBot="1">
      <c r="A36" s="8" t="s">
        <v>54</v>
      </c>
      <c r="B36" s="9" t="s">
        <v>51</v>
      </c>
      <c r="C36" s="9"/>
      <c r="D36" s="9"/>
      <c r="E36" s="24">
        <v>25390</v>
      </c>
      <c r="F36" s="77">
        <f>20807.6+6375-2000</f>
        <v>25182.6</v>
      </c>
      <c r="G36" s="9"/>
      <c r="H36" s="21"/>
      <c r="I36" s="9"/>
      <c r="J36" s="9"/>
      <c r="K36" s="14">
        <v>1</v>
      </c>
      <c r="L36" s="38">
        <f>SUM(D36+F36+H36+J36)</f>
        <v>25182.6</v>
      </c>
      <c r="M36" s="9"/>
    </row>
    <row r="37" spans="1:13" ht="39.75" thickBot="1">
      <c r="A37" s="8" t="s">
        <v>55</v>
      </c>
      <c r="B37" s="9" t="s">
        <v>75</v>
      </c>
      <c r="C37" s="9"/>
      <c r="D37" s="9"/>
      <c r="E37" s="25">
        <v>43000</v>
      </c>
      <c r="F37" s="77">
        <v>42246.45</v>
      </c>
      <c r="G37" s="9"/>
      <c r="H37" s="21"/>
      <c r="I37" s="9"/>
      <c r="J37" s="9"/>
      <c r="K37" s="14">
        <v>1</v>
      </c>
      <c r="L37" s="38">
        <f>SUM(D37+F37+H37+J37)</f>
        <v>42246.45</v>
      </c>
      <c r="M37" s="9"/>
    </row>
    <row r="38" spans="1:13" ht="15.75" customHeight="1" thickBot="1">
      <c r="A38" s="115" t="s">
        <v>15</v>
      </c>
      <c r="B38" s="116"/>
      <c r="C38" s="26">
        <f aca="true" t="shared" si="2" ref="C38:J38">C33+C34+C35+C36+C37</f>
        <v>0</v>
      </c>
      <c r="D38" s="26">
        <v>0</v>
      </c>
      <c r="E38" s="26">
        <f t="shared" si="2"/>
        <v>387290</v>
      </c>
      <c r="F38" s="26">
        <f t="shared" si="2"/>
        <v>353294.75</v>
      </c>
      <c r="G38" s="26">
        <f t="shared" si="2"/>
        <v>0</v>
      </c>
      <c r="H38" s="26">
        <f t="shared" si="2"/>
        <v>0</v>
      </c>
      <c r="I38" s="26">
        <f t="shared" si="2"/>
        <v>0</v>
      </c>
      <c r="J38" s="26">
        <f t="shared" si="2"/>
        <v>0</v>
      </c>
      <c r="K38" s="17"/>
      <c r="L38" s="18">
        <f>SUM(L33:L37)</f>
        <v>353294.75</v>
      </c>
      <c r="M38" s="19"/>
    </row>
    <row r="39" spans="1:13" ht="15" thickBot="1">
      <c r="A39" s="112" t="s">
        <v>62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</row>
    <row r="40" spans="1:13" ht="15" thickBot="1">
      <c r="A40" s="112"/>
      <c r="B40" s="125"/>
      <c r="C40" s="125"/>
      <c r="D40" s="127"/>
      <c r="E40" s="127"/>
      <c r="F40" s="127"/>
      <c r="G40" s="125"/>
      <c r="H40" s="125"/>
      <c r="I40" s="125"/>
      <c r="J40" s="125"/>
      <c r="K40" s="125"/>
      <c r="L40" s="125"/>
      <c r="M40" s="126"/>
    </row>
    <row r="41" spans="1:13" ht="27" thickBot="1">
      <c r="A41" s="8" t="s">
        <v>16</v>
      </c>
      <c r="B41" s="48" t="s">
        <v>65</v>
      </c>
      <c r="C41" s="21">
        <v>15000</v>
      </c>
      <c r="D41" s="79">
        <v>13000</v>
      </c>
      <c r="E41" s="28"/>
      <c r="F41" s="29"/>
      <c r="G41" s="27"/>
      <c r="H41" s="27"/>
      <c r="I41" s="27"/>
      <c r="J41" s="38">
        <v>0</v>
      </c>
      <c r="K41" s="30">
        <v>0.8</v>
      </c>
      <c r="L41" s="38">
        <f aca="true" t="shared" si="3" ref="L41:L46">SUM(D41+F41+H41+J41)</f>
        <v>13000</v>
      </c>
      <c r="M41" s="31"/>
    </row>
    <row r="42" spans="1:13" ht="39.75" customHeight="1" thickBot="1">
      <c r="A42" s="8" t="s">
        <v>17</v>
      </c>
      <c r="B42" s="49" t="s">
        <v>27</v>
      </c>
      <c r="C42" s="21">
        <v>20000</v>
      </c>
      <c r="D42" s="80">
        <v>8600</v>
      </c>
      <c r="E42" s="27"/>
      <c r="F42" s="27"/>
      <c r="G42" s="27"/>
      <c r="H42" s="27"/>
      <c r="I42" s="27">
        <v>60000</v>
      </c>
      <c r="J42" s="40">
        <v>30000</v>
      </c>
      <c r="K42" s="14">
        <v>0.8</v>
      </c>
      <c r="L42" s="38">
        <f t="shared" si="3"/>
        <v>38600</v>
      </c>
      <c r="M42" s="9"/>
    </row>
    <row r="43" spans="1:13" ht="27" thickBot="1">
      <c r="A43" s="8" t="s">
        <v>18</v>
      </c>
      <c r="B43" s="49" t="s">
        <v>28</v>
      </c>
      <c r="C43" s="21"/>
      <c r="D43" s="21"/>
      <c r="E43" s="27"/>
      <c r="F43" s="27"/>
      <c r="G43" s="27"/>
      <c r="H43" s="27"/>
      <c r="I43" s="25">
        <v>240000</v>
      </c>
      <c r="J43" s="40">
        <v>220000</v>
      </c>
      <c r="K43" s="14">
        <v>0.8</v>
      </c>
      <c r="L43" s="38">
        <f t="shared" si="3"/>
        <v>220000</v>
      </c>
      <c r="M43" s="9"/>
    </row>
    <row r="44" spans="1:13" ht="39.75" thickBot="1">
      <c r="A44" s="8" t="s">
        <v>68</v>
      </c>
      <c r="B44" s="49" t="s">
        <v>66</v>
      </c>
      <c r="C44" s="22">
        <v>63000</v>
      </c>
      <c r="D44" s="22">
        <v>35800</v>
      </c>
      <c r="E44" s="27"/>
      <c r="F44" s="27"/>
      <c r="G44" s="27"/>
      <c r="H44" s="27"/>
      <c r="I44" s="25">
        <v>100000</v>
      </c>
      <c r="J44" s="40">
        <v>24518</v>
      </c>
      <c r="K44" s="14">
        <v>0.8</v>
      </c>
      <c r="L44" s="38">
        <f t="shared" si="3"/>
        <v>60318</v>
      </c>
      <c r="M44" s="9"/>
    </row>
    <row r="45" spans="1:13" ht="39.75" customHeight="1" thickBot="1">
      <c r="A45" s="8" t="s">
        <v>69</v>
      </c>
      <c r="B45" s="49" t="s">
        <v>43</v>
      </c>
      <c r="C45" s="22">
        <v>36000</v>
      </c>
      <c r="D45" s="22">
        <v>26000</v>
      </c>
      <c r="E45" s="9"/>
      <c r="F45" s="9"/>
      <c r="G45" s="9"/>
      <c r="H45" s="9"/>
      <c r="I45" s="24"/>
      <c r="J45" s="40"/>
      <c r="K45" s="14">
        <v>0.8</v>
      </c>
      <c r="L45" s="38">
        <f t="shared" si="3"/>
        <v>26000</v>
      </c>
      <c r="M45" s="9"/>
    </row>
    <row r="46" spans="1:13" ht="30" customHeight="1" thickBot="1">
      <c r="A46" s="8" t="s">
        <v>70</v>
      </c>
      <c r="B46" s="49" t="s">
        <v>36</v>
      </c>
      <c r="C46" s="21">
        <v>40000</v>
      </c>
      <c r="D46" s="80">
        <v>38800</v>
      </c>
      <c r="E46" s="9"/>
      <c r="F46" s="9"/>
      <c r="G46" s="9"/>
      <c r="H46" s="9"/>
      <c r="I46" s="24">
        <v>159000</v>
      </c>
      <c r="J46" s="40">
        <v>52000</v>
      </c>
      <c r="K46" s="14">
        <v>0.8</v>
      </c>
      <c r="L46" s="38">
        <f t="shared" si="3"/>
        <v>90800</v>
      </c>
      <c r="M46" s="9"/>
    </row>
    <row r="47" spans="1:13" ht="15.75" customHeight="1" thickBot="1">
      <c r="A47" s="115" t="s">
        <v>19</v>
      </c>
      <c r="B47" s="116"/>
      <c r="C47" s="32">
        <f aca="true" t="shared" si="4" ref="C47:J47">C41+C42+C43+C44+C45+C46</f>
        <v>174000</v>
      </c>
      <c r="D47" s="32">
        <f>D41+D42+D43+D44+D45+D46</f>
        <v>122200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559000</v>
      </c>
      <c r="J47" s="32">
        <f t="shared" si="4"/>
        <v>326518</v>
      </c>
      <c r="K47" s="17"/>
      <c r="L47" s="41">
        <f>SUM(L39:L46)</f>
        <v>448718</v>
      </c>
      <c r="M47" s="19"/>
    </row>
    <row r="48" spans="1:13" ht="69.75" customHeight="1" thickBot="1">
      <c r="A48" s="2" t="s">
        <v>42</v>
      </c>
      <c r="B48" s="2" t="s">
        <v>81</v>
      </c>
      <c r="C48" s="81">
        <v>270000</v>
      </c>
      <c r="D48" s="79">
        <v>264268.53</v>
      </c>
      <c r="E48" s="81">
        <v>0</v>
      </c>
      <c r="F48" s="128"/>
      <c r="G48" s="129">
        <v>92000</v>
      </c>
      <c r="H48" s="129">
        <v>90192</v>
      </c>
      <c r="I48" s="34">
        <v>162000</v>
      </c>
      <c r="J48" s="42">
        <v>87713.41</v>
      </c>
      <c r="K48" s="14">
        <v>0.8</v>
      </c>
      <c r="L48" s="38">
        <f>SUM(D48+F48+H48+J48)</f>
        <v>442173.94000000006</v>
      </c>
      <c r="M48" s="35"/>
    </row>
    <row r="49" spans="1:13" ht="62.25" customHeight="1" thickBot="1">
      <c r="A49" s="2" t="s">
        <v>23</v>
      </c>
      <c r="B49" s="2" t="s">
        <v>32</v>
      </c>
      <c r="C49" s="81">
        <v>50719</v>
      </c>
      <c r="D49" s="130">
        <v>50000</v>
      </c>
      <c r="E49" s="81">
        <v>20000</v>
      </c>
      <c r="F49" s="128">
        <f>16584.3+3468</f>
        <v>20052.3</v>
      </c>
      <c r="G49" s="129">
        <v>42900</v>
      </c>
      <c r="H49" s="129">
        <v>42001</v>
      </c>
      <c r="I49" s="34">
        <v>63579</v>
      </c>
      <c r="J49" s="42">
        <v>53399.53</v>
      </c>
      <c r="K49" s="14">
        <v>0.8</v>
      </c>
      <c r="L49" s="38">
        <f>SUM(D49+F49+H49+J49)</f>
        <v>165452.83000000002</v>
      </c>
      <c r="M49" s="35"/>
    </row>
    <row r="50" spans="1:13" ht="28.5" customHeight="1" thickBot="1">
      <c r="A50" s="8" t="s">
        <v>24</v>
      </c>
      <c r="B50" s="9" t="s">
        <v>67</v>
      </c>
      <c r="C50" s="21">
        <v>50000</v>
      </c>
      <c r="D50" s="21"/>
      <c r="E50" s="21">
        <v>25000</v>
      </c>
      <c r="F50" s="128">
        <f>13333+11217.25</f>
        <v>24550.25</v>
      </c>
      <c r="G50" s="22">
        <v>25000</v>
      </c>
      <c r="H50" s="22">
        <v>10806</v>
      </c>
      <c r="I50" s="24">
        <v>50000</v>
      </c>
      <c r="J50" s="42">
        <v>35021.99</v>
      </c>
      <c r="K50" s="14">
        <v>0.8</v>
      </c>
      <c r="L50" s="38">
        <f>SUM(D50+F50+H50+J50)</f>
        <v>70378.23999999999</v>
      </c>
      <c r="M50" s="9"/>
    </row>
    <row r="51" spans="1:13" ht="16.5" customHeight="1" thickBot="1">
      <c r="A51" s="115" t="s">
        <v>29</v>
      </c>
      <c r="B51" s="116"/>
      <c r="C51" s="43">
        <f aca="true" t="shared" si="5" ref="C51:J51">C23+C30+C38+C47+C48+C49+C50</f>
        <v>934579</v>
      </c>
      <c r="D51" s="43">
        <f>D23+D30+D38+D47+D48+D49+D50</f>
        <v>778260.78</v>
      </c>
      <c r="E51" s="43">
        <f t="shared" si="5"/>
        <v>467290</v>
      </c>
      <c r="F51" s="43">
        <f t="shared" si="5"/>
        <v>432376.3</v>
      </c>
      <c r="G51" s="43">
        <f t="shared" si="5"/>
        <v>467290</v>
      </c>
      <c r="H51" s="43">
        <f t="shared" si="5"/>
        <v>350616.12</v>
      </c>
      <c r="I51" s="43">
        <f t="shared" si="5"/>
        <v>934579</v>
      </c>
      <c r="J51" s="43">
        <f t="shared" si="5"/>
        <v>602652.93</v>
      </c>
      <c r="K51" s="17"/>
      <c r="L51" s="51">
        <f>D51+F51+H51+J51</f>
        <v>2163906.1300000004</v>
      </c>
      <c r="M51" s="19"/>
    </row>
    <row r="52" spans="1:13" ht="16.5" customHeight="1" thickBot="1">
      <c r="A52" s="117" t="s">
        <v>30</v>
      </c>
      <c r="B52" s="118"/>
      <c r="C52" s="44">
        <f>7/100*C51</f>
        <v>65420.530000000006</v>
      </c>
      <c r="D52" s="44">
        <f>D51*7%</f>
        <v>54478.25460000001</v>
      </c>
      <c r="E52" s="44">
        <f aca="true" t="shared" si="6" ref="E52:J52">7/100*E51</f>
        <v>32710.300000000003</v>
      </c>
      <c r="F52" s="44">
        <f t="shared" si="6"/>
        <v>30266.341</v>
      </c>
      <c r="G52" s="44">
        <f>7/100*G51</f>
        <v>32710.300000000003</v>
      </c>
      <c r="H52" s="44">
        <f>32710</f>
        <v>32710</v>
      </c>
      <c r="I52" s="44">
        <f t="shared" si="6"/>
        <v>65420.530000000006</v>
      </c>
      <c r="J52" s="44">
        <f t="shared" si="6"/>
        <v>42185.70510000001</v>
      </c>
      <c r="K52" s="36"/>
      <c r="L52" s="50">
        <f>D52+F52+H52+J52</f>
        <v>159640.30070000002</v>
      </c>
      <c r="M52" s="1"/>
    </row>
    <row r="53" spans="1:13" ht="16.5" customHeight="1" thickBot="1">
      <c r="A53" s="107" t="s">
        <v>85</v>
      </c>
      <c r="B53" s="108"/>
      <c r="C53" s="52">
        <f aca="true" t="shared" si="7" ref="C53:J53">C51+C52</f>
        <v>999999.53</v>
      </c>
      <c r="D53" s="52">
        <f>D51+D52</f>
        <v>832739.0346</v>
      </c>
      <c r="E53" s="52">
        <f t="shared" si="7"/>
        <v>500000.3</v>
      </c>
      <c r="F53" s="52">
        <f t="shared" si="7"/>
        <v>462642.641</v>
      </c>
      <c r="G53" s="52">
        <f>G51+G52</f>
        <v>500000.3</v>
      </c>
      <c r="H53" s="52">
        <f t="shared" si="7"/>
        <v>383326.12</v>
      </c>
      <c r="I53" s="53">
        <f t="shared" si="7"/>
        <v>999999.53</v>
      </c>
      <c r="J53" s="52">
        <f t="shared" si="7"/>
        <v>644838.6351000001</v>
      </c>
      <c r="K53" s="54"/>
      <c r="L53" s="54">
        <f>D53+F53+H53+J53</f>
        <v>2323546.4307</v>
      </c>
      <c r="M53" s="55"/>
    </row>
    <row r="54" spans="1:13" ht="16.5" customHeight="1">
      <c r="A54" s="106" t="s">
        <v>31</v>
      </c>
      <c r="B54" s="106"/>
      <c r="C54" s="105">
        <f>C53+E53+G53+I53</f>
        <v>2999999.66</v>
      </c>
      <c r="D54" s="105"/>
      <c r="E54" s="105"/>
      <c r="F54" s="105"/>
      <c r="G54" s="105"/>
      <c r="H54" s="105"/>
      <c r="I54" s="105"/>
      <c r="J54" s="45"/>
      <c r="K54" s="46"/>
      <c r="L54" s="50"/>
      <c r="M54" s="46"/>
    </row>
    <row r="55" spans="1:13" ht="14.25">
      <c r="A55" s="47"/>
      <c r="B55" s="47"/>
      <c r="C55" s="47"/>
      <c r="D55" s="47"/>
      <c r="E55" s="95"/>
      <c r="F55" s="47"/>
      <c r="G55" s="95"/>
      <c r="H55" s="47"/>
      <c r="I55" s="47"/>
      <c r="J55" s="47"/>
      <c r="K55" s="47"/>
      <c r="L55" s="47"/>
      <c r="M55" s="47"/>
    </row>
    <row r="56" ht="14.25">
      <c r="F56" s="95"/>
    </row>
    <row r="60" ht="25.5" customHeight="1"/>
  </sheetData>
  <sheetProtection/>
  <mergeCells count="18">
    <mergeCell ref="A51:B51"/>
    <mergeCell ref="A52:B52"/>
    <mergeCell ref="A12:A22"/>
    <mergeCell ref="B25:L25"/>
    <mergeCell ref="B9:L9"/>
    <mergeCell ref="A32:L32"/>
    <mergeCell ref="A40:M40"/>
    <mergeCell ref="A47:B47"/>
    <mergeCell ref="C54:I54"/>
    <mergeCell ref="A54:B54"/>
    <mergeCell ref="A53:B53"/>
    <mergeCell ref="A8:M8"/>
    <mergeCell ref="A24:M24"/>
    <mergeCell ref="A31:K31"/>
    <mergeCell ref="A30:B30"/>
    <mergeCell ref="A23:B23"/>
    <mergeCell ref="A38:B38"/>
    <mergeCell ref="A39:M39"/>
  </mergeCells>
  <printOptions/>
  <pageMargins left="0.7" right="0.7" top="0.75" bottom="0.75" header="0.3" footer="0.3"/>
  <pageSetup horizontalDpi="600" verticalDpi="600" orientation="landscape" scale="51" r:id="rId1"/>
  <rowBreaks count="2" manualBreakCount="2">
    <brk id="3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Shruti Upadhyay</cp:lastModifiedBy>
  <cp:lastPrinted>2017-12-11T22:51:21Z</cp:lastPrinted>
  <dcterms:created xsi:type="dcterms:W3CDTF">2017-11-15T21:17:43Z</dcterms:created>
  <dcterms:modified xsi:type="dcterms:W3CDTF">2021-06-23T19:13:53Z</dcterms:modified>
  <cp:category/>
  <cp:version/>
  <cp:contentType/>
  <cp:contentStatus/>
</cp:coreProperties>
</file>